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B685DF1A-063A-42D7-8DB4-CD0A0BD473C3}"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E132" i="2" l="1"/>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<sst xmlns="http://schemas.openxmlformats.org/spreadsheetml/2006/main" count="62900" uniqueCount="18047">
  <si>
    <t>Índice onomástico anual · Gazeta de Madrid</t>
  </si>
  <si>
    <t>Números 1 a 105 · 3 de enero–30 de diciembre de 1800 (cobertura solicitada: 1 de enero–31 de diciembre)</t>
  </si>
  <si>
    <t>Registros: 7807</t>
  </si>
  <si>
    <t>Cinco índices consolidados; ordenación aproximada por apellidos y enlace directo a cada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</si>
  <si>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</si>
  <si>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</si>
  <si>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</si>
  <si>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</si>
  <si>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</si>
  <si>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</si>
  <si>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</si>
  <si>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</si>
  <si>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</si>
  <si>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</si>
  <si>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</si>
  <si>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</si>
  <si>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Abadía, Ramón</t>
  </si>
  <si>
    <t>Ramón Abadía</t>
  </si>
  <si>
    <t>Mencionado en un nombramiento, ascenso, concesión o disposición oficial.</t>
  </si>
  <si>
    <t>Nombramientos y disposiciones</t>
  </si>
  <si>
    <t>26 de diciembre de 1800</t>
  </si>
  <si>
    <t>Transcripción del OCR histórico; compruebe la grafía en el facsímil.</t>
  </si>
  <si>
    <t>ovincia de los Llanos» á D. Francisco Xavier García: el de Administrador de Alcabalas de Riobamba á D. Ramón Abadía: el de Oficial primero de la Administración principal de aguardientes de Mbmpox á D. Fausto de Castro y Correa: el ¿«Administrador particular de las Rentas de tabaco y pólvora de</t>
  </si>
  <si>
    <t>Cotejar OCR</t>
  </si>
  <si>
    <t>Abate Pará de Fanjas</t>
  </si>
  <si>
    <t>Mencionado en una noticia, disposición o aviso de España.</t>
  </si>
  <si>
    <t>Noticias de España</t>
  </si>
  <si>
    <t>15 de agosto de 1800</t>
  </si>
  <si>
    <t>dolid en la de Santander. Elementos de filosofía , compuestos en francés por el Abate Pará de Fanjas, presbítero de la extinguida compañía, y traducidos por D. Lúeas Gómez Negro, Estos elementos son singulares por su mérito entre quantos andan en manos d« los jóvenes ; y los mas excelentes a</t>
  </si>
  <si>
    <t>Abellan, Tadeo</t>
  </si>
  <si>
    <t>Tadeo Abellan</t>
  </si>
  <si>
    <t>11 de marzo de 1800</t>
  </si>
  <si>
    <t>192 Manuel Martin: en el de Murcia á segundos Subtenientes al Cadete Don Tadeo Abellan y al Sargento primero distinguido D. Sebastian Duarte: en el de León á segundo Subteniente a! Cadete D. Joseph Rodríguez: en el de Burgos á primer Teniente ai segundo de granaderos</t>
  </si>
  <si>
    <t>Abello, Luís</t>
  </si>
  <si>
    <t>Luís Abello</t>
  </si>
  <si>
    <t>14 de marzo de 1800</t>
  </si>
  <si>
    <t>l Hernández: de Tenientes al Capitán de correos en Puerto-Rico Don Manuel Balay y al Piloto segundo D. Luís Abello; y de Subtenientes á Jos Pilotines D. Manuel Barruti y D. Joácbin de Ugarte. É;i América. Eí Rey se ha servido nombrar para una Canongía de merced de la catedral de Nicaragua á D.</t>
  </si>
  <si>
    <t>Abercrombie, General</t>
  </si>
  <si>
    <t>General Abercrombie</t>
  </si>
  <si>
    <t>30 de mayo de 1800</t>
  </si>
  <si>
    <t>sportes en que van las tropas de desembarco se hicieron á la vela con la esquadra. Está nombrado el General Abercombrie para ir á mandar un cuerpo de tropas en Portugal. Confirman los avisos de Petersburgo que el Ministro ingles Whitworth ha incurrido en la desgracia de Paulo I, cuyo favor gozó muc</t>
  </si>
  <si>
    <t>Mencionado en una noticia extranjera.</t>
  </si>
  <si>
    <t>Noticias extranjeras</t>
  </si>
  <si>
    <t>10 de junio de 1800</t>
  </si>
  <si>
    <t>toda priesa se está disponiendo una de 128 hombres, y que saldrá quanto antes baxo las órdenes del General Abercrombie. Algunos sospechan que va á Portugal. J7plinrioiitli han entrado ó navios de la escuadra de la A'lanclia* ‘Almirante Lord S. Vicente quedaba con otros 30 á la altura de Ouessant.</t>
  </si>
  <si>
    <t>13 de junio de 1800</t>
  </si>
  <si>
    <t>ta de Alemania se ha obligado la Inglaterra á enviar á Italia un cuerpo de 20© hombres al mando del General Abercrombie para sostener al exército del General Melas.----Asegura otra gazeta que las nuevas fortificaciones añadidas á las antiguas de Ulm hacen muy fuerte aquella plaza, y podrá sostener</t>
  </si>
  <si>
    <t>llo-Marino á las ordenes del Contra-Almirante liiekerton. Van en este buque los Generales Abercroinbie, Hutchinson y Moore, el Coronel Hope y otros oficiales. El propio dia dieron la vela 1 fragatas armadas en urca con tropas de las llamadas fencibles para Gibra</t>
  </si>
  <si>
    <t>19 de agosto de 1800</t>
  </si>
  <si>
    <t>otros. En una fragata inglesa que entró en este puerto el‘dia i.° viniéron los Generales Abercrombie , Moores y otros comandantes ingleses. Igualmente, en el navio Alkmaer llegó el General Knox. ' Bérgamo 4 de Julio. O cupan los franceses la Valtelina baxa y a</t>
  </si>
  <si>
    <t>7 de octubre de 1800</t>
  </si>
  <si>
    <t>a obligado á contribuir con sumas quantiosas, y á poner en Italia. 30© hombres baxo las órdenes del General Abercrombic. Hállase ya en Munich el General Moreau; y una parte del exército francés se dirige hacia Limth, fortaleza que defiende la entrada de los estados austríacos por el lado de Baviera</t>
  </si>
  <si>
    <t>14 de octubre de 1800</t>
  </si>
  <si>
    <t>nes la posesión de una ciudad marítima en Inglaterra hasta ei: ajuste de la paz. Se confirma que el General Abercrombie fue con 2 regimientos á Mal-, ta, adoride le había precedido el General Gratham con 4© hombres, y que él respetable estado de aquella fortaleza no les permitió intentar su ataque.</t>
  </si>
  <si>
    <t>Mencionado en un anuncio particular, económico o judicial.</t>
  </si>
  <si>
    <t>Avisos y anuncios</t>
  </si>
  <si>
    <t>7 de noviembre de 1800</t>
  </si>
  <si>
    <t>egado Malta á las armas británicas. Se sabe que en Gibraltar se ha» juntado los Generales Abercrombie y Pultney. El Capitán de una embarcación que acaba de entrar en Leith ha declarado que una de nuestras expediciones navales, destinada contra las costas de los enemigos,</t>
  </si>
  <si>
    <t>14 de noviembre de 1800</t>
  </si>
  <si>
    <t>vela hácia'levante con su escuadra* en l;i qual van íaé «opas mandadas por los Generales Abercombrie y Puíthey; Parece que esta expedición se dirige á Egipto. , ? Habíase dicho que Mr. Shairp, Cónsul general ingles en Rusia, no consiguió licéúcia de desembarcar en Crons</t>
  </si>
  <si>
    <t>30 de diciembre de 1800</t>
  </si>
  <si>
    <t>erio, ó cuyos bienes se embarguen. Expresan algunas cartas de nuestra esquadra ael Mediterráneo que Mr. Abercrombie irá á Egipto con 10O hombres de desembarco. Otros dos batallones van á Malta para relevar parte de las tropas británicas que han servido hasta ahora en aquella isla. El convoy de</t>
  </si>
  <si>
    <t>Abercrorabie, General</t>
  </si>
  <si>
    <t>General Abercrorabie</t>
  </si>
  <si>
    <t>8 de julio de 1800</t>
  </si>
  <si>
    <t>-Londres pidiendo que las tropas que se embarcaron para una expedición secreta baxo las órdenes del General Abercrorabie, desembarque!* en Liorna, y se junten con los austríacos para defender á Italia ; y que al mismo tiempo otro cuerpo ingles haga una poderosa diversión en las costas de Bretaña ó d</t>
  </si>
  <si>
    <t>Aberctambié, General</t>
  </si>
  <si>
    <t>General Aberctambié</t>
  </si>
  <si>
    <t>22 de agosto de 1800</t>
  </si>
  <si>
    <t>os pata este año, ya:$e han gastado 20 en cóflK tinu.ir la guerra; y entretanto el valeroso y hábil General Aberctambié permanece inactivo en el Mediterráneo psiendí&gt; así que si: hubiese llegado 3 meses antes hubteta podido socorrer utilmente á nuestro aliado. Otro grao General (Mr.Maitlandyse ha o</t>
  </si>
  <si>
    <t>Abreu, Antonio</t>
  </si>
  <si>
    <t>Antonio Abreu</t>
  </si>
  <si>
    <t>música para guitarra y baxo , y sobre los mismos intentos y composición de minuetes una sonata por D. Antonio Abreu: su, precio 10 rs. Otros dos minuetes flautados, uno de Santana y otro del Basilio, y el fandango con variaciones agradables , para dicho instrumento á solo , á 6 rs. Un quaderno</t>
  </si>
  <si>
    <t>Acevedo, Domingo</t>
  </si>
  <si>
    <t>Domingo Acevedo</t>
  </si>
  <si>
    <t>12 de agosto de 1800</t>
  </si>
  <si>
    <t>oseph Conesa, y á los Sargentos primeros de granaderos D. Antonio Xerez, graduado de Subteniente, y D. Domingo Acevedo. En el de Granada á segundo Teniente de granaderos al de fusileros D. Rafael Espinosa; y a Subteniente de granaderos al primer Subteniente D. Miguel Menoy. En el de Mallorca á'seg</t>
  </si>
  <si>
    <t>Acevedo, Isidoro</t>
  </si>
  <si>
    <t>Isidoro Acevedo</t>
  </si>
  <si>
    <t>24 de enero de 1800</t>
  </si>
  <si>
    <t>y D. Vicente Alvarez Ordoño; en el de la Princesa á segundo Teniente de granaderos al de fusileros D. Isidoro Acevedo; y á primer Subteniente al segundo D. Manuel Sanche^:, en el de Cazadores Voluntarios de la Corona á primer Teniente de tiradores al primer Teniente D. Manuel Bayona; y á segundo</t>
  </si>
  <si>
    <t>Achard</t>
  </si>
  <si>
    <t>4 de febrero de 1800</t>
  </si>
  <si>
    <t>ue para esto último se hará en adelante uso del zumo de remolachas, que según el descubrimiento &lt;de Mr. Achard produce aguardiente superior al de granos. De Glátz en Silesia escriben que el dia io se sintieron en aquella ciudad y sus contornos varios terremotos, que fuéron algo mas recios</t>
  </si>
  <si>
    <t>Mencionado en un anuncio bibliográfico, artístico o editorial.</t>
  </si>
  <si>
    <t>Libros, estampas y avisos culturales</t>
  </si>
  <si>
    <t>28 de febrero de 1800</t>
  </si>
  <si>
    <t>ien á divertirse que á recobrar su salud. La junta encargada aquí para examinar los experimentos de Mr. Achard sobre extraer azúcar de las remolachas, se ha convencido de que el precio de la libra de dicho azúcar refinado no llegará á 3 rs., y la del ordinario á la mitad. Extraido el azúca</t>
  </si>
  <si>
    <t>21 de marzo de 1800</t>
  </si>
  <si>
    <t>har de Egipto á los franceses. Berlín de Enero. H a publicado este gobierno el método inventado por Mr. Achard para hacer el azúcar de remolachas: de 1500 libras de estas raíces se sacan 57^ de azúcar. Después que hierven las remolachas se ponen en prensa, y el xugo que producen se convier</t>
  </si>
  <si>
    <t>22 de julio de 1800</t>
  </si>
  <si>
    <t>a guerra.” El instituto nacional habia nombrado una junta encargada de repetir los experimentos que Mr. Achard ha hecho en Berlín para sacar azúcar de las remolachas. El ciud. Deyeux, uno de los individuos de dicha junta, ha dado ya cuenta de sus experiencias, y resulta que efectivamente s</t>
  </si>
  <si>
    <t>roducido el efecto que se deseaba, sino que han dado dichas raíces mas porción de azúcar que la que Mr. Achard ha sacado de las de su país. * B asilea l&amp; de Julio. L os austríacos evacuaron el dia 12 la ciudad de Ratisbona; y el cuerpo del General Klenau se retiro hacia Straubifigen.__ De</t>
  </si>
  <si>
    <t>Acton, General</t>
  </si>
  <si>
    <t>General Acton</t>
  </si>
  <si>
    <t>ador de Rusia, el Príncipe Real, el Príncipe Leopoldo, el Almirante Nelson, el Príncipe Suwarow, el General Acton, el Príncipe Belmonte-Pignateü, el Cardenal Ruffo &amp;c.; y entre los Comendadores el Conmodoro ingles Townbridge , el Capitán Hood„y otros. En una fragata inglesa que entró en este</t>
  </si>
  <si>
    <t>Adams</t>
  </si>
  <si>
    <t>dueño completamente de su razón, concluyó sü bien aprovechada carrera ,&amp;c,” El Presidente Adams avisó esta muerte á Cámara de Representantes por medio de este inensage: „Señores*. vereis por la carta inclusa que la divina Providencia ha tenido á bien saca</t>
  </si>
  <si>
    <t>*99 Filadelfia 21 de Diciembre de 1799' Q uando se hizo la abertura del Congreso, su Presidente Mr. Adams en el discurso de estilo habló de la industria, del comercio, y de las.demas ventajas civiles y religiosas que disfrutan los pueblos de este país; é hizo mención de haber suspendido</t>
  </si>
  <si>
    <t>Adan, Fernando</t>
  </si>
  <si>
    <t>Fernando Adan</t>
  </si>
  <si>
    <t>9 de mayo de 1800</t>
  </si>
  <si>
    <t>n de su maestro D. Joseph de Uzin fueron examinados D. Joseph María de Munive, D. Joseph de Gaytan, D. Fernando Adan y D. Fernando de las Casas. En rudimentos de latinidad, baxo la dirección de su maestro D. Andrés Bestigui, los seminaristas D. Francisco Necochea, D. Pedro Goossens, D. Joseph Fermín</t>
  </si>
  <si>
    <t>Adelayda de Francia, Princesa</t>
  </si>
  <si>
    <t>Princesa Adelayda de Francia</t>
  </si>
  <si>
    <t>8 de abril de 1800</t>
  </si>
  <si>
    <t>el en calidad de Ministro austríaco. Hállase actualmente en Gratz el Duque de Módena; y en Agram la Princesa Adelayda de Francia, tia de Luis XVI. Berlín 28 de Febrero. E n breve se levantará aquí un regimiento de infantería llamado de la Reyna, la qual será su Coronel. Su uniforme será de los mismos colore</t>
  </si>
  <si>
    <t>Adelswaerd, Barón</t>
  </si>
  <si>
    <t>Barón Adelswaerd</t>
  </si>
  <si>
    <t>Moerner, Chambelán del Rey, y Secretario de gabinete, el Barón Bogc, Secretario de revisión,, y el Barón Adelswaerd, Caballerizo del Duque de Sudermaniá. Por otra parte el Barón de Hierta, Secretario del protocolo, el Barón de Cederstroem, y Mrs. Adclsheim, Netherword y Sehultzenheim han renunc</t>
  </si>
  <si>
    <t>Adisson</t>
  </si>
  <si>
    <t>5 de diciembre de 1800</t>
  </si>
  <si>
    <t>garon la entrada del castillo, pretextando que el Rajah se hallaba en él con sus mugeres; pero como Mr. Adisson persistía en desempeñar su encargo , salió al fin el Rajah , habló con él por espacio de una hora, y luego le conduxo á corta distancia de la puerta, y se retiró. Entonces se viér</t>
  </si>
  <si>
    <t>Adjutorio Molas</t>
  </si>
  <si>
    <t>Mencionado en la relación de militares fallecidos y sus herederos.</t>
  </si>
  <si>
    <t>Segundo suplemento / haberes de militares fallecidos</t>
  </si>
  <si>
    <t>24 de octubre de 1800</t>
  </si>
  <si>
    <t>Supl. 2, p. 3</t>
  </si>
  <si>
    <t>arde Balaguér y Corrégimiénto idem.....!........*.;...... ;............ 42. 25. Adjutorio Molas , hijo de Juan y Margarita , natural de Riiídepéras , Corregimiento de Vique......;........ ........... 42. «5. Sixto Vila, hijo de Juliart y Ana, natural dé Salrá, Corregimiento de Gero</t>
  </si>
  <si>
    <t>Adrián Jácome</t>
  </si>
  <si>
    <t>1 de julio de 1800</t>
  </si>
  <si>
    <t>Luis de las Casas, Gobernador de la plaza de Cádiz: para el Campo de Gibraltar al Mariscal de Campo D. Adrián Jácome: para Castilla la vieja al Teniente General D. Joseph de Arteaga; para Extremadura al Mariscal de Campo D. Joseph Zubiria: para Galicia al Teniente General D. Francisco Xavier de</t>
  </si>
  <si>
    <t>Afgahaan-Zeman-Schah, Príncipe</t>
  </si>
  <si>
    <t>Príncipe Afgahaan-Zeman-Schah</t>
  </si>
  <si>
    <t>25 de febrero de 1800</t>
  </si>
  <si>
    <t>asas. Según noticias de Persia ha sido derrotado casi enteramente Baba-Kan en una batalla contra el Príncipe Afgahaan-Zeman-Schah, en la quai mandaban sus respectivas tropas estos dos competidores á aquel trono* A Copenhague 11 de Enero de 1800. 1 Acaba de publicarse aquí el siguiente aviso dirigido á los na</t>
  </si>
  <si>
    <t>Agraz y Fernández, Francisco</t>
  </si>
  <si>
    <t>Francisco Agraz y Fernández</t>
  </si>
  <si>
    <t>, D. Tuan Bustamante y González del Rivero, D. Felipe de Zavas v LaudaD. Toseph Buitragoy Granados, D. Francisco Agraz y Fernandez, D. Antonio Gandarillas y Quixano , D. Juan de Ordaz Y -tizón, D. Fernando del Piélago y Arguedas, D. Juan Ignacio Pareja y Mariscal, D. Juan Miguel Pareja y Mariscal, D. Ramón de</t>
  </si>
  <si>
    <t>Agraz, Ignacio</t>
  </si>
  <si>
    <t>Ignacio Agraz</t>
  </si>
  <si>
    <t>28 de enero de 1800</t>
  </si>
  <si>
    <t>promover á segundos Tenientes á los Alféreces ■ de granaderos D. Ignacio Perez de Sarrio, D. Ignacio Agraz y D. Henrique Antonio de Lamberts. En el de infantería de V alencia á Capitán al Ayudante graduado de Teniente Coronel D. Manuel Pereyra; y en el de Extremadura á Capitán al Ayudante*</t>
  </si>
  <si>
    <t>Aguado y Oquendo, Andrés</t>
  </si>
  <si>
    <t>Andrés Aguado y Oquendo</t>
  </si>
  <si>
    <t>9 de septiembre de 1800</t>
  </si>
  <si>
    <t>ra y D. Benito Albiny; y á segundos Subtenientes á los Cadetes D. Tomas Cantón, D. Guillermo Lyons, D. Andrés Aguado y Oquendo y D. Joseph Alvarez, este del de Soria, y al Sargento primero de granaderos D. Agustin Poncerot: en el de TJltonia á Capitán al primer Teniente de gr.msderos D. Andrés Debox; á primer</t>
  </si>
  <si>
    <t>Aguado y Oquendo, Joseph</t>
  </si>
  <si>
    <t>Joseph Aguado y Oquendo</t>
  </si>
  <si>
    <t>7 de enero de 1800</t>
  </si>
  <si>
    <t>es Militares D. Juan Antonio López: en el de Hibernia á segundo Subteniente al Cadete del dé Sabóya D. Joseph Aguado y Oquendo: en el de Aragón á segundos Subtenientes á los Cadetes D. Manuel de la Revilla y Don Blas Bielsa: en el de Extremadura á segundo Subteniente al Sargento primero D. Juan López Quev</t>
  </si>
  <si>
    <t>Aguado, Manuel</t>
  </si>
  <si>
    <t>Manuel Aguado</t>
  </si>
  <si>
    <t>18 de marzo de 1800</t>
  </si>
  <si>
    <t>continuar la venta de los bienes que en la villa de Cienpozuelos corresponden al vínculo que posee D. Manuel Aguado, presbítero, tasados últimamente en 434, 1S3 rs, y está señalado para su remate el 5 de Abril. Quien quisiere hacer mejora al todo ó parte de dicha hacienda , que se compone de un</t>
  </si>
  <si>
    <t>Agüero y Neyra, Domingo</t>
  </si>
  <si>
    <t>Domingo Agüero y Neyra</t>
  </si>
  <si>
    <t>17 de octubre de 1800</t>
  </si>
  <si>
    <t>odido menos de tener presente entre los trabajos que han de incluirse en él la traducción hecha por D. Domingo Agüero y Neyra , uno de sus individuos, de los Ensayos políticos, económicos y filosóficos del Conde de Rumford, porque está bien penetrada de su importancia y utilidad. El público tiene ya noti</t>
  </si>
  <si>
    <t>Aguilera, Joachín</t>
  </si>
  <si>
    <t>Joachín Aguilera</t>
  </si>
  <si>
    <t>D. Antonio Lara, D. V entura Macía y Areni y D. Joseph Roca; á primeros Subtenientes á los segundos Don Joachín Aguilera, D. Agustin Amanda, D. Joseph Lariz, D. Gregorio Espinosa, D. Francisco Piadas, D. Vicente Amat y D. Gregorio Di.iz; y á segundos Subtenientes á los Cadetes D. Pedro Miguel de l¡z</t>
  </si>
  <si>
    <t>Aguirre, Antonio</t>
  </si>
  <si>
    <t>Antonio Aguirre</t>
  </si>
  <si>
    <t>1 de agosto de 1800</t>
  </si>
  <si>
    <t>, de capá y espada de Canaria , vacante por haber cumplido su sexenio D. Juan Martínez de Baños', á D. Antonio Aguirre; para el de letras de la ciudad de Andújar á XX joseph Guillen de Toledo ; para el de Betánzos á D. Joseph Manuel Picado ; para el de la villa de Madrigal á D. Francisco Gutiérrez</t>
  </si>
  <si>
    <t>Aguirre, Francisco</t>
  </si>
  <si>
    <t>Francisco Aguirre</t>
  </si>
  <si>
    <t>28 de marzo de 1800</t>
  </si>
  <si>
    <t>supernumerario D. Juan Termens, y por Cadete supernumerario de la misma compañía al Guardia de ella Don Francisco Aguirre. S. M. ha nombrado primer Subteniente de la compañía suelta de fusileros voluntarios del Reyno de Aragón al segundo Subteniente de la misma compañía D. Francisco Mongay; y para es</t>
  </si>
  <si>
    <t>Aguirre, Juan</t>
  </si>
  <si>
    <t>Juan Aguirre</t>
  </si>
  <si>
    <t>21 de febrero de 1800</t>
  </si>
  <si>
    <t>anuel Astorga: en el de Saboya i segundo Teniente al Subteniente de granaderos graduado de Teniente D. Juan Aguirre : en el de Zaragoza á segundo Subteniente al Cadete D. Sebastian Norza^aray ; en el de Bárgos á Subtenientes de granaderos á los primeros Subtenientes D. Antonio Ximenez y D. Jose</t>
  </si>
  <si>
    <t>Agulló, Vicente</t>
  </si>
  <si>
    <t>Vicente Agulló</t>
  </si>
  <si>
    <t>z: en el de Zaragoza á Capitanes al Ayudante Don Joachín Machín, y al primer Teniente de granaderos D. Vicente Agulló; á Ayudante al primer Teniente de granaderos D. Ramón González de Bernedo; X primeros Tenientes de granaderos á los de fusileros D. Manuel Benitcz y D. Lúeas Fernandez ; á primero</t>
  </si>
  <si>
    <t>Agusti y García, Francisco</t>
  </si>
  <si>
    <t>Francisco Agusti y García</t>
  </si>
  <si>
    <t>a comunicará á dicho Santa , ó en Madrid á D. Juan Hervás , Agente de negocios. Francisco Agusti y García, natural de Gerona, hijo de Narciso, Escribano, d.e dicha ciudad, salió, hace 10 años de Cataluña para Cádiz, de donde quizá habrá pasado á América. Es de 40 años de edad, pequeño de cuerp</t>
  </si>
  <si>
    <t>Agustina Avendafio</t>
  </si>
  <si>
    <t>Mencionado en el suplemento sobre venta de bienes de obras pías.</t>
  </si>
  <si>
    <t>Suplemento / venta de bienes de obras pías</t>
  </si>
  <si>
    <t>en id. Otro camino de Iltescas, de 3 fan. en i3go. Otro en la Tabla, de 6 fan. en 4200. Memoria de Doña Agustina Avendafio: una tierra término de Torrejon de la Calzada, á la cabaña, de 3 fanegas y 6 celemines, tasada en 1750 rs. Otra al mismo sitio, de una fan. y 6 cel. en 900. Otra camino de Valdemo</t>
  </si>
  <si>
    <t>Agustini, Francisco</t>
  </si>
  <si>
    <t>Francisco Agustini</t>
  </si>
  <si>
    <t>31 de octubre de 1800</t>
  </si>
  <si>
    <t>se ha servido S. M. promover á Capitanes á los Tenientes D. Joseph Esquiaqui, D. Joachin Fernandez, Don Francisco Agustini, D. Joseph Eseovar, D. Joseph Berganza, D. Remigio Ibañez y D. Antonio Ibarra, graduado de Capitán. S. M. ha conferido el empleo de Cirujano mayor de la Armada, vacante por fallec</t>
  </si>
  <si>
    <t>Ahtónib Santa Marías Teniente, Juan</t>
  </si>
  <si>
    <t>Juan Ahtónib Santa Marías Teniente</t>
  </si>
  <si>
    <t>19 de diciembre de 1800</t>
  </si>
  <si>
    <t>este mes. Quien quisiere hacer dicha mejora acuda á la citada escribanía. 3 por providencia dél Sr. D. Juan Ahtónib Santa Marías Teniente primero de Corregidor:.de esta villa se subasta una casa en la plazuela^ de Matute , núm. 7 ¿ manz. 436» que comprehende aaap pies quadrados de «sitio, y está tasada, en 107,4198</t>
  </si>
  <si>
    <t>Aíarcenaro, Felipe</t>
  </si>
  <si>
    <t>Felipe Aíarcenaro</t>
  </si>
  <si>
    <t>10 de octubre de 1800</t>
  </si>
  <si>
    <t>óles á primer Subteniente al segundo D. Pablo Baliñani, y á segundo Subteniente al Sargento primero'Don Felipe Aíarcenaro: en el de Suizos de Reding á Sargento Mayor al Capítan segundo D. Jayme Steudinger; á Capitán de granaderos al Capitán segundo D. Antonio Pedotty; á Capitán primero al segundo D.</t>
  </si>
  <si>
    <t>Aíartin Schwendbulh</t>
  </si>
  <si>
    <t>dinger; á Capitán de granaderos al Capitán segundo D. Antonio Pedotty; á Capitán primero al segundo D. Aíartin Schwendbulh ; á Capitanes segundos á los Tenientes de granaderos D* Bernardo Goldün, graduado de Capitán* y D. Aliguel Rey, y al Ayudante, graduado también de Capitán, D. Jorge Goeble; á Ayud</t>
  </si>
  <si>
    <t>Ailagio, General</t>
  </si>
  <si>
    <t>General Ailagio</t>
  </si>
  <si>
    <t>18 de noviembre de 1800</t>
  </si>
  <si>
    <t>rgo, y se apostó allí no obstante la protesta de un piquete austríaco que había en aquel parage. Ei General Ailagio, comandante de Wurtzburgo, despachó inmediatamente uno de sus Ayudantes para conferenciar con el comandante, francés, y demostrarle que el puesto de Obertzell está comprehendido e</t>
  </si>
  <si>
    <t>Ainsa, Joseph</t>
  </si>
  <si>
    <t>Joseph Ainsa</t>
  </si>
  <si>
    <t>17 de junio de 1800</t>
  </si>
  <si>
    <t>er lugar D. Vicente Rodríguez , D. Francisco Antonio Olivas y O. Miguel Antonio íuentes: en segundo D. Joseph Ainsa, D. Joachin Orozqueta, D. Mariano Serret, D* Pedro Lalane y D. Bernardo Ximeno; y en tercer Jugar D. Pedro Sebastian , D. Manuel Royo y D. Pedro Anaya. La sociedad determinó premi</t>
  </si>
  <si>
    <t>2 de diciembre de 1800</t>
  </si>
  <si>
    <t>mpesino sobre la utilidad de la historia natural en general: y á continiiacton fuéron exámiita* dos D. Joseph Ainsa y D. Joacnin Orozqüéta, practicantes de farmacia» por el Curso elemental de botánica, respondiendo á quantas preguntas se les hiciéron, de las especies y diferencias de las partes de</t>
  </si>
  <si>
    <t>Aíosteirin, Francisco</t>
  </si>
  <si>
    <t>Francisco Aíosteirin</t>
  </si>
  <si>
    <t>les Guardias españolas se ha servido el Rey promover á primeros Tenientes al segundo Ayudante mayor D. Francisco Aíosteirin , y al segundo Teniente de granaderos D. Joseph Mioño* á segundo Ayudante mayor al mismo D. Francisco Mosteirin; y á Segundos Tenientes al Alférez de granaderos D. Antonio Roca Es</t>
  </si>
  <si>
    <t>Air, Capitán</t>
  </si>
  <si>
    <t>Capitán Air</t>
  </si>
  <si>
    <t>21 de noviembre de 1800</t>
  </si>
  <si>
    <t>en se ha dado por buena presa. La fragata de guerra anglo-americana', .llamada el General Green; su Capitán Air. Perry, navegaba escoltando á un bergantín destinado para la Havana. Encontraron un navio ingles de 74;cañonesque1 quiso visitar al bergantín, y para ello despachó su lancha con g</t>
  </si>
  <si>
    <t>Aiv-arez Caballero, Pedro</t>
  </si>
  <si>
    <t>Pedro Aiv-arez Caballero</t>
  </si>
  <si>
    <t>Citado en un aviso sobre fallecimiento, haberes o derechos de herederos.</t>
  </si>
  <si>
    <t>viciosa, Dignidad déla catedral de Oviedo, vacante por fallecimiento de D. Manuel de Llano Ponte, á D, Pedro Aiv-arez Caballero: para la Canongia de la catedral de León,</t>
  </si>
  <si>
    <t>Aívarez, Fernando</t>
  </si>
  <si>
    <t>Fernando Aívarez</t>
  </si>
  <si>
    <t>meros Subtenientes á los segundos D. Carlos Vinuesa, D. Juan Luzuriaga, L&gt;. Casimiro Bastarrachea , D. Fernando Aívarez , D. Joseph Campo y D. Agustín Otermin, y á segundos Subtenientes al Sargento primero de granaderos D. Gavino Martínez, y á los Cadetes D. Vicente Garrido y D. Manuel Esquer: en e</t>
  </si>
  <si>
    <t>Alamin, Manuel</t>
  </si>
  <si>
    <t>Manuel Alamin</t>
  </si>
  <si>
    <t>23 de mayo de 1800</t>
  </si>
  <si>
    <t>lo , término de esta villa, de c;¿ber 6 fanegas, linde prado del vínculo de Bartolomé Martínez y de D. Manuel Alamin, tasado en io9 rs. y renta 300. El cercado de la Corredera , de pasto y labor, linde huerta de arriba y tierras de Joseph López Briceño , y cercado de D. Luis García , de caber 16</t>
  </si>
  <si>
    <t>Albani, Cardenal</t>
  </si>
  <si>
    <t>Cardenal Albani</t>
  </si>
  <si>
    <t>17 de enero de 1800</t>
  </si>
  <si>
    <t>viembre se hizo la abertura del cónclave en la capilla aél con-* vento de la isla de S. Jorge.- E l Cardenal Albani-, decano del sacro -colegio* cantó la misa del Espíritu Santo; y concluida pasaron los-Cardenales á la; biblioteca del convento, y prestaron juramento á las constituciones apos-* í</t>
  </si>
  <si>
    <t>enteramente libre por aquel lado. Venecia 20 de Diciembre. E 1 dia 17 hubo de salir electo Papa el Cardenal Albani; pero desde entonces ha variado mucho la votación: el Emmo. Bellfcomi, que había tenido siempre 20 votos , logró 22 el dia 18, y con 2 mas hubiera obtenido el.Pontificado. El Card</t>
  </si>
  <si>
    <t>Albear, Ramón</t>
  </si>
  <si>
    <t>Ramón Albear</t>
  </si>
  <si>
    <t>iano Ániz^ MarAñon: á segundos Tenientes de granaderos á los ae fusile* VOS tí. Francisco* BWraoná; D. Ramón Albear y D. Ignacio de Arcos ; á segundos Tenientes á los Subtenientes de granaderos D. Joseph Ramón Gutiérrez, D. Francisco Manuel de Oña y D. Antonio Peña, y á los primero? Subtenientes D.</t>
  </si>
  <si>
    <t>Albert y Martí, Juan</t>
  </si>
  <si>
    <t>Juan Albert y Martí</t>
  </si>
  <si>
    <t>4 de abril de 1800</t>
  </si>
  <si>
    <t>o en ella como cultivado en otras naciones vecinas nuestras, reflorece en esta ciudad. El Sacerdote D. Juan Albert y Martí, movido de una vivísima compasión hacia aquellos infelices, empezó á instruirse en este arte con la lectura de las obras del Abate l’Epée, y principalmente del español D. Lorenzo</t>
  </si>
  <si>
    <t>Albert, Antonio</t>
  </si>
  <si>
    <t>Antonio Albert</t>
  </si>
  <si>
    <t>2 de mayo de 1800</t>
  </si>
  <si>
    <t>• 35 5' tíago Saíz, D. Juan Faitx, D. Antonio Albert yD. Bernardo Gómez del Toral. También ha concedido S* M. los honores de Comisario Ordenador de sus ejércitos á D. Vicente Jaudencs, Administrador general de todas rea-' tas de la pr</t>
  </si>
  <si>
    <t>Albert, Juan</t>
  </si>
  <si>
    <t>Juan Albert</t>
  </si>
  <si>
    <t>anifestáron los notables progresos que en muy cortos meses han hecho con la enseñanza del expresado D. Juan Albert. Convidóse para dicha función á muchos individuos del clero y de la nobleza, y la autorizaron varios vocales del Ayuntamiento. Se abrió con un discurso, en que el enunciado maestr</t>
  </si>
  <si>
    <t>Albisio Mexía, Pedro</t>
  </si>
  <si>
    <t>Pedro Albisio Mexía</t>
  </si>
  <si>
    <t>É;i América. Eí Rey se ha servido nombrar para una Canongía de merced de la catedral de Nicaragua á D. Pedro Albisio Mexía: para otra de igual cíase.en,lá de"Ántequera de.Oaxaca á D. Joseph Polero y Toledo; y yara una Média-Racioii dé la metropolitana de Sta. Fe á D. Juan Joseph del Olmo, Racionero ef</t>
  </si>
  <si>
    <t>Albizú, Bernardo</t>
  </si>
  <si>
    <t>Bernardo Albizú</t>
  </si>
  <si>
    <t>1 de abril de 1800</t>
  </si>
  <si>
    <t>n Fernando García Valdés, y Tenencias de fusileros al Subteniente graduado de Capitán de infantería D. Bernardo Albizú, y al Subteniente graduado de infantería D. Rafael Miguel: en el de Lugo compañía al Teniente de cazadores D. Joseph Feixoo: en el de Ronda la Tenencia y Subtenencia de granaderos</t>
  </si>
  <si>
    <t>Albizua, Hemeterio Vicente</t>
  </si>
  <si>
    <t>Hemeterio Vicente Albizua</t>
  </si>
  <si>
    <t>31 de enero de 1800</t>
  </si>
  <si>
    <t>rechos de intereses; lo que se avisa á dichos interesados para que acudan á D.. Hemeterio Vicente Albizua, vecino de esta corte, que vive frente á S. Martin, plazuela de las Descalzas Peales, casa cpie habitáron hasta su muerte los Excmos. Sres. Marqueses de Viílena; quien les instruirá de di</t>
  </si>
  <si>
    <t>Albo, Gregorio</t>
  </si>
  <si>
    <t>Gregorio Albo</t>
  </si>
  <si>
    <t>25 de abril de 1800</t>
  </si>
  <si>
    <t>Rey se ha dignado promover á segundo Teniente en el regimiento de caballería del Infante al Alférez D. Gregorio Albo: á Capitán en el de (*) Es el mismo que se imprimió en Madrid el año último con la traducción castellana al frente, y notas en ánxbos idiomas.</t>
  </si>
  <si>
    <t>Albornoz y Calafat, Juan</t>
  </si>
  <si>
    <t>Juan Albornoz y Calafat</t>
  </si>
  <si>
    <t>o de Aguirre y Rosales, D. Antonio Climent y García, D. Manuel de Cárdenas y Castillo de las Peñas, D. Juan Albornoz y Calafat, D. Joachín de Toledo y Parra, D. Joachín Leonés y Hernández Reyilo, D. Julián Leonés y Hernández Reyilo, D. Pedro Rato y Cisneros, D. Justo Salafranca y Matheus, D. Baltasar Corn</t>
  </si>
  <si>
    <t>Albornoz, Cayetano</t>
  </si>
  <si>
    <t>Cayetano Albornoz</t>
  </si>
  <si>
    <t>16 de septiembre de 1800</t>
  </si>
  <si>
    <t>tun y á D. Manuel Xjmenez de Leorin y Amar: en el de Burgos á Capitán de granaderos al de fusileros D. Cayetano Albornoz; á Capitán al primer Teniente de granaderos, graduado de Teniente Coronel, D. Isidoro Uriarte; á primer Teniente de granaderos al de fusileros D. Manuel Gestido; á primer Teniente</t>
  </si>
  <si>
    <t>Alborsj, Matías</t>
  </si>
  <si>
    <t>Matías Alborsj</t>
  </si>
  <si>
    <t>e Goatemala , á D. Joseph del Barrio y Valle : la Alcaldía mayor de Sonsonate, en el mismo Reyno, á D. Matías Alborsj y una plaza de Agente de numero de Indias á D. Joseph Ximenez Sarmiento. El dia 3 del corriente salieron del puerto de Cádiz para distintas comisiones las fragatas de S. M. nombrada</t>
  </si>
  <si>
    <t>Albuerne, Antonio</t>
  </si>
  <si>
    <t>Antonio Albuerne</t>
  </si>
  <si>
    <t>16 de mayo de 1800</t>
  </si>
  <si>
    <t>D. Esteban del Pilar y Amaya; y ha concedido grar do de Teniente Coronel de milicias provinciales á D. Antonio Albuerne, Capitán retirado de correos marítimos. Hallándose vacante por fallecimiento de 0. Manuel de Züazo la plaza que obtenía de Oficial mayor numerario del archivo general de Indias, e</t>
  </si>
  <si>
    <t>Alcalá y Moya, Pedro</t>
  </si>
  <si>
    <t>Pedro Alcalá y Moya</t>
  </si>
  <si>
    <t>tra. Sra. de las Angustias, tasada en *7,^5°* rs* Una suerte de vÍ5a de aranzadas de la obra pía de D. Pedro Alcalá y Moya,-.en 16,99$. Otra poblada de álamos blancos y negros, de 7 fan. de la obra pía de Sta. Ana, en 27, 00. Una .casa cortijo con sus tierras de labor y monte, perteneciente á la obra</t>
  </si>
  <si>
    <t>Alcalá, Joseph Antonio</t>
  </si>
  <si>
    <t>Joseph Antonio Alcalá</t>
  </si>
  <si>
    <t>l monasterio de la Visitación de Madrid, vacante por renuncia de D. Francisco González Hernández, á D. Joseph Antonio Alcalá, con dimisión de la Coiectoría que obtiene en el Real Colegio de Ntra. Sra. ele Xoreto en la misma villa. S. M. se ha dignado nombrar para 3a Fiscalía del crimen de la Real Audien</t>
  </si>
  <si>
    <t>Alcántara Alamanzon, Pedro</t>
  </si>
  <si>
    <t>Pedro Alcántara Alamanzon</t>
  </si>
  <si>
    <t>io Callejas, D. Joseph López Berrio, D. Valentín Antonio Gutiérrez, D. Joseph Martin Ruiz y Lúeas y„D. Pedro Alcántara Alamanzon. Él Rey se ha servido nombrar para el Corregimiento, de capá y espada de Canaria , vacante por haber cumplido su sexenio D. Juan Martínez de Baños', á D. Antonio Aguirre; para el</t>
  </si>
  <si>
    <t>Alcántara Berrocoso y Álvarez de Amaya, Pedro</t>
  </si>
  <si>
    <t>Pedro Alcántara Berrocoso y Álvarez de Amaya</t>
  </si>
  <si>
    <t>29 de julio de 1800</t>
  </si>
  <si>
    <t>gial de S. Hipólito de la ciudad de Córdoba, vacante por fallecimiento de D. Lorenzo de Cárdenas, á D. Pedro Alcántara Berrocoso y Alvarez de Amaya: para otra de la colegial de S. Salvador de Granada , vacante por fallecimiento de D.. Ramcri Alonso de Ledesma,. á D. Rafael Valdecañas:- para La Abadía del Real monasterio de S.</t>
  </si>
  <si>
    <t>Alcántara Roxas y Narvaez, Pedro</t>
  </si>
  <si>
    <t>Pedro Alcántara Roxas y Narvaez</t>
  </si>
  <si>
    <t>23 de diciembre de 1800</t>
  </si>
  <si>
    <t>rtega y D. Joseph Romero; á Tenientes de fusileros á los Subtenientes D. Francisco ^Xavier Noriega, D. Pedro Alcántara Roxas y Narvaez y D. Francisco Laso de la Vega , y á Subtenientes de granaderos y cazadores á los de fusileros D. Antonio de Cea y Cea y D. Joseph Ponce de León : en el de lugo á Teniente de granader</t>
  </si>
  <si>
    <t>Alcázar, Bartolomé</t>
  </si>
  <si>
    <t>Bartolomé Alcázar</t>
  </si>
  <si>
    <t>26 de agosto de 1800</t>
  </si>
  <si>
    <t>s primeros oubrementes D Toan Garzón y D. Fernando Sangenis; á primeros Subtenientes a los secundes D. Bartolomé Alcázar y D. Pedro Gutiérrez; y a segundos oubtenientes al Sargento primero de granaderos, graduado de Subteniente, Don Juan Carvajal y al Cadete D. Antonio Pinzano y Nogues: en el de caza¿or</t>
  </si>
  <si>
    <t>Alcázar, Manuel</t>
  </si>
  <si>
    <t>Manuel Alcázar</t>
  </si>
  <si>
    <t>Joseph Ximenez de Bagues y D. Mariano Díaz Capilla: en el dé Jaén á prr|ner Subteniente al segundo D. Manuel Alcázar : en el dé Voluntarios de Castilla á Capitán al Ayudante D. Julián Ruiz de Estrada: en el 1 .primer batallón de Voluntarios de Cataluña á segunda Subteniente al Cadete D. Joseph T</t>
  </si>
  <si>
    <t>Alcocer, Andrés</t>
  </si>
  <si>
    <t>Andrés Alcocer</t>
  </si>
  <si>
    <t>deros, graduado de Capitán, D. Joseph Lasque-, ti; á segundo Teniente de granaderos al de fusileros D. Andrés Alcocer; á segundo Teniente al Subteniente de granaderos D. Joseph Alvarez; á Subtenientes de granaderos á los primeros Subtenientes D. Juan Sarralde y Don Manuel de la Fuente; á primeros</t>
  </si>
  <si>
    <t>Alcocer, Rafael Joseph</t>
  </si>
  <si>
    <t>Rafael Joseph Alcocer</t>
  </si>
  <si>
    <t>e Céspedes, y á segundos Subtenientes á los CadetesJO. Manuel Collantes, D. Ramón Rafael Gutiérrez, D. Rafael Joseph Alcocer y D. Joseph Zacarías Fantony, y á los Sargentos primeros D. Manuel González y D. Rosendo Calahorra, el primero de granaderos; y en el de la Princesa á segundo Subteniente al Sargento</t>
  </si>
  <si>
    <t>Aldama, Juan Joseph</t>
  </si>
  <si>
    <t>Juan Joseph Aldama</t>
  </si>
  <si>
    <t>también de regimiento ; y para la que resulta igualmente vacante en dicha iglesia por promoción de D. Juan Joseph Aldama á una Canongia de Córdoba, á Don Jayme Alemán: para el Arcedianato de Villaviciosa, Dignidad déla catedral de Oviedo, vacante por fallecimiento de D. Manuel de Llano Ponte, á D, P</t>
  </si>
  <si>
    <t>Aledo, Diego</t>
  </si>
  <si>
    <t>Diego Aledo</t>
  </si>
  <si>
    <t>20 de mayo de 1800</t>
  </si>
  <si>
    <t>inmediatos de Horcajuelo, pertenecientes á la capellanía de Doña María Ana González, al vínculo de D. Diego Aledo, á la capellanía de Doña Francisca Vacas, y al patronato fundado en la parroquial, tasadas en 77,ggo rs. y renta 2682. 9 idem : 5 pedazos de tierra de 119 fanegas , goo vides, una</t>
  </si>
  <si>
    <t>Alegré, Francisco</t>
  </si>
  <si>
    <t>Francisco Alegré</t>
  </si>
  <si>
    <t>r Subteniente D. Francisco Munarriz, y á esta resulta al segundo Subteniente, graduado de Teniente, D. Francisco Alegré: en el de las Ordenes Militares á primer Teniente de granaderos ai de fusileros D. Pedro Pascual Carrasco; á primeros Tenientes á los segundos de granaderos D. Joseph Yañez y Don</t>
  </si>
  <si>
    <t>Alegría, Pedro</t>
  </si>
  <si>
    <t>Pedro Alegría</t>
  </si>
  <si>
    <t>30 de septiembre de 1800</t>
  </si>
  <si>
    <t>e disfruta: para otra de la de Valpuesta, en el arzobispado de Burgos, vacante por fallecimiento de Don Pedro Alegría, á D. Francisco Antonio de Acebo y Sobron: para otra de la catedral de Canaria, vacante por muerte de D. Francisco Bolean, á Don Joseph Fernandez Abad: para la Ración que este obt</t>
  </si>
  <si>
    <t>Alelas, General</t>
  </si>
  <si>
    <t>General Alelas</t>
  </si>
  <si>
    <t>15 de julio de 1800</t>
  </si>
  <si>
    <t>ros dos Cónsules de la República en estos términos: ,, Al dia siguiente de la batalla de Maringo el General Alelas pidió á los puestos avanzados licencia para enviarme al General Skal, y el mismo dia se arregló el convenio de que incluyo copia, el qual se firmó por la noche entre el General Be</t>
  </si>
  <si>
    <t>Alemany, Joseph</t>
  </si>
  <si>
    <t>Joseph Alemany</t>
  </si>
  <si>
    <t>12 de septiembre de 1800</t>
  </si>
  <si>
    <t>os segundos 1&gt;. Pedro Torrequemada, D. Francisco Latorre, D. Francisco Collantes, D. Joseph Talens, D. Joseph Alemany y D. Manuel Arnaez, y á segundo Subteniente al Cadete D. Joseph Andeyro: en el de Asturias á Capitán aí Ayudante D. Francisco Manglano; á Ayudante al primer Teniente Don Francisco de</t>
  </si>
  <si>
    <t>a de Córdoba D. Vicente de Oquendo; á primeros Tenientes á los segundos D. Joseph Joachin Narvarte, D. Joseph Alemany, D. Joachin Ruil y D. Manuel Casal y Varela, y á segundos Tenientes á los Subtenientes D. Nicolás Godet , D. Joseph Hontoria , D. Fermín Sánchez Franco, D. Teodoro Cañero y D. Ram</t>
  </si>
  <si>
    <t>Alercantin, Conde</t>
  </si>
  <si>
    <t>Conde Alercantin</t>
  </si>
  <si>
    <t>5 de agosto de 1800</t>
  </si>
  <si>
    <t>antiguos puestos detras de los desfiladeros de Renti, y al mismo tiempo dió orden al Mayor general Conde Alercantin para que se acercase inas al ala izquierda por el lado de Immestadt. Queda el General Reuss en estado de formar contra el enemigo las empresas que las circunstancias exijan,” „ Fi</t>
  </si>
  <si>
    <t>Alexándro, Duque</t>
  </si>
  <si>
    <t>Duque Alexándro</t>
  </si>
  <si>
    <t>quaiido llevó de esta corte á la de PetersburgO ias insignias de la órdeu del Ser afta para el Gran Duque Alexándro. Ha enviado este ministerio ói'den á Mr. Briskeinann, Encargado inte-r ariun de negocios de Saedi en Pam¿ para que se restituya á este Reyno. Vietia $ de Enero de i800. S e ba com</t>
  </si>
  <si>
    <t>Alexaudiiowna, María (duquesa)</t>
  </si>
  <si>
    <t>Duquesa María Alexaudiiowna</t>
  </si>
  <si>
    <t>S 10 DE OCTUBRE DE 1800. c Petershin'go de Agosté, on motivo de la muerte de;S. A; Imperial la Gran Duquesa María Alexaudiiowna ha mandado el.Emperador se. vista la corte de luto por 4 se1 manas. Atendiendo á la eficaz mediación del Rey de Prusia ha convenido S. M. Imperial en admitir nuevamente en,sufserv</t>
  </si>
  <si>
    <t>Alfar, Joseph</t>
  </si>
  <si>
    <t>Joseph Alfar</t>
  </si>
  <si>
    <t>9 de diciembre de 1800</t>
  </si>
  <si>
    <t>e de Valparaíso. En él regimiento provincial 8e Cranada ha conferido el Rey Compañía de fusileros á D. Joseph Alfar©,, Teniente de cazadores; esta resulta al Teniente de fusileros D. Joseph de Nava, y al de la misma clase D. Francisco Llano la Tenencia de granaderos; Tenencias de fusileros á lo</t>
  </si>
  <si>
    <t>Alférez de Reales Guardias Walonas</t>
  </si>
  <si>
    <t>ispuesta la 3.* entrega de las obras de música del Capitán D. Federico Moretti, Alférez de Reales Guardias Walonas , autor de la obra Principóos para tocar la guitarra. Esta entrega contiene las obras siguientes : un quarteto de Píeyeí acomodado para dos violines y guitarra: un rondó para tocar á solo</t>
  </si>
  <si>
    <t>puesta la 4.a entrega de las obras de música del Ca pitan D. Federico JMoretti, Alférez de Reales Guardias Walonas , autor de los Principios para la guitarra. Esta entrega contiene las obras siguientes: tema a.° con variaciones para guitarra sola, un- rondó para guitarra y violin ó flauta , y para can</t>
  </si>
  <si>
    <t>Alfonso Bachiller</t>
  </si>
  <si>
    <t>ti 7 .caballería'de España, y el segundo"deí de la Reyna: y hánómbrado S. M. para estas resultas á D. Alfonso Bachiller , Sargento de la brigada, y á Don Andrés Fernandez, Carabinero de distinción de la misma. En el regimiento de caballería del Príncipe se ha servido S. M. promover á segundos Tenie</t>
  </si>
  <si>
    <t>Alfonso Bernestolfo Alemán</t>
  </si>
  <si>
    <t>pies, valuada en 223,77*^ rs., acuda á la escribanía del número que exerce I&gt; Juan López Fando. Por D. Alfonso Bernestolfo Alemán, maestro del arte mayor de la seda, natural y vecino de la ciudad de Toledo, se ha establecido una fábrica de texidoc de seda con metales y sin ellos, tisúes, y otros de primor y</t>
  </si>
  <si>
    <t>Alfonso de Aguirre y Loldi</t>
  </si>
  <si>
    <t>la Sra. Infanta Doña Marín Josepha. Satisfecho el Rey dei zelo, servicios y mérito que hi contraido D. Alfonso de Aguirre y Loldi en los varios destinos que ha tenido en las legaciones del Haya y Rusia, en lis Secretarías de embaxada Je París y Viena, y en la primera Secretaría de Estado y del Despacho univers</t>
  </si>
  <si>
    <t>Alfonso de Casas</t>
  </si>
  <si>
    <t>. Francisco Villarejo y D. Juan Hernández ; á Subtenientes desgranadlos á Jos primeros Subtenientes D. Alfonso de Casas y D. Joseph Sánchez, graduado de Te</t>
  </si>
  <si>
    <t>Alfonso de Ligorio</t>
  </si>
  <si>
    <t>la Virgen para cada dia del mes, en la oración de las quarenta horas : su autor el limo, y Rmo. Sr. D. Alfonso de Ligorio, Obispo de Sta. Agata, de Goti y Rector mayor de la Congregación del Santísimo Redentor: traducido del italiano por Sor María de Córdoba y Pacheco, Religiosa Francisca en el monas</t>
  </si>
  <si>
    <t>Alfonso de Tuero López Treviíío, Francisco</t>
  </si>
  <si>
    <t>Francisco Alfonso de Tuero López Treviíío</t>
  </si>
  <si>
    <t>25 de marzo de 1800</t>
  </si>
  <si>
    <t>la Audiencia de Canarias, vacante por renuncia que ha hecho de ella D. Andrés Miñano y las Casas, á D. Francisco Alfonso de Tuero López Treviíío. También se ha servido S. M. nombrar para el Gobierno militar y político de las quatro villas de la costa de la mar á D. Tomas O-Donojii: para el Corregimiento político de la ciud</t>
  </si>
  <si>
    <t>Alfonso Fernando de Irrisarri</t>
  </si>
  <si>
    <t>y algunas consideraciones y meditaciones: sacado del que compuso el R. P. Francisco Gui— Horré, por D. Alfonso Fernando de Irrisarri : un tomo en 8.° dividido en 3 tratados: i.° délos pasatiempos , de la brevedad de los placeres, del cuidado desordenado del cuerpo, de la profanidad , de las visitas&amp;c.: 2.0 obli</t>
  </si>
  <si>
    <t>Alfonso Guis, Pedro</t>
  </si>
  <si>
    <t>Pedro Alfonso Guis</t>
  </si>
  <si>
    <t>erra, los oficiales, tropas, tripulaciones, y todos los empleados de marina, el ciud. Pedro Alfonso Guis, Comisario general de relaciones mercantiles de la República francesa en Siria y Palestina, que casualmente se halla en Malta con su familia: los empleados civ</t>
  </si>
  <si>
    <t>Alfonso María</t>
  </si>
  <si>
    <t>• Diego Suarez; á Subtenientes de granaderos á los pritáerps Subtenientes; JL-Mánuel Joseph Suífo , D. Alfonso María5 Ximenéz &lt;y í&gt;; Pedro Tóríequémada ; á primeros*Subtenientes ¿ lós iségdndbs D. Antonio Madera y°Guzman, D. Antonio &gt;Rüi?z, D. Raífael ComlhiD. Pabló Andeyro, I&gt;. Joseph Andeyro,</t>
  </si>
  <si>
    <t>Alfonso Ximenez</t>
  </si>
  <si>
    <t>18 de abril de 1800</t>
  </si>
  <si>
    <t>ance la Tenencia de granaderos al Teniente de fusileros D. Pedro Melgar, y Subtenencia de bandera á D. Alfonso Ximenez : en el de Sevilla las Subtenencias de bandera al Soldado distinguido, D. Joseph Martínez y D. Gerónimo García Valladares y Rioja; y en los de’</t>
  </si>
  <si>
    <t>Aliguel Rey</t>
  </si>
  <si>
    <t>ulh ; á Capitanes segundos á los Tenientes de granaderos D* Bernardo Goldün, graduado de Capitán* y D. Aliguel Rey, y al Ayudante, graduado también de Capitán, D. Jorge Goeble; á Ayudante al Teniente Don Francisco Schuch; á Tenientes de granaderos á los de fusileros D. Alexandro de Korb y D. M</t>
  </si>
  <si>
    <t>Allington</t>
  </si>
  <si>
    <t>del castillo de Belvoir una hacienda arrendada hace 32 años en 300 libras, lo está ahora en 1500; y Mr. Allington tiene unas tierras que hace 60 años rendían sol mente 95 fibras, y en el dia producen 960. Tales son las ventajas dei útil establecimiento de cerrar las tierras. Llaya 10 de Octub</t>
  </si>
  <si>
    <t>Almorth</t>
  </si>
  <si>
    <t>os documentos diplomáticos de aquel tiempo con sus pruebas; En Stockolmo ha inventado el Profesor y Doctor Almorth un molino, con el qual se reduce la quina á un polvo t.\n fino como lo hacen los in—</t>
  </si>
  <si>
    <t>956 gleses. El colegio de medicina de Stockolmo exSmipó y aprobó la quina molida por este medio; y Mr. Almorth ha obtenido privilegio para usar de su invento. Rittisbona $ de Setiembre. Ei J Emperador, que salió de Viena el dia 6, descansó un rato en Welz, y siguió su viage á Alt-Oettingen</t>
  </si>
  <si>
    <t>Aloiso de Puga y Isabel de Almir</t>
  </si>
  <si>
    <t>rios de S. Francisco, núm 6, manz. jai, perteneciente á la capellanía memoria de misas qué fundáron D. Aloiso de Puga y Doña Isabel de Almir, tasada en 145,602 rs., y dan por ella igo^ rs. en vales. Quien quisiere mejorar la postura acuda ante dicho Sr. Alcalde y citada escriba; ía. Por la audiencia del Sr. D. Pedro Go</t>
  </si>
  <si>
    <t>Aloy, Ambrosio</t>
  </si>
  <si>
    <t>Ambrosio Aloy</t>
  </si>
  <si>
    <t>fusileros D. Manuel Chimeno y D. Juan Rosini; á segundos Tenientes á los Subtenientes de granaderos D. Ambrosio Aloy y D. Manuel Gamindez; á Subtenientes de granaderos á los primeros Subtenientes D. Lázaro Ruiz y D. Rafael Espinosa, y á estas resultas á los segundos Subtenientes D. Andrés Chavarri y</t>
  </si>
  <si>
    <t>Aloy, Francisco</t>
  </si>
  <si>
    <t>Francisco Aloy</t>
  </si>
  <si>
    <t>fantería de la Corona ha concedido S. M. segunda Tenencia de fusileros al Subteniente de granaderos D. Francisco Aloy; esta resulta al primer Subteniente D. Manuel Gamindez; la primera Subtenencia al segundo de esta clase D. Diego Márquez, y segunda Subtenencia al Sargento primero D. Joseph Marin</t>
  </si>
  <si>
    <t>Aloy, Joseph</t>
  </si>
  <si>
    <t>Joseph Aloy</t>
  </si>
  <si>
    <t>oluntarios de Barbastro á D. Jayme Serra: del tercero del regimiento de infantería de la Princesa á D. Joseph Aloy: del segundo del de Sevilla á D. Joseph Lacasa; y del primero del de la Corona á D. Juan Tcllez de Pedraja's, que lo era de la división de granaderos y cazadores provinciales de A</t>
  </si>
  <si>
    <t>Aloy, Miguel</t>
  </si>
  <si>
    <t>Miguel Aloy</t>
  </si>
  <si>
    <t>achin María Fuster, y al Sargento primero D. Facundo Alarcon: en el de Burgos á Capitaa al Ayudante D. Miguel Aloy; á esta resulta al primer Teniente D. Manuel Fernandez de Ciarte; á primeros Tenientes ¿ los segúnáds de granaderos D; Jacobo'Carrillo, Di Christobai Medina y D. Cipriano Ániz^ Ma</t>
  </si>
  <si>
    <t>Alted, Joseph</t>
  </si>
  <si>
    <t>Joseph Alted</t>
  </si>
  <si>
    <t>cias á los Tenientes de fusileros D. Antonio Ferrandiz y D. Juan de A «milar ; y las Subtenencias á D. Joseph Alted y D. Joseph Sánchez Cebada: las compañías de granaderos y cazadores del provincial de Segorve á los Capitanes í). Ignacio Talens Cebrian y Vallterra y D. Joseph¡JPauíagiu. y Cantero:</t>
  </si>
  <si>
    <t>Alvafez Campana, Joseph</t>
  </si>
  <si>
    <t>Joseph Alvafez Campana</t>
  </si>
  <si>
    <t>ii39 d« fusileros D. Joseph Alvafez Campana y D. Joseph Alfaro. A D. Julián Amaro de Villela y D. Laureano Garcia de Burunda, electos el primero Contador principal de todas Rentas de Cartagena y el segundo de Alicante, se ha se</t>
  </si>
  <si>
    <t>Alvar-González Zarracina, Joseph</t>
  </si>
  <si>
    <t>Joseph Alvar-González Zarracina</t>
  </si>
  <si>
    <t>ntos de mecánica, hidrostática, hidráulica y acústica, á dirección del profesor de ciencias físicas D. Joseph Alvar-Gonzalez Zarracina, los alumnos del primer curso de ellas D. Julián Valerio San Miguel, D. Luis Mornard, D. Claudio Fernandez, D.Felipe Fernandez San Miguel, D.Manuel Menendez, D. Lorenzo Valdés Hev</t>
  </si>
  <si>
    <t>Alvarado, Pedro</t>
  </si>
  <si>
    <t>Pedro Alvarado</t>
  </si>
  <si>
    <t>u prisión y muerte en Caxamarca, y la de Huáscar en la prisión por orden de su hermano ; llegada de D. Pedro Alvarado al Perú, con otros muchos sucesos memorables dignos de memoria.^ Se hallarán con los anteriores, y á los mismos precios , en la librería de Villareal, calle de las Carretas, y én</t>
  </si>
  <si>
    <t>Alvares de Pahna, Blas Joachín</t>
  </si>
  <si>
    <t>Blas Joachín Alvares de Pahna</t>
  </si>
  <si>
    <t>or haber sido nombrado p, ra i* Abadía de Alcalá la Real D, Fr. Manuel María Truxillo, al limo. Sr. D. Blas Joachin Alvares de Pahna, Obispo de Asuria, Auxiliar dé Sigiienza; y para quptro Succentorías de la c tedr I de Segorbe á D. Joseph Solanés, D. Joseph Broch, D. Felipe López y D. Vicente Ctrvera. En el re</t>
  </si>
  <si>
    <t>Álvarez Caballero, Francisco</t>
  </si>
  <si>
    <t>Francisco Álvarez Caballero</t>
  </si>
  <si>
    <t>o de Exército de Extremadura, ha tenido á bien nombrar para sucederle al de la misma clase en Ceuta D. Francisco Alvarez Caballero, y para esta resulta á D« Joseph María de Osorno» Veedor del Peñón. Real ordenanza en que S. M. establece las reglas que inviolablemente deben observarse para el reemplazo del exé</t>
  </si>
  <si>
    <t>Álvarez Coritrcrás, Antonio</t>
  </si>
  <si>
    <t>Antonio Álvarez Coritrcrás</t>
  </si>
  <si>
    <t>plaza hasta que S. M. determine otra cosa : para suéederle én dicho empleo se ha servido nombrar á D. Antonio Alvarez Coritrcrás; Fiscal del crimen de la Audiencia de Aragón; y para la plaza que reéülta vacante en la citada Audiencia de Canarias, por fallecimiento de D. Alvaro de Ribadeneyra, á D. Vicente T</t>
  </si>
  <si>
    <t>Álvarez de Loaisa, Miguel</t>
  </si>
  <si>
    <t>Miguel Álvarez de Loaisa</t>
  </si>
  <si>
    <t>16 de diciembre de 1800</t>
  </si>
  <si>
    <t>as y Acuna: para el do la v.11a de Aréválo á D. Joachin Calvez de Sant.llana: para el de Madrigal a D Miguel Alvarez de Loaisa: para la vara de Alcalde mayor 1 entente primero de Asistente de la ciudad de Sevilla á D. Antonio Rodríguez de Ribera la segunda á D. Francisco Gutiérrez López Chavantes; y para</t>
  </si>
  <si>
    <t>Álvarez de Perea, Pedro Miguel</t>
  </si>
  <si>
    <t>Pedro Miguel Álvarez de Perea</t>
  </si>
  <si>
    <t>3 de junio de 1800</t>
  </si>
  <si>
    <t>ha servido conceder grado de Coronel de infantería, con la antigüedad de 5 de Setiembre de 1795, á D. Pedro Miguel Alvarez de Perea, Coronel del regimiento provincial de Ronda. En el provincial de Mallorca ha conferido S. M. compañía al Teniente D. Domingo Danús; y para la Tenencia que resulta vacanto ha nombr</t>
  </si>
  <si>
    <t>Álvarez de Velasco, Joseph</t>
  </si>
  <si>
    <t>Joseph Álvarez de Velasco</t>
  </si>
  <si>
    <t>28 de octubre de 1800</t>
  </si>
  <si>
    <t>l despacho de la imprenta Real. En 24 de Setiembre remitió D. Domingo Ibarrola, vecino de Madrid, £ Don Joseph Alvarez de Velasco, dei comercio de Rioseco, un vale Real de i$o pesos, creación de Setiembre, núm. 178,497: y no habiendo llegado á poder del expresado Alvarez, quien !o tuviere Jo remitirá en Madr</t>
  </si>
  <si>
    <t>Álvarez Faxardo y Ruiz Mateos, Juan</t>
  </si>
  <si>
    <t>Juan Álvarez Faxardo y Ruiz Mateos</t>
  </si>
  <si>
    <t>nhcde, D. Jacinto de Marcaida y Madariaga , D, Lorenzo Belon y Becerra, Don Tuan de Lanz y Norris , D. Juan Alvarez Faxardo y Ruiz Mateos, Don Toachín de Vierna é Isla , D. Mariano Spadafora,D. Antonio de Arcens y Faleons, D. Tuan Bustamante y González del Rivero, D. Felipe de Zavas v LaudaD. Toseph Buitragoy Granad</t>
  </si>
  <si>
    <t>Álvarez Godoy, Fernando</t>
  </si>
  <si>
    <t>Fernando Álvarez Godoy</t>
  </si>
  <si>
    <t>odríguez Varas: primero y segundo Tercenistas de tabaco en la propia capital á D. Joseph Vilb.mil y D. Fernando Alvarez Godoy: Guardas de las factorías de la misma renta en Puebla, Oaxaca, Guadalaxara y Vera-Cruz á D. Joseph Moran, D. Joseph Tomas de Acosta, D. Teodoro de Aguirre y D. Rafael Rancaño; y T</t>
  </si>
  <si>
    <t>Álvarez Guerra, Juan</t>
  </si>
  <si>
    <t>Juan Álvarez Guerra</t>
  </si>
  <si>
    <t>13 de mayo de 1800</t>
  </si>
  <si>
    <t>ancés .por una sociedad de agrónomos , y ordenado por el Abate Rozier : traducido al castellano por Don Juan Alvarez Guerra , individuo de mérito en la clase de agricultura de la Real sociedad económica de Madrid : tomo 7.0 Contiene entre otros muchos los artículos espárrago, especie, espino, espundia,</t>
  </si>
  <si>
    <t>21 de octubre de 1800</t>
  </si>
  <si>
    <t>francés por una sociedad de agrónomos, y ordenado por el Abate Rozier; traducido al castellano por Don Juan Alvarez Guerra, individuo de mérito en la clase de agricultura de la Real sociedad económica de Madrid : tomo VIII. Contiene entre otros los artículos ganso , gas , germen , goma, gonorrea, gorg</t>
  </si>
  <si>
    <t>ingles Samuel Taylcr: adaptado á la lengua francesa por T. P. Bertin; y acomodado al castellano por D. Juan Alvarez Guerra. Los elogios que las obras pertenecientes al arte taquigráfico han merecido en todos los países donde se han publicado excusan los que pudieran darse á la presente. Ella se recomi</t>
  </si>
  <si>
    <t>Álvarez, Diego</t>
  </si>
  <si>
    <t>Diego Álvarez</t>
  </si>
  <si>
    <t>D. Andrés de Anaya y Rivas: para la Ración de la santa iglesia de Tuy, vacante por fallecimiento de D. Diego Alvarez, á D. Manuel Rodriguez Carrillo, Cura que fue de S. Juan de Letran en Valladolid: para otra de la colegial de Alfaro, vacante por fallecimiento de D. Joachín Martínez, á D. Joseph</t>
  </si>
  <si>
    <t>Álvarez, Joseph</t>
  </si>
  <si>
    <t>Joseph Álvarez</t>
  </si>
  <si>
    <t>te de granaderos al de fusileros D. Andrés Alcocer; á segundo Teniente al Subteniente de granaderos D. Joseph Alvarez; á Subtenientes de granaderos á los primeros Subtenientes D. Juan Sarralde y Don Manuel de la Fuente; á primeros Subtenientes á los segundos D. Vicente Quirós y D. Francisco Exea;</t>
  </si>
  <si>
    <t>án general de la costa de Granada D. Rafael Vasco, al de Andalucía D.Tomas de Moría,aUe Extremadura D. Joseph Alvarez , y al Capitán general de Castilla la Vieja D. Joseph de Arteaga. También ha nombrado S. M. al Teniente General D. Joseph Iturrigaray por segundo Cabo 6 Comandante general de la p</t>
  </si>
  <si>
    <t>Álvarez, Juan</t>
  </si>
  <si>
    <t>Juan Álvarez</t>
  </si>
  <si>
    <t>la Bucareli: para otra de la catedral de León, vacante por fallecimiento de D. Joseph Xarainillo, á D. Juan Alvarez: para otra de la catedral de Tarazona, vacante por fallecimiento D. Juan Ignacio Asco, á D. Gregorio López de Castro: para la Dignidad de Tesorero primera silla de la colegial de</t>
  </si>
  <si>
    <t>Álvarez, Manuel</t>
  </si>
  <si>
    <t>Manuel Álvarez</t>
  </si>
  <si>
    <t>principios de álgebra hasta equaciones de segundo grado inclusive, y baxo la dirección del auxiliar D. Manuel Alvarez, los alumnos de primer año del quinto curso matemático D. Francisco Prendes, D. Joachín Campuzano y Marentes, D. Manuel García y Muñiz, D. Nicolás Carreño y D. Domingo González. 2</t>
  </si>
  <si>
    <t>Alvaréz, Tomás</t>
  </si>
  <si>
    <t>Tomás Alvaréz</t>
  </si>
  <si>
    <t>D. fnari R ay mundo Varela y Verdes: para otra en la propia catedral, vacante por fallecimiento de D. Tomas Alvaréz, á D. Francisco Queraito: para otra de las parroquiales de Fraga de la* diócesis de Lérida, vacante por fallecimiento de D. Antonio Casillas, á D. Francisco Asensio^: para otra ll</t>
  </si>
  <si>
    <t>Álvarez, Ventura</t>
  </si>
  <si>
    <t>Ventura Álvarez</t>
  </si>
  <si>
    <t>lahza, á D. Juan Fermín de Oteiza y Larrayoz: para el Arccdianato de Osma, vacante por promoción de D. Ventura Alvarez á la Dignidad de Prior de aquella catedral, á I). Simón Aparicio de la Torre, Abad de Sta. Marta de Tera, Dignidad y Canónigo de Astorga: para esta resulta á D. Alonso Bernardo Ri</t>
  </si>
  <si>
    <t>Alvaro de León</t>
  </si>
  <si>
    <t>28 de noviembre de 1800</t>
  </si>
  <si>
    <t>eneral de la renta de tributos del Reyno de Quito al Director general de aquellas rentas estancadas D. Alvaro de León: el de Administrador principal de las rentas de tabaco y pólvora de la villa de Honda á D. Francisco Morillejo, que obtenía igual destino en Mompox: este empleo á D. Manuel Herrer</t>
  </si>
  <si>
    <t>Alvaro de Ribadeneyra</t>
  </si>
  <si>
    <t>ragón; y para la plaza que reéülta vacante en la citada Audiencia de Canarias, por fallecimiento de D. Alvaro de Ribadeneyra, á D. Vicente Talens. 1 También ha nombrado S. M. para una plaza de Oidor supernumerario de la Chancillería de Valíadolid á D. Francisco Suarez de Déza y Yebra : para la de Oidor,</t>
  </si>
  <si>
    <t>Alville, María</t>
  </si>
  <si>
    <t>María Alville</t>
  </si>
  <si>
    <t>Joseph Bergss, por 124 rs. 30 mrs., que le corresponden por una octava parte de la acción núm. 12. Doña María Alville, por 249 rs. 2g mrs. , de la quarta parte de acción núm. 34; D Matías de Liquigaray, por 499 rs. 17 mrs. , de dos quartas partes de las acciones números 47 y 50. Doña María Antoni</t>
  </si>
  <si>
    <t>Alvinzi, Feld-Mariscal</t>
  </si>
  <si>
    <t>Feld-Mariscal Alvinzi</t>
  </si>
  <si>
    <t>8 de agosto de 1800</t>
  </si>
  <si>
    <t>un exército de reserva de 40 batallones de infantería y 10 regimientos de caballería: lo mandará el Feld-Mariscal Alvinzi. Se advierte que algunas tropas atraviesan-este pais con menos priesa que ántes; lo qual se atribuye á las esperanzas de un' pronto armisticio. Antes de ayer llegó aquí el General</t>
  </si>
  <si>
    <t>Alvinzi, General</t>
  </si>
  <si>
    <t>General Alvinzi</t>
  </si>
  <si>
    <t>víveres para las tropas húngaras que han de acantonarse en las inmediaciones de ambas ciudades. El General Alvinzi ha ido de Offen al quartel general de Oedenburgo, en donde se espera al Archiduque Palatino, que está actualmente recorriendo los principales Condados para acelerar la marcha de l</t>
  </si>
  <si>
    <t>Amadeo Gardanne, General</t>
  </si>
  <si>
    <t>General Amadeo Gardanne</t>
  </si>
  <si>
    <t>4 de marzo de 1800</t>
  </si>
  <si>
    <t>seguir á los enemigos sin darles tiempo de que descansen.” Se ha-publicado también una relación del General Amadeo Gardanne, escrita en el quartel general la Ferte-Macé á 25 de Enero, la qual se extractará "aquí: La colima de mi mando alcanzó ayer al cuerpo de bandidos mandados por Frotté. El Ayudante</t>
  </si>
  <si>
    <t>Amalia, Princesa</t>
  </si>
  <si>
    <t>Princesa Amalia</t>
  </si>
  <si>
    <t>20 de junio de 1800</t>
  </si>
  <si>
    <t>ta. Los corsarios franceses han apresado los paquebotes Marques de Kildare, procedente de Lisboa, y Princesa Amalia, que venia de las Indias occidentales, como también dos bergantines que iban á Terranova: igualmente en la costa de Africa han cogido 4 embarcaciones inglesas muy interesadas. Se</t>
  </si>
  <si>
    <t>Amanda, Agustin</t>
  </si>
  <si>
    <t>Agustin Amanda</t>
  </si>
  <si>
    <t>entura Macía y Areni y D. Joseph Roca; á primeros Subtenientes á los segundos Don Joachín Aguilera, D. Agustin Amanda, D. Joseph Lariz, D. Gregorio Espinosa, D. Francisco Piadas, D. Vicente Amat y D. Gregorio Di.iz; y á segundos Subtenientes á los Cadetes D. Pedro Miguel de l¡z, D. Pascual Tomas</t>
  </si>
  <si>
    <t>Amar, Joseph</t>
  </si>
  <si>
    <t>Joseph Amar</t>
  </si>
  <si>
    <t>ariano Cherta : en el de Aragón á Coronel al Teniente Coronel del de Valencia, graduado de Coronel, D. Joseph Amar: en el de Extremadura á segundo Teniente al Subteniente de granaderos, graduado de Teniente, D. Fernando Camacho; á Subteniente de granaderos al primer Subteniente D. Diego Becerr</t>
  </si>
  <si>
    <t>Amaro de Villela, Julián</t>
  </si>
  <si>
    <t>Julián Amaro de Villela</t>
  </si>
  <si>
    <t>ii39 d« fusileros D. Joseph Alvafez Campana y D. Joseph Alfaro. A D. Julián Amaro de Villela y D. Laureano Garcia de Burunda, electos el primero Contador principal de todas Rentas de Cartagena y el segundo de Alicante, se ha servido el Rey concederles honores de Contadores de</t>
  </si>
  <si>
    <t>Amat, Félix</t>
  </si>
  <si>
    <t>Félix Amat</t>
  </si>
  <si>
    <t>29 de abril de 1800</t>
  </si>
  <si>
    <t>historia universal de la Iglesia con explicación y defensa de sus misterios, leyes y máximas : por D. Félix Amat, Canónigo Magistral de Tarragona : tomo 8.° Se hallará con los anteriores en las librerías de Quiroga , calle de la Concepción, y de Dávila, calle de las Carretas ; en Barcelona e</t>
  </si>
  <si>
    <t>Amat, Francisco</t>
  </si>
  <si>
    <t>Francisco Amat</t>
  </si>
  <si>
    <t>de España al prime? Teniente D. Dionisio de las Heras; y Alférez en ehde Algarbe al Portaestandarte D. Francisco Amat. Por Real orden de 23 de Diciembre último ha venido S. M. en conceder al Duque de Medinaceli y de Santistéban la gracia para que pueda firmar de estampilla, en atención á su corte</t>
  </si>
  <si>
    <t>Amat, Vicente</t>
  </si>
  <si>
    <t>Vicente Amat</t>
  </si>
  <si>
    <t>on Joachín Aguilera, D. Agustin Amanda, D. Joseph Lariz, D. Gregorio Espinosa, D. Francisco Piadas, D. Vicente Amat y D. Gregorio Di.iz; y á segundos Subtenientes á los Cadetes D. Pedro Miguel de l¡z, D. Pascual Tomas Maupoey y D. Ildefonso Periche, este del de Murcia, y á Jos Sargentos primeros D.</t>
  </si>
  <si>
    <t>Amatria, Manuel</t>
  </si>
  <si>
    <t>Manuel Amatria</t>
  </si>
  <si>
    <t>á Ayudante al primer Teniente D. Juan de la Mata; á primeros Tenientes á los segundos de granaderos D. Manuel Amatria , D. Joseph Chiva y D. Rafael Escovar; á segundos Tenientes de granaderos á</t>
  </si>
  <si>
    <t>Amaya, Tomás</t>
  </si>
  <si>
    <t>Tomás Amaya</t>
  </si>
  <si>
    <t>11 de abril de 1800</t>
  </si>
  <si>
    <t>gimiento de Farnesio al Cadete D. Elias Cantalapiedra: á Alférez en el de España al Portaestandarte D. Tomas Amaya; y á Ayudante en el de Santiago al primer Teniente D. Joachin Garay. El dia 5 de Abril á las nueve y tres quartos de ía noche falleció en esta corte, de edad de 70 años, el Exc. S</t>
  </si>
  <si>
    <t>Amonio Ponce</t>
  </si>
  <si>
    <t>cario Higuera: en el regimiento de cazadores de la Corona á primer Teniente al segundo de tiradores D. Amonio Ponce; á segundo Teniente de tiradores al de cazadores D. Joachin del Campillo; á segundo Teniente al Subteniente de gastadores D. Diego Baladre; y á esta resulta al Subteniente D. Domi</t>
  </si>
  <si>
    <t>Amores, Francisco</t>
  </si>
  <si>
    <t>Francisco Amores</t>
  </si>
  <si>
    <t>á D. Agustín Lozano, Teniente de fusileros: Tenencias de esta cíase á D. Joseph Rodríguez de Vera, D. Francisco Amores, D. Fernando González y D. Pedro Vicente Jareño, Subtenientes, los primeros de granaderos y cazadores, y los segundos de fusileros; y las Subtenencias de granaderos y cazadores á</t>
  </si>
  <si>
    <t>Amores, Petronila</t>
  </si>
  <si>
    <t>Petronila Amores</t>
  </si>
  <si>
    <t>11 mrs. Cantabria, .en de Setiembre de 1794. Por ai pesos i|-rs. plata por D. Félix de la Roáa para Doña Petronila Amores , 387 rs. 13 mrs. Carrera de la 'fíavana. En 179a para D.. Juan Ignacio de Urizar , 994 rs. ía mrs. D. 'Matías de Mendiburu, de Cádiz , remitió el 13 de Diciembre á D. Francisco'A</t>
  </si>
  <si>
    <t>An, Juan</t>
  </si>
  <si>
    <t>Juan An</t>
  </si>
  <si>
    <t>14 de febrero de 1800</t>
  </si>
  <si>
    <t>de continuarse el 14 del mismo á las doce de la mañana en la audiencia del Sr. Teniente Corregidor D. Juan An;f tonio Santa María: está tasada dicha casa en 32,366^ rs., y dan por ella *4&amp; rs. en moneda efectiva., en cuya especie y no. en otra se admitirán las mejoras que se hagan.</t>
  </si>
  <si>
    <t>Ana María</t>
  </si>
  <si>
    <t>................................. 167. 28. Otro... Pedro Robert, hijo de otro y Ana María, natural de</t>
  </si>
  <si>
    <t>Ancora, Felipe</t>
  </si>
  <si>
    <t>Felipe Ancora</t>
  </si>
  <si>
    <t>; á primeros Subtenientes á los segundos D. Joachín Buil, D. Olaguer i omas Aloy, D. Carlos Stonor, Don Felipe Ancora y D. Benito Albiny; y á segundos Subtenientes á los Cadetes D. Tomas Cantón, D. Guillermo Lyons, D. Andrés Aguado y Oquendo y D. Joseph Alvarez, este del de Soria, y al Sargento prime</t>
  </si>
  <si>
    <t>Andaya, Juan Manuel</t>
  </si>
  <si>
    <t>Juan Manuel Andaya</t>
  </si>
  <si>
    <t>misma clase D. Francisco Llano la Tenencia de granaderos; Tenencias de fusileros á los Subtenientes D. Juan Manuel Andaya, D. Antonio Benavides y D. Juan Joseph Fonseca, y las Subtenencias de granaderos y cazadores á los Subtenientes</t>
  </si>
  <si>
    <t>Andeyro, Joseph</t>
  </si>
  <si>
    <t>Joseph Andeyro</t>
  </si>
  <si>
    <t>ollantes, D. Joseph Talens, D. Joseph Alemany y D. Manuel Arnaez, y á segundo Subteniente al Cadete D. Joseph Andeyro: en el de Asturias á Capitán aí Ayudante D. Francisco Manglano; á Ayudante al primer Teniente Don Francisco de Bouligni; á primer Teniente al segundo de granaderos DonDiego'Lorenz</t>
  </si>
  <si>
    <t>Andreani, Felipe</t>
  </si>
  <si>
    <t>Felipe Andreani</t>
  </si>
  <si>
    <t>uel arzobispado. El Rey ha conferido el Corregimiento de la ciudad de Huesca, vacante por muerte de D. Felipe Andreani , al Coronel D. Blas Fernandez de ]Iglesias, Exento de la compañía Española del Real cuerpo de Guardias de Corps; y la Tenencia de Rey de la plaza de Denia al Coronel D. Diego de</t>
  </si>
  <si>
    <t>Andreosi, General</t>
  </si>
  <si>
    <t>General Andreosi</t>
  </si>
  <si>
    <t>resburgo y Viena. Dícese que compondrá un total de 34© hombres de infantería y 8® de caballería. El General Andreosi; xefe de la plana mayor del exército de Augeréaw, ha avisado á los Magistrados de esta ciudad que si en el término de 10 dias no satisfacen la contribucioii de 800© francos que la</t>
  </si>
  <si>
    <t>toda su integridad el honor y la seguridad de estos Reynos.” Haya // de Noviembre. U n Ayudante del General Andreosi, xefe de la plana mayor del exército galo*-bátavo, llegó el dia 14 á la secretaría del Ministro de Guerra con cartas del General Augereau, en que avisa que el dia 22 se renovarán</t>
  </si>
  <si>
    <t>Andres</t>
  </si>
  <si>
    <t>90 rs , acuda á la Secretaría de Seqüestros del Tribunal del Santo Oficio de esta corte, á cargo de D. Andres.de Garnica, en el término de ig dias contados desde el 27 de este mes, que siendo hecha por lo menos en las dos terceras partes de su tasación, será admitida por estarse subastand</t>
  </si>
  <si>
    <t>Andreu, Pablo</t>
  </si>
  <si>
    <t>Pablo Andreu</t>
  </si>
  <si>
    <t>s al de fusileros D. Juan Antonio Pelaez: en el de Soria á primer Teniente al segundo de granaderos D. Pablo Andreu; á segundo Teniente de granaderos al de fusileros D. Joseph Costa, y á segundos Tenientes á los Subtenientes de granaderos D. Christóbal Antayo y D. Francisco Lance: en el de Sevi</t>
  </si>
  <si>
    <t>Andrieux, General</t>
  </si>
  <si>
    <t>General Andrieux</t>
  </si>
  <si>
    <t>11 de julio de 1800</t>
  </si>
  <si>
    <t>n el instante en que recibía la orden de levantar el bloqueo de Genova, enviaba Massena á Sestri al General Andrieux para tratar de capitulación. Empezaron las conferencias el mismo dia en Riverola con el Coronel Pest, austríaco, y el Capitán ingles Bevern; y continuaron el 3. E11 otra carta al</t>
  </si>
  <si>
    <t>Andry, Miguel</t>
  </si>
  <si>
    <t>Miguel Andry</t>
  </si>
  <si>
    <t>12 de diciembre de 1800</t>
  </si>
  <si>
    <t>Alexandro la Branche ; segunda Tenencia al Subteniente D. Luis Verret, y Subtenencias á los Cadetes D. Miguel Andry y D. Lorenzo Sigqr: ' El Rey se ha dignado conferir el empleo de Contador Ordenador del tribunal uvyor.de Cuentas de Sta. Fe á D. Carlos Joachin.de Urizarry: el de Tesorero Oficial Re</t>
  </si>
  <si>
    <t>Anduaga, Vicente</t>
  </si>
  <si>
    <t>Vicente Anduaga</t>
  </si>
  <si>
    <t>D. Joachín Grandbna y D'. Joseph del Rio; á Subtenientes de granaderos á los primeros Subtenientes D. Vicente Anduaga, Don Vicente González y D; Rafael Pavía; á primeros Subtenientes á los segundos D. Vicente Morales , Di Joseph Peña y D* Joachíh- Gayoso ; y á segundos Subtenientes a los Cadetes</t>
  </si>
  <si>
    <t>Angela de Córdoba y Cárdenas</t>
  </si>
  <si>
    <t>o. Otra id. del Olivar, de 2 fan. en 1200. Otra id. de los Hornos , de a fan. en 1400. Patronato de Doña Angela de Córdoba y Cárdenas ; una tierra en la Cahizada, de 6 fanegas, tasada en 6400 rs. Otra en la Remonda, de una fan. y Ó cel. en 600. Otra en la cañada de Palomero, de 2 fan. en 800. Otra en el Desbarat</t>
  </si>
  <si>
    <t>Angelis</t>
  </si>
  <si>
    <t>or tierra, expresan que los franceses han fortificado á Suez, especialmente por e! lado del mar. El Dr. Angelis, médico de los Estados-Unidos, atribuye la fiebre amarilla al uso inmoderado de pepinos y melocotones ; pues ha observado que la mayor parte de sus enfermos habían comido estos fr</t>
  </si>
  <si>
    <t>Angli, Sebastián</t>
  </si>
  <si>
    <t>Sebastián Angli</t>
  </si>
  <si>
    <t>18 de febrero de 1800</t>
  </si>
  <si>
    <t>rancisco Martínez , segundo Teniente del mismo cuerpo; y Portaestandarte en el de Algarbe al Cadete D. Sebastian Angli. " S. M. se ha dignado conceder á D. Vicente Merita y Albornoz, caballero Maestranté de la Reab de Valencia, el título de Barón , para sí y sus sucesores, con la denominación de l</t>
  </si>
  <si>
    <t>Anguita, Antonio</t>
  </si>
  <si>
    <t>Antonio Anguita</t>
  </si>
  <si>
    <t>doaga. En . el de infantería inmemorial del Rey á Subteniente de granaderos .al primer Subteniertte D. Antonio Anguita : en el de lá Corona á segundo Subteniente al Cadete D. Manuel de Villanueva y Barradas: en el de Zamora á primer Teniente de.gra</t>
  </si>
  <si>
    <t>eniente de granaderos al de fusileros Don Juan Orsusan; á esta resulta al Subteniente de granaderos D. Antonio Anguita; á Subteniente de granaderos al primer Subteniente D. Luis Perez de Anda; á primer Subteniente al segundo D. Luis Martínez Toledano, y á segundo Subteniente al Cadete D. Eustaquio</t>
  </si>
  <si>
    <t>Angulo, Antonio</t>
  </si>
  <si>
    <t>Antonio Angulo</t>
  </si>
  <si>
    <t>Teniente al segundo de granaderos D. Juan Ximenez: á segundo Teniente de granaderos al de fusileros D. Antonio Angulo: á segundos Tenientes al primer Subteniente D. Agustín Liminiana, y al Subteniente de granaderos graduado de Capitán D. Joseph de Castro y Lucena: á Subtenientes de granaderos á l</t>
  </si>
  <si>
    <t>Aniceto de Pierra y Amarillas</t>
  </si>
  <si>
    <t>bteniente, D. Joseph Ballester: en el regimiento de infantería de León á Capitán al primer Teniente D. Aniceto de Pierra y Amarillas: en el de Granada á segundo Teniente al Subteniente de granaderos D. Tomas García, y á primer Subteniente al segundo D. Blas Teruel; y en el de las Ordenes Militares á segundo Ten</t>
  </si>
  <si>
    <t>Aniz Marañon, Cipriano</t>
  </si>
  <si>
    <t>Cipriano Aniz Marañon</t>
  </si>
  <si>
    <t>gundo de granaderos D. Manuel Fernandez de Olarte; á segundo Teniente de granaderos al de fusileros D. Cipriano Aniz Marañon; á segundo Teniente al Subteniente de granaderos D. Juan Ximenez; á Subteniente de granaderos al primer Subteniente D. Antonio Peña; á primer Subteniente al segundo D. Francisco X</t>
  </si>
  <si>
    <t>Ániz, Cipriano</t>
  </si>
  <si>
    <t>Cipriano Ániz</t>
  </si>
  <si>
    <t>iarte; á primeros Tenientes ¿ los segúnáds de granaderos D; Jacobo'Carrillo, Di Christobai Medina y D. Cipriano Ániz^ MarAñon: á segundos Tenientes de granaderos á los ae fusile* VOS tí. Francisco* BWraoná; D. Ramón Albear y D. Ignacio de Arcos ; á segundos Tenientes á los Subtenientes de granad</t>
  </si>
  <si>
    <t>Anselmi, Andrés</t>
  </si>
  <si>
    <t>Andrés Anselmi</t>
  </si>
  <si>
    <t>17I y á primer Subteniente al segundo D. Andrés Anselmi. El Rey se ha servido promover á segundo Teniente en el regimiento de caballería de Calatrava al Alférez D. Joseph García; y á Alféreces en el mismo cuerpo y el de Carabineros de</t>
  </si>
  <si>
    <t>Anselmo del Moral Castillo de Altra, Juan</t>
  </si>
  <si>
    <t>Juan Anselmo del Moral Castillo de Altra</t>
  </si>
  <si>
    <t>10 de enero de 1800</t>
  </si>
  <si>
    <t>para bi Maestrescolía al Tesorero D. Juan de Dios de Olmedo y Araeieh para la Tesorería al Canónigo D. Juan Anselmo del Moral Castillo de Altra: par4 esta Canongía al Racionero D. Juan NepOmuceno dé Santolalla y&gt; Peraltas y para esta Ración al Medio-Racionefo D. Joachín Pérez Martínez. Para utíáí Canongía de merced de la</t>
  </si>
  <si>
    <t>Anselmo del Valle</t>
  </si>
  <si>
    <t>ónigo de la de Sigiienza: para una Canongía de la catedral'de Ciudad-Rodrigo, vacante oor muerte de D. Anselmo del Valle, á D. Benito de Céspedes*, para otra de la colegial de S. Hipólito de la ciudad de Córdoba, vacante por fallecimiento de D. Lorenzo de Cárdenas, á D. Pedro Alcántara Berrocoso y A</t>
  </si>
  <si>
    <t>Anselmo García</t>
  </si>
  <si>
    <t>19 de septiembre de 1800</t>
  </si>
  <si>
    <t>ncisco Martínez de Hoz remitió el 29 de Agosjto desde la villa de Poza, en la Rioja, á esta corte á D. Anselmo García un vale Real de 150 pes s, creación de 15 de Setiembre , núm. ai 1,311 , con endoso de D. Juan de v j. d 1 á dicho Martínez de Hoz , quien lo endosó al D. Anselmo García ; y no ha</t>
  </si>
  <si>
    <t>Anselmo, Juan</t>
  </si>
  <si>
    <t>Juan Anselmo</t>
  </si>
  <si>
    <t>11 de noviembre de 1800</t>
  </si>
  <si>
    <t>Alderete; y para ésta resulta al Medio-Racionero Don Joseph aei parriq. ,, . , Por fallecimiento de D. Juan Anselmo delMoral Castillo dcAítráyTé</t>
  </si>
  <si>
    <t>Antayo, Christóbal</t>
  </si>
  <si>
    <t>Christóbal Antayo</t>
  </si>
  <si>
    <t>granaderos al de fusileros D. Joseph Costa, y á segundos Tenientes á los Subtenientes de granaderos D. Christóbal Antayo y D. Francisco Lance: en el de Sevilla á segundo Teniente de granaderos al de fusileros D. Antonio Tomas; á primer Subteniente al segundo D. Francisco Xavier de Cueto, y á segundo Sub</t>
  </si>
  <si>
    <t>Antentas, Ramón</t>
  </si>
  <si>
    <t>Ramón Antentas</t>
  </si>
  <si>
    <t>23 de septiembre de 1800</t>
  </si>
  <si>
    <t>es al Capitán primero, graduado de Teniente Coronel del primer batallón de Voluntarios de Cataluña, D. Ramón Antentas; y para Teniente de la misma al Capitán D. Joseph Arehs, Ayudante segundo del primer batallón de Voluntarios de Barcelona. TI Rey ha tenido á bien nombrar en los regimientos provi</t>
  </si>
  <si>
    <t>Antolin Baxo y Ozerin, Tomás</t>
  </si>
  <si>
    <t>Tomás Antolin Baxo y Ozerin</t>
  </si>
  <si>
    <t>el Arcedianato, que este dexa, al Chantre D. Félix Pascual Mateo: para la Chanrría ai Maestrescuela D. Tomas Antolin Baxo y Ozerin: para la Maest pesco lía al Tesorero D. Pedro Joseph Casis de la Torre: para la Tesorería ai Canónigo D. Pedro Juan de Batista; y para esta Canongía á D. Juan joseph Martínez , Cu</t>
  </si>
  <si>
    <t>Antonia Álvarez, Pedro</t>
  </si>
  <si>
    <t>Pedro Antonia Álvarez</t>
  </si>
  <si>
    <t>29 de agosto de 1800</t>
  </si>
  <si>
    <t>la de la Sierra en el distrito de la Presidencia de Goatemala: para la Alcaldía mayor de Vera-Paz á D. Pedro Antonia Alvarez; y para la de la provincia de Totonicapan á D. Joseph Ruiz de Aguirre, ambas en el mismo distrito. En el batallón de infantería de voluntarios Blancos de Campeche se ha servido el</t>
  </si>
  <si>
    <t>Antonia Claramont</t>
  </si>
  <si>
    <t>cerca de dicho General. Gijon J2 de Adarzo. E n la mañana del 23 de Enero, á las once ménos quarto, Doña Antonia Claramont dio á luz un niño bastante Robusto, y continuándola los dolores, creyó su esposo D. Juan Cabratosa, Cirujano del tercer batallón del regimiento de infantería de Asturias, que la q</t>
  </si>
  <si>
    <t>Antonia Cortés</t>
  </si>
  <si>
    <t>5 de septiembre de 1800</t>
  </si>
  <si>
    <t>o Perez, tasada en 10,705 rs. 30 mrs. = Ibdes: una id. en 1* Solana, perteneciente á la obra pia de Doña Antonia Cortés , en 30,117 rs.zamrs. Partido de Tarazona. Ambel: una pieza en la carrera de Borja de hanegas de tierra, perteneciente &amp; la capellanía colativa fundada en la ermita de nues.tr*; S</t>
  </si>
  <si>
    <t>Antonia Engracia del Val</t>
  </si>
  <si>
    <t>22 de abril de 1800</t>
  </si>
  <si>
    <t>el número de D. Casimiro Antonio Gómez, se está subastando una casa perteneciente á las memorias de Doña Antonia Engracia del Val, sita en la calle de la Sartén, núm. 395 , está tasada en 140,106^ rs. , y dan por ella la propia cantidad , y su remate está señalado para el dia 29 de este mes entre doce y una</t>
  </si>
  <si>
    <t>6 de junio de 1800</t>
  </si>
  <si>
    <t>el número de D. Casimiro Antonio Gómez, se está subastando una casa perteneciente á las memorias de Doña Antonia Engracia del Val, sita en la calle de la Sartén, núm. 3, manz. 39*}, tasada en 140,106 rs. 17 mrs., y su remate está señalado para el dia 10 del corriente á las 11 de su mañana á las puertas de la</t>
  </si>
  <si>
    <t>Antonia Fernández’Henestrosa</t>
  </si>
  <si>
    <t>D. Pedro González Calderón, Teniente Corregidor de esta villa se cita y emplaza á los parientes de Doña Antonia Fernandez’Henestrosa natural que fue de !a viila de Navalcarnero,y vecina de esta corte , viuda ce D. Francisco oue convenga á su derecho, con apercibimiento de que pasado dicho término sin mas citarl</t>
  </si>
  <si>
    <t>Antonia Lope, María</t>
  </si>
  <si>
    <t>María Antonia Lope</t>
  </si>
  <si>
    <t>Matías de Liquigaray, por 499 rs. 17 mrs. , de dos quartas partes de las acciones números 47 y 50. Doña María Antonia Lope/. de Tejida y Doña María Ventura su hermana, por 998 rs. 33! mrs. , de la acción núm. 36. Los herederos de D. Fausto Bustamante , por 998 rs. 33Í mrs. , de la acción núm&gt; 67. Mr.</t>
  </si>
  <si>
    <t>Antonia Sumbo, María</t>
  </si>
  <si>
    <t>María Antonia Sumbo</t>
  </si>
  <si>
    <t>percibimiento que pasado dicho términp les parará el perjuicio que haya fugar. ‘ ‘ Ros parientes de Doña María Antonia Sumbo^ hija de D, Domingo , natural qué fué de Ja ciudad de Ñipóles, y de Doña María Negrete , que lo fué de Cor— f deña , viuda en primeras nupcias de D. .Nicolás Carrion , y en segund</t>
  </si>
  <si>
    <t>Antonia, María</t>
  </si>
  <si>
    <t>María Antonia</t>
  </si>
  <si>
    <t>ala y Aífaro , á deducir el derecho que tengan á los .bienes que quedáron por muerte de Ja referida Doña María Antonia , los quales .existen en dicha ciudad $ que se les guardará justicia en lo que la tuvieren. ^' JÍsp^rjtu del Conde de Buffon, traducidodel francés al castellano por D. Tibur* .ció</t>
  </si>
  <si>
    <t>Antónimo de Barreda Yebra, Francisco Antonio</t>
  </si>
  <si>
    <t>Francisco Antonio Antónimo de Barreda Yebra</t>
  </si>
  <si>
    <t>25 de noviembre de 1800</t>
  </si>
  <si>
    <t>la iglesia de S. Isidro ei Real de León, vacante por fallecimiento de D. Juan Víctor de ValIejo¿ á D. Francisco Antonio Antónimo de Barreda Yebra, Canónigo profeso, Dignidad de Prior de aquélla Réál casa y Canónigo Tesorero de su iglesia: para la Média-Racion dé la catedral de Cartagena, vacante por fallecimiento de D. Jóse</t>
  </si>
  <si>
    <t>Antonio</t>
  </si>
  <si>
    <t>3 de enero de 1800</t>
  </si>
  <si>
    <t>tallones de tropas francesas. Madrid g de Enero de 1800. C on motivo del cumpleaños del Sr. Infante D. Antonio se vistió la corté de gala el mártes de esta semana. En consideración al mérito y buenos servicios del Teniente General D. Luis de las Casas le ha conferido el Rey el Gobierno mil</t>
  </si>
  <si>
    <t>7 de marzo de 1800</t>
  </si>
  <si>
    <t>e Noviembre se hallará en el despacho de I3 imprenta Real: en el Real sitio de‘ Aranjuez en casa de D. Antonio lVlasarnau ^ y en Cádiz en la de D. Manuel Navarro; A la casa que se dió noticia al público en las gazetas de 6 y 17 de Diciembre y de Enero, llamada de la Isla, sita en esta cort</t>
  </si>
  <si>
    <t>l de fusileros I). Antonio Hermosilla: en el de Mallorca á segundo. Subteniente al Sargento primero D. Antonio</t>
  </si>
  <si>
    <t>Antonio Martín</t>
  </si>
  <si>
    <t>gundos Subtenientes al Cadete D. Juan Joseph Morató y al Sargento primero, graduado de Subteniente, D. Antonio Martin. Atendiendo el Rey á los méritos y particulares servicios de D. Juan Antonio Escolar, se ha servido concederle la Escribanía mayor de rentas. En América. El Rey se ha dignado conf</t>
  </si>
  <si>
    <t>Antonio Miguel</t>
  </si>
  <si>
    <t>de Medellin , en la diócesis de Plasencia, vacante por fallecimiento de D. Antonio Andrés Perez, á D. Antonio Miguel, con retención del Curato que obtiene': para el Beneficio de Ntra. Sra. de la Concepción de la metropolitana de Tarragona, vacante por fallecimiento de D. Pablo Plana, á D. Pablo</t>
  </si>
  <si>
    <t>Antonio Tomás</t>
  </si>
  <si>
    <t>óbal Antayo y D. Francisco Lance: en el de Sevilla á segundo Teniente de granaderos al de fusileros D. Antonio Tomas; á primer Subteniente al segundo D. Francisco Xavier de Cueto, y á segundo Subteniente al Cadete D. (oseph Velez de Guevara: en el de Mallorca á segundo Subteniente al Cadete I).</t>
  </si>
  <si>
    <t>Antonio' Santa María, Juan</t>
  </si>
  <si>
    <t>Juan Antonio' Santa María</t>
  </si>
  <si>
    <t>en está señalado el * 8 de esre s á las ia de su mañana en la audiencia del Sr. Teniente Corregidor D. Juan Antonio' Santa María: quien quisiere hacer mejora acuda al oficio de J). Juan López Pando, escribano del número.</t>
  </si>
  <si>
    <t>Antonio'Díaz Noriega, Juan</t>
  </si>
  <si>
    <t>Juan Antonio'Díaz Noriega</t>
  </si>
  <si>
    <t>el Sr. Áícafdé de la Real casa/y corte Dr Luis Mejendez y Bruna y por la escribanía de provincia de D. Juan Antonio'Diaz Noriega.</t>
  </si>
  <si>
    <t>Antonio, Archiduque</t>
  </si>
  <si>
    <t>Archiduque Antonio</t>
  </si>
  <si>
    <t>erencia. Hasta la mañana siguiente no tuvo el Conde de Saint-Julien audiencia de S. M. Imperial. El Archiduque Antonio, hermano del Emperador, está nombrado Gobernador general de las dos Galitzias, y residirá en Crakan. Berlín 16 de Agosto. E 1 Rey y la Reyna salieron antes de ayer para Silesia, a</t>
  </si>
  <si>
    <t>Antonio-Socovio</t>
  </si>
  <si>
    <t>Barcelona. r:&gt; •' Para el Corregimiento de la ciudad de ’Daroca y su partido» Vacante por.retiro dé D, Antonio-Socovio, ha nombrado el Rey al Teniente Coirdnel de caballería D. Gervasio Gasea. ’ ' En América. S, M, se ha dignado conferir la plazg de Ministro Con--* tador de las caxas Reales de Car</t>
  </si>
  <si>
    <t>Antoniq de Tavira</t>
  </si>
  <si>
    <t>ón de su profesor D. Pedro Fuertes, los seminaristas D. Rafael de Tejada , D. Manuel de Lardizabal, D. Antoniq de Tavira, D. Miguel Pablo de ligarte y D. Antonio de Ugarte. En la re</t>
  </si>
  <si>
    <t>Antunez, Fernando</t>
  </si>
  <si>
    <t>Fernando Antunez</t>
  </si>
  <si>
    <t>n le tuviese avisará en Zaragoza á D. Victoriano Monicon , á quien pertenece el vale; y en Madrid á D. Fernando Antunez de $¿edesnia, Oficial de la contaduría general de Propios de esta corte. Por providencia del Sr. D. Juan Antonio Santa María , caballero de la orden de Cárlos III, del Consejo de S,</t>
  </si>
  <si>
    <t>Antunez, Rafael</t>
  </si>
  <si>
    <t>Rafael Antunez</t>
  </si>
  <si>
    <t>bierno del comercio de los españoles con sus colonias en Jas Indias occidentales $ por el limo. Sr. D. Rafael Antunez , Ministro togado del Consejo y Cámara de Indias : un tomo en 4.0 Esta obra se divide en 3 partes , y cada una en varios artículos : en la i.a se trata j de los puertos habilitado</t>
  </si>
  <si>
    <t>IC32 ferirle la plaza tobada del Supremo Consejo de Indias, vacante por fallecí, miento de D. Rafael Antunez. £n América. El Rey se ha servido nombrar al limo Sr. D. Luis Penalver , Obispo de la Luisiana, para el Arzobispado de Goatemala y y para el Obispado de Quito al limo. Sr. D. Jose</t>
  </si>
  <si>
    <t>Aparicio Corbalan</t>
  </si>
  <si>
    <t>de fusiL-ros al Subteniente de esta clase D. Aquilino Perez, y á Subtenientes de Lindera al Cadete D. Aparicio Corbalan y D. Joseph María Spuche y Lorenzo; y en el de Otense á Subteniente de bandera á D. Ramón Arias. El estado de algunas ciudades de nuestra península, afligidas de una pía</t>
  </si>
  <si>
    <t>Aparicio Santin, Tomás</t>
  </si>
  <si>
    <t>Tomás Aparicio Santin</t>
  </si>
  <si>
    <t>o primera silla de la Cate* dral de Ciudad-Rodrigo, vacante por fallecimiento de D. Joseph Xerez, á D, Tomas Aparicio Santin, con retención cíe la Canongía que obtiene en Ja misma iglesia: para dos Canongías de la catedral de Segorve á D. Manuei Medrano y á D. Vicente Rutz Vallejo; para un Beneficio ser</t>
  </si>
  <si>
    <t>Aponte, Juan de Dios</t>
  </si>
  <si>
    <t>Juan de Dios Aponte</t>
  </si>
  <si>
    <t>sula se ha servido el Rey : conferir los empleos siguientes. De Teniente Coronel en el de Badajoz a D. Juan de Dios Aponte, Capitán de granaderos del mismo cuerpo; y en el de León á D. Manuel Castañon y Monroy, Capitán de cazadores de este regimiento: de Capitán en el de Mondoñedo al Teniente dje infa</t>
  </si>
  <si>
    <t>Aquelino, Juan</t>
  </si>
  <si>
    <t>Juan Aquelino</t>
  </si>
  <si>
    <t>a; á primer Subteniente al segundo D. Miguel Pacheco; y á segundos Subtenientes al Sargento primero D. Juan Aquelino, al de la misma clase del de Saboya Dorí Domingo Martínez, y á los Cadetes D. Pío Falces y D. Ramón Mariano de Alba: en el de infantería de Jaén á Coronel al Teniente Coronel del</t>
  </si>
  <si>
    <t>Aquilino Pérez</t>
  </si>
  <si>
    <t>edro Tabeada Márquez de Ulloa: en el de Murcia á Teniente de fusiL-ros al Subteniente de esta clase D. Aquilino Perez, y á Subtenientes de Lindera al Cadete D. Aparicio Corbalan y D. Joseph María Spuche y Lorenzo; y en el de Otense á Subteniente de bandera á D. Ramón Arias. El estado de algunas c</t>
  </si>
  <si>
    <t>Aquino Falcó, Tomás</t>
  </si>
  <si>
    <t>Tomás Aquino Falcó</t>
  </si>
  <si>
    <t>á segundo Teniente al Alférez D. Luis Carpintero; y en el de Algarbe á Ayudante al primer Teniente D. Tomas Aquino Falcó. El Rey se lia servido conferir el empleo de Sargento mayor del regimiento provincial de Salamanca á D. Juan Joseph Martínez, Capitán del de infantería de España; y ha tenido á bi</t>
  </si>
  <si>
    <t>Aranzabal, Francisco</t>
  </si>
  <si>
    <t>Francisco Aranzabal</t>
  </si>
  <si>
    <t>te en el catecismo histórico de Fleuri. En gramática castellana to, baxo la dirección de su maestro Don Francisco Aranzabal. En música fuéron examinados de violin 13, de clave 4, de flauta 2 y en el bayle 33. Preséntáron por último los cartapacios de dibuxo natural, y de arquitectura civil y militar, t</t>
  </si>
  <si>
    <t>Araujo, Joseph María</t>
  </si>
  <si>
    <t>Joseph María Araujo</t>
  </si>
  <si>
    <t>os D. Joseph Marín Ordoñez y D. Manuel Otero; á segundos Tenientes á los Subtenientes de granaderos D. Joseph María Araujo, graduado de Teniente, y Don Juan Garzón; á Subtenientes" de granaderos á los primeros Subtenientes D. Francisco Ordoñez y D. Francisco Carrillo; a primeros Subtenientes á los seg</t>
  </si>
  <si>
    <t>Arauzo, Francisco</t>
  </si>
  <si>
    <t>Francisco Arauzo</t>
  </si>
  <si>
    <t>4 de noviembre de 1800</t>
  </si>
  <si>
    <t>D. Antonio Benitez : en el de milicias disciplinadas de infantería de Arequipa á Teniente Coronel á Don Francisco Arauzo, agregado en la propia clase:en el de milicias urbanas de infantería de Moquegua á Capitán de granaderos al de fusileros, graduado, de Teniente Coronel, D. Manuel Montenegro; y á</t>
  </si>
  <si>
    <t>Arbizu, Gerónimo</t>
  </si>
  <si>
    <t>Gerónimo Arbizu</t>
  </si>
  <si>
    <t>tS icl vice-censor D. Gerónimo Arbizu: tres por el vice-archivero D. Joseph Vicente Ibarra: dos por eí socio D. Juan Antonio Martínez de Hermosilla ; y dos por otros socios. Iguales premios recibieron cinco discípulos</t>
  </si>
  <si>
    <t>Arboli, Joseph</t>
  </si>
  <si>
    <t>Joseph Arboli</t>
  </si>
  <si>
    <t>ro de la de la villa de Alforja, diócesis de Tarragona, baxo la invocación de S. Miguel Arcángel, á D. Joseph Arboli, con la obligación de confesar, y de ser examinado ad curam animarum antes de dársele la posesión. El Rey ha nombrado Sub-Brigadier de la compañía Italiana del Real cuerpo de Guar</t>
  </si>
  <si>
    <t>Arbosé, Lorenzo</t>
  </si>
  <si>
    <t>Lorenzo Arbosé</t>
  </si>
  <si>
    <t>re. ñas •, Corregimiento de Gerona...,,.............................. . 43. 23. Lorenzo Arbosé , hijo de Juan y Mariana , natural de Casa de la Selva , Corregimiento de Gerona................. 52. 19. TERCERA COMPAÑÍA. Sarmentó* Agustín Carbonell y hijo de Joseph y Josepha, natura</t>
  </si>
  <si>
    <t>Arcada, Manuel</t>
  </si>
  <si>
    <t>Manuel Arcada</t>
  </si>
  <si>
    <t>4)0 y O. Juan Ordoño: á primeros Subtenientes á los segundos D. Andrés Bejerano, D. Manuel Arcada , D. Santos Allende y D. Julián Maamud ; y á segundos Subtenientes al Sargento primero D. Tomas Domingo y al Cadete del de infantería del Príncipe Ó. Juan Ximenez : en el de grana</t>
  </si>
  <si>
    <t>Areny y de Sola, Ignacio</t>
  </si>
  <si>
    <t>Ignacio Areny y de Sola</t>
  </si>
  <si>
    <t>cañas: para otra de Oidor de ella, vacante por fallecimiento de D. Francisco Tomas de Cama rasa , á D. Ignacio Areny y de Sola, con antigüedad preferente al dicho D. Pedro Garrido y Duran: para otra de Alcalde del Crimen super</t>
  </si>
  <si>
    <t>Arias Benavide, Diego</t>
  </si>
  <si>
    <t>Diego Arias Benavide</t>
  </si>
  <si>
    <t>l Juzgado del Corregidor la mitad de una dehesa de pasto y labor propia de la memoriá ael Arcediano D. Diego Arias Benavide , llamada Santa Ines, que, se halla; fundada en la iglesia catedral, y está tasada en 669,000 rs.f</t>
  </si>
  <si>
    <t>Arias de Viiiafañe, Joseph</t>
  </si>
  <si>
    <t>Joseph Arias de Viiiafañe</t>
  </si>
  <si>
    <t>pcion; y para la de Alcalde del crimen, que resulta vacante, ha' nombrado el .Rey al supernumerario D. Joseph Arias de Viiiafañe. ! En cumplimiento de lo resuelto por S. M., y comunicado de su Rea! orden en 9 de Julio de 1796 por el Exc. Sr. D. Diego de Gardoqui á la Dirección general de la Renta de la Lote</t>
  </si>
  <si>
    <t>Arias Gonzalo de Mendoza y Francia</t>
  </si>
  <si>
    <t>stado religioso, compuesta en francés por dos jurisconsultos del Parlamento de París; traducida por D. Arias Gonzalo de Mendoza y Francia: un tomo en 4.0 Quantos han escrito sobre esté objeto dexáron mucho que desear; pues no solo han escaseado las noticias que deberían haber transmitido acerca de las causas que suc</t>
  </si>
  <si>
    <t>Arias Mon y Jfelarde</t>
  </si>
  <si>
    <t>erías ya no deben tener Presidentes togados, nombro por Ministros de mi Consejo Real á los actunles D. Arias Mon y Jfelarde y D. Joseph María Puig y Sainper ; y oor Regentes, de la de V alladolid á D. Juan Antonio Gonza-^ loz Carríim, y oe la de Granada á D. Francisco Xavier la Ripa con el sueldo de 40© rs</t>
  </si>
  <si>
    <t>Arias Ximenez, Francisco</t>
  </si>
  <si>
    <t>Francisco Arias Ximenez</t>
  </si>
  <si>
    <t>e la villa de Montalbo, en la misma diócesis de Cuenca, vacante por muerte de D. Martin Trasviña, á D. Francisco Arias Ximenez, mediante no poder tener efecto el nombramiento que hizo S. M. en él por decreto de 2 5 de Abril de 1799 para el Beneficio servidero de la parroquia de Santa María de la Encarnaci</t>
  </si>
  <si>
    <t>Arias, Ramón</t>
  </si>
  <si>
    <t>Ramón Arias</t>
  </si>
  <si>
    <t>Aparicio Corbalan y D. Joseph María Spuche y Lorenzo; y en el de Otense á Subteniente de bandera á D. Ramón Arias. El estado de algunas ciudades de nuestra península, afligidas de una pía</t>
  </si>
  <si>
    <t>Arismendi, Juan Bautista</t>
  </si>
  <si>
    <t>Juan Bautista Arismendi</t>
  </si>
  <si>
    <t>de Infantería de la isla Margarita al Subteniente y Cadetes de dichas milicias D. Pedro Arismendi, D. Juan Bautista Arismendi, D. Chnstobal Arismendi y D. Rafael de Guevara; Tenencias a los Cadetes D. B as Marcano y D. Francisco de Guevara, y Subtenencias al Teniente de las milicias urbanas y á los Cadet</t>
  </si>
  <si>
    <t>Arismendi, Pedro</t>
  </si>
  <si>
    <t>Pedro Arismendi</t>
  </si>
  <si>
    <t>licias disciplinadas de Infantería de la isla Margarita al Subteniente y Cadetes de dichas milicias D. Pedro Arismendi, D. Juan Bautista Arismendi, D. Chnstobal Arismendi y D. Rafael de Guevara; Tenencias a los Cadetes D. B as Marcano y D. Francisco de Guevara, y Subtenencias al Teniente de las mi</t>
  </si>
  <si>
    <t>Arizaga, Agustín</t>
  </si>
  <si>
    <t>Agustín Arizaga</t>
  </si>
  <si>
    <t>nherck y D. Felipe Perez; á segundos Tenientes á los Subtenientes de granaderos D. [oseph Castaño y D. Agustín Arizaga, y á los primeros Subtenientes Don Francisco Coronado y D. Justo Montes ; á Subtenientes de granaderos á los primeros Subtenientes D. Pedro Pérez, D. Rafael García y D. Joseph Qui</t>
  </si>
  <si>
    <t>Armando Franqucn</t>
  </si>
  <si>
    <t>ros D. Juan Fitz-Gerald y D. Jacobo Troche; á segundos Temen-, tes de granaderos á los de fusileros D. Armando Franqucn y D. Pedro FitzGerald; á segundos Tenientes á los Subtenientes de granaderos D. Mauricio Keating y D. Pedro Sarsfield; á Subtenientes de granaderos á los primeros Subtenientes D. Anto</t>
  </si>
  <si>
    <t>Armengo, Manuel</t>
  </si>
  <si>
    <t>Manuel Armengo</t>
  </si>
  <si>
    <t>2o6 J&gt;. Vicente Cardona y D. Pablo Gómez y Otin; y las dos Subtenencias de bandera á D. Manuel Armengo! y Monserrat y D. Ramón Armengol y Falcó: También ha nombrado el Rey Teniente de la Compañía suelta cíe fusileros, voluntarios de Aragón á D. Francisco cíe Paula Ruiz, primer Subt</t>
  </si>
  <si>
    <t>Armengol y Falcó, Ramón</t>
  </si>
  <si>
    <t>Ramón Armengol y Falcó</t>
  </si>
  <si>
    <t>rdona y D. Pablo Gómez y Otin; y las dos Subtenencias de bandera á D. Manuel Armengo! y Monserrat y D. Ramón Armengol y Falcó: También ha nombrado el Rey Teniente de la Compañía suelta cíe fusileros, voluntarios de Aragón á D. Francisco cíe Paula Ruiz, primer Subteniente de l5i misma: para Capitán de las</t>
  </si>
  <si>
    <t>Armengol, Jacinto</t>
  </si>
  <si>
    <t>Jacinto Armengol</t>
  </si>
  <si>
    <t>Supl. 2, p. 1</t>
  </si>
  <si>
    <t>al de Tarragona, Corregimiento ídem.................................... 52. 19. Jacinto Armengol, hijo de Senent y Magdalena, natural de Barcelona, Corregimiento ídem.................... ............ 55. 50. Domingo Ribot, hijo de otro y Margarita, natural de S. Pol, Corregimiento</t>
  </si>
  <si>
    <t>Armengot, Rafael</t>
  </si>
  <si>
    <t>Rafael Armengot</t>
  </si>
  <si>
    <t>ión de ig de Setiembre, rúmero 1415,608, endosado á nombre de D. Tomas Cordero y Da&gt;p, y por este á D. Rafael Armengot. Quien supiere de él avisará á dicho D. Tomas Cordero, que vive junto ú Jos registres de la puerta de Toledo, núm. 37, quarto principal. De orden del Consejo de S. M. de la santa</t>
  </si>
  <si>
    <t>Arnaldo</t>
  </si>
  <si>
    <t>ncia un afio hace, es casado y tiene familia. El que acredite con documentos legítimos ser el mismo D. Arnaldo, se presentará con esta justificación al referido D. Pedro Alonso Romero, quien le entregará la suma que le corresponde. Se halla vacante la plaza de médico primero de la villa de</t>
  </si>
  <si>
    <t>Arnaldo Ana y Jo</t>
  </si>
  <si>
    <t>Romero , del comercio de la ciudad de Sevilla ; está encargado de pagar cierta cantidad de dinero á D. Arnaldo Ana y Jo.seph, natural de Toiosa de Francia, y hacendado de Lagar de, en la diócesis de Mirepois,de edad de 33 años poco mas ó menos: se ausentó de Francia un afio hace, es casado y tiene</t>
  </si>
  <si>
    <t>Arnaud</t>
  </si>
  <si>
    <t>líoche para un viage cuyo término y objeto ignora el publico. Le acompañan los ciudadanos Félix Désportes y Arnaud, algunos profesores de las bellas artesy vários dependientes. El Consejero de Estado Chaptal está ñombtádo por el primer Cónsul para servir interinamente dicho</t>
  </si>
  <si>
    <t>Arnauld, General</t>
  </si>
  <si>
    <t>General Arnauld</t>
  </si>
  <si>
    <t>es muy diestros , y dieron su ataque con buen orden y mucho denuedo. Los franceses, mandados por el General Arnauld, los rechazaron en todas partes: siguieron el alcance hasta las aldeas inmediatas á Cornua, y también las incendiaron. Perdieron los insurgentes en este segundo ataque 150 hombres</t>
  </si>
  <si>
    <t>Arnóuld</t>
  </si>
  <si>
    <t>ado en sus tratados de paz, comercio y navegación.” Esta obra, cuyo autor es el ciud. Arnóuld, Tribuno, pone de manifiesto á todas las potencias marítimas los principios, progresos y efectos del dominio de Jos mares usurpado por Inglaterra. Extracto de</t>
  </si>
  <si>
    <t>Aroche, Manuel</t>
  </si>
  <si>
    <t>Manuel Aroche</t>
  </si>
  <si>
    <t>seph Antonio Cabezón; á primeros Subtenientes á los segundos Don Manuel Vico, D. Joseph de Miranda, D. Manuel Aroche y D. Estéban Aymerich , y á segundos Subtenientes a los Cadetes D. Agustín Ximene? de Lasarte y D. Joseph Bermudez de Castro, y al Sargento primero Don Gregorio Dónate : en el de Mall</t>
  </si>
  <si>
    <t>Arríete, Antonio</t>
  </si>
  <si>
    <t>Antonio Arríete</t>
  </si>
  <si>
    <t>fusileros D. Joachín de Tejada y D. Francisco de Torres: á segundos Tenientes al primer Subteniente D. Antonio Arríete, y á los Subtenientes de granaderos D. Eusebio Campos y D. Mateo Lambea: á Subtenientes de granaderos á los primeros Subtenientes D. Félix Mijares</t>
  </si>
  <si>
    <t>Arríete, Domingo</t>
  </si>
  <si>
    <t>Domingo Arríete</t>
  </si>
  <si>
    <t>Nicolás Garces y D. Antonio Rabanera, graduado de Teniente: á primeros Subtenientes á los segundos D. Domingo Arríete, D. Juan Pinto y D. Joseph Francés; y á segundos Subtenientes á los Cadetes Don Juan Sentiens y D. Joseph Perez Cerda, y al Sargento primero de granaderos D. Antonio Ibañez: en el</t>
  </si>
  <si>
    <t>Arríete, Juan Joseph</t>
  </si>
  <si>
    <t>Juan Joseph Arríete</t>
  </si>
  <si>
    <t>ubteniente de granaderos al primer Subteniente D. Domingo Crescy ;y á segundo Subteniente al Cadete D. Juan Joseph Arríete : en el Suizo de Reding á Teniente al Subteniente de granaderos D. Félix Mollo; y á Subteniente de granaderos al de fusileros D. Fidel de Reding: en el de Yann á Ayudante al Tenie</t>
  </si>
  <si>
    <t>Arroyal, Antonio</t>
  </si>
  <si>
    <t>Antonio Arroyal</t>
  </si>
  <si>
    <t>r también á Capitán al Ayudante D. Nicanor Ricaud: en el de Cahitrava á segundo Teniente al Alférez D. Antonio Arroyal ;y en el de Carabineros de la Reyna María Luisa á Sargento mayor al Capitán D. Mariano Merchante. gg ha servido conferir la Contraloria del hospitíd militar os la plaza de Palma á</t>
  </si>
  <si>
    <t>Artacho y Durango, Diego</t>
  </si>
  <si>
    <t>Diego Artacho y Durango</t>
  </si>
  <si>
    <t>tenientes D. Juan Soldado y Don Tomas Rodrigo , el primero de cazadores; y Subtenencia de bandera á D. Diego Artacho y Durango: la Compañía de granaderos del de CiudadReal al Capitán de fusileros D. Francisco Calderón y Laso ; y Compañía de fusileros en el de Toledo al Teniente de granaderos D. Carlos Cas</t>
  </si>
  <si>
    <t>Artacho y Joachín Salinas, Luis</t>
  </si>
  <si>
    <t>Luis Artacho y Joachín Salinas</t>
  </si>
  <si>
    <t>Aguilar: en el de Burgos las Subtenencias de granaderos y cazadores á los Subtenientes de fusileros D. Luis Artacho y Don Joachín Salinas: en el de Sigüenza la Subtenencia de granaderos al Subteniente de fusileros D. Antonio María Fernandez Solis: en los de Jaén y Segovia Subtenencias á D. Joseph Antonio Fernandez d</t>
  </si>
  <si>
    <t>Artacho, Luis</t>
  </si>
  <si>
    <t>Luis Artacho</t>
  </si>
  <si>
    <t>Jbuena, Teniente de fusileros : Tenencia de esta clase en el de Burgos al Subteniente de granaderos D. Luis Artacho: igual empleo en el de Oviedo al Subteniente de cazadores D. Antonio Fernandez de la Llana, y las dos Subtenencias de bandera del mismo cuerpo á D. Félix Alvarez Celleruelo y I).</t>
  </si>
  <si>
    <t>Arteaga, Joseph</t>
  </si>
  <si>
    <t>Joseph Arteaga</t>
  </si>
  <si>
    <t>tiago compañía al Teniente de cazadores D. Manuel Calviño , y Tenencia al Subteniente de granaderos D. Joseph Arteaga: en el de Soria compañía al Capitán agregado y graduado de infantería D. Joachín Gómez de la Serna: Tenencia de cazadores en el de Lugo al Teniente de fusileros D¿ Pedro García: e</t>
  </si>
  <si>
    <t>Artechea, Antonio</t>
  </si>
  <si>
    <t>Antonio Artechea</t>
  </si>
  <si>
    <t>la Cebada , núm. \d\ quarto 3.°=^: El 19 de Agosto remitió el mismo D. Francisco Martínez de Hoz á D. Antonio Artechea, del comercio de Cádiz, 4 vales Reales de á &lt;5oo pesos, de 10 ¡de Abril, números 394,167 , 394,$58 &gt; 304,169 y 401,795, endosados por el U. Francisco á favor del D. Antonio j y ha</t>
  </si>
  <si>
    <t>Arturo Paget</t>
  </si>
  <si>
    <t>ia 22 al Rey las banderas ganadas por nuestras tropas en Seringapatnam. Antes dé ayer salió de aquí Mr. Arturo Paget, que va á residir cerca de S. M. Siciliana. El mismo dia los oficiales y marineros de las embarcaciones anglo-americanas que se hallan en el puerto de esta capital, asistieron en</t>
  </si>
  <si>
    <t>Arzobispo de Toledo, Cardenal</t>
  </si>
  <si>
    <t>Cardenal Arzobispo de Toledo</t>
  </si>
  <si>
    <t>is, la asistencia á la misa con estampas, y el retrato del Santo. Están ámbos dedicados al Emo. Sr. Cardenal Arzobispo de Toledo. Se hallarán en casa de Blanques, calle de las Carretas, núm, a. . t Examen sin excusa, consuelo de confesores y alivio de penitentes, acomodado á toda especie de ocupaciones, emp</t>
  </si>
  <si>
    <t>Asco, Juan Ignacio</t>
  </si>
  <si>
    <t>Juan Ignacio Asco</t>
  </si>
  <si>
    <t>seph Xarainillo, á D. Juan Alvarez: para otra de la catedral de Tarazona, vacante por fallecimiento D. Juan Ignacio Asco, á D. Gregorio López de Castro: para la Dignidad de Tesorero primera silla de la colegial de Baeza, diócesis de Jaén, vacante por fallecimiento de D. Juan Joseph Valdes, á D. Jose</t>
  </si>
  <si>
    <t>Asensio, Francisco</t>
  </si>
  <si>
    <t>Francisco Asensio</t>
  </si>
  <si>
    <t>arroquiales de Fraga de la* diócesis de Lérida, vacante por fallecimiento de D. Antonio Casillas, á D. Francisco Asensio^: para otra llamada de Derrengada, en la iglesia de S. Pedro de la villa de Alba de Tormes, en la diócesis de S.dajnanca, vacante por fallecimiento de D. Felipe Hernández Prieta,</t>
  </si>
  <si>
    <t>Asensio, Pedro</t>
  </si>
  <si>
    <t>Pedro Asensio</t>
  </si>
  <si>
    <t>te de granaderos al de fusileros D. Francisco Gutiérrez; á primer Teniente al segundo de granaderos D. Pedro Asensio; á segundo Teniente de granaderos al de fusileros D. Luis de Soto; á segundo Teniente al Subteniente de granaderos D. Félix Mijares; á Subteniente de granaderos al primer Subtenie</t>
  </si>
  <si>
    <t>Asensio, Remigio</t>
  </si>
  <si>
    <t>Remigio Asensio</t>
  </si>
  <si>
    <t>21 de enero de 1800</t>
  </si>
  <si>
    <t>por el Timo. Sr. D. Francisco de Salignac de la Mote Feneion , Arzobispo de Cambray; traducido por D. Remigio Asensio, presbítero. Se hallará en la librería de Dávila, calle de las Carretas , junto a la’imprenta’Real. Investigación, de la naturaleza y causas de la riqueza de las naciones , escrit</t>
  </si>
  <si>
    <t>Aspres, Coronel</t>
  </si>
  <si>
    <t>Coronel Aspres</t>
  </si>
  <si>
    <t>están fuera de Génova. El General Ott se halla dueño de Torriglia; pero el General Gottesheim y el Coronel Aspres han sido rechazados con pérdida, y se dice que este último está prisionero. Los austríacos se han apoderado del monte ae S. Bernardo, lo qual les facilitó el paso hácia Nevia. One</t>
  </si>
  <si>
    <t>Astorga, Juan Manuel</t>
  </si>
  <si>
    <t>Juan Manuel Astorga</t>
  </si>
  <si>
    <t>de fusileros D. Pedro Liñan. En el de infantería inmemorial del Rey á segundo Subteniente al Cadete D. Juan Manuel Astorga: en el de Saboya i segundo Teniente al Subteniente de granaderos graduado de Teniente D. Juan Aguirre : en el de Zaragoza á segundo Subteniente al Cadete D. Sebastian Norza^aray ;</t>
  </si>
  <si>
    <t>Atanasio Davales</t>
  </si>
  <si>
    <t>ermín Grdoñez de S. Pedro, y á los de fusileros D. Pedro Escobar, D. Manuel lísqnivel y Sotomayor y D. Atanasio Davales; y .una Subtenencia de bandera al Sargento primero del provincial de Toro D. Pedro de la Cámara: en el de Málaga( Tenencia al Subteniente D. Joachín Antonio Bello : en el de Logro</t>
  </si>
  <si>
    <t>Atanasio de Salcedo</t>
  </si>
  <si>
    <t>arroquial de Torre Campo, en la diócesis de Jaén, vacante por fallecimiento de D. Joseph Navarro, á D. Atanasio de Salcedo: para otro simple servidero de la parroquia de San Juan de la villa de Arjona, en la misma diócesis de Jaén , vacante por fallecimiento de D. Diego Ximenez , á D. Pedro María Pine</t>
  </si>
  <si>
    <t>Atanasio Pacheco, Alonso</t>
  </si>
  <si>
    <t>Alonso Atanasio Pacheco</t>
  </si>
  <si>
    <t>Libarria, oficial de la Real tesorería en Madrid : en Badajo* i D. Patricio Lacámara : en Mérida á D. Alonso Atanasio Pacheco ; y en Truxillo á Don Francisco Sanz de Soria. El 24 de Abril robáron á Mateo Fresno , ordinario de la villa del Barco, entre el lugar de Navaelpéral y Avila, dos vales Reales de</t>
  </si>
  <si>
    <t>Atanasio Puyal</t>
  </si>
  <si>
    <t>a ni aparato profano, con asistencia de las dos Asociaciones de Señoras y Ca-baíleros. El limo. Sr. D. Atanasio Puyal, Obispo de Caristo , y Auxiliar de Madrid, recibió la abjuración del neófito, suplió las ceremonias del santo Bautismo, y le administró el sacramento de la Confirmación* siendo su</t>
  </si>
  <si>
    <t>Atanasio Revuelta</t>
  </si>
  <si>
    <t>. Bartolomé de la Vega; á Subtenientes de granaderos á los primeros Subtenientes D. Clemente Lanza, D. Atanasio Revuelta y D. Julián Zurita; á primeros Subtenientes á los segundos D. Carlos Vinuesa, D. Juan Luzuriaga, L&gt;. Casimiro Bastarrachea , D. Fernando Aívarez , D. Joseph Campo y D. Agustín Otermin</t>
  </si>
  <si>
    <t>. Joseph Fortun y Mendoza; á segundos Tenientes á los Subtenientes de granaderos D. Clemente Lanza, D. Atanasio Revuelta y D. Julián Zurita; á Subtenientes de granaderos á los primeros Subtenientes D. Félix Melendez, D. Joseph Nevado y D. Narciso González; á primeros Subtenientes á los segundos D. Josep</t>
  </si>
  <si>
    <t>Atayde de Portugal, Henrique</t>
  </si>
  <si>
    <t>Henrique Atayde de Portugal</t>
  </si>
  <si>
    <t>s para guitarra y baxo, un gracioso tema con 10 variaciones, y una célebre sonata para guitarra, de D. Henrique Atayde de Portugal. SUPLEMENTO</t>
  </si>
  <si>
    <t>Augcreau, General</t>
  </si>
  <si>
    <t>General Augcreau</t>
  </si>
  <si>
    <t>que había en el campamento inmediato á Eindhowen han pasado ya de las fronteras de la República. El General Augcreau va á Paris, y después de conferenciar con el primer Cónsul, irá á ponerse al frente de su exérciro. Los 4 batallones de infantería que componen la división bátava de dicho exércit</t>
  </si>
  <si>
    <t>Augercau, General</t>
  </si>
  <si>
    <t>General Augercau</t>
  </si>
  <si>
    <t>•' 1191 Teniente General Sainte-Suzanne manda en el Baxo-Rhin: finalmente, el General Augercau tendrá en breve baxo sus órdenes otros 30®. Resulta de estos datos que los franceses han puesto en campaña 260© hombres, y los alemanes 160®: bien que á estos pueden añadirse los</t>
  </si>
  <si>
    <t>Augereau, General</t>
  </si>
  <si>
    <t>General Augereau</t>
  </si>
  <si>
    <t>mantes. También ha conferido el primer Cónsul el mando en xefe del exérci: to francés en Holanda al General Augereau, y al darle parte de su íiombramiento le dic.e: „Si las circunstancias me obligan á hacer yo mismo la guerra, creed que no os dexaré en Holanda.” Han acordado los Cónsules que se</t>
  </si>
  <si>
    <t>Curtís, que salió de Inglaterra en el navio Leandro. Haya 2 &lt;T de Enero. A ver noche llegó aquí el General Augereau. El Ministro Semonville lo presentó hoy al Directorio executivo, y hubo entre ellos una conferencia de cerca de dos horas. Parece que dicho General mandará no solo las tropas fran</t>
  </si>
  <si>
    <t>s ingleses. Hasta ahora no ha tenido este gobierno noticia positiva de tan fatal acontecimiento. El General Augereau, comandante en xefe de las tropas francesas y bátavas reunidas, sentará su quartel general en Utrech, á fin de estar en el centro de la República. A mediados de Marzo constará nue</t>
  </si>
  <si>
    <t>do en el Nort-Holanda, el tercepo en Frisia, y el quarto en la mencionada isla dé Walcheren----- El General Augereau, comandante en •xefe de las tropas francesas y bátavas, irá en breve á reconocer eí estado en que se hallan las fronteras y costas de esta República. Basilea 2 4 de Marzo. L os do</t>
  </si>
  <si>
    <t>rma un campamento de io0 hombres del exército bátavo, y al mando del General en xefe Augereau se trasladará al Baxo-Rhin, ó á qualquier punto de las costas de Elándes ú Holanda, en que pueda necesitarse. Basilea 7 de Mayo. H an transitado por Lausana mu</t>
  </si>
  <si>
    <t>24 de junio de 1800</t>
  </si>
  <si>
    <t>de cerca de 12® hombres, y se adelantará hácia el Rhin luego que; el General en xefe Augereau le haya pasado revista. Berna 2$ de Mayo. P ara transportar la artillería por el monte de S. Bernardo, en el qual ¡amas se había visto un cañón, se valió Bonap</t>
  </si>
  <si>
    <t>27 de junio de 1800</t>
  </si>
  <si>
    <t>dura del Mosa; y se advierte que algunas se acercan á sondear los pasos de la isla de Walcheren. El General Augereau ha despachado uno de sus Ayudantes á Italia con pliegos para el primer Cónsul. JSasilea I de Junio. T ienen los austríacos crecidas fuerzas cerca de Feldkirch y en el país de losG</t>
  </si>
  <si>
    <t>hubiesen de sostener por si solas los últimos esfuerzos del gobierno francés. . Haya 5 de Jumo. El General Augereau ha enviado sus equipages á Bois-le-Duc, en donde sementará el quartel general del cuerpo de su mando, y allí permanecerá’ hasta nueva orden. Parece que se ha tomado esta resolució</t>
  </si>
  <si>
    <t>4 de julio de 1800</t>
  </si>
  <si>
    <t>El General SainteSuzanne se retira del exército á causa de hallarse enfermo. ffaya 7 de Jimio. E 1 General Augereau y varios oficiales de su exército han salido para el ¡quartel general inmediato á BoiVle-duc. Llegan diariamente ai puerto de Amberes embarcaciones cargadas de mercancías y géneros</t>
  </si>
  <si>
    <t>de Orange en la isla de With. Lo cierto es que se fian preso últimamente aquí 3 espías inglesas. El General Augereau ha trasladado su quartel desde Bois-le-Duc á un castillo muy inmediato á Eindhoven. Se ha reforzado la guarnición de la isla de Kadsand, en la qual se ha colocado también mucha ar</t>
  </si>
  <si>
    <t>República han empezado los exercicios de primavera, que acostumbran hacer anualmente. No tardará el General Augereau en entrar en Alemania con las tropas francesas y. bííavas que manda. Estas ultimas se reunirán hoy 6 mañana con las francesas que están en el campamento de Eindhowen. Dícese que el</t>
  </si>
  <si>
    <t>Amsterdam para que extraigan algunas partidas de dinero. Luego que el exército bátavo y francés del General Augereau , que consta de 15® hombres, se reúna con las tropas que mandan los Generales Sainte-Suzanne y Cartaux, compondrá un total de 50© combatientes. Entre el Directorio bátavo y la ciu</t>
  </si>
  <si>
    <t>zas en Baviera; y por Maguncia y Dusseldoríf desfilan 30® hombres de que se compone el exército del General Augereau entre franceses y bátavos despachados de Holanda, y las demas tropas que le esperaban en Maguncia. Este exército lleva un parque de artillería de mas de 80 cañones----- a vanguardia</t>
  </si>
  <si>
    <t>paz con Francia. Por Keli ,ha pasado un correo de París que según dicen lleva órdenes al cuerpo del General Augereau para que suspenda su marcha por Alemania hasta nuevo aviso. El armisticio ajustado en Larsdorf el dia 15 , entre los exércitos de Alemania, consta de 10 artículos. Por el i.° se p</t>
  </si>
  <si>
    <t>is conforme á la Constitución de esta República. Strasburgo 4 de Agosto. H an llegado á Maguncia el General Augereau y el ciud. RostoIIand, xefe de su plana mayor. Está Augereau en ánimo de ir á Francfort, en donde se halla el quartei del General Souham. Han pasado por Ratisbona dos correos, uno de</t>
  </si>
  <si>
    <t>2 de septiembre de 1800</t>
  </si>
  <si>
    <t>ria sin pasaporte del ministerio de Viena. Colonia &lt;T de Agosto. E 1 General én xefe Augereau ilegó el dia 3 muy temprano á Francfort, y la misma noche se restituyó á Maguncia. El cuerpo de su mando sigue subiendo por la orilla del Nidda, pues está conv</t>
  </si>
  <si>
    <t>esta noticia al Directorio. Antes de ayer mañana llegó aquí el General Víctor, que por ausencia del General Augereau mandará las tropas-francesas en. esta República.. -y-, Basilea 4 de Agosto. El General Lecourbe ha sentado su quartel en Kempten.__Se ha hechoalguna mudanza en la línea de armisti</t>
  </si>
  <si>
    <t>Almirante Dew'inter. Antes de ayer llegó aquí el Capitán Bussiere, individuo de la plana mayor del General Augereau, con pliegos muy importantes para este gobierno y para el Ministro francés. No tardó mas que dos dias desde Francfort, y dexó en Hoechts el quartel general del exército galo-bátav</t>
  </si>
  <si>
    <t>adores; pero los austríacos reconocen á veces las reclutas, y si hallan desertores los detienen. El General Augereau ha trasladado su quartel general desde Hoechst á Francfort. Las divisiones de Colau y Souham, que se hallaban en estos contornos, han entrado en Franconia, en donde los franceses</t>
  </si>
  <si>
    <t>e le parezca mas conveniente. Los magistrados de esta ciudad recibiéron ayer la siguiente carta del General Augereau: „ Estoy informado de que hay quien intenta propagar rezelos entre los comerciantes de Francfort con motivo de hallarse un exército francés en estas inmediaciones. Podéis asegurar</t>
  </si>
  <si>
    <t>sburgo 26 de Agosto. H a transitado por aquí un correo de París, que va con gran priesa á Viena. El General Augereau pasó el 18 revísta á toda la guarnición de Francfort, que consta de 3 batallones de infantería, v«:&lt;:os esqu xiron-vS de caballería, y un cuerpo de artillería ligera. Ayer se divu</t>
  </si>
  <si>
    <t>26 de septiembre de 1800</t>
  </si>
  <si>
    <t>s, y está nombrado Ministro de Relaciones exteriores de la misma. Hállase aquí hace algunos dias el General Augereau. Parece que el gobierno toma á su cargo el establecimiento de sordomudos formado en esta ciudad : pues el Ministro de lo Interior ha nombrado sugetos que cuiden de su dirección y</t>
  </si>
  <si>
    <t>3 de octubre de 1800</t>
  </si>
  <si>
    <t>ego á Wurtzburgo, y después hacia Nureinberg, al otro lado del Rednitz. Las del cuerpo que manda el General Augereau se han extendido, y-ocupan mayor parte que ántes de la línea de neutralidad: su quartel general se adelantará mas allá de Iíoechst. Los dragones franceses que había en Francfort*</t>
  </si>
  <si>
    <t>tomar posesión del Tirol, desde donde sin gran dificul-? tad podrán penetrar en Austria. Aunque el General Augereau avisó que el día 7 debían empezarlas hostilidades, habiendo luego sabido que Moreau tardó 3 dias mas en dar igual, aviso á Mr. Kray (y que por consiguiente no stvromperia el armis</t>
  </si>
  <si>
    <t>mañana otros 5 ó 6© hombres. Francfort jo de Setiembre, D esde su quartel de Hoechst ha dirigido el General Augereau una precia* ma á los habitantes de los estados del Imperio, que están en guerra con Francia, diciéndoles que la República ha hecho lo posible para que aquellos desgraciados países</t>
  </si>
  <si>
    <t>alernan de reserva que se está formando en el Austria, Stiria &amp;c. v» Wctzlaer 20 de Setiembre. JL^l General Augereau ha pedido 400® francos de contribución á los tres Principados de Nassau-Usingen, Dietz y Wielburgo, y al Condado de Hachenburgo. Se ha extrañado mucho esta solicitud, mayormente q</t>
  </si>
  <si>
    <t>s exigen. Los alemanes han-evacuado la ciudad de Aschaífenburgo, y es ella ha sentado su quartel el General Augereau. El Ministro Barón de Albini,que se hallaba en aquella plaza, salió después de dichas tropas acompañándole sus guardias de infantería y caballería. £1 dia 10 entró allí el General</t>
  </si>
  <si>
    <t>upar aquella ciudad una partida de sus tropas al mando del General Bonnet. El correo que llevaba al General Augereau el* aviso de haberse ajustado otra suspensión de hostilidades, llegó á su quartel quando este las había ya empezado por la derecha del Mein: una coluna de nuestro exército se adelan</t>
  </si>
  <si>
    <t>brigada y un regimiento de dragones, que van á toda priesa á Maguncia para reforzar al exército del General Augereau. Aunque es otra vez muy corto el número de naves inglesas que cruzan actualmente sobre estas costas, intentan no obstante algunos desembarcos. Recientemente quisieron apoderarse d</t>
  </si>
  <si>
    <t>Augeréau, General</t>
  </si>
  <si>
    <t>General Augeréau</t>
  </si>
  <si>
    <t>cios, y continuó luego su viage por IJrunau para. Viena. .n;‘ \ &lt; Francfort de Setiembre. \ . úJCLi General Augeréau íérítcó antes de: ayermen esta oiudad, y en ella sentará^ segumue cree'^^su quartel, quecU&amp;dífc; aquí de guarniciqn 3 bataíloues franceses. - ~ .■ i*:,-. .;</t>
  </si>
  <si>
    <t>iden ahora la mencionada suma, con los intereses caidosde 5 años, que ascienden á 260® florines. El General Augereau ha concedido la neutralidad á los Príncipes y Condes de Nassau, á cuyo favor ha intercedido el Rey de Prusia. Ademas hace mucho tiempo que dichos Príncipes han retirado sus contin</t>
  </si>
  <si>
    <t>con 2 fsquadrones de caballería, y vivirán á discreción. El Senado acaba de despacha* diputados al General Augereau, que está en Offenbach, pidiéndole nuevo término, y una rebaxa en dicha suma. Créese que luego que se arregle este punto saldrán de aquí todas las tropas francesas. Los Príncipes</t>
  </si>
  <si>
    <t>re. ¿Vluchos oficiales del exército.galo-bátavo han obtenido licencia para volver á sus casas, y el General Augereau se trasladará también quanto antes al Haya. Su exército está ya en los puestos y acantonamientos que debe ocupar miéntras dure el armisticio, y tiene sus principales quarteles por</t>
  </si>
  <si>
    <t>spitales. - Ha ratificada el gobierno francés el tratado de neutralidad y de paz concluido-éntre él General Augereau y el Príncipe de Isenburgo. - Lo£ austríacos están levahtancló oos cabezas de puente en el Inn, y obligan á-las tropas bávaras á que trabajen en aquellas obras, como también enTos muc</t>
  </si>
  <si>
    <t>legó aquí el ciud. Luis Bonaparte» y ayer mañana salió para Offembách, en donde está el quartel deí General Augereau. Volvió</t>
  </si>
  <si>
    <t>obrado en alta mar, ó han encallado en los báñeosle arena. Las tropas galo-bátavas, mandadas por el General Augereau, que debían tomar quarteles de invierno en las orillas delRhin, han recibido nueva orden para que se dirijan á las fronteras de los obispados de Wurtzburgo y Bamberg, como también</t>
  </si>
  <si>
    <t>de la. guerra, ó la prolongación del armisticio. Se aíségura que el General en xefe Augereau ha avisad!} al General austríaco Simbschén (qjue manda en la derecha del Mein) que el</t>
  </si>
  <si>
    <t>or del exército galo*-bátavo, llegó el dia 14 á la secretaría del Ministro de Guerra con cartas del General Augereau, en que avisa que el dia 22 se renovarán las hostilidades. EL Directorio comunicó esta noticia al Cuerpo legislativo en junta secreta. De resultas han baxado bastante los fondos p</t>
  </si>
  <si>
    <t>Aúgereau, General</t>
  </si>
  <si>
    <t>General Aúgereau</t>
  </si>
  <si>
    <t>que no los envíen al instante. Francfort jj de Noviembre. E 1 exército galo^bátavó , mandado por el General Aúgereau, se ha puesto</t>
  </si>
  <si>
    <t>el quartel general del exército del Rhin ha llegado un correo al del General en xefe Augereau con pliegos, que según se asegura contienen la orden de que se suspenda la renovación de hostilidades en las margenes del Mein hasta que se reciban nuevos avis</t>
  </si>
  <si>
    <t>República, habiendo visto el convenio concluido en Aschafenburgo el 15 de Setiembre último entre el General Augereau, Qeneral en xefe del exército básavo, y el Príncipe heredero de Isenhurgo, lo aprueba para que se execute según su tenor?y en conseqücncia dispone: Art. i.° Los estados y posesion</t>
  </si>
  <si>
    <t>istinción; pero como todos los Príncipes de aquel pais, cuya inkosíilidad ha sido comprobada por el General Augereau, están en el mismo caso que el de Isenburgo; y que todos tenían á su favor Ja recomendación de U corte de BerJin, que debía excitar aun másda benevolencia del gobierno francés, el</t>
  </si>
  <si>
    <t>exército de los Grisones, que consta de otros 30© combatientes , se ha puesto en campaña; y el del General Augereau ha llegado de Holanda y Flándes al Mein, y por consiguiente ha aumentado con 30© hombres las fuerzas francesas en Alemania-----No ha sacado la Francia menores ventajas de la tregu</t>
  </si>
  <si>
    <t>dos, han llegado á esta ciudad. El Barón de Albini, comandante de las tropas maguntinas, propuso ál General Augereau se prorrogase 6 días el armisticio; pero el General frunces lo rehusó diciendo que esperaba cenar el 24 en el castillo de Aseh»fre!¡burgo;^»i_ En efecto , aquel díaiá las 8 de la</t>
  </si>
  <si>
    <t>armente esta disposición. Ayer mañana comunicó dicho Ministro francés á este gobierno una carta del General Augereau, en que da cuenta de la aecion que tuvo el día 24 cerca de Aschaffenburgo; y alaba el valor que las tropas holandesas, y en particular los húsares^, acreditaron en dicha acción, e</t>
  </si>
  <si>
    <t>ro por la tarde acometiéron los franceses á los maguntinos, y los rechazá?ron. Llegó entre tanto el General Augereau con refuerzos, y amenazo bombardear á Aschaffenburgo si las tropas de Maguncia no evacuaban iamediatamente aquella ciudad. El Barón de A¿bir&gt;i, temiendo sé efectuase esta amenaza-</t>
  </si>
  <si>
    <t>Augerecín, General</t>
  </si>
  <si>
    <t>General Augerecín</t>
  </si>
  <si>
    <t>aquella nación. Stras burgo 8 de Agosta. L as tropas oue salieron de Holanda baxo las* ordenes del General Augerecín.siguen- su marcha hacia el Rhin-Superior ; con lo qual queda desmentido le» que se dixa de que habían: recibido orden para ^tirarse a aquella Repací iea. Parece que dicho cuerpo ,</t>
  </si>
  <si>
    <t>Augereiu, General</t>
  </si>
  <si>
    <t>General Augereiu</t>
  </si>
  <si>
    <t>as por la República bátava, que salen de Holanda para aumentar el exército del Rhiit mandado por el General Augereiu. Un cuerpo de artillería de á caballo1 marchará al mismo destino; y en caso que siga la guerra, 6 que lo requieran las circunstancias, una división de cañoneras holandesas irá á a</t>
  </si>
  <si>
    <t>Augusto de Inglaterra, Príncipe</t>
  </si>
  <si>
    <t>Príncipe Augusto de Inglaterra</t>
  </si>
  <si>
    <t>rgas y contribuciones que los vecinos y los labradores pagan por Jas suyas. Uamburgo 3 de Mayo* E 1 Príncipe Augusto de Inglaterra llegó de Berlín á Al tona, y continua $» viage á Cuxhaven , en donde se embarcará para Londres. El General Dumoimer ha llegado de Rusia á la Saxonia-Inferior. Según cartas de Ital</t>
  </si>
  <si>
    <t>presume que estuvieron 600 anos enterradas* Londres 12 de Mayo. Kl dia 7 llegó de Hamburgo aquí el Príncipe Augusto de Inglaterra, que .estuvo en Berlín, de donde, según dicen, desapareció repentinamente para librarse de sus acreedores. t Ya se ha embarcado en Portsmouth el Duque de Orleans, que con sus herm</t>
  </si>
  <si>
    <t>Augusto Fernando, Príncipe</t>
  </si>
  <si>
    <t>Príncipe Augusto Fernando</t>
  </si>
  <si>
    <t>. ; } El dia io fue el xefe de esquadron Luis Bonaparte á la quinta de Be^ lievue para visitar al « Príncipe Augusto Fernando-, tio de,J&gt;. M. , y- comio, pon $. A. R. . a oh . o :• Augsburgo 23 de Noviembre* i : «« &gt;f - -,t;j E scriben de Viena qúe habiendo, llegado allí* ünmcorrec* despachado 'por Mr. de</t>
  </si>
  <si>
    <t>Augusto, Príncipe</t>
  </si>
  <si>
    <t>Príncipe Augusto</t>
  </si>
  <si>
    <t>enientes Generales y Mayores generales; y ha promovido á Sargento mayor del regimiento de Louich al Príncipe Augusto, hijo del Príncipe Fernando de Prusia, que, era Capitán en dicho cuerpo. Fueron en este año muy brillantes las revistas de Potsdam y de Berlín. En las de esta ciudad había 25 bata</t>
  </si>
  <si>
    <t>Augustos Van-Schultz</t>
  </si>
  <si>
    <t>ostilidades. No es el Barón de Dohm el que va al congreso de Luneville como Ministro prusiano, sino Mr. Augustos Van-Schultz, el qual ha pasado ya por Bruselas dirigiéndose i París, de donde se transferirá á Luneville. Parts 29 de Noviembre. E 1 día 25 salió de aquí el ciud. Lemarrois, Ayudante del prim</t>
  </si>
  <si>
    <t>Auítamberg, General</t>
  </si>
  <si>
    <t>General Auítamberg</t>
  </si>
  <si>
    <t>den para que vayan inmediat mente á tas fronteras, supuesto que el día 4 concluya el armisticio. El General Auítamberg, que manda en el Vintschgau del Tirol, ha recibido wn refuerzo de 6 compañías de tiradores del país. Trabaj n los austríacos con la mayor priesa en aumentar sus atrincheramientos</t>
  </si>
  <si>
    <t>Aukland, Lord</t>
  </si>
  <si>
    <t>Lord Aukland</t>
  </si>
  <si>
    <t>aterra, y que la introducción ha sido menor que en ios 7 años anteriores. Del mismo dictamen fue el Lord Aukland , quien añadió que era ya tiempo de que la Cámara se enterase del estado verdadero de este asunto. .El Ministro Grenviile consideró la qüestion como intempe stiva, y sostuvo que n</t>
  </si>
  <si>
    <t>Aurelio Monty, Marcos</t>
  </si>
  <si>
    <t>Marcos Aurelio Monty</t>
  </si>
  <si>
    <t>s D. Diego Meany: en el batallón de Voluntarios de Tarragona á segundo Ayudante al segundo Teniente D. Marcos Aurelio Monty; á segundo Teniente al primer Subteniente D. Mariano Colomer; á primer Subteniente al segundo, graduado de Teniente, D. Christobai Mestres; y á segundo Subteniente al de esta clas</t>
  </si>
  <si>
    <t>Aute, Ventura</t>
  </si>
  <si>
    <t>Ventura Aute</t>
  </si>
  <si>
    <t>dos vrles Reales , el uno de 300 pesos, creación de 10 de Abril de 99 , núm. 438,510, endosado por D. Ventura Aute, de Córdoba , al expresado D. Pablo j y ei otro de 6oo pesos , creación de 15 de Setiembre , con el mismo endoso ,-núai. 142,553. Quien supiere de ellos avisará á D. Pablo Le Roux</t>
  </si>
  <si>
    <t>Auxiliar de Santa Cruz de la Sierra, Obispo</t>
  </si>
  <si>
    <t>Obispo Auxiliar de Santa Cruz de la Sierra</t>
  </si>
  <si>
    <t>su plaza, en consideración á su mérito y buenos servicios. En América. El Rey se ha servido nombrar Obispo Auxiliar de Santa Cruz de la Sierra, en el Vireynato de Buenos-Ay res, á 0. Rafael de la Vara. S. M. se ha dignado conceder agregación de Teniente al regimiento de dragones de México á 0. Antonio Mahy, Subteniente d</t>
  </si>
  <si>
    <t>Avales, Francisco Xavier</t>
  </si>
  <si>
    <t>Francisco Xavier Avales</t>
  </si>
  <si>
    <t>ia al Subteniente D. Joachín Antonio Bello : en el de Logroño Tenencia al Subteniente de granaderos D. Francisco Xavier Avales-; la Subtenencia de cazadores al Subteniente D. Joseph Saturio Ovejas, y una Subtenencia de fusileros al Subteniente del provincial de Soria D. Vicente Ruiz: en el de Burgos Tenenc</t>
  </si>
  <si>
    <t>Avalle, Pedro Carlos</t>
  </si>
  <si>
    <t>Pedro Carlos Avalle</t>
  </si>
  <si>
    <t>an Chrisóstomo Mañero: para la Media-Ración, vacante en la catedral de Córdoba por fallecimiento de D. Pedro Carlos Avalle, á D. Bernardo García Cañete: para otra Media-Ración de la de Segovia, vacante por la promoción de Don Joseph de Burgos á una Canongía de la misma Iglesia, á D. Manuel Fernandez d</t>
  </si>
  <si>
    <t>Avendaño, Francisco</t>
  </si>
  <si>
    <t>Francisco Avendaño</t>
  </si>
  <si>
    <t>ubtenientes á los Cadetes D. Miguel Pacheco y D. Ramón de Medina, y al Sargento primero distinguido D. Francisco Avendaño; habiendo nombrado Capellán del primer batallón del de la§ Ordenes Militares al presbítero Don Alberto Mateo Gómez. Habiéndose practicado últimamente en el colegio militar de Sego</t>
  </si>
  <si>
    <t>Aviles, Ramón</t>
  </si>
  <si>
    <t>Ramón Aviles</t>
  </si>
  <si>
    <t>se ha servido nombrar Portaguión del esquadron de dragones de milicias disciplinadas de Guayaquil á D. Ramón Aviles* Cadete del mismo cuerpo. El 11 del corriente por la mañana desde el pretil de palacio á la calle de 1&amp; Inquisición, la de Luzon y Platerías hasta la entrada de la obra, nueva de</t>
  </si>
  <si>
    <t>Avril, General</t>
  </si>
  <si>
    <t>General Avril</t>
  </si>
  <si>
    <t>Ayudante Bribes sostuvo el fuego durante i horas, ganando así tiempo para que llegase la coluna del General Avril, el qual los acometió y derrotó causándoles una pérdida considerable; dexáron cubierto de muertes y heridos el campo de batalla, y uno de sus xefes perdió la vida. Por nuestra par</t>
  </si>
  <si>
    <t>quedan de todos los cuerpos de rebeldes sino algunas partidas, ó mas bien gavillas de ladrones. El General Avril persigue á los xefes de división Beauregard y Henry, que parece son los únicos que no quieren sujetarse á las leyes de la República. Los otros caudillos , que se han rendido, y so</t>
  </si>
  <si>
    <t>Aymerich, Joseph</t>
  </si>
  <si>
    <t>Joseph Aymerich</t>
  </si>
  <si>
    <t>te al Cadete D. Juan Morales y Correa : en el de Sevilla á primer Teniente al segundo de granaderos D. Joseph Aymerich; á segundo Teniente de granaderos al de fusileros D. Francisco Fortun ; á segundo Teniente al Subteniente de granaderos Don Joseph Marco y Royo; á Subteniente de granaderos al pri</t>
  </si>
  <si>
    <t>Ayudante del General Beurijonville</t>
  </si>
  <si>
    <t>arnot, que ha hecho dimisión. El dia 5 llegó de Berlín á Paris el ciud. Belair, Ayudante del General Beurijonville, Ministro de Francia en Prusia. El ciud. Luis Bonaparte ha salido de aquí para viajar por Prusia y Aie•mania. El Sr. Boulígni, Ministro de S. M. Católica en Constantinopla, que va á.España,</t>
  </si>
  <si>
    <t>Azañedo, Vicente</t>
  </si>
  <si>
    <t>Vicente Azañedo</t>
  </si>
  <si>
    <t>stante fundamento para creerlo. -j-, Villar del Espinar 8 de Mayo. XLl 15 de Marzo, á instancias de D. Vicente Azañedo, maestro de primeras letras de esta villa , examinado y aprobado por el Consejo, se celebró en acto de examen en las casas consistoriales, á que asistió el Cura párroco el Cabildo</t>
  </si>
  <si>
    <t>Aznar de Polanco, Juan Claudio</t>
  </si>
  <si>
    <t>Juan Claudio Aznar de Polanco</t>
  </si>
  <si>
    <t>ónimo. Arte de escribir por reglas matemáticas y preceptos geométricos , inventado s por el maestro D. Juan Claudio Aznar de Polanco. Esta obra muy estimada de los profesores trata: i.° del modo de imitar con perfección los caracteres bastardo, grifo, redondo, romanillo, gótico de canto ó de libros de coro: a.°</t>
  </si>
  <si>
    <t>Aznar, Antonio</t>
  </si>
  <si>
    <t>Antonio Aznar</t>
  </si>
  <si>
    <t>o primero D. Onofre Noviola: en el de Voluntarios de Valencia á segundo Capitán al segundo Ayudante D. Antonio Aznar; X segundo Ayudante al primer Teniente D. Francisco Salvador; á primeros Tenientes X los segundos D. Lamberto L'honeux y D. Antonio Miguel de Troncos; X segundos Tenientes á los p</t>
  </si>
  <si>
    <t>Azntr, Antonio</t>
  </si>
  <si>
    <t>Antonio Azntr</t>
  </si>
  <si>
    <t>D. Ramón Puigros: en el batallón de Volunt trios de Valencia á segundo Ayudante al primer Teniente D. Antonio Azntr; á primer Teniente al segundo D. Francisco Salvador; á segundo Teniente al primer Subteniente D. Francisco Caturla; á esta resulta al segundo Subteniente D. Joachin Rubio, y a seg</t>
  </si>
  <si>
    <t>Azzaretto, General</t>
  </si>
  <si>
    <t>General Azzaretto</t>
  </si>
  <si>
    <t>nto Mayor piamontes Saint-Ambroise por los contornos de Oneilla molestan mucho á los enemigos; y el General Azzaretto, mediante sus inteligencias en Ja Polcevera y en los arrabales de Genova, les causará también mucho daño.” Florencia 2^ de Abril. A ntcs de ayer noche llegó á esta capital el Duqu</t>
  </si>
  <si>
    <t>Ba, Pedro</t>
  </si>
  <si>
    <t>Pedro Ba</t>
  </si>
  <si>
    <t>D. Vicente Sánchez Muñoz: para la Vara segunda de la ciudad de Cádiz, vacante por fallecimiento de D. Pedro Ba</t>
  </si>
  <si>
    <t>Baámonde, Joachín</t>
  </si>
  <si>
    <t>Joachín Baámonde</t>
  </si>
  <si>
    <t>regimiento: de Capitán en el de Mondoñedo al Teniente dje infantería graduado y efectivo del misino D. Joachin Baámonde; el de Teniente al Subteniente D. Manuel Sánchez de la Peña ; y Subtenencias de bandera á D. Joseph María Padriñan y D. Antonio María Moscoso: Compañía en el de Ciudad-Rodrigo al</t>
  </si>
  <si>
    <t>Baamonde, Luis</t>
  </si>
  <si>
    <t>Luis Baamonde</t>
  </si>
  <si>
    <t>difunto Teniente Coronel y Comandante de Ingenieros D. Simón Poulet, ilesa su memoria. Al Brigadier D. Luis Baamonde, Coronel del provincial de Mondoñedo, y al Teniente Coronel D. Joseph Chardenoux, Sargento mayor de la, plaza, suspensión de sus empleos por 3 años. Al Capitán D. Joseph de León;</t>
  </si>
  <si>
    <t>Bacher</t>
  </si>
  <si>
    <t>ü exército cñ Italia: „$in embargo de las vivas y repetidas instancias,, que el-ciud. Bacher ha hecho á favor de los Generales Demont y Colli, se resiste el Austria á enviarlos á Francia. Es probable que el Consejo áulico no hace en esta ocasión sino c</t>
  </si>
  <si>
    <t>Bachoni y Padilla, Manuel</t>
  </si>
  <si>
    <t>Manuel Bachoni y Padilla</t>
  </si>
  <si>
    <t>D. Antonio Piñeyro y Maceda, Don Rafael de Mesa y Montero , D. Francisco Troncoso de Lira y Garza, Don Manuel Bachoni y Padilla, D. Alonso Martin Vegue y Zayas, D. Joseph</t>
  </si>
  <si>
    <t>Bacna, Joseph</t>
  </si>
  <si>
    <t>Joseph Bacna</t>
  </si>
  <si>
    <t>Bonifacio Martínez ; á Alférez al Portaestandarte D. Donato Ccbrian , y á Portaestandarte al Cadete D. Joseph Bacna : en el de España á Alférez ai Portaestandarte D. Pedro Casasola; y á esta resulta al Sargento D. Miguel Navarro: en el de Adgarbe á primer Teniente al segundo D, Joseph Manuel de</t>
  </si>
  <si>
    <t>Badolato, Joseph</t>
  </si>
  <si>
    <t>Joseph Badolato</t>
  </si>
  <si>
    <t>Vizconde de■ ¿Jolina ; á,Comandante ele esquadron. al Sargento mayor, graduado de Teniente Coronel, D. Joseph Badolato ; y.á Alférez aí Portaestandarte Don Calixto Payan de Vargas ; y en ei de dragones de Álmansa á Comandante del tercer esquadron al Sargento mayor del de la Reyna, graduado de Coro</t>
  </si>
  <si>
    <t>Baeza, Antonio</t>
  </si>
  <si>
    <t>Antonio Baeza</t>
  </si>
  <si>
    <t>z D. Francisco .Sánchez : en el de la Costa de Granada á segundo Teniente al agregado en esta clase D. Antonio Baeza: en el de dragones del Rey á Capitán al Ayudante Don Francisco de Cabrera, y á Teniente al Alférez de granaderos D. Isidoro Sacristán: en el de Pavía á Teniente al Alférez D. Lore</t>
  </si>
  <si>
    <t>Bahúnas, Joseph</t>
  </si>
  <si>
    <t>Joseph Bahúnas</t>
  </si>
  <si>
    <t>simismo ha tenido el Rey á bien nombrar Alférez en el regimiento de dragones de Lusitania al Cadete D. Joseph Bahúnas. El Rey se ha di "nado nombrar Cirujano de! tercer batallen del regimiento de infantería Se Ultonia á D. Juan Joseph del Castillo: de! tercero del de Navarra á D. Este'ban Teixido</t>
  </si>
  <si>
    <t>Bails y de Ja Aritmética del Clairaut, Benito</t>
  </si>
  <si>
    <t>Benito Bails y de Ja Aritmética del Clairaut</t>
  </si>
  <si>
    <t>premios distribuidos en ámbos certámenes fueron para matemática, exemplares del Curso abreviado de D. Benito Bails y de Ja Aritmética del Clairaut con las ilustraciones de Lagrange y Laplacc: para la náutica, del tratado de Máquinas y Maniobras de Ciscar, y de la Navegación de Mendoza y Ríos; y para el dibuxo lapiceros de pl</t>
  </si>
  <si>
    <t>Bails, Benito</t>
  </si>
  <si>
    <t>Benito Bails</t>
  </si>
  <si>
    <t>seph Cabeza de Vaca, que Obtuvo elExáinen marítimo de D. Jorge Juan ' y el Suplemento de la obra de D. Benito Bails; y en mecánica é hidráulica, el Dr. D, Joseph Badillo, D. Sebastian Llórente y D. Felipe Matheos, á los que se premió con la obra de fottifiéacion del ingeniero ingles Múller. El</t>
  </si>
  <si>
    <t>Baker, Capitán</t>
  </si>
  <si>
    <t>Capitán Baker</t>
  </si>
  <si>
    <t>llaiísev ahora en Deál todos estos buques dinamarqueses, y á nadie se permite acercarse á ellos. El Capitán Baker, comandante de la Némesis, ha venido aquí á informar de este suceso al Almirantazgo. De resultas de haber llegado estos días un extraordinario de Viená despachado por el Lord Mint</t>
  </si>
  <si>
    <t>Baladre, Diego</t>
  </si>
  <si>
    <t>Diego Baladre</t>
  </si>
  <si>
    <t>tiradores al de cazadores D. Joachin del Campillo; á segundo Teniente al Subteniente de gastadores D. Diego Baladre; y á esta resulta al Subteniente D. Domingo Brandis: en ei de Ñipóles á primer Subteniente al segundo D. Jayme de Beaufort. S. M. se ha dignado promover en el regimiento de caball</t>
  </si>
  <si>
    <t>Balaguer, Joseph</t>
  </si>
  <si>
    <t>Joseph Balaguer</t>
  </si>
  <si>
    <t>bteniente al Cadete D. Andrés Verea : en el de la Corona á primer Teniente al segundo de granaderos D. Joseph Balaguer; á segundo Teniente de granaderos al de fusileros D. Baltasar Andrade; á segundo Teniente al Subteniente de granaderos D. Manuel Bermudez; á Subteniente de granaderos al primer Su</t>
  </si>
  <si>
    <t>Balay, Manuel</t>
  </si>
  <si>
    <t>Manuel Balay</t>
  </si>
  <si>
    <t>Pilotos D. Mariano Merino y D. Manuel Hernández: de Tenientes al Capitán de correos en Puerto-Rico Don Manuel Balay y al Piloto segundo D. Luís Abello; y de Subtenientes á Jos Pilotines D. Manuel Barruti y D. Joácbin de Ugarte. É;i América. Eí Rey se ha servido nombrar para una Canongía de merced</t>
  </si>
  <si>
    <t>Balbin, Ignacio</t>
  </si>
  <si>
    <t>Ignacio Balbin</t>
  </si>
  <si>
    <t>cito á los xefes de mesa ds la Tesorería mayor D. Felipe Fernandez de Argüí, Don Bernardo Reboles , D. Ignacio Balbin, D. Manuel Gutiérrez de Teran, Don Antonio Melendro , y al Oficial tercero de número D. Joseph Moreno Martínez. Honores de Tesorero de Exército á D. Joseph Henriquez de Otero, xo*</t>
  </si>
  <si>
    <t>Baldomero y Francisca</t>
  </si>
  <si>
    <t>Supl. 2, p. 4</t>
  </si>
  <si>
    <t>orregimiento de Tarragona........ ....... ........... 50. Mer Busquets, hijo de Baldomero y Francisca, natural de Fubliá , Corregimiento de Gerona......... .................. . 30, Juan Solé, hijo de Antonio y Serafina, natural de Barcelona, Corregimiento idem...;..........:...............</t>
  </si>
  <si>
    <t>Baliñani, Fernando</t>
  </si>
  <si>
    <t>Fernando Baliñani</t>
  </si>
  <si>
    <t>á los segundos D. Lorenzo Cotarelo y D. xAlexandro Arroyo, y á segundos Subtenientes á los Cadetes D. Fernando Baliñani y D. Pablo de los Senderos: en el Suizo de Betschart Tenencias á los Subtenientes de granaderos D. Juan Richenbach y D. Luis Fesler; sus resultas á los Subtenientes D. Melchor Schwite</t>
  </si>
  <si>
    <t>Baliñani, Pablo</t>
  </si>
  <si>
    <t>Pablo Baliñani</t>
  </si>
  <si>
    <t>niente al Subteniente Don Pedro Faustino González: en el de Ñapóles á primer Subteniente al segundo D. Pablo Baliñani, y á segundo Subteniente al Sargento primero'Don Felipe Aíarcenaro: en el de Suizos de Reding á Sargento Mayor al Capítan segundo D. Jayme Steudinger; á Capitán de granaderos al C</t>
  </si>
  <si>
    <t>Ballester y Flotas, Nicolás</t>
  </si>
  <si>
    <t>Nicolás Ballester y Flotas</t>
  </si>
  <si>
    <t>que se han extraviado. Quien supiere de ellos dará aviso á dichos sugetos. El 7 de este mes remitió D. Nicolás Ballester y Flotas, de Cádiz, con endoso f favor de los Sres. Villanueva y Lara, de Sevilla, un vale Real de 150 pesos,</t>
  </si>
  <si>
    <t>Ballester, Joseph</t>
  </si>
  <si>
    <t>Joseph Ballester</t>
  </si>
  <si>
    <t>al segundo D. Juan Montaner; y á segundo Subteniente al Sargento primero, graduado de Subteniente, D. Joseph Ballester: en el regimiento de infantería de León á Capitán al primer Teniente D. Aniceto de Pierra y Amarillas: en el de Granada á segundo Teniente al Subteniente de granaderos D. Tomas Ga</t>
  </si>
  <si>
    <t>Ballester, Matías</t>
  </si>
  <si>
    <t>Matías Ballester</t>
  </si>
  <si>
    <t>inciales de Andalucía. Asimismo se ha servido nombrar Maestro Armero de la ciudadela de Vale ncia á D. Matías Ballester; y Maestros mayores de Montages de su Real Maestranza de artillería de Barcelona á D. Joseph Prats y D. Ventura Daímau, Sargentos de la misma; y también ha tenido á bien el nombra</t>
  </si>
  <si>
    <t>Ballesteros, Manuel</t>
  </si>
  <si>
    <t>Manuel Ballesteros</t>
  </si>
  <si>
    <t>Tenientes á los segundos de granaderos D. Joseph Yañez y Don Máximo Miralles, y á los de fusileros D. Manuel Ballesteros y D. Pedro Patino; á segundos Tenientes de granaderos á los de fusileros D. Francisco Bartolomé y D. Joseph Baamonde; á segundos Tenientes á los Subtenientes de granaderos D. Ramón Ol</t>
  </si>
  <si>
    <t>Baltasar Andrade</t>
  </si>
  <si>
    <t>iente al segundo de granaderos D. Joseph Balaguer; á segundo Teniente de granaderos al de fusileros D. Baltasar Andrade; á segundo Teniente al Subteniente de granaderos D. Manuel Bermudez; á Subteniente de granaderos al primer Subteniente D. Juan Bautista Benache ; á primer Subteniente al segundo O</t>
  </si>
  <si>
    <t>Baltasar Araujo</t>
  </si>
  <si>
    <t>Sotomayor. El Rey se ha servido promover á Teniente Coronel del regimiento provincial de Monterey á D. Baltasar Araujo, Capitán del propio cuerpo; y á Sargento mayor del de Bujalance á D. Antonio de la Rocha, Capitán del de infantería fixo de Ceuta. En América. En el regimiento de caballería provi</t>
  </si>
  <si>
    <t>Baltasar Briz</t>
  </si>
  <si>
    <t>naderos al de fusileros D. Félix Fernandez de Soto; á segundo Teniente al Subteniente de granaderos D. Baltasar Briz; á Subteniente de granaderos al primer Subteniente D. Pasoual Moreno; á primer Subteniente al segundo D. Pedro Morell, y á segundo Subteniente al Cadete D. Joseph de la Torre: en</t>
  </si>
  <si>
    <t>Baltasar Cornelias y Rosiñol</t>
  </si>
  <si>
    <t>yilo, D. Julián Leonés y Hernández Reyilo, D. Pedro Rato y Cisneros, D. Justo Salafranca y Matheus, D. Baltasar Cornelias y Rosiñol, D. Joseph Rodríguez Truxiilo y Lasqueti, D. Manuel Compains y Ochoa, D. Joseph Pereyra y Soto Sánchez, D. Santiago de Mazarredo y Gómez de la Torre, D. Joseph de Mazarredo y Góme</t>
  </si>
  <si>
    <t>Baltasar de Echavarría</t>
  </si>
  <si>
    <t>los seminaristas D. Joseph Manuel de Emparan, D. Juan Luis de Michelena, Don Gaspar de Echavarría, D. Baltasar de Echavarría, D. Juan de Abraldes, D. Rafael Texada, D. Manuel de Lardizabal, D. Luis de Lardizabal, Don Hilarión de Echavarría, D. Ignacio Colmenáres y D. Francisco Huarte; y otros varios de</t>
  </si>
  <si>
    <t>Baltasar del Valle</t>
  </si>
  <si>
    <t>ubteniente de granaderos D. Pedro ^Guerra; á Subtenientes de granaderos á los primeros Subtenientes D. Baltasar del Valle y D. Juan Estéban; á primeros Subtenientes a los segundos D. Fernando Méndez, y D. Francisco Frías; y á segundos Subtenientes al Sargento primero D. Sebastian Torrente y al Subtenient</t>
  </si>
  <si>
    <t>Baltasar Francisco de Pultz</t>
  </si>
  <si>
    <t>ccard; y á Alféreces de fusileros á los Cadetes D. Francisco Bryas de Molanghien, D. Andrés Dumont, D. Baltasar Francisco de Pultz, Marques de Monteil, D. Luis Antonio de Eraso y D. Carlos de Liot. También ha nombrado S, M. Capellán del tercer batallón del regimiento de infantería de las Ordenes Militares al</t>
  </si>
  <si>
    <t>Baltasar Hidalgo de Cisneros</t>
  </si>
  <si>
    <t>arán. Mr. Murray ha quedado aquí con su muger. Madrid 28 de Octubre. ll Brigadier de la Real Armada D. Baltasar Hidalgo de Cisneros, que salió del puerto de Palermo el dia 4 de! corriente, y llegó al de Cartagena en la noche del i) del mismo con la división de su mando, compuesta de los navios Miño y Astuto, y</t>
  </si>
  <si>
    <t>ación del Rey. Cartagena 18 de Octubre de 1800.’* S. M. ha quedado muy satisfecho de la conducta de D. Baltasar Hidalgo de Cisneros, y del feliz éxito de su comisión no ménos arriesgada que importante, en la qual ha acreditado nuevamente este benemérito Oficial, svt actividad y conocimientos.</t>
  </si>
  <si>
    <t>Baltasar Moreno</t>
  </si>
  <si>
    <t>Maestrescolía al Canónigo Magistral D. Joseph Francisco López Mendez: para la Tesorería al Canónigo D. Baltasar Moreno: para esta resulta á D. Domingo Lander, cesándole la pensión de 600 pesos que hasta este caso se le había señalado sobre esta Mitra: para la dignidad de Maestrescuela de la de Com</t>
  </si>
  <si>
    <t>ra la Chantría al Maestrescuela D: Joseph Francisco López Mendez: para la Maestrescolía al Tesorero D. Baltasar Moreno: para la Tesorería al Canónigo D. Domingo Lander; y para la Canongía que servia este á D. Pedro de Jesús Paredes, Canónigo'Magistral qué fue de la santa iglesia de Santo Domingo.</t>
  </si>
  <si>
    <t>w. plaza de Guadalaxara que aquel servia. L'rEn ia gázeta anterior , pág. 755, lín. 39, donde dice D. Baltasar Moreno; léase Marraro. 1 Para el remate de una casa sita en la Corredera de S. Pablo, mím. 10, mana. 448 , perteneciente á la memoria’de Doña María Teresa de Verá , tasíada en</t>
  </si>
  <si>
    <t>Baltasar Nogales</t>
  </si>
  <si>
    <t>rmita de nuestra Señora de la Madalena, linde con exido de esta villa y cercado de la capellanía de D. Baltasar Nogales, de caber 2 fanegas , tasado en $9 rs. y renta 180. Una cerquilla en el Carriiejo , de una fanega, linde con callejas que salen á los molinos y prado del Cura, tasada en i£00 rs.</t>
  </si>
  <si>
    <t>Baltasar Visto</t>
  </si>
  <si>
    <t>Mencionado en el suplemento sobre la rifa y reducción de vales Reales.</t>
  </si>
  <si>
    <t>Suplemento / rifa y vales Reales</t>
  </si>
  <si>
    <t>..... D. Pedro Venancio de Velaunde. En Mallorca......... D. Antonio Marcel. En Murcia............. D. Baltasar Visto. En Pamplona........ La Caxa de Descuento. En S. Sebastian... D. Miguel Juan de Barcaízteguí. En Soria................. D. Andrés Martínez de Aparicio. En Valencia........... D. E</t>
  </si>
  <si>
    <t>Baltasar Xiron</t>
  </si>
  <si>
    <t>e Sous.i, y á segundos Subtenientes al Sargento primero de granaderos D. Claudio Blanco y al Cadete D. Baltasar Xiron: en el de Mallorca á Subteniente de granaderos al primer Subteniente D. Alonso Gago; á primer Subteniente al segundo i). Antonio Fernandez, y á segundos Subtenientes al Sargento p</t>
  </si>
  <si>
    <t>Bandino, Manuel</t>
  </si>
  <si>
    <t>Manuel Bandino</t>
  </si>
  <si>
    <t>Oficial mayor de la Contaduría dé la Administrácidir principal de tabacos de Cartagena de Indias- a D. Manuel Bandino; la dé Oficial tercero de las caxas Reales de la capital del Nuevo Reyno de Granada al Oficial quinto de ellas £&gt;, Joseph Gaspar de Llana; está resulta á D. Francisco Carrasco; él</t>
  </si>
  <si>
    <t>Báñuelos y Fuentes, Miguel</t>
  </si>
  <si>
    <t>Miguel Báñuelos y Fuentes</t>
  </si>
  <si>
    <t>ecomendable su memoria. : El día 24 de Octubre falleció en esta corte á los 84 años de edad el: Sr.'D. Miguel Báñuelos y Fuentes, caballero pensionista de la Real distinguida orden española de Cirios III, Intendente de los Reales exércitos, Secretario.y único Ministro de la de Damas nobles de ia Reyna Ntra.</t>
  </si>
  <si>
    <t>Baptista, Juan</t>
  </si>
  <si>
    <t>Juan Baptista</t>
  </si>
  <si>
    <t>iano Barreneche; á segundo Ayudante al primer Teniente D. Pedro Ortiz; á primer Teniente al segundo D. Juan Baptista; á segundo Teniente al primer Subteniente, graduado de Teniente, D. Vicente Ricafort; á primer Subteniente al segundo D. Francisco Paul; y á segundo Subteniente al Sargento primer</t>
  </si>
  <si>
    <t>Baraguey-d’Hilliers, General</t>
  </si>
  <si>
    <t>General Baraguey-d’Hilliers</t>
  </si>
  <si>
    <t>nte ratificar este atr misticio, mandó atacar á los'franceses en el Galgemberg cerca de Manheim. El General Baraguey d’Hilüers tomó providencias que fuéron^fu? nestas al enemigo, y lo rechazó con pérdida.; Era su intención obligar i nuestras tropas á retirarsedexándole dueño de toda Já izquierda de</t>
  </si>
  <si>
    <t>plaza el quartel general del ala izquierda del exército del Rhin. También ha venido de Haguenau el General Baraguey d’Hilliers. Dícese que el quartel general principal de dicho exército se trasladará á Colmar. La mayor parte de las tropas que estaban acantonadas entre el Thur y el Rhin se han reti</t>
  </si>
  <si>
    <t>ido de trasladarse de Illercicheim y Oberott á Wolingen, Weissenhorn y Ravensburgo. La división del General Baraguey-d’Hilliers emprendió su marcha con su cuerpo en dos colunas: la izquierda tenia* que maniobrar en una llanura, y por esto la iba sosteniendo un cuerpo dé reserva al mando del General Fauconet.</t>
  </si>
  <si>
    <t>Barasdin, General</t>
  </si>
  <si>
    <t>General Barasdin</t>
  </si>
  <si>
    <t>a de provisiones, y destinada para Corfú: trae á bordo 48 soldados de artillería de la división del General Barasdin, y un Coronel, que fue oficial de la marina rusa en el departamento del mar Negro, y viene á residir en Constantinopla con 2 Secretarios para correr con la correspondencia relativ</t>
  </si>
  <si>
    <t>Baratinskoi, Almirante</t>
  </si>
  <si>
    <t>Almirante Baratinskoi</t>
  </si>
  <si>
    <t>baxo las órdenes del Almirante Chanukow. £1 Vice-Almirante Makarow mandará la vanguardia, y el Vice-Almirante Baratinskoi la retaguardia.” Riga 14 de Setiembre. H; abiéndóse ajustado las desavenencias entre Dinamarca é Inglaterra, se ha levantado el embargo que se había puesto en ios navios ingleses sur</t>
  </si>
  <si>
    <t>Barbaria, Joseph</t>
  </si>
  <si>
    <t>Joseph Barbaria</t>
  </si>
  <si>
    <t>ería, que habita Domingo Sanz, con 3952 pies, tasada en 4© rs. y renta 121. Otra calle de Santiago, D. Joseph Barbaria, con 27C5 pies, en 20©, y renta 600. Otra en la misma calle, María Euendia, con 3383 pies, en 16©, y renta 500. María de Villalobos: una casa en la puerta de! Vado, que sirve de r</t>
  </si>
  <si>
    <t>Barbazy, Coronel</t>
  </si>
  <si>
    <t>Coronel Barbazy</t>
  </si>
  <si>
    <t>e dió en ílc-dist. Los húsares de Szeckler fueron destrozados por la legión polaca, como también el Coronel Barbazy, aquel mismo que hizo asesinar á los Ministros franceses que salían de Rasradt. En ia noche del 6 al 7 transitó por esta ciudad un correo de Viena que va á París. Créese que sus p</t>
  </si>
  <si>
    <t>Barberena, Manuel María</t>
  </si>
  <si>
    <t>Manuel María Barberena</t>
  </si>
  <si>
    <t>1211 tal de tabacos del Reyno de GóatemaU á D. Manuel Vela: la de Oficial tercero de la misma á D. Manuel María Barberena: el empleo de Teniente de Ministros principales de Comayagua, en lá Caxa de rescates de TeguL cigalpa, a D. Joseph Midense; y el de Guarda-Almacenes del puerto de Truxillo,enel pr</t>
  </si>
  <si>
    <t>Barbia, Capitán</t>
  </si>
  <si>
    <t>Capitán Barbia</t>
  </si>
  <si>
    <t>Urbanos, sirvan en ellas dé soldados , sin poder tener empleos de oficiales; quedando absueltos el Capitán Barbia y el segundo Teniente Larreandi de los cargos que se les han hecho sobre eb artículo de infidencia; como también de todo cargo el primer Teniente Don Joseph María de Jauregui; y apto</t>
  </si>
  <si>
    <t>Barbón, General</t>
  </si>
  <si>
    <t>General Barbón</t>
  </si>
  <si>
    <t>ués de dichas tropas acompañándole sus guardias de infantería y caballería. £1 dia 10 entró allí el General Barbón con una media brigada y dos esquadrones-de dragones. Todo esto se executo sin que precediese capitulación ni convenio. El General Augereau se ha alojado en el palacio del Elector</t>
  </si>
  <si>
    <t>Barbou, General</t>
  </si>
  <si>
    <t>General Barbou</t>
  </si>
  <si>
    <t>a de Eindhoven, entre Bois-le-Duc y Maestric, se formará un campamento de 6© franceses al mando del General Barbou. Vienen del Báltico muchas embarcaciones cargadas de granos, y en Amsterdam ha baxado considerablemente el precio de los víveres. Llegó á ser tan grande en aquella ciudad la escas</t>
  </si>
  <si>
    <t>Barceló, Antonio</t>
  </si>
  <si>
    <t>Antonio Barceló</t>
  </si>
  <si>
    <t>otra obra es mas á propósito para conocer el carácter de este Monarca. Elogio en verso del Exc. Sr. D. Antonio Barceló, por D. Vicente García de la Husrta. El autor,sin despreciar la magestad del lenguage poético, pone su principal cuidado en dar á conocer el sobresaliente mérito de su heroe: pape</t>
  </si>
  <si>
    <t>Barceló, Sebastián</t>
  </si>
  <si>
    <t>Sebastián Barceló</t>
  </si>
  <si>
    <t>e y Orihuela, que se dixo en la gazeta del martes 14, provista en D. Juan de Aguilar, debe decir en D. Sebastian Barceló. Real cédula por la qual se amplía á diez años el privilegio que se concedió por ocho á los cinco Gremios mayores de Madrid para transportar á estos reynos de los puertos de Marru</t>
  </si>
  <si>
    <t>Barcena, Joseph</t>
  </si>
  <si>
    <t>Joseph Barcena</t>
  </si>
  <si>
    <t>catedral de Córdoba : para la Canongía de la metropolitana de Sevilla, vacante por fallecimiento de D. Joseph Barcena, á D. Francisco de Paula Bucareli: para otra de la catedral de León, vacante por fallecimiento de D. Joseph Xarainillo, á D. Juan Alvarez: para otra de la catedral de Tarazona, va</t>
  </si>
  <si>
    <t>Barci, Joseph</t>
  </si>
  <si>
    <t>Joseph Barci</t>
  </si>
  <si>
    <t>E n la compañía Italiana del Real cuerpo de Guardias de Corps ha nombrado el Rey Cadete ai Guardia D. Joseph Barci. S. M. ha promovido á Ingenieros Directores de sus exércítos, plazas y fronteras á los en xefes D. Bernardo lecoqc y D. Felipe Ramírez: á Ingeniero ordinario á D. Joseph Gabriel,</t>
  </si>
  <si>
    <t>Barco, Manuel</t>
  </si>
  <si>
    <t>Manuel Barco</t>
  </si>
  <si>
    <t>recibido. Quien supiere de él lo remitirá al mencionado D, Manuel Cacho Caballero , en Xerez , ó á D. Manuel Barco en su librería carrera de S. Gerónimo, en Madrid. D. Pedro Alonso Romero , del comercio de la ciudad de Sevilla ; está encargado de pagar cierta cantidad de dinero á D. Arnaldo Ana</t>
  </si>
  <si>
    <t>Barellas, Antonio</t>
  </si>
  <si>
    <t>Antonio Barellas</t>
  </si>
  <si>
    <t>nte al segundo de granaderos D. Joseph Rossy; á segundos Tenientes de granaderos á los de fusileros D. Antonio Barellas y D. Lúeas Savage; á segundo Teniente al Subteniente de granaderos D. Pedro Fernandez; á Subteniente de granaderos al primer Subteniente D. Joseph Parody, y á primer Subteniente al se</t>
  </si>
  <si>
    <t>Barhen, Juan</t>
  </si>
  <si>
    <t>Juan Barhen</t>
  </si>
  <si>
    <t>, alias la Jjescubridora, su Capitán D. Juan Ildefonso Blanco, de esta matrícula: armadas ambas por D. Juan Barhen, del comercio de Cádiz, residente en esta ciudad. Este bergantín , que había quedado atrasado del convoy por bonanza, fue atacado por las dos referidas barquillas, esquifadas á 8</t>
  </si>
  <si>
    <t>orsario español nombrado el Gibraltar^ alias el Valeroso , su .Capkaií Miguel Valongo, y su armador D. Juan Barhen, del comercio de Cádiz. Ambas presas venían escoltadas, por &gt;ujm fragata británica. Las fuerzas del corsario' español consisten en dos cañones de á 12 y seis de á 6 con 62 hombres</t>
  </si>
  <si>
    <t>Barnoya, Pablo</t>
  </si>
  <si>
    <t>Pablo Barnoya</t>
  </si>
  <si>
    <t>enables de la intendencia de Cataluña. Partido de Camprodon. Camprodon 1 un manso de la obra pia de D. Pablo Barnoya, tasado en 129,075 rs. 21 mrs. Una casa de la misma obra pia, en 19,361 rs. 11 mrs, Otra id. en 32,208 rs. 30 rars. Otra de la obra pia de Rafael Basolo, en 32,208 rs. 30 mrs. Otr</t>
  </si>
  <si>
    <t>Barón de Elsnitz, General</t>
  </si>
  <si>
    <t>General Barón de Elsnitz</t>
  </si>
  <si>
    <t>batalla creo que la ciudad de Genova será el único asilo que quede á los enemigos: tanto mas que el General Barón de Elsnitz, apostado en las alturas de Vado, ha conseguido varias ventajas contra el cuerpo enemigo que tiene á su frente. La ciudadela de Savona está estrechamente bloqueada, y la escasez q</t>
  </si>
  <si>
    <t>Barón de Kray, General</t>
  </si>
  <si>
    <t>General Barón de Kray</t>
  </si>
  <si>
    <t>15 de abril de 1800</t>
  </si>
  <si>
    <t>rece amenazaban á Prusia, se retiran tierra adentro. Ha recompensado el Emperador los servicios del General Barón de Kray con una hacienda en Hungría, que vale 185® florines. Asimismo ha dado al General Metas una pensión de 8© , de la qual, después de su muerte, gozará su esposa. Por orden de Paulo I</t>
  </si>
  <si>
    <t>en estado de formar contra el enemigo las empresas que las circunstancias exijan,” „ Finalmente, el General Barón de Kray escribe con fecha de 20 del misino mes que el Teniente Feld-Mariscal Conde de Staray no pudo con todos los refuerzos que había recibido obligar á la división enemiga, que pasó el Da</t>
  </si>
  <si>
    <t>a &gt; como ■sucede ahora.. -*rv Vierta m: de? Jalifa. Jt^íbese: que- este ministerio* ha propuesto at General Barón de Kray se «ncargue; del: mando del exército^ de Italia: en lugar del. General: Melas, que parece ha solicitado y obtenido su retiro.: El; deseo de la paz se manifiesta en esta ciudad de</t>
  </si>
  <si>
    <t>urió el Duque de Saxoñia Cobourg á los 76 años de edad. Manhehn 12 de Setiembre. Ai SJ retirarse el General Barón de Kray de su exército le comunicó la siguiente orden,: „ Habiendo S. M. el Emperador juzgado conveniente á su Servicio exonerarme del rilando del exército, lo he entregado al Feld-Ma</t>
  </si>
  <si>
    <t>Barón de Latrermann, General</t>
  </si>
  <si>
    <t>General Barón de Latrermann</t>
  </si>
  <si>
    <t>mismo mandaba, atacaron también 3 veces al General Barón de Latrermann en sus puestos de Arbizzola. El General Massena estaba al frente de sus tropas; pero fueron infructuosos sus ataques, pues los valerosos granaderos de Schiaífínetti, Paar, y Weber,</t>
  </si>
  <si>
    <t>Barón de Lauer, General</t>
  </si>
  <si>
    <t>General Barón de Lauer</t>
  </si>
  <si>
    <t>lió de aquí el Emperador para el exército de Alemania, cuyo mando se asegura tomará. Le acompaña el General Barón de Lauer, que mandará baxo las órdenes de S. M. Imperial. Al mismo tiempo se ha publicado en la gazeta de esta corte el siguiente aviso: „No menos convencido que sentido S. M. I. R. y A. d</t>
  </si>
  <si>
    <t>Barón de Melas, General</t>
  </si>
  <si>
    <t>General Barón de Melas</t>
  </si>
  <si>
    <t>és mandó publicar otro en que decía: „ Habiendo el comandante militar de Bolonia recibido orden del General Barón de Melas para entregar esta ciudad al exército francés, la entregará efectivamente y quanto ántes á la división del General Monnier. Los habitantes pueden permanecer quietos y sosegados; y</t>
  </si>
  <si>
    <t>Barón de Mollendorf, General</t>
  </si>
  <si>
    <t>General Barón de Mollendorf</t>
  </si>
  <si>
    <t>ya de sus quarte'les; pyto se observa mucho secreto sobre su destino. Se asegura igualmente que el General Barón de MollendorfF, que sirvió y sobresalió en la guerra de 7 anos, mandará nuestro exército de observación, el qual para la campaña próxima será de doble fuerza de la que ahora tiene, y por consigu</t>
  </si>
  <si>
    <t>Barón de Petrasch, General</t>
  </si>
  <si>
    <t>General Barón de Petrasch</t>
  </si>
  <si>
    <t>7 de febrero de 1800</t>
  </si>
  <si>
    <t>de Diciembre hacen los franceses varios movimientos en la parte superior del lago de Constanza. El General Barón de Petrasch lo aviso al Gobernador del Tirol, el qual ha dado orden á los cuerpos provinciales de aquel pais para que se dispongan á marchar al primer aviso. El General Zoph, comandante del T</t>
  </si>
  <si>
    <t>Barón de Qtt, Teniente General</t>
  </si>
  <si>
    <t>Teniente General Barón de Qtt</t>
  </si>
  <si>
    <t>ército francés , entre el Vice-Almirante Lord Keith , comandante en xefe de la esquadra inglesa, el Teniente General Barón de Qtt, comandante del bloqueo9 y el General en xefe francés Massena. Artículo i.° El ala derecha del exército francés encargada de la defensa de Génova, el General en xefe y sil plana m</t>
  </si>
  <si>
    <t>Barradas, Buenaventura</t>
  </si>
  <si>
    <t>Buenaventura Barradas</t>
  </si>
  <si>
    <t>cio simple que tenia en la parroquia de Sta. Bárbara de la ciudad de Ecija, arzobispado de Sevilla, Don Buenaventura Barradas , á D. Manuel María de Saavedra; y para otro servidero de la de S. Boal de la ciudad de Salamanca, vacante por fallecimiento de D. Francisco López, á D. Pedro Paz, con obligación</t>
  </si>
  <si>
    <t>Barranco, Joseph</t>
  </si>
  <si>
    <t>Joseph Barranco</t>
  </si>
  <si>
    <t>de la villa de Ita, en la diócesis de Toledo , vacante por fallecimiento de D. Francisco Folgas, á D. Joseph Barranco ; y para otro también simple de la villa de Argéte, en la misma diócesis de Toledo, vacante por promucion de D. Gabriel Tovar, á D. Joseph Ximenez de Cisneros y la Hoz.</t>
  </si>
  <si>
    <t>Barras</t>
  </si>
  <si>
    <t>nciales para el antiguo Directorio, particularmente una del General Dugua al ex-Director Barras, con noticias políticas de la mayor utilidad é ínteres para los enemigos de Francia. Se ha recibido asimismo y publicado una carta de un oficial empleado en el</t>
  </si>
  <si>
    <t>Barreda y Rebolledo, Benito</t>
  </si>
  <si>
    <t>Benito Barreda y Rebolledo</t>
  </si>
  <si>
    <t>al de Santiílana, en la diócesis de Santander, Vacante por fallecimiento de D. Miguel de Herrera, á Don Benito Barreda y Rebolledo: para la Media-Ración de la catedral de Cuenca, vacante por fallecimiento de D. Juan Herrero^, á D. Juan Moreno López y Ximenez, Rector de la Real casa de Misericordia, y mugeres</t>
  </si>
  <si>
    <t>Barrenechea, Joseph</t>
  </si>
  <si>
    <t>Joseph Barrenechea</t>
  </si>
  <si>
    <t>leo de Alférez tá D. Miguel March, Alférez del regimiento de dragones del Rey: para es¿a. resulta á D. Joseph Barrenechea, Carabinero de distinción de la brigada ; y para la ae Capitán del regimiento de dragones de Lusitania , que déxá Vera, ál íeniente de ella D. Juan Caballero. Atendiendo el Rey á</t>
  </si>
  <si>
    <t>Barrero, Joseph Ignacio</t>
  </si>
  <si>
    <t>Joseph Ignacio Barrero</t>
  </si>
  <si>
    <t>ntería de Campv che el empleo ae Capitán al Ayudante D. Angel de Toro; el que este dexa al Teniente D. Joseph Ignacio Barrero; Tenencias de fusileros á Don Joseph Maldonado y D. Joseph de la Roca, Subtenientes de granaderos y fusileros; Subtenencia de granaderos á D. Joseph Villanueva, Su bren i en re de</t>
  </si>
  <si>
    <t>Barrington, Almirante</t>
  </si>
  <si>
    <t>Almirante Barrington</t>
  </si>
  <si>
    <t>kson son tres de 74 cañones y otros tres de 64. f . : . . . . El Lord Bridpqrt reemplaza al difunto Almirante Barrington en el empleo de General de las tropas de marina; y el Conde de S. Vicente ha sido promovido al de Teniente General de las misnias en'lugar del Lord Bridport. , t t . Una embarcación</t>
  </si>
  <si>
    <t>Barruchi, Alejandro</t>
  </si>
  <si>
    <t>Alejandro Barruchi</t>
  </si>
  <si>
    <t>profesor de humanidades, D. Juan María de Abraldes, D. Manuel de Lardizabal, D. Luis de Lardizabal, D. Alejandro Barruchi, Don Joseph Kindelan, D. Rafael Tejada, D. Antonio Gilman, D*-Manuel de la Riva-Agiiero; y otros varios en principios. En doctrina christiana, baxo la dirección del maestro princi</t>
  </si>
  <si>
    <t>Barruchi, Alexandro</t>
  </si>
  <si>
    <t>Alexandro Barruchi</t>
  </si>
  <si>
    <t>En sintaxis, baxo la dirección de D. Rufino Espada, D. Antonio Gilman, D. Manuel de la Riva-Agüero, D. Alexandro Barruchi, D. Iñigo Ortés y D. Joseph María Ortés. En las humanidades y retórica, baxo la dirección de su profesor D. Pedro Fuertes, los seminaristas D. Rafael de Tejada , D. Manuel de Lard</t>
  </si>
  <si>
    <t>Barruti, Manuel</t>
  </si>
  <si>
    <t>Manuel Barruti</t>
  </si>
  <si>
    <t>Puerto-Rico Don Manuel Balay y al Piloto segundo D. Luís Abello; y de Subtenientes á Jos Pilotines D. Manuel Barruti y D. Joácbin de Ugarte. É;i América. Eí Rey se ha servido nombrar para una Canongía de merced de la catedral de Nicaragua á D. Pedro Albisio Mexía: para otra de igual cíase.en,lá de"Á</t>
  </si>
  <si>
    <t>Barry, Coronel</t>
  </si>
  <si>
    <t>Coronel Barry</t>
  </si>
  <si>
    <t>rocas de1 haber apedreado algunos parlamentarios; y propusieron que fuese examinado allí iniímo; El Coronel Barry dixo que no se openia á esta proposición ; pero extrañó que ya qvP ,-se quejaban de- violacicn hecha; a, los privilegios del Parlamento, nada -se d'jxese de aquellas fuerzas* ynij</t>
  </si>
  <si>
    <t>Barryclon, Coronel</t>
  </si>
  <si>
    <t>Coronel Barryclon</t>
  </si>
  <si>
    <t>el nuevo Rey se restituyese á su palacio, y como para dar fin á la ceremonia, le fué presentado el Coronel Barryclon, en calidad de Residente de la corte de Londres en la de Misore. Al entrar el Soberano en palacio encontró varios caballos, 2 elefantes y unas andas guarnecidas de plata, que le r</t>
  </si>
  <si>
    <t>Barsi, Joseph</t>
  </si>
  <si>
    <t>Joseph Barsi</t>
  </si>
  <si>
    <t>para esta resulta al Cadete D. Mariano Garóes; para el empleo de Cadete de número al supernumerario D. Joseph Barsi; para Cadete supernumerario ai Guardia D. Gerónimo Pietry; y para una Capellanía de número del mismo Real cuerpo al Presbítero D. Pedro Estrada. Habiendo manifestado los Caballero</t>
  </si>
  <si>
    <t>Barthelemi</t>
  </si>
  <si>
    <t>engan tropas á bordo, é intenten su desembarco. Hallánse ya en esta capital los ciudadanos Barthelemi y Camot. Pasado mañana presentará el General Murat en la casa de inválidos las últimas banderas ganadas en Egipto. El General Brune ha escrito desde Vannes con fecha d</t>
  </si>
  <si>
    <t>Barthelemí</t>
  </si>
  <si>
    <t>sul ha nombrado el Senado conservador para una plaza vacante en dicho cuerpo al ciudadano Barthelemí, que fue Embajador francés en Suiza &gt; y posteriormente Director de la República. "• Un corréo despachado por el General Bruñe ba traído noticia de que el xefe</t>
  </si>
  <si>
    <t>Bas y Bauza, Joseph</t>
  </si>
  <si>
    <t>Joseph Bas y Bauza</t>
  </si>
  <si>
    <t>ferir el empleo de Contador Vista de la administración principal de Alcabalas y Aduana de Sta. Fe á D. Joseph Bas y Bauza. El Comandante general de Marina de la Havana avisa que las goletas corsarias inglesas el Aguila, de 14 cañones, con 70 hombres, y la Hopp, de jo obuses y 4 cañones, con 36 hombre</t>
  </si>
  <si>
    <t>Basabe, Rafael</t>
  </si>
  <si>
    <t>Rafael Basabe</t>
  </si>
  <si>
    <t>Mencionado en el suplemento sobre la defensa de Ferrol.</t>
  </si>
  <si>
    <t>Suplemento / defensa de Ferrol</t>
  </si>
  <si>
    <t>Matute. Los heridos los Alféreces de Navio D. Manuel Luengas y D. Antonio Balzoná; y los de Fragata D. Rafael Basabe y D. Tomas de Gana, y el Teniente de granaderos de Monterey D. Joseph Yañez. Los muertos en la segunda el Alférez de Fragata D. Miguel Godoy, el Ayudante mayor del Rey D. Miguel Plane</t>
  </si>
  <si>
    <t>Basilio Agustín</t>
  </si>
  <si>
    <t>stado. __ También ha promovido S. M. á Teniente é Ingeniero extraordinario al Ayudante de Ingeniero D. Basilio Agustín. El Rey se ha servido conceder honores de Contadores de Exército á los xefes de mesa ds la Tesorería mayor D. Felipe Fernandez de Argüí, Don Bernardo Reboles , D. Ignacio Balbin,</t>
  </si>
  <si>
    <t>Basora, Manuel</t>
  </si>
  <si>
    <t>Manuel Basora</t>
  </si>
  <si>
    <t>Manuel Caravaca; y Subteniente de la de fusileros guarda-bosques Reales al Sargento primero de ella D. Manuel Basora, S. M. á consulta del Consejo se ha servido conceder a la villa de CastriV lio de Villa-vega, en la provincia de Toro,'-facultad de celebrar un mercado de todas especies todos los</t>
  </si>
  <si>
    <t>Bastad, General</t>
  </si>
  <si>
    <t>General Bastad</t>
  </si>
  <si>
    <t>ada por el General Lorge, en Frauenfeld: la 5.a, por el General Mortier, en Basilea: la 6.a, por el General Bastad, en Soleure; y la 7.a, por el General Muller, en Berna. Quizá tomará nuevas disposiciones el General en xefe Moreau, que llegó aquf antes de ayer___ El General Thureau , Comandant</t>
  </si>
  <si>
    <t>Bastones, Francisco</t>
  </si>
  <si>
    <t>Francisco Bastones</t>
  </si>
  <si>
    <t>de Noviembre, léase á jo de Setiembre, El 16 de Diciembre remitió D. Miguel Colomer, de Sevilla , á D. Francisco Bastones, de Barcelona, un vale Real de 300 pesos, creación de 10 de Abrí!, núm. 445,884 , endosado por aquel á este j y no habiendo llegado á su destino, quien-supiere de él avisará á dic</t>
  </si>
  <si>
    <t>Bastoul, General</t>
  </si>
  <si>
    <t>General Bastoul</t>
  </si>
  <si>
    <t>sque, al paso que el General Lcrge se apoderó de la altura de Mulnausen. La división mandada por el General Bastoul sostuvo perfectamente estos dos ataques. Al propio tiempo el General Richepanse se empeñó fuertemente por la izquierda de Hohenhoven. Habiendo reunido sus principales fuerzas en a</t>
  </si>
  <si>
    <t>Basualdo, Ramón</t>
  </si>
  <si>
    <t>Ramón Basualdo</t>
  </si>
  <si>
    <t>, en la lonja titulada de Echenique. En la de Fuencarral, junto á los Agonizantes, en la tienda de D. Ramón Basualdo. En la calle Mayor , en la de los Señores Avccia y Sánchez. Y en las quatro Calles, en casa de los Señores Escuza hermanos y compañía. EN LA IMPRENTA REAL.</t>
  </si>
  <si>
    <t>Bateo, Coronel</t>
  </si>
  <si>
    <t>Coronel Bateo</t>
  </si>
  <si>
    <t>ió á Mantua. Nq tardáronlos enemigos .en volver con fuerzas, muy superiores; y entonces el Teniente Coronel Bateo incorporó sus tropas con Jas que el Mayor general Doller mandaba en aquellas inmediaeiones._rrEl .peld-.Mariscal, Mi.trowsk-Í se. adelantó desde Reggio hacia Pár* ijia *cpu, eJL q</t>
  </si>
  <si>
    <t>Batteux</t>
  </si>
  <si>
    <t>s importantes do, la religión. Principios filosóficos de la literatura: obra escrita en francés por Mr. Batteux, de la academia francesa* traducida é ilustrada con observaciones críticas , y los correspondientes apéndices sobre la literatura española , por D. Agustin García y Arrieta, de la</t>
  </si>
  <si>
    <t>Baudin, Capitán</t>
  </si>
  <si>
    <t>Capitán Baudin</t>
  </si>
  <si>
    <t>viado de aquí pasaportes para los buques franceses Naturalista y Geógrafo, que baxo las órdenes del Capitán Baudin van á emprender un vi ge al rededor del mundo. Lis naves dinamarquesas que Jos encuentren ¡es d r n qu intos auxilios y socorros necesiten, pues así se expresa en dichos pasaportes, E</t>
  </si>
  <si>
    <t>ul que A-Sam, chino* oriundo de Nankin, se embarque en una de las corbetas mandadas por el referido Capitán Baudin para llevarle á expensas de la República á la Isla de Francia, y de allí á su patria. Se encarga expresamente al Capitán Baudin y á los xefes militares y civiles de marina traten</t>
  </si>
  <si>
    <t>orable las dos corbetas Geógrato y Naturalista, que van á dar la vuelta al mundo, b¡xo el mando del Capitán Baudin. Se regul 1 que su vrage durará mas de 3 años. Al propio tiempo zarpó la corbeta angio-am.^rcanlfen que se restituyen* á América los dos Ministros de los Estados-Unidos que.firmar</t>
  </si>
  <si>
    <t>Baudot</t>
  </si>
  <si>
    <t>n; pero vuestros aliados, por el mas vil de los procedimientos, han detenido al ciud. Baudot, xefe de brigada, y Ayudante del Gene-? ral Kleber, quando su persona dc-bia ser sagrada aun para las naciones mas bárbaras, supuesto que iba como parlamentari</t>
  </si>
  <si>
    <t>Bauer, General</t>
  </si>
  <si>
    <t>General Bauer</t>
  </si>
  <si>
    <t>14 de enero de 1800</t>
  </si>
  <si>
    <t>por la Gran Bretaña. Créese que no árá á ponerse á sufrqnte, y que baxo sus órdenes las mandará el General JLiuer,. que; acaba de llegar de Ilamburgo.. El mencionado Ministro .resolverá: sqbre ,las operaciones de. ja -guerra según, lo exijan las circunstancias»,'^;de este modo se ganará.el ti</t>
  </si>
  <si>
    <t>spachar dos mensageros de estado á Petersburgo y á Constantinopla. La corte de Rusia ha depuesto al General Bauer del mandó de las tro</t>
  </si>
  <si>
    <t>Bauluz, Joachín</t>
  </si>
  <si>
    <t>Joachín Bauluz</t>
  </si>
  <si>
    <t>a misma , de tres hanegas de tierra , que confronta con cerrado llamado de Asensio , y con pieza de D. Joachin Bauluz , tasada en 170 libras y 10 sueldos jaqueses , y renta un cahíz y.quatro hanegas de trigo. IiN LA IMPRENTA REAL.</t>
  </si>
  <si>
    <t>Baume</t>
  </si>
  <si>
    <t>tor, un tomo en 4.0, se hallarán en dicha librería en pasta y pergamino. Elementos de Farmacia; por Mr. Baume: 3 tomos en 8.° de marca con láminas, á ¿1 rs. en pergamino, y 60 én pasta. = Enfermedades venéreas ; por el Dr. Juan Federico Fritze: un tomo en 4.0 á 14 rs. en pergamino, y 16 e</t>
  </si>
  <si>
    <t>Baüs, Benito</t>
  </si>
  <si>
    <t>Benito Baüs</t>
  </si>
  <si>
    <t>la conservación de la salud de los pueblos, y consideraciones so bre los terremotos: traducido por D. Benito Baüs, Director que fue de matemá” ticas de la Real academia de S. Fernando, con el objeto de que sirviese de su' plemento al tomo p.° de arquitectura de sus Elementos de matemática. Su</t>
  </si>
  <si>
    <t>Bawens</t>
  </si>
  <si>
    <t>endo el beneficio de blanquearlos en muy breve tiempo y Con poquísimo gasto. El ciud. Bawens acaba de establecerlo también en una fábrica de París, en donde blanquea mas de 2 á 3© varas de lienzo al dia; sin mas dispendio que 30 libras de sosa y el jor</t>
  </si>
  <si>
    <t>Baxá, Capitán</t>
  </si>
  <si>
    <t>Capitán Baxá</t>
  </si>
  <si>
    <t>que se dispone contra Malta, y para la qual se está preparando una esquadra otomana mandada por el Capitán Baxá, quien na cuidado de su armamento con tal actividad, que aseguran se halla ya pronta á pasar por los Dardanelos. Génova 19 de Diciembre. P or las buenas disposiciones que hizo el</t>
  </si>
  <si>
    <t>en los mares de Siria por Mr. Sidney-Smitb.__ Asimismo han entrado varios buques de la esquadra del Capitán Baxá, y este Almirante sé halla también de vuelta, habiendo fondeado en Ponte-Grando á la entrada «del mar de Marmora. Un temporal que sobrevino el 2 por la noche maltrató mucho á dich</t>
  </si>
  <si>
    <t>MADRID DEL MARTES k° DE ABRIL DE 1800. Constantinopia 20 de Enero, D esde que se restituyo aquí el Capitán Baxá han reñido de Corfú otras varias naves turcas, y además se» espera en breve á Seid Aly, que baxo las órdenes de Mr. Smith mandó la última expedición tan desgraciada en las costas</t>
  </si>
  <si>
    <t>6 de mayo de 1800</t>
  </si>
  <si>
    <t>a asegurar con ellas el nuevo gobierno que se propone establecer allí. A principios de Abril irá el Capitán Baxá á Siria, y de allí á Corfú. Semlin 15 de Marzo. Dícese í que Baswan-Oglow se ha reconciliada con el Baxá de Lessnitz, y que de resultas ha mandado que sus tropas se repleguen háci</t>
  </si>
  <si>
    <t>juntan marineros. Se trabaja con gran actividad en disponer un gran armamento naval: lo mandará el Capitán Baxá, y estará pronto en todo este mes. Se ignora hasta ahora su destino. Quizá se dirigirá á las islas venecianas, en las quales se han movido bastantes alborotos. Hace 3 dias llegó á</t>
  </si>
  <si>
    <t>oncluido el armamento de una esquadra de 11 navios de línea, 6 fragatas y 2 corbetas. La mandará el Capitán Baxá en el navio el Selim, uno de los mas hermosos de la marina otomana. Estas fuerzas navales van á Egipto , adonde al propio tiempo se enviará gran número de tropas terrestres , especi</t>
  </si>
  <si>
    <t>Bay, Agustín</t>
  </si>
  <si>
    <t>Agustín Bay</t>
  </si>
  <si>
    <t>iente de granaderos al de fusileros’ f ). Juan Bautista Duc, y á Subteniente de fusileros ál Cadete D. Agustín Bay. También ha concedido S. M. segunda Subtenencia én el primer bataHon de infantería ligera de Cataluña á D. Francisco Montó?» Cadete det primero de Barcelona. r:&gt; •' Para el Correg</t>
  </si>
  <si>
    <t>Bayeu, Francisco</t>
  </si>
  <si>
    <t>Francisco Bayeu</t>
  </si>
  <si>
    <t>mayor, que representa ia caida de los gigantes, pintado al fresco en el Heai palacio de Madrid por D. Francisco Bayeu, Pintor de Cámara de S. M. , y grabado por D. Manuel Salvador y Carmona, Grabador de Cámara de S. M., Director en la Real academia de S. Fernando, y del Rey de Francia en el año d</t>
  </si>
  <si>
    <t>Bayo y García de Prado, Joseph</t>
  </si>
  <si>
    <t>Joseph Bayo y García de Prado</t>
  </si>
  <si>
    <t>reco, D. Manuel Ponce de León y Torres, D. Joseph de Tiscar y Pedrosa, D. Saturnino Aguado y Payan, D. Joseph Bayo y García de Prado, D. Joseph de Arbizu y Alava, Don Antonio Vázquez de Velasco y Ontañon, D. Santiago Palacio y Santibañez, D. Juan de Torres y Araujo, D. Juan Rubion y Gutiérrez de la Huerta,!). J</t>
  </si>
  <si>
    <t>Báyón, Basilio</t>
  </si>
  <si>
    <t>Basilio Báyón</t>
  </si>
  <si>
    <t>raduado de Teniente Coronel, y D. Francisco Galvez; y . á segundo Teniente al Alférez de. cazadores Don Basilio Báyón. En el de infantería de Soria á segundo Teniente de granaderos al de fusileros D. León Molero: en el de Córdoba á Subteniente de granaderos al primer Subteniente D. Manuel Romeo:</t>
  </si>
  <si>
    <t>Bayona, Manuel</t>
  </si>
  <si>
    <t>Manuel Bayona</t>
  </si>
  <si>
    <t>he^:, en el de Cazadores Voluntarios de la Corona á primer Teniente de tiradores al primer Teniente D. Manuel Bayona; y á segundo Teniente de tiradores al segundo Teniente Don Juan de la Cuesta; y en el de Ñapóles á segundo Teniente de granaderos al de fusileros D. Juan Gourbal. El Rey se ha ser</t>
  </si>
  <si>
    <t>Bazarra, Vicente</t>
  </si>
  <si>
    <t>Vicente Bazarra</t>
  </si>
  <si>
    <t>es D. Miguel María de Acedo. En el de infantería Inmemorial del Rey á primer Subteniente al segundo D. Vicente Bazarra: en el de Zamora á segundo Subteniente al Cadete D. Joseph Tomaseo : en el de Soria á segundo Teniente de granaderos al de fusileros D. Manuel S. Martin; y á Subtenientes de grana</t>
  </si>
  <si>
    <t>Bbs Campesino, Rafael</t>
  </si>
  <si>
    <t>Rafael Bbs Campesino</t>
  </si>
  <si>
    <t>D. Pedro Gregorio de Echeandia, presididos por el mismo Señor Dean. El primer -¿dia disertó el Lie. D. Rafael Bbs Campesino sobre la utilidad de la historia natural en general: y á continiiacton fuéron exámiita* dos D. Joseph Ainsa y D. Joacnin Orozqüéta, practicantes de farmacia» por el Curso elementa</t>
  </si>
  <si>
    <t>Bcssú</t>
  </si>
  <si>
    <t>tino con una presa muy interesada que hizo la corbeta denominada la Curiosa. El ciud. Bcssú ha inventado un telégrafo que con dos solas señales produce 79.625 variaciones, y con 175 frases se puede tratar toda suerte de asuntos, y comunicar un discurs</t>
  </si>
  <si>
    <t>Be, Capitán</t>
  </si>
  <si>
    <t>Capitán Be</t>
  </si>
  <si>
    <t>pero se dice que en breve llegará. ' Las’ 7 fragatas turcas destinadas, i reforzar la esquadra del Capitán Be* xa no han salido todavía de este puerto. En la noche del 28 al 29 del mes anterior se sintiéron en esta capital y leves terremoto»; el segundo, que fué algo mas recio, duró cerca</t>
  </si>
  <si>
    <t>Beauregard, General</t>
  </si>
  <si>
    <t>General Beauregard</t>
  </si>
  <si>
    <t>hasta Oettingen y Pappenheim. El cuerpo dei General Klein se. ha apoderado de Offenburgo, y el del General Beauregard d ■ Friburgo. Pasa de 30® hombres el cxército qúe manda el General Suinte-Suzanne, el qual no tardará en adelantarse hacia Aschaftemburgo y Wuitzburgo, do donde probablemente segu</t>
  </si>
  <si>
    <t>Becerra y Oribe, Francisco</t>
  </si>
  <si>
    <t>Francisco Becerra y Oribe</t>
  </si>
  <si>
    <t>bteniente de granaderos D. Julián de Ozores; finalmente Subtenencias de bandera en el de Bada-joz á D. Francisco Becerra y Oribe y D. Joachín G-utierrez de Maldivia: en el de Alcira al Subteniente agregado D. Miguel Castell y á D. Cárlos Torres: en el de Lorca al Cadete D. Bartolomé Martínez: en el de Avila á D</t>
  </si>
  <si>
    <t>Becerra, Diego</t>
  </si>
  <si>
    <t>Diego Becerra</t>
  </si>
  <si>
    <t>deros, graduado de Teniente, D. Fernando Camacho; á Subteniente de granaderos al primer Subteniente D. Diego Becerra; á primer Subteniente al segundo D. Antonio Delgado; y á segundo Subteniente al Cadete D. Diego Sande: en el segundo batallón de Voluntarios de Aragón á Capitán primero al segundo</t>
  </si>
  <si>
    <t>Begoz</t>
  </si>
  <si>
    <t>según se.dice, son de suma importancia, y tienen alguna relación con la paz. El ciud. Begoz, Ministro de Relaciones exteriores de Helvecia, lia ido de aquí á Zuricli para cumplimentar al mencionado General de orden del gobierno. Ofrecióle Moreau mirar</t>
  </si>
  <si>
    <t>Bejerano, Andrés</t>
  </si>
  <si>
    <t>Andrés Bejerano</t>
  </si>
  <si>
    <t>4)0 y O. Juan Ordoño: á primeros Subtenientes á los segundos D. Andrés Bejerano, D. Manuel Arcada , D. Santos Allende y D. Julián Maamud ; y á segundos Subtenientes al Sargento primero D. Tomas Domingo y al Cadete del de infantería del Príncipe Ó. Juan Ximene</t>
  </si>
  <si>
    <t>Belair</t>
  </si>
  <si>
    <t>ar del ciud. Carnot, que ha hecho dimisión. El dia 5 llegó de Berlín á Paris el ciud. Belair, Ayudante del General Beurijonville, Ministro de Francia en Prusia. El ciud. Luis Bonaparte ha salido de aquí para viajar por Prusia y Aie•mania. El Sr. Boulíg</t>
  </si>
  <si>
    <t>Belíe</t>
  </si>
  <si>
    <t>nes Sorakow y Bolle comendadores de la de S. Fernando, con una pensión de 1600 duc dos de Ñapóles á Mr. Belíe* y caballeros de la orden de S. Const ntino al Capitán Í schebuschew y á los Tenientes Sicakasarcw y Alexandre. El Emperador condecoro por su parte al Príncipe Belmente Pignatelli</t>
  </si>
  <si>
    <t>Belipe de Asaguirre, Juan</t>
  </si>
  <si>
    <t>Juan Belipe de Asaguirre</t>
  </si>
  <si>
    <t>r este destino á D. Mirtin de Garay, y nombrar para reemplazar á este en igual empleo en Cataluña a D. Juan Belipe de Asaguirre , Oficial 2.0 de la Secretaría de Estado, y del despacho universal de Hacienda de España, y Secretario de S, M. con exercicio de decretos. Con este motivo se ha servido S. M. conc</t>
  </si>
  <si>
    <t>Bellega-rde, General</t>
  </si>
  <si>
    <t>General Bellega-rde</t>
  </si>
  <si>
    <t>atribuye la suspensión del-viage que el Archiduque Carlos tenia proyectado para Viena. ¡ Eí que el General Bellega-rde ha hecho de Viena á Praga no fue tanto para concertar con * Mr. Sinvaro w el plan de la campaña próxima, como, para darle quejas de los repetidos excesos que cometen los rusos en</t>
  </si>
  <si>
    <t>Bellegarde</t>
  </si>
  <si>
    <t>Archiduque Fernando irá al exército de Italia, y tendrá baxo sus órdenes á los Generales Melas y Bellegarde.</t>
  </si>
  <si>
    <t>18 de julio de 1800</t>
  </si>
  <si>
    <t>enemigos en Monte bello, iban i. reforzarse sucesivamente con las tropas de los Generales Elsnitz y Bellegarde. Por otra parte sabia yo que Mr. Melas habia reunido todas sus fuerzas en Alexandría; era importante impedir sus movimientos sucesivos , y todo se dispuso para</t>
  </si>
  <si>
    <t>Bellegarde, General</t>
  </si>
  <si>
    <t>General Bellegarde</t>
  </si>
  <si>
    <t>ias dio el exército 4 batallas, ademas de 3 acciones parciales. Escriben de Pavía que combinando el General Bellegarde sus operaciones con Jas del sitio de Coni, se ha apoderado del puente de Neva, que le proporciona la posesión de Ormea. Quedaba dicho General en ánimo de atacar los puestos del mo</t>
  </si>
  <si>
    <t>recibe en Praga el Feld-Mariscal Suwarow. El Lord Minto, Enviado británico, que fue á verle con el General Bellegarde, llevaba encargo de arreglar todo lo relativo á la manutención de las tropas rusas durante la campaña próxima. El Archiduque Fernando ha salido del quartel general del exército au</t>
  </si>
  <si>
    <t>ay mandará en xefe los ejércitos del Rhin en lugar de dicho Príncipe, el qual se retira á Viena: el General Bellegarde mandará en Italia, y ¿1 Archiduque Fernando tendrá él título de Comandante general. Acaban los austríacos dé demoler enteramente las fortificaciones de Man* hein.</t>
  </si>
  <si>
    <t>25 de julio de 1800</t>
  </si>
  <si>
    <t>cerca de Minken.dorff. Ya están prontos los almacenes para dichos cuerpos. Mandará este exército el General Bellegarde. Los condados de Hungría aprontarán 26® hombres, y un cuerpo de 36® voluntarios de Bohemia defenderá las fronteras de este ultimo Reyno. Dresde 7 de Junio. E i comisario del Imper</t>
  </si>
  <si>
    <t>ardase, y se mantuviese 15 dias en su casa como arrestado; pero posteriormente salió de allí con el General Bellegarde para el exército de Italia. Londres 18 de Setiembre. P rosiguen con actividad las negociaciones con Francia. El dia 4 llegó un correo cüyos pliegos contenían la proposición de un</t>
  </si>
  <si>
    <t>sabe que después de concluida se expidieron correos á Berlín, al Conde de Cobentzel en Paris, y al General Bellegarde, comandante en xefe del exército de Italia. Eli Rey de NápoRs ha escrito al Emperador que en caso de continuar la guerra pondrá á disposición del General austríaco que mande en It</t>
  </si>
  <si>
    <t>Bellegárde, General</t>
  </si>
  <si>
    <t>General Bellegárde</t>
  </si>
  <si>
    <t>o el General Bruñe supo la llegada del Conde de Cobentzel á Luneville; é inmediatamente comunicó al General Bellegárde que suspendía las hostilidades hasta recibir nuevas órdenes de su gobierno. Hubo de resultas algunas conferencias) y al fin conviniéron en avisarse del rompimiento con iodias de a</t>
  </si>
  <si>
    <t>Bellestre, Francisco</t>
  </si>
  <si>
    <t>Francisco Bellestre</t>
  </si>
  <si>
    <t>infantería fixo de Ja Luisiana al Ayudante D. Francisco Caso y Luengo, y ál Teniente de granaderos D. Francisco Bellestre: á Ayudante y Teniente de granaderos á los Tenientes D. Luis Piernas y D. Fernando de Lizoro: á Tenientes á los Subtenientes D. Juan Mier y Teran, D. Juan Blanco , de : r» Dulcocr</t>
  </si>
  <si>
    <t>Bellisomi, Cardenal</t>
  </si>
  <si>
    <t>Cardenal Bellisomi</t>
  </si>
  <si>
    <t>o Papa. El cónclave permanecía cerrado, y proseguían las rogativas públicas. había divulgado que el Cardenal Bellisomi, Obispo de Cesena, había sido electo, y que había renunciado el pontificado; pero lodo ello fué falso. Hablase ahora de que la elección recaerá en el Cardenal Hertzan, á quien sos</t>
  </si>
  <si>
    <t>Bello, Joachín Antonio</t>
  </si>
  <si>
    <t>Joachín Antonio Bello</t>
  </si>
  <si>
    <t>ento primero del provincial de Toro D. Pedro de la Cámara: en el de Málaga( Tenencia al Subteniente D. Joachín Antonio Bello : en el de Logroño Tenencia al Subteniente de granaderos D. Francisco Xavier Avales-; la Subtenencia de cazadores al Subteniente D. Joseph Saturio Ovejas, y una Subtenencia de fus</t>
  </si>
  <si>
    <t>Belmar, Pedro</t>
  </si>
  <si>
    <t>Pedro Belmar</t>
  </si>
  <si>
    <t>ros D. Joseph Diaz; y Tenencias al Subteniente de cazadores D. Joseph Montenegro, y al de fusileros D. Pedro Belmar: en el de Santiago compañía al Teniente de cazadores D. Manuel Calviño , y Tenencia al Subteniente de granaderos D. Joseph Arteaga: en el de Soria compañía al Capitán agregado y g</t>
  </si>
  <si>
    <t>Belmente Pignatelli, Príncipe</t>
  </si>
  <si>
    <t>Príncipe Belmente Pignatelli</t>
  </si>
  <si>
    <t>tán Í schebuschew y á los Tenientes Sicakasarcw y Alexandre. El Emperador condecoro por su parte al Príncipe Belmente Pignatelli con las insignias de la orden de San Andrés; y ha nombrado al Montero mayor Mr. Lew. SChew para que vaya á Nápoles y entregue las de las ordenes de Rusia á aquel Soberano, al Prín</t>
  </si>
  <si>
    <t>Belmonte Pignatelli, Príncipe</t>
  </si>
  <si>
    <t>Príncipe Belmonte Pignatelli</t>
  </si>
  <si>
    <t>imismo en prueba de su amistad constante á S. M. Imperial, nuestro Soberano, ha enviado su Ministro Príncipe Belmonte Pignatelli con las insignias de la nueva orden de S. Fernando y otras de aquel Rey no para S. M. Imperial y SS. AA. los Grandes Duques Alexandro y Constantino Paulowitz. Poco después de lleg</t>
  </si>
  <si>
    <t>Belmonte-Pignateü, Príncipe</t>
  </si>
  <si>
    <t>Príncipe Belmonte-Pignateü</t>
  </si>
  <si>
    <t>Príncipe Real, el Príncipe Leopoldo, el Almirante Nelson, el Príncipe Suwarow, el General Acton, el Príncipe Belmonte-Pignateü, el Cardenal Ruffo &amp;c.; y entre los Comendadores el Conmodoro ingles Townbridge , el Capitán Hood„y otros. En una fragata inglesa que entró en este puerto el‘dia i.° viniéron los</t>
  </si>
  <si>
    <t>Belon y Becerra, Lorenzo</t>
  </si>
  <si>
    <t>Lorenzo Belon y Becerra</t>
  </si>
  <si>
    <t>ion y Gutiérrez de la Huerta, D. Domingo de Mesa y Wandcnhcde, D. Jacinto de Marcaida y Madariaga , D, Lorenzo Belon y Becerra, Don Tuan de Lanz y Norris , D. Juan Alvarez Faxardo y Ruiz Mateos, Don Toachín de Vierna é Isla , D. Mariano Spadafora,D. Antonio de Arcens y Faleons, D. Tuan Bustamante y Gonzál</t>
  </si>
  <si>
    <t>Beltran, Henrique</t>
  </si>
  <si>
    <t>Henrique Beltran</t>
  </si>
  <si>
    <t>s á primer Subteniente al segundo D. Pedro Schiafñnaty; y á segundo Subteniente al Sargento primero D. Henrique Beltran: en eí Suizo de Yann á Teniente al Subteniente D. Remigio Kaysser; á Subtenientes de granaderos á los de fusileros O. Félix Obersteg y D. Francisco Zelger, y á Subtenientes de fus</t>
  </si>
  <si>
    <t>Benache, Juan Bautista</t>
  </si>
  <si>
    <t>Juan Bautista Benache</t>
  </si>
  <si>
    <t>al Subteniente de granaderos D. Manuel Bermudez; á Subteniente de granaderos al primer Subteniente D. Juan Bautista Benache ; á primer Subteniente al segundo O. Miguel Maritorena, y á segundo Subteniente al Cadete D. Juan Morales y Correa : en el de Sevilla á primer Teniente al segundo de granaderos D.</t>
  </si>
  <si>
    <t>Benavides, Antonio</t>
  </si>
  <si>
    <t>Antonio Benavides</t>
  </si>
  <si>
    <t>ormado y vestido á su costa; y para las Tenencias y Subtenencias de la misma compañía ha nombrado á D. Antonio Benavides, Subteniente de la primera de Almería, D., Josepli María Sánchez Torres , aL Cadete de la misma D* Miguel de Benavides,.y al soldado distinguido de la. de Vera D. Felipe de Soto y</t>
  </si>
  <si>
    <t>o Llano la Tenencia de granaderos; Tenencias de fusileros á los Subtenientes D. Juan Manuel Andaya, D. Antonio Benavides y D. Juan Joseph Fonseca, y las Subtenencias de granaderos y cazadores á los Subtenientes</t>
  </si>
  <si>
    <t>Benayides, Carlos</t>
  </si>
  <si>
    <t>Carlos Benayides</t>
  </si>
  <si>
    <t>y tres marjales, en 4 hazas, pagos de Leñadores, Ramal , Bujayra y Yajan, propios de la memoria de D. Carlos Benayides, en 33$. Una casa, calle de Recogidas, parroquia de Sta. María Madalena , núm. 4, ,manz. 525 , perteneciente al patronato fundado por D. Juan'del Castillo y D. Juan de Frías , y a</t>
  </si>
  <si>
    <t>Bender, General</t>
  </si>
  <si>
    <t>General Bender</t>
  </si>
  <si>
    <t>ras de Rusia, la colima de*tropas de aquella nación que se retira por el Austiia-Superior; y que el General Bender acompañará igualmente hasta Lis fronteras del mismo Imperio á la otra coluna que sigue su camino por Praga. Estos avisos no concuerdan con la voz general de que el exército ruso t</t>
  </si>
  <si>
    <t>Benedeti, Cárlos</t>
  </si>
  <si>
    <t>Cárlos Benedeti</t>
  </si>
  <si>
    <t>ipal de la aduana de Cartagena de Indias á D. Domingo Nuñez, Oficial quarto primero: este destino á D. Cárlos Benedeti, Oficial quarto segundo; y esta resulta á D. Francisco Micolta. Desde 15 de Febrero próximo hasta 31 dé Marzo siguiente se admitirán para su renovación y pago de intereses los Val</t>
  </si>
  <si>
    <t>Benedicto XIV</t>
  </si>
  <si>
    <t>las gradas de San Felipe el Real. Institución eclesiástica del Santísimo Padre Benedicto XIV del Patrocinio de S. Antonio Abad para guardar la salud de los animales: traducida por D.-Jóa¿ Chin Moles, presbítero.</t>
  </si>
  <si>
    <t>Cotejo puntual</t>
  </si>
  <si>
    <t>s contra las del R. P. Ajofrin en la explicación de la bula PastcvQlis curae de Benedicto XIV; por el P. Mtro. Fr. JoSéph Fernandez Recenco, del orden de S. Francisco. Se hallará en la librería de la viuda de Fern</t>
  </si>
  <si>
    <t>marquilla, y su análisis crítico. Institución eclesiástica del santísimo Padre Benedicto XIV sobre santificar la quaresma: traducida por D. Joachin Moles , presbítero. Se hallará en la librería ae Blanques, calle</t>
  </si>
  <si>
    <t>del P. Mtro, Lorenzo Yusti', Servita.=n:Institucion eclesiástica del Sto. Padre Benedicto XIV sobre las campanas , su origen en la Iglesia, uso y circunstancias con que deben Ó no tocarse en semana santa , añadido</t>
  </si>
  <si>
    <t>o del Diario, plazuela de Santo Domingo. Institución eclesiástica del SS. Padre Benedicto XIV sobre la procesión del Córpus, tas de las Minervas, el acompañamiento siempre que sale al público, y del moda que se le</t>
  </si>
  <si>
    <t>bulas pontificias del siglo IX, y el elogio particular que distingue y explica Benedicto XIV, le califican de mártir heroico, y de primera ciase, celebrándolo la Iglesia de España con oficio y mis» , todo propio</t>
  </si>
  <si>
    <t>substancial de varios tratados que comprehende , fruto de la sabiduría del gran Benedicto XIV, principalmente sobre el sacrificio de ¡a misa} por lo que varios, mora listas célebres han cscrit-' sobre el sacrament</t>
  </si>
  <si>
    <t>Valencia. Se hallará éri casa de Castillo. Institución eclesiástica del SS. P. Benedicto XIV sobre santificar el sagrado tiempo del Adviento, traducida por D. Joachin Moles, presbítero. Véndese en la imprenta y l</t>
  </si>
  <si>
    <t>Benet, Tomás</t>
  </si>
  <si>
    <t>Tomás Benet</t>
  </si>
  <si>
    <t>n, D. Ramón Réy.^ En el de voluntarios de Castilla ¿í primer Teniente de granaderos al de fusileros D. Tomas Benet; a primer leniente al segundo de granaderos, graduado de Capitán, D. Joseph Lasque-, ti; á segundo Teniente de granaderos al de fusileros D. Andrés Alcocer; á segundo Teniente al</t>
  </si>
  <si>
    <t>Benezeeh</t>
  </si>
  <si>
    <t>n los individuos del cuerpo diplomático en la sala llamada de Embaxadores; y el ciud. Benezeeh, Consejero de Estado, y encargado del gobierno interior de palacio, los introduxo en el gabinete de los Cónsules, en donde estaban estos con los Ministros, Con</t>
  </si>
  <si>
    <t>BenignoGonzález, Diego</t>
  </si>
  <si>
    <t>Diego BenignoGonzález</t>
  </si>
  <si>
    <t>4(5,561 rs. Quien quiera hacer pestura á qualquiera de elias ocurra é la escribanía del número, de D. Diego BenignoGonzález. , En el Real vallé de Pefíamellera de Arriba' se halla vacante la cátedra de gramática : vale 300 ducados, y lo que pagan los que no son de la jurisdicción. Los pretendientes rem</t>
  </si>
  <si>
    <t>Benitcz, Manuel</t>
  </si>
  <si>
    <t>Manuel Benitcz</t>
  </si>
  <si>
    <t>e de granaderos D. Ramón González de Bernedo; X primeros Tenientes de granaderos á los de fusileros D. Manuel Benitcz y D. Lúeas Fernandez ; á primeros Tenientes X los segundos de granaderos D. Juan del Fierro, D. Joseph Perez, graduado de Capitán, y D. Joseph Antonio Cebollino; a segundos Tenientes</t>
  </si>
  <si>
    <t>Benitez Campon, Joseph</t>
  </si>
  <si>
    <t>Joseph Benitez Campon</t>
  </si>
  <si>
    <t>Joseph Ximenez y D. Joseph Antonio Cabezón; Subtenencias de granaderos á los primeros Subtenientes D. Joseph Benitez Campon y D. Gaspar Gómez ; primera» Subtenencias á los segundos D, Vicente del Fierro % D. Manuel Muñoz y* IX- Tomas Verdes de la Vega ; y segundas Subtenencias a los Sargentos primeros de g</t>
  </si>
  <si>
    <t>Benitez Chacón, Diego Joseph</t>
  </si>
  <si>
    <t>Diego Joseph Benitez Chacón</t>
  </si>
  <si>
    <t>a iglesia de religiosas Agustinas, el dia 20 de Agosto de 1799, dixo el Dr. i). Diego Joseph Benitez Chacón, Canónigo magistral. Se hallará en la librería de Claros, calle del Arenal. Memorias y noticia para, la historia de S. Félix mártir gerundense, llamado el Africano, que publica D. Joseph de</t>
  </si>
  <si>
    <t>Benitez, Antonio</t>
  </si>
  <si>
    <t>Antonio Benitez</t>
  </si>
  <si>
    <t>imiento de milicias urbanas de dragones de Tarma ha venido el Rey en promover á Capitán al Teniente D. Antonio Benitez : en el de milicias disciplinadas de infantería de Arequipa á Teniente Coronel á Don Francisco Arauzo, agregado en la propia clase:en el de milicias urbanas de infantería de Moque</t>
  </si>
  <si>
    <t>Benitez, Joachín</t>
  </si>
  <si>
    <t>Joachín Benitez</t>
  </si>
  <si>
    <t>el y D. Serafín Oliver; á Subtenientes de granaderos á los primeros Subtenientes Don Juan Calderón, D. Joachin Benitez y D. Nicolás Ortuño; á primeros Subtenientes X los segundos D. Joseph Fransoy, D. Francisco Gallardo, Don Joachin Navarro, D. Joseph Mancha y D. Christóbal Aguilar, y á segundos Subte</t>
  </si>
  <si>
    <t>Benitez, Juan</t>
  </si>
  <si>
    <t>Juan Benitez</t>
  </si>
  <si>
    <t>compañía de fusileros del de Ciudad-Real al Teniente de la misma dase B. Juan Laguna, su resulta á D. Juan Benitez, Subteniente de granaderos, y este empleo á D. Andrés de Baos, Subteniente de fusileros: Compañía en el de Málaga al Teniente de granaderos D. Nicolás de Forres, y Subtenencia de</t>
  </si>
  <si>
    <t>Benlgno González, Diego</t>
  </si>
  <si>
    <t>Diego Benlgno González</t>
  </si>
  <si>
    <t>rs. Quien quiera hacer postura ó. mejora á qualquiera de ellas,acuda á la escribanía del número de D. Diego Benlgno González. =rSe ha señalado el dia hoy de n á 11 de la mañana.en el pór*&gt; tico de la cárcel de esta villa para el remate de la casa .calle del- Carmen , niún. 3, &lt; manzana 377 , pertenecien</t>
  </si>
  <si>
    <t>Bennudez y Lara, Alonso</t>
  </si>
  <si>
    <t>Alonso Bennudez y Lara</t>
  </si>
  <si>
    <t>s de AIburquerque á D. Francisco Perez Heredero; y Subteniente de las milicias ‘urbanas de Tarifa á D. Alonso Bennudez y Lara. S. M. se ha servido nombrar para el Corregimiento de Letras de la ciudad de Gijona á D. Francisco Sociats y Soler; y para la Alcaldía mayor de la villa de igualada á D. Francisco</t>
  </si>
  <si>
    <t>Bentrina, Miguel</t>
  </si>
  <si>
    <t>Miguel Bentrina</t>
  </si>
  <si>
    <t>natural de Caimmajó, Corregimiento de Gerona............................ 55. 1. Miguel Bentrina, hijo de Mateo y Margarita, natural de Mieras, Corregimiento de Gerona................................. 44; 22. Juan Costa , hijo de Andrés é Isabel, nautral de Olivedas , Corregimiento</t>
  </si>
  <si>
    <t>Bequet, Andrés</t>
  </si>
  <si>
    <t>Andrés Bequet</t>
  </si>
  <si>
    <t>Bayamo; á los Sargentos primeros del mismo regimiento D. Joseph de Nova y D. Santiago González, y á D. Andrés Bequet, soldado distinguido del de infantería de Cuba; y ha concedido grado de Teniente al Sargento primero de dicho regimiento de milicias de infantería D. Joseph García. Igualmente ha</t>
  </si>
  <si>
    <t>Berard, Antonio María</t>
  </si>
  <si>
    <t>Antonio María Berard</t>
  </si>
  <si>
    <t>guidos D.nJoteph'Recacha, Di-Pedro'Florez y D. Joachin Bis; y á segundos.Subtenientes A los Cadetes D. Antonio María Berard y D. Joachin María Fuster, y al Sargento primero D. Facundo Alarcon: en el de Burgos á Capitaa al Ayudante D. Miguel Aloy; á esta resulta al primer Teniente D. Manuel Fernandez de Cia</t>
  </si>
  <si>
    <t>Berbería, Pedro</t>
  </si>
  <si>
    <t>Pedro Berbería</t>
  </si>
  <si>
    <t>o en nombre de D. Pedro Escolaos, y Coá su firma en blanco. Quien lo hubiere hallado lo entregará á D. Pedro Berbería tienda en la entrada de la calle de la Montera. En el juzgado del Gobernador de Ja Havana se hallan pendientes los autos de las testamentarías de D. Martin de Aróstegui y de Doña</t>
  </si>
  <si>
    <t>Berenguer de Marquina, Félix</t>
  </si>
  <si>
    <t>Félix Berenguer de Marquina</t>
  </si>
  <si>
    <t>Consejo de Estado: y ha conferido S. M. los referidos empleos al Teniente General de su Real Armada D. Félix Berenguer de Marquina, en atención á su mérito y circunstancias. En el regimiento de Reales Guardias Españolas se ha servido promover el Rey á Alférez de granaderos al de fusileros D. Antonio Planella.</t>
  </si>
  <si>
    <t>Berganza, Joseph</t>
  </si>
  <si>
    <t>Joseph Berganza</t>
  </si>
  <si>
    <t>los Tenientes D. Joseph Esquiaqui, D. Joachin Fernandez, Don Francisco Agustini, D. Joseph Eseovar, D. Joseph Berganza, D. Remigio Ibañez y D. Antonio Ibarra, graduado de Capitán. S. M. ha conferido el empleo de Cirujano mayor de la Armada, vacante por fallecimiento de D. Domingo Vidal, que lo obt</t>
  </si>
  <si>
    <t>Berger, Capitán</t>
  </si>
  <si>
    <t>Capitán Berger</t>
  </si>
  <si>
    <t>que asistió el Gran Señor. La fragata dinamarquesa nombrada el Tritón de 24 cañones, mandada por el Capitán Berger, se ha hecho á li veía para el Mediterráneo con los regalos que el Rey de Dinamarca envia á. las Regencias de Argel y Túnez. El Conde de Cobcntzei, Embaxador austríaco en Rusia, s</t>
  </si>
  <si>
    <t>oponen visitar los 4ePPs palacios y las fortalezas de estas inmediaciones. Desde Afáíaga escribe el Capitán Berger, comandante de la fragata Tritón, su llegada i aquel puerto con los dos transportes cargados de regalos para las regencias berberiscas, jfamhurgo $ de Agosto. E 1 Conde de Arnim,</t>
  </si>
  <si>
    <t>Bergss, Joseph</t>
  </si>
  <si>
    <t>Joseph Bergss</t>
  </si>
  <si>
    <t>existiesen en los de Indias; y habiéndose pasado el término de los-tres meses sin haber comparecido D. Joseph Bergss, por 124 rs. 30 mrs., que le corresponden por una octava parte de la acción núm. 12. Doña María Alville, por 249 rs. 2g mrs. , de la quarta parte de acción núm. 34; D Matías de Li</t>
  </si>
  <si>
    <t>Bermudez de Castro y Vivero, Benito</t>
  </si>
  <si>
    <t>Benito Bermudez de Castro y Vivero</t>
  </si>
  <si>
    <t>de la Vega, D. Gabriel Olivar y Esquella , D. Joachín Moreno y Mancha , D. Antonio Quiroga y Arias, D. Benito Bermudez de Castro y Vivero , D. Manuel Duque de la Cruz , D. Antonio Piñeyro y Maceda, Don Rafael de Mesa y Montero , D. Francisco Troncoso de Lira y Garza, Don Manuel Bachoni y Padilla, D. Alonso Martin Ve</t>
  </si>
  <si>
    <t>Bermudez de Castro y Vivero, Vicente</t>
  </si>
  <si>
    <t>Vicente Bermudez de Castro y Vivero</t>
  </si>
  <si>
    <t>ontecha, D. Benito Gijon y Rósalas, D. Pedro Caamaño y Romero, D. Miguel de Valenzuela y Melgarejo, D. Vicente Bermudez de Castro y Vivero, D. Bernabé de Mariaca y Ansótegui, D. Genaro de Aurea y Rho, D. Vicente Martin Vegue y Zayas, D. Gabriel Góngora y Palacio, D. Luis de Benavides y Alovice,D. Antonio Guerrero y C</t>
  </si>
  <si>
    <t>Bermudez de Castro, Joseph</t>
  </si>
  <si>
    <t>Joseph Bermudez de Castro</t>
  </si>
  <si>
    <t>che y D. Estéban Aymerich , y á segundos Subtenientes a los Cadetes D. Agustín Ximene? de Lasarte y D. Joseph Bermudez de Castro, y al Sargento primero Don Gregorio Dónate : en el de Mallorca á Capitán al Ayudante graduado deTeniente Coronel D. Santiago Texero; y á primer Subteniente al segundo D Blas Gómez</t>
  </si>
  <si>
    <t>ca á Comandante del tercer batallón al Sargento mayor del de Córdoba, graduado de Teniente Coronel, D. Joseph Bermudez de Castro,: en el mismo de Córdoba á Sargento mayor al Capitán de granaderos del de Burgos, graduado de Teniente Coronel, D. Antonio Luxan; y en el Real cuerpo, de Artillería á Capitán al T</t>
  </si>
  <si>
    <t>Bermudez, Manuel</t>
  </si>
  <si>
    <t>Manuel Bermudez</t>
  </si>
  <si>
    <t>de granaderos al de fusileros D. Baltasar Andrade; á segundo Teniente al Subteniente de granaderos D. Manuel Bermudez; á Subteniente de granaderos al primer Subteniente D. Juan Bautista Benache ; á primer Subteniente al segundo O. Miguel Maritorena, y á segundo Subteniente al Cadete D. Juan Moral</t>
  </si>
  <si>
    <t>Berna, Conde</t>
  </si>
  <si>
    <t>Conde Berna</t>
  </si>
  <si>
    <t>o tres veces en la embocadura del Escalda; pero no han intentado desembarco. _ Ha _ llegado aquí el Conde Berna 4 de Junio. de Noroña, .... nuevo Enviado . ^ de la corte deEspana^en h Rep^a en la izquierda del Rhin. El General Hiller ha reconcentrado sus tropas en los contornos de Meyenfeld</t>
  </si>
  <si>
    <t>Bernabé Chíaramonti, Gregorio (cardenal)</t>
  </si>
  <si>
    <t>Cardenal Gregorio Bernabé Chíaramonti</t>
  </si>
  <si>
    <t>or la mañana recibió el Rey la plausible noticia de la elección de Sumo Pontífice en la persona del Cardenal Gregorio Bernabé Chíaramonti, que ha tomado el nombre de Pió VII; é inmediatamente hizo S. M. saber á su Consejo y Cámara con particular satisfacción tan importante suceso por el siguiente decreto: ,,Habiendo</t>
  </si>
  <si>
    <t>Bernabé de Mariaca y Ansótegui</t>
  </si>
  <si>
    <t>edro Caamaño y Romero, D. Miguel de Valenzuela y Melgarejo, D. Vicente Bermudez de Castro y Vivero, D. Bernabé de Mariaca y Ansótegui, D. Genaro de Aurea y Rho, D. Vicente Martin Vegue y Zayas, D. Gabriel Góngora y Palacio, D. Luis de Benavides y Alovice,D. Antonio Guerrero y Canredondo, D. Francisco González de</t>
  </si>
  <si>
    <t>Bernabé Sánchez</t>
  </si>
  <si>
    <t>11 de febrero de 1800</t>
  </si>
  <si>
    <t>eal de 300 pesos, cuyo número se ignora , creación de .10 de Abril, con el última endoso á favor de D. Bernabé Sánchez, Guardia de Corps de la compañía Americana. Quien lo hubiese encontrado lo devolverá á dicho interesado en su quartel. A la casa sita en la plazuela de Santa Catalina, núm. 10, ma</t>
  </si>
  <si>
    <t>Bernabeu, Antonio</t>
  </si>
  <si>
    <t>Antonio Bernabeu</t>
  </si>
  <si>
    <t>D. joachín Germán, Capitanes agregados al mismo cuerpo, y á Tenientes á los agregados en esta elase D. Antonio Bernabeu y D. Joachín Cortés; y en el de Valencia á Capitán al Teniente D. Antonio Terranét, y á Tenientes al agregado en esta clase D. Vicente Gil de Arias y á los Subtementes D. Rafael Cerec</t>
  </si>
  <si>
    <t>Bernad y Vargas, Joachín</t>
  </si>
  <si>
    <t>Joachín Bernad y Vargas</t>
  </si>
  <si>
    <t>D. Joseph Eguiluz, á D. Gregorio Guazo Gutiérrez: para el de la de Alcalá la Real, que este dexa* á D. Joachín Bernad y Vargas; y para el de la de Ronda á D. Juan Agustín de Mendoza : para el de Letras de la ciudad de Toledo á D. Tomas Casanova de Arnuero y Rada: para el de los Pedroches de Córdoba á D. N</t>
  </si>
  <si>
    <t>Bernadotte</t>
  </si>
  <si>
    <t>mplido todos sus empeños relativos á dicha capitulación. París 22 de Abril. A 1 ciud. Bernadotte, Consejero de estado, y General de división, se le ha conferido el mando en xefe del exército del Oest. Han decretado los Cónsules que se establezca un comanda</t>
  </si>
  <si>
    <t>Bernadotte, General</t>
  </si>
  <si>
    <t>General Bernadotte</t>
  </si>
  <si>
    <t>abert el mando de las tropas francesas en Berna en lugar del General Muller. París 27 de Enero. E 1 General Bernadotte ha sido nombrado Consejero de Estado por lo relativo á ios asuntos de guerra.- ' ¡ Sin embargo de la respuesta del Lord Grenville á la carta cíe! primer Cónsul, y no obstante los</t>
  </si>
  <si>
    <t>e pudiesen traer. • El General Bruñe, á quien va á reemplazar en el mando del exército del Oeste el General Bernadotte, salió de Nántes para esta ciudad el dia 22. Hallábase aquí prisionero baxo palabra el General austríaco Mack ccn otros oficiales del exército del Emperador: andaban todos libres</t>
  </si>
  <si>
    <t>starían en Milán. El Consejero de estado Lcscalier ha llegado á Brcst, en donde también se halla el General Bernadotte, comandante en xefe del exército del Oest. .El Contra-Almirante Latouche-Treviile , que manda Ja esquadra francesa, les dio un convite de 70 cubiertos, al qual asistieron ios xefe</t>
  </si>
  <si>
    <t>áfico que 35 naves inglesas de guerra llegaron el dia 5 á las costas de la península de Quiberón El General Bernadotte, informado de los movimientos que algunos dias antes hacia la esquadra enemiga, no dudaba que emprendiese un desembarco; y así se habían tomado todas las providencias necesarias,</t>
  </si>
  <si>
    <t>n hecho ocultan quiza proyectos mas vastos; pero nada se omite para rechazar todas sus empresas. El General Bernadotte, Consejero de -astado, y comandante en xefe del exército del Oest, ha escrito también al Ministro de Guerra en estos términos: t T „Salí de Rennes el 6 por la mañana, y llegue a V</t>
  </si>
  <si>
    <t>y dcsapareciéron. Se ocupan mucho en sondear todas nuestras costas desde Bretaña hasta Holanda. El General Bernadotte tiene hechas sus disposiciones de defensa: y es tal el ardor de las tropas, y la tranquilidad interior de aquellos departamentos, que dicho General no ha puesto reparo en'destacar</t>
  </si>
  <si>
    <t>Bernal Vejarano, Juan Vicente</t>
  </si>
  <si>
    <t>Juan Vicente Bernal Vejarano</t>
  </si>
  <si>
    <t>i o 44 sorera de la catedral de la Puebla de los Angeles* ha nombrado el Re^r para esta dignidad á D. Juan Vicente Bernal Vejarano, Canónigo Magistral de la mis m;?. 3. M. se ha dignado nombrar Teniente veterano del regimiento provin-; cial de dragones de la P.eyna á D. Joseph Antonio Camachio, Alférez vetera</t>
  </si>
  <si>
    <t>Bernarda de Quirós, María</t>
  </si>
  <si>
    <t>María Bernarda de Quirós</t>
  </si>
  <si>
    <t>ra el remate de la casa calle de Preciados , núm. 14, manzana 396 , perteneciente á las memorias de Doña María Bernarda de Quirós , tasada en 98,860 rs. , y dan por ella la misma cantidad en vales Reales. Doña Victoria de Félix, oculista en esta corte , continúa en la curación de las enfermedades de los ojos</t>
  </si>
  <si>
    <t>Bernarda Lami</t>
  </si>
  <si>
    <t>838 Entretenimientos sobre las ciencias, escritos en francés por el R. P. Bernarda Lami, presbítero del oratorio : traducidos é ilustrados por D, Domingo Ugena presbítero; castigados y publicados por D. Juan Manuel González y de Nieto Interventor del Real peso de esta villa. Est</t>
  </si>
  <si>
    <t>Bernarda Martínez Hevia</t>
  </si>
  <si>
    <t>de 40 dias á los que tengan derecho á los bienes que han quedado por muerte de Bernarda Martínez Hevia , natural de la villa del Escuria.1, hija legítima de Felipe Martínez, natural de la villa de Fuentes de Ebro, en el Reyno de Aragón, y.de Jacinta de Hevia, de la Pola de Siero, obispado de</t>
  </si>
  <si>
    <t>Bernardino Chincolla---- Otro</t>
  </si>
  <si>
    <t>a en 1453, pertenecientes ambos á la cofradía de Animas de la parroquial de Santiago, y obra pia de D. Bernardino Chincolla---- Otro olivar de 557 pies en el sitio del camino de jándola, tasado en venta en 30,600 rs., y en renta en 1275 , perteneciente á la obra pia de D&lt; nía María de Biedma.__ Otro olivar de 2</t>
  </si>
  <si>
    <t>Bertazoni, Francisco</t>
  </si>
  <si>
    <t>Francisco Bertazoni</t>
  </si>
  <si>
    <t>mover á Capitán de granaderos al de fusileros D. Antonio Mayoni: á Capitán de fusileros aí Ayudante D. Francisco Bertazoni: á Ayudante al primer Teniente D. Antonio Lafuente; á primeros Tenientes los segundos P. Nicolás Gallegos y D, Joseph Torralba: á segundo Teniente de granaderos al de fusileros D.</t>
  </si>
  <si>
    <t>Berthicr, General</t>
  </si>
  <si>
    <t>General Berthicr</t>
  </si>
  <si>
    <t>os Cónsules; y después pasaron á cumplimentar á Madama Bonaparte, la qual ha recibido una carta del General Berthicr, que contenia varias hojas de laurel sacadas de la corona de una de las banderas cogidas á los enemigos; y le decía: ,, Guardad preciosamente esos laureles, que bastante caro cues</t>
  </si>
  <si>
    <t>Berthier, Alexandró (general)</t>
  </si>
  <si>
    <t>General Alexandró Berthier</t>
  </si>
  <si>
    <t>eron 12 soldados muertos y prisioneros. Por nuestra parte no hubo ni muertos ni heridos.” Carta del General Alexandró Berthier al primer Cónsul. ,, Quartel ge</t>
  </si>
  <si>
    <t>Berthier, General</t>
  </si>
  <si>
    <t>General Berthier</t>
  </si>
  <si>
    <t>el mes último; pero el Tribunado sigue todavía las suyas. Ha nombrado el primer Cónsul Bonaparte al General Berthier para General en xefe del exército de reserva; y ha conferido al ciad. Carnot, Inspector general de revistas, el ministerio de Guerra que aquel servia. A Berthier le comunicó antes</t>
  </si>
  <si>
    <t>3 5, Parts 11 de Abril. E. J General Bertluer ha pasado revista á un cuerpo de 6t2E&gt; soldados d mfantería y caballería, el qual se ha puesto en marcha para Dijon, en donde formará parte del exército de reserva. Un sugeto llam</t>
  </si>
  <si>
    <t>quí una compañía que se propone establecer y poner corriente la navegación de París al mar. « ,, El General Berthier , comandante en xefe del exército de reserva, ha tenido en Basilea una conferencia con. el General Mor.eau. Las operaciones</t>
  </si>
  <si>
    <t>isos de oficio, concluye con una exhortación á los franceses para que se armen y corran á Dijon. El General Berthier ha dirigido á los oficiales y soldados del exército que manda esta breve proclama: „Va á empezar una nueva campaña. Tenemos que conquistar la paz. Vuestro valor, vuestra paciencia</t>
  </si>
  <si>
    <t>ntamiento de aquella ciudad está disponiendo alojamiento para el primer Cónsul Pomparte , y para el General Berthier. De Zurich escriben que el i.p del corriente á las 4 de madrugada atravesaron los franceses el Rhin por el convento de Parad íes y por SchaarenJholz: á las 8 se hallaban en Stein,</t>
  </si>
  <si>
    <t>Berthíer, General</t>
  </si>
  <si>
    <t>General Berthíer</t>
  </si>
  <si>
    <t>el General Lannes, que va á encargarse del mando de la vanguardia del exército de observación. .£ 1 General Berthíer acaba también de salir de-aquí á Lausana, para donde partirá esta noche el primer Cónsul, y pasará revista á las tropas que hay allí.__ Espérame aquí por instantes á los Consejero</t>
  </si>
  <si>
    <t>, comandante de la vanguardia del exército de reserva, ha escrito al General en xefe Berthier la siguiente carta: artel general de Aost 16 de Mayo. Hoy á las 11 de la mañana hemos llegado á Aost con 1.a 6.a media brigada ligera y la 22 do batalla. .Hallamo</t>
  </si>
  <si>
    <t>o comandante declaró que tenia orden de apresar todas las embarcaciones que saliesen del puerto. TI General Berthier, que el 16 de este mes tenia su quartel en S. Branchir, incluyó en la orden de aquel dia para el exército la siguiente exhortación: Soldados. El exército del Rhin gana victorias a</t>
  </si>
  <si>
    <t>todavía se observa mucho secreto en orden al objeto con que se despachan es«As fuerzas navales. El. General Berthier ha dirigido al primer Cónsul una larga relación desde el quartel general de Chivusso, con fecha de 20 de Mayo, en que le da cuenta por menor del paso del monte Je S. Bernardo , de</t>
  </si>
  <si>
    <t>y 400 hombres de guarnición, los quales quedaron prisioneros de guerra, y se envían á Francia.” El General Berthier ha remitido á Bonaparte desde Milán una relación circunstanciada de las operaciones del exército desde 30 de Mayo hasta 3 de Junio. De ella se extractarán aquí los principales suc</t>
  </si>
  <si>
    <t>iente de la batalla propuso el General Melas un armisticio , cuyas condiciones se arreglaron por el General Berthier el 27 de Prairial (16 de Junio) en los términos que á continuación se insertan. La carta en que el primer Cónsul anuncia estos memorables sucesos concluye así: Espero que el pueblo</t>
  </si>
  <si>
    <t>s de Lombardía,, en los quaies hemos hallado de 5 á 6® enfermos ó heridos.” ,y Milán 5 de Junio. El General Berthier ha mandado que se ocupe á Cremo, y que el cuerpo del General Duhesme forme el cerco de Pizzighitone.__ Él primer Cónsul ha convocado á los Obispos y Párrocos, y les ha manifestado</t>
  </si>
  <si>
    <t>ei centro del exércíto,. y obraré conforme á las instrucciones que os ruego me enviéis.”* Carta del General Berthier al primer Cónsul. Quartei general de Broni o de Junio. ,, Sabiendo yo que el General Ott se adelantaba desde Génova con 30 batallones, y habia entrado ayer en Voghera, di orden al</t>
  </si>
  <si>
    <t>y el mismo dia se arregló el convenio de que incluyo copia, el qual se firmó por la noche entre el General Berthier y el General Melas. Espero que el pueblo francés estará satisfecho de su exército.” (El convenio es el mismo que se publicó en la gazeta y capítulo de Madrid de i.° de Julio.) Ademas</t>
  </si>
  <si>
    <t>forman ya uno solo baxo el nombre de exército de Italia. Lo mandará en xefe el General Massena. £1 General Berthier ha llegado á Turin para arreglar el gobierno de Piamonte. El General Suchet ocupó el dia 23 todos los castillos de Génova. Se ha encontrado allí toda la artillería, y aun aumentad</t>
  </si>
  <si>
    <t>despedidas luego,.Que.Jse.publicó el convenio -firmado en Alexandría entre los Generales Beriíier y Melas, porque rehusaron seguir las banderas austríacas: solamente un número muy cortó de loficiales han quedado en aquel" exército. Viendo ei Geheral francés quah co</t>
  </si>
  <si>
    <t>del agua sin comunicación con el ayre exterior. Había en el barquito 3* hombres. Se asegura que el General Berthier irá quanta antes; á. Madrid en calidad de Embaxadór extraordinario.. Milán 24.de Julio.. A ntes de ayer salió de aquí el General Massena para Turin, en donde pasará -revista á la</t>
  </si>
  <si>
    <t>atención esta novedad. También se lee en la gazeta de la corte un gran elogio de la relación que el General Berthier hizo de la batalla de Marengo. Se alaba especial</t>
  </si>
  <si>
    <t>onsejero de Estado Lacuée está encargado del despacho deí ministerio de Guerra hasta la llegada del General Berthier» Por decreto de los Cónsules del dia $ el exército de reserva se llamará exército dé los Grisones, y ocupará por ahora el pais de este nombre, la Helvecia y el departamento deí Le</t>
  </si>
  <si>
    <t>ingleses fuego. Era el nombrado Marlborough, de porte de 74 cánones. k " París 16 de Noviembre. El General Berthier, que acaba de llegar á París de su viage á Madrid, empezó el dia 14 á despachar como Ministro de Guerra. El Rey de España ha regalado al primer Cónsul 16 arrogantes caballos andal</t>
  </si>
  <si>
    <t>Bertrán y Serráis, Buenaventura</t>
  </si>
  <si>
    <t>Buenaventura Bertrán y Serráis</t>
  </si>
  <si>
    <t>rar para una Canongía de la catedral de Tarazona, vacante por fallecimiento de D. Josepli Maenza, á D. Buenaventura Bertrán y Serráis, Capellán del tercer batallón del regimiento de infantería de Aragón: para otra de la de Orihuela, vacante por fallecimiento de D. Gerónimo Roca, á D. Tomas de Molina Martel; y pa</t>
  </si>
  <si>
    <t>Bertrana, Joseph</t>
  </si>
  <si>
    <t>Joseph Bertrana</t>
  </si>
  <si>
    <t>Supl. 2, p. 2</t>
  </si>
  <si>
    <t>55. 3o. Isidro Poch, hijo de Justo y Margarita , natural de GeSEGUNDA COMPAÑÍA. Joseph Bertrana, hijo de otro y Mariana, natural de San Boy de Llusanés , Corregimiento de Vique................... 55. 30. Joceph Casas, hijo de Roque y Rosa, natural de Sarria, Corregimiento de Geron</t>
  </si>
  <si>
    <t>Bestigui, Andrés</t>
  </si>
  <si>
    <t>Andrés Bestigui</t>
  </si>
  <si>
    <t>rnando Adan y D. Fernando de las Casas. En rudimentos de latinidad, baxo la dirección de su maestro D. Andrés Bestigui, los seminaristas D. Francisco Necochea, D. Pedro Goossens, D. Joseph Fermín Cia, D. Joseph María Cia, D. Pedro Tavira, D. Rodrigo Tavira, D. Raymundo Cia, D. Joseph de Arellano y</t>
  </si>
  <si>
    <t>Betegoñ, Francisco</t>
  </si>
  <si>
    <t>Francisco Betegoñ</t>
  </si>
  <si>
    <t>río, y al Cadete del de infantería Inmemorial del Rey D. Francisco Betegoñ: en el de Málaga á Teniente Coronel al Comandante de! tercer batallón del de infantería de Soria, graduado de Coronel, D. Vicente Martorell; á primer Teniente de granaderos al de</t>
  </si>
  <si>
    <t>Bethencourt</t>
  </si>
  <si>
    <t>uirlo, que causar daño y hacerse odiosos¿ Domo- d'Osola 2$ de Mayo. E 1 General comandante Bethencourt, con fuerzas muy. inferiores á las enemigas, y no obstante las dificultades casi insuperables ael camino, baxó del Simplón el dia 26, y ocupó el valle de Deved</t>
  </si>
  <si>
    <t>Beunza, Manuel</t>
  </si>
  <si>
    <t>Manuel Beunza</t>
  </si>
  <si>
    <t>ez' al Alcalde también de la misma Quadra D. Pedro Joseph Pinuaga y Tole-&gt; d.ó: para esta,resulta á D. Manuel Beunza : para la que obtenía D. Joseph : Damian dé Cuenca á ;D. Pedro María Garrido , Alcalde de. la expresádap Quadra, y para esta áiDv;FernandouMaríaíGarvia de Torrevedraf ynparac l^de</t>
  </si>
  <si>
    <t>Beurijonville, General</t>
  </si>
  <si>
    <t>General Beurijonville</t>
  </si>
  <si>
    <t>ciud. Carnot, que ha hecho dimisión. El dia 5 llegó de Berlín á Paris el ciud. Belair, Ayudante del General Beurijonville, Ministro de Francia en Prusia. El ciud. Luis Bonaparte ha salido de aquí para viajar por Prusia y Aie•mania. El Sr. Boulígni, Ministro de S. M. Católica en Constantinopla, que va</t>
  </si>
  <si>
    <t>Beurnonville, General</t>
  </si>
  <si>
    <t>General Beurnonville</t>
  </si>
  <si>
    <t>d. DelÜinger; y . para .Ministro plenipotenciario y Enviado extraordinario en Berlm se. confirma al General Beurnonville. Ayer se acordó también el siguiente decreto: „Considerando, los Cónsules de la República que hace 6 meses está'depositado :en la ciudad-de Valencia el cadáver de Pío VI, sin que</t>
  </si>
  <si>
    <t>E MADRID DEL MARTES n DE MARZO DE 1800. Berlín 28 de Enero. A .ntcs de ayer dio el Rey audiencia al General Beurnonville, Embaxador de Francia, habiéndole presentado á S. M. el Conde de Alvensleben. Como se dice que si los rusos vuelven á Alemania empezarán sus operaciones militares por el lado de W</t>
  </si>
  <si>
    <t>ícese que los tratados se firmarán en Carlsbad, y que no tardará en trasladarse á aquella ciudad el General Beurnonville, Embaxador de Francia en esta corte.___Háblase también del próximo ajuste de un armisticio marítimo. Aseguran que el viage que ha hecho á esta corte el Teniente General ruso Conde</t>
  </si>
  <si>
    <t>Bferlo, Máximo</t>
  </si>
  <si>
    <t>Máximo Bferlo</t>
  </si>
  <si>
    <t>cer ver que no tienen los accidentes superfluos: están impresos en Nápoles; su precio 40 rs.; y por D. Máximo Bferlo unas seguidillas intituladas el Ay de la Havana, con acompañamiento de guitarra solo y para forte-piano : á* 4 rs. EN LA IMPRENTA REAL.</t>
  </si>
  <si>
    <t>Bianchard</t>
  </si>
  <si>
    <t>stumbres ó reflexiones christianas para formar un verdadero hombre de bien , escrita en francés por Mr. Bianchard, y traducida por D. Ignacio Malo, Secretario de la Patriarcal. Esta obra enseña el camino de la virtud y de la sabiduría, con estilo eloqüente y persuasivo; y se dirige á formar e</t>
  </si>
  <si>
    <t>Bianchi de Adda</t>
  </si>
  <si>
    <t>los Ministros de la República cisalpina; y son para el despacho de la Guerra el ciud. Bianchi de Adda, xefe de brigada de ingenieros, y Ministro que ha sido de Guerra: para el despacho de Negocios extrangeros el ciud. Pancaldi, Consultor legal que fue del gobie</t>
  </si>
  <si>
    <t>a Polfranceschi á Inspector general del departamento de la Guerra, en lugar del ciud. Bianchi de Adda. £1 dia 29 se publicó una ley arreglando el gobierno de los países recien reunidos con la República cisalpina, los quales forman un nuevo departamento llamado</t>
  </si>
  <si>
    <t>Biard</t>
  </si>
  <si>
    <t>ara prenderlos , han sido inútiles hasta ahora. , .. jgfl JGuin ha inventado el ciud. Biard una maquina para texer lienzos' con mucha perfección, y aun mayor que la que pueden dar los texedores, consiguiéndose ademas un grandísimo ahorro en los gastos</t>
  </si>
  <si>
    <t>Biaz Noriega, Juan Antonio</t>
  </si>
  <si>
    <t>Juan Antonio Biaz Noriega</t>
  </si>
  <si>
    <t>el año próximo venidero de 1801 á las 12 de su mañana ante dicho Sr. Alcalde y por la escribanía de D. Juan Antonio Biaz Noriega. Quien quisiere hacer postura á ellas acuda ante el citado Señor é insinuada escribaría. En virtud de providencias del Sr. !D. Pedro González Calderón, Teniente Corregidor de esta</t>
  </si>
  <si>
    <t>Biazquez Prieto, Manuel</t>
  </si>
  <si>
    <t>Manuel Biazquez Prieto</t>
  </si>
  <si>
    <t>uarto de la Dirección y Contaduría de la renta de la Real Lotería de México á D. Juan Manuel Conde, D. Manuel Biazquez Prieto y D. Vicente Muquerza. Quien hubiese encontrado un vale de 150 pesos, creación de 15 de Setiembre, mim. 170,960, renovado á favor de D. Alonso Gome* Alvarez, que debe estar sin endoso</t>
  </si>
  <si>
    <t>Bibiano Cantin, Francisco</t>
  </si>
  <si>
    <t>Francisco Bibiano Cantin</t>
  </si>
  <si>
    <t>y- endosado por este al dicho' D. Ramón. Quien lo tuviere lo remitirá al mismo Gayan en Paniza, ó á Don Francisco Bibiano Cantin en Zaragoza, ó á D. Juan García de Mutiloa en Ma- ¡ drid, calle de la Sartén , mím. 5 , quarto baxo. Extracto ó compendio de los libros históricos de la santa Biblia, en octavo regu</t>
  </si>
  <si>
    <t>Biicher Olsen</t>
  </si>
  <si>
    <t>esuelto S. M. enviar á aquel país un sugeto con .diV cho carácter ; y en conseqüencia ha nombrado á Mr. Biicher Olsen, que actualmente es Cónsul dinamarqués en Marruécos, para Ministro de esta cocote en dichos Estados'Americanos, en cuya calidad se trasladará á su destino la próxima primavera, y</t>
  </si>
  <si>
    <t>Bilbao Angosto, Francisco</t>
  </si>
  <si>
    <t>Francisco Bilbao Angosto</t>
  </si>
  <si>
    <t>MM. y AA. En el Real cuerpo de Artillería se ha dignado el Rey ascender á Capitanes á los Tenientes D. Francisco Bilbao Angosto y D. Hermenegildo Es-' pinosa. En América. El Rey se ha servido nombrar para el Deanato de la catedral de Panamá á D. Manuel de Albino y Obregon: para el Arcedianato, que este dexa, a</t>
  </si>
  <si>
    <t>Bille, Capitán</t>
  </si>
  <si>
    <t>Capitán Bille</t>
  </si>
  <si>
    <t>e los dinamarqueses tuvieron que acogerse precipitadamente á su lancha para volver á la fragata. El Capitán Bille levó anclas, y después de echar á pique dos embarcaciones tunecinas salió del puerto.__ Este ministerio ha despachado dos navios de guerra al Mediterráneo, no solo para proteger n</t>
  </si>
  <si>
    <t>Billón, Joseph María</t>
  </si>
  <si>
    <t>Joseph María Billón</t>
  </si>
  <si>
    <t>tos. Los Directores generales de Reales provisiones de exército y armada remitieron el 8 de Enero á D. Joseph María Billón, de Palma en Mallorca, 26 vales Reales de á 600 pesos, creación de 10 de Abril, núms. desde 400,357 al 406,38a ámbos inclusive j y en 11 del mismo mes otros 18 vales de la misma c</t>
  </si>
  <si>
    <t>Billón, Juan Bautista</t>
  </si>
  <si>
    <t>Juan Bautista Billón</t>
  </si>
  <si>
    <t>olano y D. Fernando Mulero. ' D. Manuel González de Lobera, de esta corte, remitió el 1$ de Enero á Don Juan Bautista Billón, de Palma, 3 vales endosados á su órdeii en dicho dia, * de á 600 pesos, creación de Abril, núm. 398,746, 398,747, y el otro de i$o pesos, déla de Setiembre, núm. 216,7765 y no ha</t>
  </si>
  <si>
    <t>Bis, Joachín</t>
  </si>
  <si>
    <t>Joachín Bis</t>
  </si>
  <si>
    <t>. Hermenegildo Campero; á primeros Subtenientes á los seguidos D.nJoteph'Recacha, Di-Pedro'Florez y D. Joachin Bis; y á segundos.Subtenientes A los Cadetes D. Antonio María Berard y D. Joachin María Fuster, y al Sargento primero D. Facundo Alarcon: en el de Burgos á Capitaa al Ayudante D. Migu</t>
  </si>
  <si>
    <t>Bishc y Arnau, Juan</t>
  </si>
  <si>
    <t>Juan Bishc y Arnau</t>
  </si>
  <si>
    <t>s; y Subtenencias de bandera en los de Laredo, Plasencia y S. Felipe á D. Joaehín. María de Casuzo, D. Juan Bishc y Arnau, D. Joseph Ignacio Sempcrei y D. Ensebio Doiiat, estos dos agregados de Subtenientes al expresado de San 1 Felipe. S. M. se ha servido prorogar á D. Joachin Varón por otros seis a</t>
  </si>
  <si>
    <t>Bising</t>
  </si>
  <si>
    <t>eneral Príncipe de Reuss ha ido á Inspruck , capital del Tirol, á tratar con el Gobernador Bising en orden á las disposiciones que conviene hacer para defender el pais. Desde el dia 15 ha habido algunas acciones parciales en Weissenhem, Kirchberg y Westastett</t>
  </si>
  <si>
    <t>Bisson</t>
  </si>
  <si>
    <t>brigada Kellerman y Gudín han sido promovidos á Generales- de división ; y los ciudadanos Milet y Bisson á Generales de briscada. Asimismo, queriendo los Cónsules dar una prueba muy particular de :1a satisfacción del pueblo francés á los Generales de división Víct</t>
  </si>
  <si>
    <t>Bizarro, Pedro</t>
  </si>
  <si>
    <t>Pedro Bizarro</t>
  </si>
  <si>
    <t>del de infantería de España: Capitán de granaderos del de Badajoz al de fusileros del mismo cuerpo D. Pedro Bizarro: Ayudante del de Santiago á D. Joseph Ortiz, primer Teniente del de infantería de Africa: Tenientes de granaderos de los de Toledo y Ciudad-Rodrigo á los de fusileros D. Clemente</t>
  </si>
  <si>
    <t>Bízcarrondo, Francisco</t>
  </si>
  <si>
    <t>Francisco Bízcarrondo</t>
  </si>
  <si>
    <t>dadas por el Cíipitan de Fragata D. Francisco Bízcarrondo , y Jas 4 que vinieron de Ares al de D..... (no lo mencionan) se situá^ ron con tal acierto , que su activo fuego, el de los castillos de S. Martin (*) y la Palma, y los del macho</t>
  </si>
  <si>
    <t>Blac y Castan, Rafael</t>
  </si>
  <si>
    <t>Rafael Blac y Castan</t>
  </si>
  <si>
    <t>en la metropolitana de Ntra. Sra. del Pilar de Zaragoza por fallecimiento de Don Miguel Montañés, á D. Rafael Blac y Castan. En la compañía Española del Real cuerpo de Guardias de Corps ha nombrado el Rey para el empleo de Alférez al Exento D. Pedro Trevilla: para el de Ayudante al Brigadier de ella D.</t>
  </si>
  <si>
    <t>Blaches, General</t>
  </si>
  <si>
    <t>General Blaches</t>
  </si>
  <si>
    <t>erpo de cazadores tienen orden de dirigirse á las fronteras del Ducado de Berg; y se asegura que el General Blaches, recien llegado de Berlín al exército prusiano, ha llevado instrucciones de la mayor importancia. Sin embargo</t>
  </si>
  <si>
    <t>Blanco, Claudio</t>
  </si>
  <si>
    <t>Claudio Blanco</t>
  </si>
  <si>
    <t>Francisco Postigo y D. Luis de Sous.i, y á segundos Subtenientes al Sargento primero de granaderos D. Claudio Blanco y al Cadete D. Baltasar Xiron: en el de Mallorca á Subteniente de granaderos al primer Subteniente D. Alonso Gago; á primer Subteniente al segundo i). Antonio Fernandez, y á segundo</t>
  </si>
  <si>
    <t>Blanco, Joseph</t>
  </si>
  <si>
    <t>Joseph Blanco</t>
  </si>
  <si>
    <t>gundo Teniente al Subteniente de granaderos D. Felipe Villalobos; y á primer Subteniente al segundo D. Joseph Blanco: en el de Murcia á Capitán de granaderos al de fusileros graduado de Coronel Don Luis de Noaylles: en el de Irlanda á segundos Subtenientes á los Sargentos primeros y soldado dist</t>
  </si>
  <si>
    <t>ombró por su úrico y universal heredero al citado su padre, y en caso que hubiese fallecido al Lie. D. Joseph Blanco su hermano; y por auto que proveyó en 11 de Diciembre de 1787 el Juez de bienes de difuntos de dicha ciudad de los Reyes, mandó se remitiese a España por cuenta y riesgo del expre</t>
  </si>
  <si>
    <t>servido promover en los regimientos de caballería: a Portacstándárte en el del Infante al Sargento D. Joseph Blanco: á primer Teniente y Portaestandarte en el de Borbon al segundo Teniente y Cadete D. Joseph Manrique de Lara y D. Isidro de Rueda; y á primer Teniente en el de España al segundo D</t>
  </si>
  <si>
    <t>!; Cardoso; á Teniente de granaderos al de fusileros D. Francisco Pliego; ; Teniente al Subteniente D. Joseph Blanco, y á Subteniente de bandera a Cadete D. Joseph Ignacio Romay: en el batallón de infantería de Campv che el empleo ae Capitán al Ayudante D. Angel de Toro; el que este dexa al Teni</t>
  </si>
  <si>
    <t>la Sargentía mayor del regimiento provincial de dragones de S. Luis, en el Reyno de Nueva España, á D. Joseph Blanco, Capitán de la segunda compañía volante de caballería de la Colonia del Nuevo Santander ; y esta Compañía á D. Bernardo Viilamil, Teniente Veterano del regimiento provincial de To</t>
  </si>
  <si>
    <t>Blanco, Joseph Tomás</t>
  </si>
  <si>
    <t>Joseph Tomás Blanco</t>
  </si>
  <si>
    <t>uiz de Estrada: en el 1 .primer batallón de Voluntarios de Cataluña á segunda Subteniente al Cadete D. Joseph Tomas Blanco; y en el regimiento suiza dé Betsehart á Tcnienfitj? aí Subteniente D; Christóbal Harrer. También se, ha servido S. M*. promover 'á Capitán- en el Real" Cuerpo de artillería al Te</t>
  </si>
  <si>
    <t>Blanco, Juan</t>
  </si>
  <si>
    <t>Juan Blanco</t>
  </si>
  <si>
    <t>entes D. Luis Piernas y D. Fernando de Lizoro: á Tenientes á los Subtenientes D. Juan Mier y Teran, D. Juan Blanco , de : r» Dulcocr. D. Francislos Cadetes 6! Santiago de Morant, D. LuisDanoy, D. Luis Bouligny, n Luis Gavarre V D. Cirilo de Morant, y los Sargentos pr.meros Don Francisco iCodri</t>
  </si>
  <si>
    <t>otorgó en ella á 22 de Mayo de 178» , declarando era natural del reyno de Galicia, hijo legítimo de D, Juan Blanco, que entonces vivía, y de Doña María Varela, difunta, y nombró por su úrico y universal heredero al citado su padre, y en caso que hubiese fallecido al Lie. D. Joseph Blanco su he</t>
  </si>
  <si>
    <t>Blanco, Manuel</t>
  </si>
  <si>
    <t>Manuel Blanco</t>
  </si>
  <si>
    <t>rid á D. Manuel de Sampelayo, En la gazeta de 28 de Octubre dé 1796, mím. 87, se dió noticia de que Don Manuel Blanco habia fallecido en la ciudad de los Reyes del Perú, baxo el poder para testar que otorgó en ella á 22 de Mayo de 178» , declarando era natural del reyno de Galicia, hijo legítimo</t>
  </si>
  <si>
    <t>Blanco, Pedro Luis</t>
  </si>
  <si>
    <t>Pedro Luis Blanco</t>
  </si>
  <si>
    <t>y obispado de León, vacante por fallecimiento del limo. Sr. D. Cayetano Antonio Quadrillero, al Sr. D. Pedro Luis Blanco, electo Obispo de Albarracin. S. M. se ha dignado nombrar para una Canongíá de la catedral de Segovia, vacante por fallecimiento de D. Miguel de Grijalva, á D. Bonifacio Lozano Xi</t>
  </si>
  <si>
    <t>de Luau y Canongía de la santa iglesia de Santiago, que resultan vacantes por la promoción del Sr. D. Pedro Luis Blanco al Obispado de León, á D. Joseph Viüaroeí, Bibliotecario primero de los Reales estudios de Madrid: para el Deanato •de la catedral de Cádiz, vacante por fallecimiento de D. Antoni</t>
  </si>
  <si>
    <t>Blanquet, Almirante</t>
  </si>
  <si>
    <t>Almirante Blanquet</t>
  </si>
  <si>
    <t>ue el caudillo Zamaum-Shah ha depuesto las armas, suspendiendo todas sus disposiciones hostiles. El Almirante Blanquet había entrado en Boinbay; el castillo de Juan-Labad se entregó á los ingleses el 8 de Octubre, y el Baxá de Jeypore puso en manos de los mismos al Visir Ally___ Un corsario de la</t>
  </si>
  <si>
    <t>Blasco de Orozco, Nicolás</t>
  </si>
  <si>
    <t>Nicolás Blasco de Orozco</t>
  </si>
  <si>
    <t>General Massena, quieren algunos inferir que no tardarán las hostilidades en romperse. El caballero D. Nicolás Blasco de Orozco, Ministro plenipotenciario de España en la República cisalpina, presentó el 27 del mes último sus recredenciales á este gobierno, por estar nombrado para ir con igual destino á lo</t>
  </si>
  <si>
    <t>Blome</t>
  </si>
  <si>
    <t>inas de aquel país. Copenhague JO ele Julio. H a creado el Rey caballero de la orden del Elefante á Mr. Blome, que fué su Enviado en la corte de Petersburgo. Según cartas del Mediterráneo se han movido disensiones entre los argelinos y los dinamarqueses. Una fragata de esta nación dio caz</t>
  </si>
  <si>
    <t>Blucher, General</t>
  </si>
  <si>
    <t>General Blucher</t>
  </si>
  <si>
    <t>rcación hasta los margraviatos de Anspach y Bareuth. El General Ruchei mandará el ala izquierda, ei General Blucher el -centro, y el General ScbLvh.-n la derecha. Entre los regimientos de caballería é infantería que tienen orden de ir á dicho cordon, están nombrados los de gensdarmes y de húsares</t>
  </si>
  <si>
    <t>Boada de las Costas, Benito</t>
  </si>
  <si>
    <t>Benito Boada de las Costas</t>
  </si>
  <si>
    <t>de la de Vich, llamada Rectoría de S. Miguel , vacante por fallecimiento de D. Segismundo Viñas , á D. Benito Boada de las Costas: para una Ración de la catedral de Orihuela, vacante por fallecimiento de Don Vicente Ripoll, á D. Felipe de la Bodega: para otra de la de Santander, vacante por fallecimiento de</t>
  </si>
  <si>
    <t>Boado y Salazar, Antonio</t>
  </si>
  <si>
    <t>Antonio Boado y Salazar</t>
  </si>
  <si>
    <t>udad de la Coruña, en la calle de Santiago y entrada de h plaza de la Harina, que la habita el Lie. D, Antonio Boado y Salazar* tasada en 64,712 rs. 5 mrs. — Idem diferentes cortijos existentes en el partido de la Aspilla, termino de la villa de Oria , Reyno de Granada , tasados en las cantidades que se e</t>
  </si>
  <si>
    <t>Boan, Ignacio</t>
  </si>
  <si>
    <t>Ignacio Boan</t>
  </si>
  <si>
    <t>uiz, primer Subteniente de l5i misma: para Capitán de las Milicias urbanas de la Coruña ál Teniente D. Ignacio Boan , y pajea Ayudante al Teniente D. Diego Iíij’osa. Asimismo ha concedido grado de Teniente Coronel de Milicias provinciales á D. Rosendo Cal y Babamonde, Capitán de correos marítim</t>
  </si>
  <si>
    <t>Bobadilla, Diego</t>
  </si>
  <si>
    <t>Diego Bobadilla</t>
  </si>
  <si>
    <t>y D. Francisco Santa Cruz: en el de Truxiüo las Subtenencias de cazadores y bandera al Subteniente D. Diego Bobadilla., y á D. Gonzalo y D. Matías de Carvajal Roco de Godoy. en el de Granada la Subtenencia de granaderos al Subteniente D. Juan Joseph de Fonseca: en el de Laredo Tenencia al Subteni</t>
  </si>
  <si>
    <t>Bocanegra, Matías</t>
  </si>
  <si>
    <t>Matías Bocanegra</t>
  </si>
  <si>
    <t>azgo de Santibañez de Zirbuda de las Agujas, en la diócesis de Burgos, vacante por fallecimiento de D. Matías Bocanegra, á D. Estéban Campillo Ruiz; y para el Beneficio simple de la feligresía de S. Miguel de Hoya, en la diócesis de Tuy, que resulta vacante oor fallecimiento de D. Lorenzo Fernandez</t>
  </si>
  <si>
    <t>Bocardi</t>
  </si>
  <si>
    <t>de dicha República: Barón de Reitzenstein, Ministro plenipotenciario de Badén: ciud. Bocardi, Ministro plenipotenciario^ de la República liguriana : Mr. Manthey, Encargado de negocios, de Dinamarca: Mr. Kopp j Encargado de negocios de Hesse-Cassel: Mr.</t>
  </si>
  <si>
    <t>Boccardi</t>
  </si>
  <si>
    <t>es. Su premio es úna trompeta de honor. Ha salido de esta ciudad para Génova el ciud. Boccardi, Ministro que fué de aquella República en Paris, y está nombrado Ministro de Relaciones exteriores de la misma. Hállase aquí hace algunos dias el General Auger</t>
  </si>
  <si>
    <t>o de Luneville, y se cree recaerá la elección en el ciud. Juan Carlos Serra. El ciud. Boccardi, Ministro que fué de esta Kepública en París, está ya sirviendo el empleo de Ministro ae Relaciones exteriores. Milán 1 í de 'Noviembre. E 1 dia 6 fué presenta</t>
  </si>
  <si>
    <t>Bodet, Cayetano</t>
  </si>
  <si>
    <t>Cayetano Bodet</t>
  </si>
  <si>
    <t>de Villaplana, Corregimiento de Tarragona............................. 70; 13. Cayetano Bodet, hijo de Antonio y María , natural de B rcclona , Corregimiento ídem........................................ 5 530. M arrin Daunis, hijo de Juan y Narcisa, natural de San Feria, Corregi</t>
  </si>
  <si>
    <t>Bodoni, Juan Bautista</t>
  </si>
  <si>
    <t>Juan Bautista Bodoni</t>
  </si>
  <si>
    <t>Niña: comedia. Tercera impresión = La Comedia nueva : comedia. Tercera impresión hecha en Parma por D. Juan Bautista Bodoni. So hallarán en casa de Castillo, frente á S. Felipe el Real. Seis dúos fáciles y progresivos , de Pleyel, para dos violines, óp. £ 3; su precio &lt;0 r&lt;¡—Otros &lt;5 también fáciles, d</t>
  </si>
  <si>
    <t>Boery, Joseph</t>
  </si>
  <si>
    <t>Joseph Boery</t>
  </si>
  <si>
    <t>Mauricio Keating y D. Pedro Sarsiieid; á primeros Subtenientes á los segundos D. Garlos Montignany, D. Joseph Boery, D. Mateo Colingh, D. Manuel Motes y D. Joseph María Rindelan; y á segundos Subtenientes á los Cadetes ]&gt;. Antonio García, D. Gerónimo Stermund, Di Ramón Urraca, Don Melchor Magra</t>
  </si>
  <si>
    <t>Bofarull, Pedro</t>
  </si>
  <si>
    <t>Pedro Bofarull</t>
  </si>
  <si>
    <t>undo de infantería ligera de Barcelona se ha servido S. M. promover á primar Subteniente al segundo D. Pedro Bofarull, y X segundo Subteniente al Sargento primero D. Onofre Noviola: en el de Voluntarios de Valencia á segundo Capitán al segundo Ayudante D. Antonio Aznar; X segundo Ayudante al prim</t>
  </si>
  <si>
    <t>Bogc, Barón</t>
  </si>
  <si>
    <t>Barón Bogc</t>
  </si>
  <si>
    <t>Dieta, han perdido sus empleos el Conde de Moerner, Chambelán del Rey, y Secretario de gabinete, el Barón Bogc, Secretario de revisión,, y el Barón Adelswaerd, Caballerizo del Duque de Sudermaniá. Por otra parte el Barón de Hierta, Secretario del protocolo, el Barón de Cederstroem, y Mrs.</t>
  </si>
  <si>
    <t>Boivin, General</t>
  </si>
  <si>
    <t>General Boivin</t>
  </si>
  <si>
    <t>unas aleteas no léjos de Kell. Se espera la llegada de tropas francesas para reforzar el cuerpo del General Boivin, y hacer una expedición contra ellos.. Han vuelto nuestras tropas á evacuar á Oífemburgo. Los franceses han sido bien recibidos en Augsburgo, en donde el General Lecourbe tenia ya</t>
  </si>
  <si>
    <t>Boix, Antonio</t>
  </si>
  <si>
    <t>Antonio Boix</t>
  </si>
  <si>
    <t>al de Artés, Corregimiento de Manresa.................................. 55. 30. Antonio Boix, hijo de Jayme y Rosa, natural de Ciutadilla, Corregimiento-de Cervera................................... 55. 30. Pedro Pastoret, hijo de Otro y María, natural de Figueras, Corregimient</t>
  </si>
  <si>
    <t>Boix, Ramón</t>
  </si>
  <si>
    <t>Ramón Boix</t>
  </si>
  <si>
    <t>ural de Furiosos, Corregimiento de Mataró......... .................... 41* 17* Ramón Boix , hijo de Estéban y Margarita , natural de Caimmajó, Corregimiento de Gerona............................ 55. 1. Miguel Bentrina, hijo de Mateo y Margarita, natural de Mieras, Corregimien</t>
  </si>
  <si>
    <t>Bolean, Francisco</t>
  </si>
  <si>
    <t>Francisco Bolean</t>
  </si>
  <si>
    <t>D. Francisco Antonio de Acebo y Sobron: para otra de la catedral de Canaria, vacante por muerte de D. Francisco Bolean, á Don Joseph Fernandez Abad: para la Ración que este obtiene en la misma iglesia, y resultará vacante, á D. Andrés Tomas de Herrera: para otra Canonjía de la de Vich, llamada Rec</t>
  </si>
  <si>
    <t>Bonafon, Francisco</t>
  </si>
  <si>
    <t>Francisco Bonafon</t>
  </si>
  <si>
    <t>propios para corregir sus malos efectos : obra escrita en francés por C. J. Tissot, y traducida por D. Francisco Bonafon , profesor de medicina j en la que se demuestra científicamente el imperio que exercen las pasiones en el hombre, y so prescriben reglas oportunas, deducidas de la parte física, p</t>
  </si>
  <si>
    <t>Bonai'on, Francisco</t>
  </si>
  <si>
    <t>Francisco Bonai'on</t>
  </si>
  <si>
    <t>y de Prusia, miembro de la Rs.-al academia de. ciencías de Berlín &amp;c. , y traducida del francés por D. Francisco Bonai'on , proíésor de medicina : un tomo en 8.° de cerca de gco páginas. Se hallará en la librería de Castillo , frente á las gradas de S. Fejpe , y en 3a de Escribano , caí! s de las Car</t>
  </si>
  <si>
    <t>Bonapartc</t>
  </si>
  <si>
    <t>m y Deptford. El 39 de Diciembre llego aquí un correo francés con una carta del Cónsul Bonapartc para el Rey, y otra del ciud. Talleyrand, Ministro de Relaciones exteriores, al Lord Greíiviile. Acompañaba al correo Mr. Crow, empleado en la aduana de Donvre</t>
  </si>
  <si>
    <t>Bonaparte</t>
  </si>
  <si>
    <t>ro. L as gazetas inglesas censuran la respuesta de este gabinete á la carta del Cónsul Bonaparte; y quejándose de que se haya desechado tan duramente la proposición que hacia de tratar de paz, extrañan que el Lord Grenville diga en su nota que ante todo de</t>
  </si>
  <si>
    <t>sión política que traxo de Francia el ciud. Duroc, se ha divulgado ahora que el Cónsul Bonaparte deseaba empeñar á este Soberano á que extendiese hasta el Mein la. línea de demarcación, á fin de que por este medio comprehendiese la neutralidad armada del Nort</t>
  </si>
  <si>
    <t>za, ha dado parte al gobierno helvético de los esfuerzos que ha hecho el primer Cónsul Bonaparte para pacificar la Europa, y de la resolución en que está de continuarlos para conseguir la tranquilidad general tan deseada como necesaria. Añade en su nota di</t>
  </si>
  <si>
    <t>Bonaparte, General</t>
  </si>
  <si>
    <t>General Bonaparte</t>
  </si>
  <si>
    <t>Negocios extrangeros.__ París 3 de Nivoso, año 8.° (ó 2?.dé Diciembre de 99.) Miiord. Por orden del General Bonaparte, primer Cónsul de la República francesa, despacho un correo á Lóndrcfr</t>
  </si>
  <si>
    <t>reo de Egipto de 21 de Octubre incluye los siguientes artículos: ,, Mohammed Rachia-Eííendi, que el General Bonaparte al tiempo de restituirse á Francia despacho á Siria con pliegos para el Gran Visir, volvió al Cayro ei 10 de este mes con la respuesta del General turco para Bonaparte, pues asegu</t>
  </si>
  <si>
    <t>, fusiles y un fardo de libelos impresos en Londres.”__ Asimismo, el General Lefebvre ha escrito al General Bonaparte el dia 24 una carta en que substancialmente diceResulta de los avisos que acabo de recibir del General Gardanne que en los contornos de Chanú ha descubierto varios parages en que lo</t>
  </si>
  <si>
    <t>enipotenciarios de los Estados-Unidos americanos han sido presentados al primer Cónsul Bonaparte por el Ministro de Relaciones Hállase todavía en esta capital el Almirante español Mazarredo, pero parece que no tardará en salir.</t>
  </si>
  <si>
    <t>a. Luego que esté formado este cuerpo;, se presentarán sus individuos al primer Cónsul Boñaparte, ofreciendo servir en la próxima campaña hasta mediaddos de Octubre de este año. Solicitarán que en quanto sea posible los empleen en la misma coluna que mande</t>
  </si>
  <si>
    <t>irá luego 6U viage al mencionado quartel general. También se dice que el primer Cónsul Bonaparte hizo á la corte de Petersburgo proposiciones de paz al mismo tiempo que á este gabinete y al de Londres; y añaden que Paulo I no quiso contestarle. Se hacen ca</t>
  </si>
  <si>
    <t>. En Viena se permite de algunos dias á esta parte vender el retrato del primer Cónsul Bonaparte; pero se prohíbe todavía vender el del Senador Sieyes. Londres 28 de Marzo. S e han suspendido los preparativos para la expedición del Mediterráneo, y se advie</t>
  </si>
  <si>
    <t>el mes último; pero el Tribunado sigue todavía las suyas. Ha nombrado el primer Cónsul Bonaparte al General Berthier para General en xefe del exército de reserva; y ha conferido al ciad. Carnot, Inspector general de revistas, el ministerio de Guerra que aq</t>
  </si>
  <si>
    <t>Pekín. ^ El instituto nacional celebró el 26 una junta, y la presidió el primer Cónsul Bonaparte, el qual propuso se reformase el método que actualmente se observa en la elección de sus individuos; y en conseqüencia se han nombrado algunos de ellos para qu</t>
  </si>
  <si>
    <t>tro puerto, habían recibido orden de suspender su partida. Por orden del primer Cónsul Bonaparte se ha comunicado de oficio al ministerio de Berlin, que todos los empleados franceses saldrán quanto antes de las provincias prusianas; pero quedarán en ellas</t>
  </si>
  <si>
    <t>he dado cuenta del estado en que se hallaba este exército, como también de las negociaciones que el General Bonaparte había entablado con el Gran Visir. Yo tuve que continuarlas; y aunque entonces no esperaba mucho fruto de ellas, creía sin embargo que servirían para detener la marcha y los prepa</t>
  </si>
  <si>
    <t>ndo que las circunstancias de mi situación no estaban previstas en las instrucciones que me dexó el General Bonaparte......Incluyo copia de mi correspondencia así con el Gran Visir, y el Conmódoro Sidney-Smith, como con mis plenipotenciarios; é igualmente de las notas de oficio entregadas de part</t>
  </si>
  <si>
    <t>a nación francesa de conservar sus antiguos enlaces con el Imperio otomano. Mi ilustre antecesor el General Bonaparte os lo declaró varias veces desde</t>
  </si>
  <si>
    <t>al Souchet, Teniente del General en xefe del exército de Italia, ' ha escrito la siguiente carta al General Bonaparte, primer Cónsul de la República: „Quartelgeneral de Melogno 16de AbriL Mi General. Diez dias ha que el exército de Italia está peleando con el enemigo. Y hallándome destacado del e</t>
  </si>
  <si>
    <t>.800,300 francos. Ginebra 11 de Mayo» A ntes de ayer noche llegó aquí el primer Cónsul Bonaparte, y anoche concurrió á casa del Prefecto del departamento, en donde había una numerosa asamblea.</t>
  </si>
  <si>
    <t>ue haréis para conservar á la República una fortaleza tan importante. El primer Cónsul Bonaparte, que vela sobre la suerte del exército, dirigirá la fortuna de sus armas; y en breve saldremos triunfantes de la lucha desigual que sostenemos. No escaseis el</t>
  </si>
  <si>
    <t>misticio de 24 horas para enterrar los muertos, Lausatu1 10 de Mayo. E 1 primer Cónsul Bonaparte ha llegado á esta ciudad y ha revistado las tropas de caballería. Mientras se detuvo en Ginebra fue á visitarle Mr. Necker, y tuvieron una larga conferencia. E</t>
  </si>
  <si>
    <t>Iílcr. Ginebra 16 de Mayo. E 1 12 á las 6 de la mañana salid de aquí el primer Cónsul Bonaparte para Lausana.—Ayer habrá empezado sus operaciones el exército de reserva, qu e quizá no tardará en llamarse exército de Italia. De esta ciudad y de otras mucha</t>
  </si>
  <si>
    <t>uelto ir con gran parte de sus tropas hacia el Tirol ■y los Grisones. El primer Cónsul Bonaparte, en calidad de presidente del instituto de Francia, ha dirigido á las universidades y demas cuerpos científicos de Alemania el programa de los premios propuest</t>
  </si>
  <si>
    <t>5*7 . • ^naz de! primer Cónsul Bonaparte t y eomo se suponían nauy^ventajosas para Ti Austria, convendrá quizá (dice nuestro Embaxador) se^í'cvenga nuestra corte para quanto pueda resultar: pues aunqu</t>
  </si>
  <si>
    <t>ulo 6.° prohíbe Li circulación de cédulas del banco de Viena.” Quando el primer Cónsul Bonaparte entró en Milánsalió á recibirle, gran número de. ciudadanos de todas clases, y por la noche hubo, iluminación general. Antes de ayer tuvieron los. Cónsules; cart</t>
  </si>
  <si>
    <t>de los e.xércitas de Italia. Exército de reserva. „ El General Moncey ai primer Cónsul Bonaparte. Quartel general de Bellinzona i.° de Jimio: Tengo la honra de informaros que los dias 28 y 29 una parte de las tropas de mi mando pasó el monte de S. Gothardo</t>
  </si>
  <si>
    <t>á este gabinete, y casi no se duda de que en breve se firmará la paz. El primer Cónsul Bonaparte no cesa de manifestar á esta corte su deseo sincero de que se ponga fin á la efusión de sangre. El 26 del mes anterior llegó un correo despachado por el mismo</t>
  </si>
  <si>
    <t>á el General Sahuguet. Parts jj de Junio. C on fecha del 9 ha escrito el primer Cónsul Bonaparte á los otros dos Cónsules de la República la siguiente carta desde Milán: „ Por las cartas de Mr. Melas, que se interceptaron é incluí en-mi anterior, habréis v</t>
  </si>
  <si>
    <t>pérdida consistió en 60 muer tos .y ^00 heridos.” Exército de Italia. El Teniente General Suchet al General Bonaparte. Qttartel general del enda 3 de Junio. Debo comunicaros algunas circunstancias mas de las que sabéis sobre las brillantes acciones de los dias 1,2 y 3.__ La división núm. 6, despu</t>
  </si>
  <si>
    <t>empeñe .bien-¡las condiciones piopuestas. &gt; ÍL, Milán 2 1 d&lt;? Junio. jll primer Cónsul Bonaparte ha dado varias providencias sobre el nuevo gobierno de esta República: la primera empieza así: „Considerando que la República cisalpina ha sido reconocida libr</t>
  </si>
  <si>
    <t>El día 18 se cantó Te Dcum en esta metropolitana por orden del primer Cónsul Bonaparte , en acción de gracias de la libertad de esta República y de la gloria de las armas francesas. Asistió Bonaparte a este acto religioso: todo el clero le recibi</t>
  </si>
  <si>
    <t>tropas se ,hallaban mas allá del desierto en el estado mas lastimoso. El primer Cónsul Bonaparte ha restablecido la universidad de Pavía, que se habia cerrado desde la invasión de los austríacos, y ha nombrado los</t>
  </si>
  <si>
    <t>e Julio* jrl. las 2 y media dé la madrugada del 3 llego á esta ciudad el primer Cónsul Bonaparte. Entró por otra puerta distinta de la que se creía, y por la qual no le esperaban. Desde León habia escrito á los Cónsules con fecha del 29 diciéndoles que no</t>
  </si>
  <si>
    <t>su Ayudante general Lacuée. Mr. Melas le dixo: „ Deseo se haga quanto ántes la paz para ir á ver al General Bonaparte á París.</t>
  </si>
  <si>
    <t>entó una petición de los habitantes de Saint-Cloud , que proponen se ofrezca al ciudadano Bonaparte</t>
  </si>
  <si>
    <t>el mayor anhelo* - ;¡ v. -.i •_ 1; ParijSyíf) deJulio. '■ . :.n:- :.¡ Ü primer Cónsul Bonaparte ?lia escrito.al Senado Conservador proponién-* dolé jpara una plaza de Senador al .Generaf Vaubois., comandante militar) en Malta. En su carta dice: Hace dos a</t>
  </si>
  <si>
    <t>er Cónsul, como recompensa nacional. La junta encargada del informe dixo que ei ciud. Bonaparte había declarado en una copie</t>
  </si>
  <si>
    <t>to que un correo ha traído al ministerio las nuevas proposiciones de paz hechas al Emperador por el General Bonaparte, como también la respuesta del gabinete imperial. Nada de ello se ha publicado de oficio. Sin embargo, una gazeta ministerial asegura queda corte de Viena ha respondido que el Emp</t>
  </si>
  <si>
    <t>qué los egipcips;Ilamaií á los franceses lós hombres justos ; g qüéJél. ^obierho murifcipai que el General Bonaparte dexó cotí mucho* tino etl manos délos 1 entrados del país 'i leshá inspirado él mayor afecto háciaríos republicanos: Por otra parte la ciudadela d'el Cayro y varias-torres coronadas</t>
  </si>
  <si>
    <t>d el General austríacoConde de Saint-Julien con un Ayudante de campo del primer Cónsul Bonaparte: des cenó en casa Ina conferencia dellarga, muy General y áenlasxefe dosMoreau, con quien de la manana siguiótuvo dessu viago ? Viena Ayer hubo una ¡unta de Ge</t>
  </si>
  <si>
    <t>só 5 granjas, 3 casas, y un molino de aceyte. j París 20 de Agosto. I j¡ primer Cónsul Bonaparte ha encargado á los ciudadanos Tronchet, PortaLis y Bigot-Preámeneu la formación de un código civil. Por decreto de los Cónsules de 17 de este mes se reúne la e</t>
  </si>
  <si>
    <t>a 4 llego al quartel general de Alt-Oetting el ciud. Duroc, primer Ayudante del Cónsul Bonaparte, con una comisión para el Feld-Mariscal Kray; y como este había ido á Salzburgo, se le despachó un oficial avisándole que acelerase su vuelta. En efecto, volvi</t>
  </si>
  <si>
    <t>laciones de oficio de la corte de Londres llegó en otra ocasión á París la noticia de la muerte del General Bonaparte , queda todavía alguna esperanza , y puede ponerse en duda el horroroso asesinato que estas cartas reiteren haberse cometido en la persona del General Kleber. Por fo demás,.y en q</t>
  </si>
  <si>
    <t>s siguientes cartas. „Exército de Oriente. El General en xefe interino Menou al ciud. Bonaparte, primer Cónsul de la República francesa. Quartel general del Cayro 27 de Junio. Ciud. Cónsul. Un acontecimiento horrendo, que tiene pocos exemplos en los anale</t>
  </si>
  <si>
    <t>ra ántes de declararla. Algunas cartas de Alemania dan por cierto que el primer Cónsul Bonaparte propuso á la corte de Berlín mediase con la de Viena para la paz, ■y que se admitió esta proposición por parte del gabinete prusiano; pero no or el austríaco,</t>
  </si>
  <si>
    <t>ul Cambacercs una fiesta á los individuos del gobierno para celebrar el cumpleaño de la llegada del General Bonaparte, que al volver de Egipto desembarcó en Frejus el 9 de Octubre del año último. Los Ministros, los Consejeros de Estado, varios Senadores, Tribunos y Legisladores, otros,muchos ciud</t>
  </si>
  <si>
    <t>ganada por el exército francés contra el austríaco baxo las órdenes del primer Cónsul Bonaparte : quando los exércitos franceses mandados por el General Bruñe ocupan la Italia desde los Alpes de norte á mediodía hasta Toscana : la Alemania, baxo las órden</t>
  </si>
  <si>
    <t>ia, indeleble en su corazón,4 escribe esta carta al gran xefe del gobierno , ai ciud. Bonaparte , por la &lt;Jual solámenie puede manifestarle sus sentimientos sinceros y profimdos de gratitud. Jamas olvidará las dulces satisfacciones de que ha, gomado por l</t>
  </si>
  <si>
    <t>r Julia II, conquistada el año 5.0 de la Repú» blica por el exército de Italia baxo las órdenes del General Bonaparte, » se sentó y fixó aquí el 21 de Germinal, año 8.° y i.° de su consulado » (11 de Abril de 1799*)’* el reverso se leen los nombres de los tres Cónsules y del Ministro ae lo Interi</t>
  </si>
  <si>
    <t>Bonaparte, Gerónimo</t>
  </si>
  <si>
    <t>Gerónimo Bonaparte</t>
  </si>
  <si>
    <t>ionar á su patria una paz que ponga el sello á su gloria y prosperidad.” . . El ciud. Gerónimo Bonaparte, el menor de los hermanos del primee Cónsul, ha marchado de aquí á lirest para servir en la marina.</t>
  </si>
  <si>
    <t>Bonaparte, Joseph</t>
  </si>
  <si>
    <t>Joseph Bonaparte</t>
  </si>
  <si>
    <t>ia y los Estados americanos han formado los Cónsules una junta compuesta de ios ciudadanos Joseph Bonaparte, Fleurieu, y Roederer, los quales tratarán con los tres Comisarios ingleses. ' El Contra-Almirante Ganthaume, Consejero de Estado, pasó el 28 del mes último po</t>
  </si>
  <si>
    <t>Helvecia y el departamento deí Leman» Asimismo el primer Cónsul ha nombrado al ciud. Joseph Bonaparte por Ministro plenipotenciario para tratar del restablecimiento de la paz entre la República francesa y el Emperador; y ai ciud» Laforest por Secretario de la l</t>
  </si>
  <si>
    <t>e Cobcntzeí llegó aquí el 28 á las 9 de la noche, y aseguran que vino con él e! ciud. Joseph Bonaparte. Por decreto de! dia 28 han concedido los Cónsules facultad á los habitantes dei departamento del Alto-Rhin para que erijan por subscripción voluntaria un .mon</t>
  </si>
  <si>
    <t>s 7 de la mañana, según se cree para Luneville; y por la tarde salió también el ciud. Joseph Bonaparte. En los pocos dias que dicho Ministro austríaco permaneció en ésta ciudad visitó los museos de las artes, de historia natural, de los monumentos franceses, la</t>
  </si>
  <si>
    <t>Bonaparte, Luis</t>
  </si>
  <si>
    <t>Luis Bonaparte</t>
  </si>
  <si>
    <t>. Belair, Ayudante del General Beurijonville, Ministro de Francia en Prusia. El ciud. Luis Bonaparte ha salido de aquí para viajar por Prusia y Aie•mania. El Sr. Boulígni, Ministro de S. M. Católica en Constantinopla, que va á.España, ha líegido á París. Quand</t>
  </si>
  <si>
    <t>0 al Círculo de Suabia. v Francfort 23 de Octubre. A ntes de ayer llegó aquí el ciud. Luis Bonaparte» y ayer mañana salió para Offembách, en donde está el quartel deí General Augereau. Volvió</t>
  </si>
  <si>
    <t>Paulo I el restablecimiento del Rey de Cerdeña en sus estados. Espérase aquí al ciud. Luis Bonaparte. Subsiste la mejor inteligencia entre el gobierno ingles y el gabinete austríaco. Este ultimo acaba de enviar á Hamburgo á Mr. íagneau para cobrar una suma con</t>
  </si>
  <si>
    <t>Bonelli, Duque</t>
  </si>
  <si>
    <t>Duque Bonelli</t>
  </si>
  <si>
    <t>asesinato premeditado contra el primer Cónsul se han preso varios italianos: un© de ellos era el ex-Duque Bonelli; pero ya se le ha dado libertad. Mr. Murray, uno de los tres Plenipotenciarios americanos que firmaron el ultimo ajuste con la República francesa, ha salido de aquí para el Haya*</t>
  </si>
  <si>
    <t>Bonifacio de Tosta y Montano</t>
  </si>
  <si>
    <t>o ,#D. Joseph García de Prado y Osorno, D. Manuel Ristori y Medina, D. Salvador Ciezar y Bocanegra, D. Bonifacio de Tosta y Montano, D. Joachín de Abreu y Orta y D. Jayme Michelena y Moreno. En 3.a fecha. D. Juan Valdés é Inclan, D. Juan Calderón y Laso de la Vega, D. Gabriel Olivar y Esquella , D. Joachín Mor</t>
  </si>
  <si>
    <t>Bonifacio Lozano Ximenez</t>
  </si>
  <si>
    <t>para una Canongíá de la catedral de Segovia, vacante por fallecimiento de D. Miguel de Grijalva, á D. Bonifacio Lozano Ximenez , con retención del Beneficio préstamo de la parroquia de Bernuy que obtiene en aquella diócesis: para el Beneficio servidero de U</t>
  </si>
  <si>
    <t>Bonk</t>
  </si>
  <si>
    <t>uanto antes aquí, el Chambelán Bidé, comandante que ha sido de la esquadra danesa del Mediterráneo. Mr. Bonk, oficial de ingenieros, ha presentado á la Academia Real de Copenhague una maquina de su invención, con la qual se pueden sacar á un misino tiempo varias copias de un manuscrito.-</t>
  </si>
  <si>
    <t>Bonna, Coronel</t>
  </si>
  <si>
    <t>Coronel Bonna</t>
  </si>
  <si>
    <t>de Broix, y cogieron la retaguardia enemiga, compuesta de 400 hombres y 42 caballos, mandada por el Coronel Bonna. Fue tan vivo el alcance hácia Breglio, que los enemigos tuvieron que abandonar 7 cañones, 3 obuses y buen número de prisioneros. Las tropas descansaron dos horas , volvieron á ma</t>
  </si>
  <si>
    <t>Bonnard, General</t>
  </si>
  <si>
    <t>General Bonnard</t>
  </si>
  <si>
    <t>el campo de batalla lia quedado gran número de muertos.” Ya ha comunicado el Ministro de Guerra al General Bonnard las instrucciones relativas á la formación del campamento que ha de haber en las costas de Flándes, entre Blankemberg, Ostende y Sükens; y cuyo quartel general se sentará en Brujas. H</t>
  </si>
  <si>
    <t>Bonnet, General</t>
  </si>
  <si>
    <t>General Bonnet</t>
  </si>
  <si>
    <t>ataque, y tué completa la derrota de los austríacos perseguidos h.ista YVeissenhorn. La brigada del General Bonnet, de acuerdo con un batallón, se apoderó de la aldea de Stelten, que estaba defendida por un batallón austríaco, varios esquadrones, y alguna artillen i. fin el ataque de Ganerzhau</t>
  </si>
  <si>
    <t>Jas demás con ■ la plana mayor del General francés Greniér. En su lugar vendrá aquí la brigada del General Bonnet. ... El 31 del mes último se comunicó á son de caxa que toda comunicación entre las dos orillas del Danubio quedaba cortada. Sin embargo, se permite el paso á los correos; y las d</t>
  </si>
  <si>
    <t>salido de Ratisbona; pero ha vuelto á ocupar aquella ciudad una partida de sus tropas al mando del General Bonnet. El correo que llevaba al General Augereau el* aviso de haberse ajustado otra suspensión de hostilidades, llegó á su quartel quando este las había ya empezado por la derecha del M</t>
  </si>
  <si>
    <t>Borgoña, Manuel</t>
  </si>
  <si>
    <t>Manuel Borgoña</t>
  </si>
  <si>
    <t>ha servido conferir la segunda Alcaydía de la puerta del mar de Cádiz, vacante por fallecimiento de D. Manuel Borgoña, al Chitan D. Antonio Ducrós, primer Teniente que fue del regimiento de Ultonia, y actualmente agregado ai de infantería de la Corona. En atención á los méritos y servicios de IX</t>
  </si>
  <si>
    <t>Borma, Coronel</t>
  </si>
  <si>
    <t>Coronel Borma</t>
  </si>
  <si>
    <t>de Tenda.... Mañana llegaré á Pieva con mi vanguardia. Entre los oficiales prisioneros se hallan el Coronel Borma y el Barón de Molk, comandante de un cuerpo de gastadores y peones.” Roma 31 de Mayo. C réese que el Santo Padre hará su entrada en esta capital el dia de S. Pedro: viene por mar de V</t>
  </si>
  <si>
    <t>Borosdin, General</t>
  </si>
  <si>
    <t>General Borosdin</t>
  </si>
  <si>
    <t>jr 11 de Octubre fondearon en Bujukdere, en el canal, 13 buques rusos que vienen á las órdenes deí General Borosdin. Al primer viento favorable darán la vela para Corfú, de donde seguirán á Ñapóles. Mr. Keller, General ingles , salió de aquí el dia 10 con su plana mayor . para el castillo c(e l</t>
  </si>
  <si>
    <t>Borraya, Antonio</t>
  </si>
  <si>
    <t>Antonio Borraya</t>
  </si>
  <si>
    <t>nte de granaderos D. Ignacio Salcedo: la Tenencia de granaderos, que dexa este, al segundo Teniente D. Antonio Borraya; y esta resulta al segundo Teniente agregado al propio cuerpo D. Dionisio Sánchez de Tejada. La Real Academia de Derecho español, establecida en los Reales estudios de S. Isidro d</t>
  </si>
  <si>
    <t>Bos Campesino, Rafael</t>
  </si>
  <si>
    <t>Rafael Bos Campesino</t>
  </si>
  <si>
    <t>de los vegetales^ demostrándolas en plantas vivas, y describiendo las que íes fuéron presenta* das: D. Rafael Bos Campesino expuso el modo de conocer y reducir lá$ plantas ya descriptas por los alumnos referidos, á sus respectivas clases» órdenes, géneros, especies y Variedades» demostrando sus caractére</t>
  </si>
  <si>
    <t>1 del mismo mes, en vista de la graduación ae los alumnos, se repartieron los premios siguientes: á D. Rafael Bos Campesino los quatro números de los Anales de Historia Natural, y la misma, obra á B. Vicente Henriquez de Rodríguez; á D. Pedro Lalane la Chímica de Morveau en pasta; á D011 Pedro Ainsa lá Fil</t>
  </si>
  <si>
    <t>Bossi</t>
  </si>
  <si>
    <t>están nombrados vocales de la junta interina de gobierno del Piamonte. 2.0 Los ciudadanos Bossi, Botta y Debernardi quedan especialmente encargados de dirigir los asuntos de gobierno, reuniéndose baxo el nombre de junta executiva. Los ciudadanos Galli, Br</t>
  </si>
  <si>
    <t>particular de algún ramo de administración publica. 3.0 Hallándose ausentes los ciudadanos Bossi y Debernardi, los reemplazarán interinamente en la junta los ciudadanos Costa y Giulio. 4.0 Desde hoy empezará á exercer sus funciones la nueva junta de gobierno. Los indiv</t>
  </si>
  <si>
    <t>Boudet</t>
  </si>
  <si>
    <t>caballería de línea y la 8.a brigada de dragones se han cubierto de gloria. Los Generales Boudet, Champeaux y Mainoni estan heridos. El General en xefe Berthier salió con sus vestidos acribillados de balas, y muchos de sus Ayudantes quedaron sin caballos.</t>
  </si>
  <si>
    <t>Bouilion</t>
  </si>
  <si>
    <t>u muerte , y la bala que le quitó la vida. Una y otra se conservan en poder del ciud. Bouilion, descendiente de la familia de Turena, que los prestó para esta ceremonia. En una carta que el General Menou dirigió al primer Cónsul desde Roseta, con fecha d</t>
  </si>
  <si>
    <t>Bouligny, Luis</t>
  </si>
  <si>
    <t>Luis Bouligny</t>
  </si>
  <si>
    <t>Teran, D. Juan Blanco , de : r» Dulcocr. D. Francislos Cadetes 6! Santiago de Morant, D. LuisDanoy, D. Luis Bouligny, n Luis Gavarre V D. Cirilo de Morant, y los Sargentos pr.meros Don Francisco iCodrigtiez y D. Diego Salazar. E, atención á la áisfmguida calidad y circunstancias que concurren en</t>
  </si>
  <si>
    <t>Bourcard, General</t>
  </si>
  <si>
    <t>General Bourcard</t>
  </si>
  <si>
    <t>s de Liorna hay en Ñapóles alborotos de la mayor consideración. Extracto de una carta de Roma. ,,E1 General Bourcard ha vuelto aquí de las provincias de los Abruzos, en las quales se. ha restablecido la tranquilidad pública. También ha venido el Conde de Ipana s, muy conocido por la energía con</t>
  </si>
  <si>
    <t>Bource</t>
  </si>
  <si>
    <t>l ^gobierno de la República al General N...... ” Catalina Taillefer, esposa del ciud. Bource, de Martigní, departamento del Sornme, parió el 2 de este mes tres niños bien conformados y sanos, y así ellos como su madre se mantienen buenos. Igualmente, l</t>
  </si>
  <si>
    <t>Bourdet Jones</t>
  </si>
  <si>
    <t>ilícitas. Iguales recursos presentaron el Lord Gascoyne en nombre de los trabajadores de Lancaster, Mr. Bourdet Jones de parte de los de Manchester, y Mr. Sheridan en nombre de los de Bristol, Plimouth y Bath. En la misma sesión acordó la Cámara dar algunos socorros á Mr. Tomas Fowden, para que pued</t>
  </si>
  <si>
    <t>Bourgoing</t>
  </si>
  <si>
    <t>tivos, y á volver á sus antiguos enlaces con Francia. Hállase en esta ciudad el ciud. Bourgoing, que va á Dinamarca en calidad de Ministro Francés. Dícese que está negociando un empréstito por cuenta de su gobierno; pero el haber quebrado varias casas pri</t>
  </si>
  <si>
    <t>es continuarán su viage sin ser detenidos. Antes de ayer llegó á esta ciudad el ciud. Bourgoiug, Ministro de la República francesa. Viena 2 de Setiembre. L a gazeta de esta capital pondera los preparativos dé guerra que hace la Puerta Otomana. Asegura que</t>
  </si>
  <si>
    <t>rangeros (entre los quales sé hallaban el Lord Withworth, Ministro ingles, y el ciud. Bourgoing, Ministro de Francia) los profesores de la universidad, y el clero de Ja capital. Administró el bautismo el Obispo de Seelanda, y puso al niño los nombres de F</t>
  </si>
  <si>
    <t>Bourgoyng</t>
  </si>
  <si>
    <t>ruso Hermán, que mandó Ihs tropas de su nación en Ja expedición de Holanda. El ciud. Bourgoyng, Ministro de Francia nombrado para residir en Dinamarca , lia recibido orden en Airona de ir inmediatamente á su destino. Hace 8 dias salió de aquí para Franci</t>
  </si>
  <si>
    <t>Bourmont</t>
  </si>
  <si>
    <t>eden entera y absolutamente licenciados los chouanes. Es probable que los otros caudillos Chatillon y Bourmont sigan el mismo exemplo; y esto nos facilitará los medios de someter mas pronto á Georges y Frotté, y de restablecer la tranquilidad en esta hermosa parte de la</t>
  </si>
  <si>
    <t>e derrotado.” Por carta del General Girardcn al General Sahuguet se sabe que también se ha sometido Mr. Bourmont coa toda la división que mandaba. Han desembarcado en Morlaix 400 prisioneros franceses canjeados. Hay entre ellos 3 irlandeses patriotas, que fuéron de la expedición del Gpneral</t>
  </si>
  <si>
    <t>nerse á la anarquía que amenazaba acabar con Francia. También se espera el otro xefe Bourmont en esta capital, adonde viene á casarse. Ha señalado al gobierno los ríos en que se echaron varios cañones de los que envió el gobierno ingles, y el General Hedo</t>
  </si>
  <si>
    <t>Bourne</t>
  </si>
  <si>
    <t>iones armadas de varios tamaños, que cruzan en las aguas de Zelanda y en la embocadura del Escalda. Mr. Bourne, Cónsul de los Estados americanos en Amsterdam, está encargado de los asuntos de aquel pais en este gobierno durante la ausencia</t>
  </si>
  <si>
    <t>Bournonville</t>
  </si>
  <si>
    <t>gado aquí de Brest el Vice-Almirantc Bruix._—También ha vuelto á esta ciudad el ciud. Bournonville , despachado el año último por el ministerio francés á la Guadalupe. Parece que no obstante las órdenes expresas del gobierno, siguen algunos corsarios exercie</t>
  </si>
  <si>
    <t>Bouvard</t>
  </si>
  <si>
    <t>as obras contienen investigaciones penosísimas y muy útiles. Sus autores son el ciud. Bouvard, astrónomo agregado á la secretaría de longitudes, y Mr. Juan Tobías Burg, astrónomo agregado al observatorio de la universidad de Viena. El ciud. Lacepede ley</t>
  </si>
  <si>
    <t>Bowr</t>
  </si>
  <si>
    <t>, Barón de Gersdorf, Barón de Drechhsel &amp;c.; y baxo las dei General Kutusow los Generales Bowr, Essen, los Condes Witgenstein» Sprengtportem, Langeron, Forster, los Barones Rosen, Mannteunel &amp;c.” Riga 11 de Setiembre. C on fecha de 29 del mes último se p</t>
  </si>
  <si>
    <t>Boyd</t>
  </si>
  <si>
    <t>nto fuese competente para decidir el asunto, supuesto que no es sino el curador de la constitución. Mr. Boyd, que opinó del mismo modo, añadió que aun quando el Parlamento tuviese esté derecho, seria imprudente y peligroso que lo exerciera. Mr. Saurín solicitó que sé suspendiese algunos</t>
  </si>
  <si>
    <t>Bragami, Antonio</t>
  </si>
  <si>
    <t>Antonio Bragami</t>
  </si>
  <si>
    <t>l supernumerario D. Luis Coqui, y por Cadete supernumerario de la misma compañía al Guardia de ella D. Antonio Bragami. ... Ha 'Conferido S. M. la Tenencia de Rey de la plaza de Barcelona al Brigadier D. Domingo Wiels , Gobernador de la de Hostalrich : este Gobierno al Mariscal de Campo D. Diego T</t>
  </si>
  <si>
    <t>Bragge</t>
  </si>
  <si>
    <t>de los premios que ha de repartir aquel cuerpo sobre varios puntos de matemáticas y otras ciencias. Mr. Bragge dio cuenta á la Cámara de los Comunes el dia 16 del informe de una junta nombrada para examinar el descubrimiento que acaba de hacerse de convertir el papel impreso, aunque sea vi</t>
  </si>
  <si>
    <t>Brandis, Domingo</t>
  </si>
  <si>
    <t>Domingo Brandis</t>
  </si>
  <si>
    <t>; á segundo Teniente al Subteniente de gastadores D. Diego Baladre; y á esta resulta al Subteniente D. Domingo Brandis: en ei de Ñipóles á primer Subteniente al segundo D. Jayme de Beaufort. S. M. se ha dignado promover en el regimiento de caballería del Príncipe á Capitanes á los primeros Tenient</t>
  </si>
  <si>
    <t>Branly, Pedro</t>
  </si>
  <si>
    <t>Pedro Branly</t>
  </si>
  <si>
    <t>y D. Martin Florez Quixano, y á esta clase á Iqs Cadetes D.Juan Sánchez Grillan, D. Luis Trevejos, D. Pedro Branly, graduado de Subteniente, y D. Antonio Garballp., Sargento primero.de granaderos t eh ef regí miento de in fa ntér ía de Cuba á Ay ud ante coir grado de Capitán áí Teniente., de g</t>
  </si>
  <si>
    <t>Bravi, Pedro</t>
  </si>
  <si>
    <t>Pedro Bravi</t>
  </si>
  <si>
    <t>rana agregada al batallón de Pardos libres de infantería de Voluntarios de Cartagena: este empleo á Don Pedro Bravi, Sargento primero distinguido del regimiento ílxo de la misma plaza: las Ayudantías veteranas de la plana mayor de Blancos, agregada al batallón, de Pardos libres de infantería de</t>
  </si>
  <si>
    <t>Brayo, Manuel</t>
  </si>
  <si>
    <t>Manuel Brayo</t>
  </si>
  <si>
    <t>se en la de Guadilaxara: para la Regencia de la Audiencia de Sta. Fe., vacante por fallecimiento de D. Manuel Brayo, y Bermudez , á í). Lúeas,Muñoz Cubero, Oidor de Lima: para ¿sta iplaza al Alcalde del crimen de la misma Audiencia D. Francisco Xavier Moreno y Escandon : para esta resulta al Oi</t>
  </si>
  <si>
    <t>Bribes, General</t>
  </si>
  <si>
    <t>General Bribes</t>
  </si>
  <si>
    <t>rá "aquí: La colima de mi mando alcanzó ayer al cuerpo de bandidos mandados por Frotté. El Ayudante General Bribes fue el primero que Jes descubrió cerca de la Motte-Fouquet, y aunque muy inferior en número , los atacó con intrepidez, y desde luego los hizo huir; pero conociendo después los en</t>
  </si>
  <si>
    <t>Bridpcrt, Lord</t>
  </si>
  <si>
    <t>Lord Bridpcrt</t>
  </si>
  <si>
    <t>on 7 navios de línea y 2 fragatas, que son parte de la esquadra grande , cuyo mando ha reasumida el Lord Bridpcrt. Vienen dichos buques á repararse y hacer víveres. A)rer tarde se divulgáron voces de paz con Francia, y se aseguraba que este gabinete había despachado un correo á Paris, y que j</t>
  </si>
  <si>
    <t>Bridport, Almirante</t>
  </si>
  <si>
    <t>Almirante Bridport</t>
  </si>
  <si>
    <t>guió su. viage á Praga, yy w Londres 12 de Diciembre. X~Aa vuelto á salir de Torbay la esquadra del Almirante Bridport para cruzar delante de Brest; pero de tiempo en tiempo se destacará de ella alguna división, á ítn de proteger los desembarcos que se propone este gobierno ha* cer en las costas d</t>
  </si>
  <si>
    <t>ancia en la India. Del mismo modo siguen discurriendo sobre los demas puntos de dicha respuesta. El Almirante Bridport se ha presentado en el Almirantazgo para infor*' marle del estado en que dexa en Portsmouth la esquadra de su mando. A cerca de 40® hombres ascenderá el número total de los milici</t>
  </si>
  <si>
    <t>xo las órdenes del Almirante Gardner; y Inego que esten reunidas, quizá volverá á tomar su mando el Almirante Brídport. Ha empezado á executarse la ley que manda á los panaderos no vendan pan sino 24 horas á lo ménos después de sacado del horno. Un prebendado de Durham ha descubierto que la harina</t>
  </si>
  <si>
    <t>Bridport, Lord</t>
  </si>
  <si>
    <t>Lord Bridport</t>
  </si>
  <si>
    <t>inero, municiones y armas. También han zarpado algunos buques de línea para reforzar la esquadradel Lord Bridportjy dicen se le ha enviado orden de qiie no vuelva á Inglaterra hasta haber protegido el proyectado desembarco con una división de sus fuerzas, al paso que otra permanezca cruzando de</t>
  </si>
  <si>
    <t>es jo de Diciembre. A caban de entrar en Torbay y Plimouth casi todos los buques de la esquadra del Lord Bridport. Este Almirante dexa el mando de estas fuerza* navales, y el Rey, ha, recompensado sus servicios creándole Conde. Le reemplaza el Lord S. Vicente, el qual tremolará su- bandera en</t>
  </si>
  <si>
    <t>laterra muchas embarcaciones angloamericanas cargadas de arroz.. El gobierno ha recibido cartas del Lord Bridport con fecha de 25 de Marzo. Parece que los enemigos hacían disposiciones para salir de Brest con unas fuerzas muy respetables. La esquadra británica apostada en Ouessant consta de 2</t>
  </si>
  <si>
    <t>es &lt;7 de Marzo. L os navios Marte y Guerrero han salido de Portsmouth para reforzar la esquadra del Lord BriJport. Como son muchos los correos marítimos ingleses apresados por los enemigos, ha resuelto el gobierno que la balij 1 de li correspondencia de este mes para Jamayca se envíe en un cú</t>
  </si>
  <si>
    <t>mismo se harán las pesquisas mas rigurosas para descubrir y averiguar toda especie de propiedad. EL Lord Éridport, que volvió á Torbay con la esquadra de su mando, recibió poco después orden de salir al instante á cruzar delante de Brest. Posteriormente ha hecho dexacion del mando de dicha es</t>
  </si>
  <si>
    <t>l. Ei 1 Almirante Conde de S. Vicente ha admitido el mando de la esquadra de la Mancha en lugar del Lord Bridport, y ha salido de aquí para Portsmouth, en donde ha tremolado su bandera en el navio nombrado el Namardego. En las dos Cámaras de este Parlamento se propusieron el dia 21 las tres p</t>
  </si>
  <si>
    <t>rina; y el Conde de S. Vicente ha sido promovido al de Teniente General de las misnias en'lugar del Lord Bridport. , t t . Una embarcación de 700 toneladas nombrada el Rey Jorge., que venj&amp; de Tamayca á Londres, se voló en su viagé, pereciendo* ¿ran parte de la tripulación. Parte de su cargam</t>
  </si>
  <si>
    <t>Bridpqrt, Lord</t>
  </si>
  <si>
    <t>Lord Bridpqrt</t>
  </si>
  <si>
    <t>orzar la esquadra del Almirante Dickson son tres de 74 cañones y otros tres de 64. f . : . . . . El Lord Bridpqrt reemplaza al difunto Almirante Barrington en el empleo de General de las tropas de marina; y el Conde de S. Vicente ha sido promovido al de Teniente General de las misnias en'luga</t>
  </si>
  <si>
    <t>Brieva, Simón</t>
  </si>
  <si>
    <t>Simón Brieva</t>
  </si>
  <si>
    <t>e á las gradas de S. Felipe, y de Ramos, carrera de S. Gerónimo. Se venden las láminas grabadas por D. Simón Brieva ya difunto $ que son San Joachin y Santa Ana, S. Felipe Neri, Santa Rita de Casia, y S. Antonio de Padua, de medio pliego de marca mayor: el Niño Jesús, Santa Teresa, S. Juan Nepomu</t>
  </si>
  <si>
    <t>Bringas y Marin, Pedro</t>
  </si>
  <si>
    <t>Pedro Bringas y Marin</t>
  </si>
  <si>
    <t>Romero, Cadete del regimiento Inmemorial del Rey, y D.Esteban Piñeyro. En álgebra y trigonometrías D. Pedro Bringas y Marin y D. Vicente de Sada. En geometría elemental y práctica £&gt;, Luis Cacho, Alférez de Milicias provinciales de Artillería, D. Pedro Lozano, D.Benito María Alvarado y D. Joseph Ranero y G</t>
  </si>
  <si>
    <t>Briskeinann</t>
  </si>
  <si>
    <t>nsignias de la órdeu del Ser afta para el Gran Duque Alexándro. Ha enviado este ministerio ói'den á Mr. Briskeinann, Encargado inte-r ariun de negocios de Saedi en Pam¿ para que se restituya á este Reyno. Vietia $ de Enero de i800. S e ba comunicado á ios comandantes austríacos de Italia una or</t>
  </si>
  <si>
    <t>Brito, Manuel</t>
  </si>
  <si>
    <t>Manuel Brito</t>
  </si>
  <si>
    <t>413 Fundidores supernumerarios de artillería de bronce á D- Heonardo Vidal)' D. Manuel Brito y D. Alexandro Vicente Ezpeleta. _ 1 En América. Ha conferido S. M. el empleo de Ministro Tesorero de las: Reales Cairas de la Puebla de los Angeles, en el Reyno de Nueva España, á D.</t>
  </si>
  <si>
    <t>Briz, Benito</t>
  </si>
  <si>
    <t>Benito Briz</t>
  </si>
  <si>
    <t>en 25 ó mas acciones propias deberán hacerlo constar en la secretaría del citado Banco del cargo de D. Benito Briz , exhibiendo las mismas acciones , ó entregando testimonio suficiente que acredite su pertenencia, y los números que comprchcndan , y si son adquiridas por endosos, á quien están</t>
  </si>
  <si>
    <t>en 25 ó mas acciones propias deberán hacerlo constar en la secretaría del citado Banco del cargo de D. Benito Briz , exhibiendo las mismas acciones, 6 entregando testimonio suficiente que acredite su pertenencia, y los números que comprehcn</t>
  </si>
  <si>
    <t>en 25 ó mas acciones propias deberán hacerlo constar en la secretaría del citado Banco del cargo de D. Benito Briz , exhibiendo las mismas acciones , ó entregando testimonió suficiente que acredite su pertenencia, y ios números que comprehendan, y si son adquiridas por endosos, a quien están l</t>
  </si>
  <si>
    <t>Briz, Manuel</t>
  </si>
  <si>
    <t>Manuel Briz</t>
  </si>
  <si>
    <t>; á segundo Teniente al primer Subteniente ,D. Francisco Salces , y á primer Subteniente al segundo D. Manuel Briz : •en el de infantería de Extremadura á segundo Teniente de granaderos al .de. fusileros D. Joseph Zapino: en el de Jaén á segundos Subtenientes á los Sargentos primeros D. Juan B</t>
  </si>
  <si>
    <t>Brocas</t>
  </si>
  <si>
    <t>mbién sin exemplo.i—. El dia 10 se tratará de dicho mensagcv .. ' G f En la sesión del 6 acusáron á Mr. Brocas de1 haber apedreado algunos parlamentarios; y propusieron que fuese examinado allí iniímo; El Coronel Barry dixo que no se openia á esta proposición ; pero extrañó que ya qvP ,-se qu</t>
  </si>
  <si>
    <t>lamento quedase expuesto á la suerte que tuvieron los legisladores franceses. Al firt:$e■■examinó á Mr. Brocas: y sin embargo de quanto alegó en su descargo, y de ofrecer una fianza de 5© libras .esterlinas, se le declaró, al cabo de un debatido examen, delinqiiente de una insigne violació</t>
  </si>
  <si>
    <t>Broch, Joseph</t>
  </si>
  <si>
    <t>Joseph Broch</t>
  </si>
  <si>
    <t>a, Auxiliar dé Sigiienza; y para quptro Succentorías de la c tedr I de Segorbe á D. Joseph Solanés, D. Joseph Broch, D. Felipe López y D. Vicente Ctrvera. En el regimiento de infantería del Rey se ha servido S. M. conferir segundas, Subtenencias al Sargento primero de granaderos D. Gerónimo Leo</t>
  </si>
  <si>
    <t>Bronchal, Juan</t>
  </si>
  <si>
    <t>Juan Bronchal</t>
  </si>
  <si>
    <t>al .de. fusileros D. Joseph Zapino: en el de Jaén á segundos Subtenientes á los Sargentos primeros D. Juan Bronchal y D. Francisco Fernandez , este de granaderos, y á los Cadetes D. Francisco Rodrigo Vallabriga y D. Antonio Conty; y en el de Suizos de Reding á Subteniente de granaderos al de fusile</t>
  </si>
  <si>
    <t>Brown, Juan</t>
  </si>
  <si>
    <t>Juan Brown</t>
  </si>
  <si>
    <t>n acudir á recibir la primera entrega en el mismo dia en que se publique. Elementos de medicina del Dr. Juan Brown, traducidos del latín al ingles con comentos é ilustraciones por el mismo autor, y del ingles al castellana por el í)r. D. Joaquín Serrano Manzano , Físico, Secretario perpetuo de</t>
  </si>
  <si>
    <t>Bru, Juan Bautista</t>
  </si>
  <si>
    <t>Juan Bautista Bru</t>
  </si>
  <si>
    <t>usive. Asimismo dos vales Reales de 3CO pesos endosados á favor de D. Joseph Ortiz , el primero por Don Juan Bautista Bru en Setiembre de 1799 , y el segundo por 1). Joseph Asensio en Febrero de este año. Quien los baya encontrado los entregará á D. Ignacio Gazul portero mayor de la biblioteca Real. D.</t>
  </si>
  <si>
    <t>Brueis, Almirante</t>
  </si>
  <si>
    <t>Almirante Brueis</t>
  </si>
  <si>
    <t>o dia, se sabe que ha sido apresado el navio Generoso, que era el único de línea de la esquadra del Almirante Brueis que había vuelto á Francia después dél combate de Abukir. También escriben de Viena saberse por noticias de Egipto, que en virtud de un tratado concluido con la Puerta otomana, el</t>
  </si>
  <si>
    <t>Bruix, Almirante</t>
  </si>
  <si>
    <t>Almirante Bruix</t>
  </si>
  <si>
    <t>ctoria.’* Se ha conferido al ciud. Latouche-Treville el mando en xefe de ias esquadras de Brest. El Almirante Bruix mandará una división de 12 buques, cuyo destino se ignora. A fin de sosegar los departamentos del Oest (la Bretaña y Normandía), cuya inquietud fomentan los ingleses y varios emig</t>
  </si>
  <si>
    <t>j N o causa ya estragos lá enfermedad contagiosa que se padecía: énYNiza y Antibo. Y:&lt; .■ 5 Y Y. El Almirante Bruix, el Vice-Almirante Lacrosse, y el Contra-Almirante Lepellcy-Dumanoir, se. hallan en camino para Brest, y el día. 18 esta* ban en GranvilJe. r En el Havre se padeció el 22 nn hurac</t>
  </si>
  <si>
    <t>Brune</t>
  </si>
  <si>
    <t>por el corsario de Burdeos nombrado Éolo. Desde Angers ha escrito el General en xefe Bruñe al Ministro de Guerra, que el'General Hedouville acaba de pacificar el Vendée ; y añade que aunque Hedouville mandaba el exercito del Oest, ha consentido en se</t>
  </si>
  <si>
    <t>a de lo» sucesos con los chouanes dice así : „Anger$ j8 de Enero. El General en xefe Bruñe me h-a encargado despache mi edecán Paultre para informaros que ayer aceptaron con agradecimiento la paz en Montfaucon todos los xefes de los insurgentes del V</t>
  </si>
  <si>
    <t>ublicado el siguiente aviso: tel general de Vannes 14 de Febrero. El General en xefe Bruñe informa al Ministro de Guerra que los departamentos de las costas del Norte, del Morbihan y del Finesterre admitieron difinitivamente ayer las cláusulas para l</t>
  </si>
  <si>
    <t>tuvo el gobierno que desplegar un gran poder, confió su exercicio al General en xefe Bruñe, el qual acertó á conciliar con el rigor que era preciso la benevolencia fraternal que en las discordias civiles no busca sino inocentes, y no encuentra sino h</t>
  </si>
  <si>
    <t>Brune, General</t>
  </si>
  <si>
    <t>General Brune</t>
  </si>
  <si>
    <t>tud en los medios que tenia para conservar sus puestos, ó para inundar todo el país. Respondióle el General Bruñe haciéndole presente que arruinar á los habitantes mediante un partido tan violento , seria una Bianclia para el nombre ingles; y exigió como primeras condiciones el pronto embarco</t>
  </si>
  <si>
    <t>Francia han convenido en que de los 8$ prisioneros» que conforme á la capitulación firmada entre el General Bruñe y el Duque dé Yorck debe restituir la Gran Bretaña, los 6500 sean franceses, y los restantes bátavos. Antes que marchase á París el mencionado General Bnine le hizo* el g«¡. bierno de</t>
  </si>
  <si>
    <t>De aquí salieron el 16 para París varios oficiales del exército francés, y el primer secretario del General Bruñe.__ Créese que también se disminuirá considerablemente la plana mayor del mismo exército , pues hay un numero de Generales suficiente para mandar á ioo© hombres. Prosigue el frió s</t>
  </si>
  <si>
    <t>los Cónsules que el exército de Inglaterra se líame exéveíta del Oest; y han conferido su mando al General Bruñe, Consejero de Estado, encargándole se transfiera, inmediatamente al quartel general de dicho exército. ■ ■ ■ - ^ Por una embarcación que salió de Aíéxandría el 2-5 de Noviembre, y</t>
  </si>
  <si>
    <t>idamente esta tranquilidad, sino con el tiempo, y mediante muchas medidas prudentes y benéficas. El General Bruñe me dexa aquí para atender á quanto tiene relación con esta paz, conformándome en todo con las instrucciones que liemos recibido. Voy á recorrer los departamentos pacificados para</t>
  </si>
  <si>
    <t>ñana presentará el General Murat en la casa de inválidos las últimas banderas ganadas en Egipto. El General Brune ha escrito desde Vannes con fecha de 28 de Eneró en estos términos: „E1 día 24 derrotó el General Harty á los chouanes cerca de Grandchamp: el xefe Georges padeció mucho: las trop</t>
  </si>
  <si>
    <t>los siguientes oficios relativos á la guerra de los chouanes *. „E1 General de brigada Houdelot al General Bruñe. Loríente 28 de Fuero. Por el telégrafo se recibió el día 22 orden de enviar el 25 á Hennebon bastantes tropas para un ataque que debía darse el 26. Las dirigí á marchas forzadas</t>
  </si>
  <si>
    <t>ajador francés en Suiza &gt; y posteriormente Director de la República. "• Un corréo despachado por el General Bruñe ba traído noticia de que el xefe de chouanes Georges ha admitido la paz, ofreciendo entregar, en el término de 24 horas, 20® fusiles y 12 cañones que acababa de recibir de los ing</t>
  </si>
  <si>
    <t>í a este xefe. Ticne ^6 anos, es hijo de un molí— ñero rico, y tuvo muy buena educación. Declaró al General Bruñe que había tomado las armas contra la República porque habían guillotinado á «u familia, y para oponerse á la anarquía que amenazaba acabar con Francia. También se espera el otro x</t>
  </si>
  <si>
    <t>el 26 de Enero se celebraron en Praga los esponsales con bayle y cena. ' Parts 26 Je Febrero. £ &lt;1 General Bruñe escribo desde Vannes con fecha del 19: ,,Son de mucha satisfacción los informes que recibo de todos los departamentos de Bre^taúa. Los chouanes entregan las armas, y de todas partes</t>
  </si>
  <si>
    <t>unas municiones. Pacificados los departamentos del Morbihan, Finisterre y costas del norte, pasa el General Bruñe al de Ule y Vilayna; y el General de. artillería Dulauloy está recorriendo las costas á fin de poner en estado de defensa los castillos y baterías que necesiten reparos. La legión</t>
  </si>
  <si>
    <t>amentos sublevados que se han sujetado á las leyes de la República y han reconocido su gobierno. El General Bruñe ha llegado á Rennes,„y escribe con fecha del 5 de Marzo que prosigue con gran priesa el desarmamento de chouanes en el departamento de Ule y Vilayna, en el qual, ya sosegado, se h</t>
  </si>
  <si>
    <t>o; pero esta noticia necesita coníirmacion, Nantes 21 de Abril. P or un extraordinario ha sabido el General Bruñe que 6 navios ingleses, 4 fragatas y 66 transportes han salido de las Dunas con rumbo á poniente; y desde luego se han dado órdenes á fin de que en todas estas costas esten las tro</t>
  </si>
  <si>
    <t>encia, como para impedir Ja propagación de qualquier enfermedad contagiosa que pudiesen traer. • El General Bruñe, á quien va á reemplazar en el mando del exército del Oeste el General Bernadotte, salió de Nántes para esta ciudad el dia 22. Hallábase aquí prisionero baxo palabra el General au</t>
  </si>
  <si>
    <t>guias se' detuvieron 24 horas en esta ciudad, y marcharon luego á Ginebra. El dia 10 llegó aquí el General Bruñe, que mandará en xefe el segundo exército que se forma en estas inmediaciones. Nuestras tropas ocupan actualmente una gran parte de Suabia, y nos hallamos dueños del Brisgaw, del M</t>
  </si>
  <si>
    <t>casuales, se están haciendo pesquisas para descubrir si hay delinqücntes. _ Parts 23 de Agosto. Kl General en xefe Bruñe va á Italia á mandar aquel exército en lugar del General Massena, que parece se retira del servicio por enfermo. Antes de dexar Bruñe el mando del exército de reserva, dispuso que</t>
  </si>
  <si>
    <t>el primer Cónsul al General Macdonal para comandante «n xefe del exército ae reserva % en lugar del General Bruñe. En el campamento que se forma á media legua de Amiens hay un cuerpo escogido, compuesto todo de granaderos que cuentan 8 :'ños seguidos de campaña.. Los manda el General Murat. D</t>
  </si>
  <si>
    <t>l mando interino del exército de Italia desde que se ausentó Massena, y h.ista que viniese el nuevo General en xefe Bruñe, el qual llegó ayer___ Ls numerosísimo el parque de artillería que hay en esta ciudad, y se ha aumentado con la que ha venido de Francia por Piamonte. La Consulta ha concluido el</t>
  </si>
  <si>
    <t>e Cavanagh y el regimiento de caballería de Jordis se hallan en Toscana. Mil¿m JO de Setiembre. E 1 General en xefe Bruñe ha recibido dos correos de París , que hicieron su viage en 5 dias, y llegaron con pocas horas de intervalo. Desde entonces han avivado mucho las disposiciones militares. Todo el</t>
  </si>
  <si>
    <t>con el exército de reserva. Sus individuos podrán servir en Otros cuerpos de tropas cisalpinas. El General Bruñe pasó revista el dia to á la guardia nacional: y desmes dirigió á dichas tropas el siguiente discurso: ,,Los franceses van á peÍ ear por la libertad de Italia; y en ningún tiempo h</t>
  </si>
  <si>
    <t>no en juntar caballos para los dragones, húsares, y otras tropas piamontesas; se necesitarán 3®. El General Bruñe enviará 800 ó 900; y los demas se buscarán en este mismo país. Milán 24 de Setiembre. L a junta de gobierno In publicado un aviso por el qual intima á todos los eclesiásticos ausent</t>
  </si>
  <si>
    <t>Brúne, General</t>
  </si>
  <si>
    <t>General Brúne</t>
  </si>
  <si>
    <t>mbre. H asta saberse las resultas del armjsticio sé acantonará el exército de Italia. Por orden del General Brúne fddos los dueños dé fábricas de armas ó de almacenes en que se venden, 'entregarán» sopeña de confiscación, quantos fúsiles tuvieren á fin de repartirlos éntre las^ttopás. 1 La Ju</t>
  </si>
  <si>
    <t>al Jourdan, Ministro extraordinario del gobierno francés en Píamonte, ha recibido instrucciones del General en xefe Bruñe sobre las mudanzas que deben hacerse así en la forma de este gobierno interino, como en los individuos que le componen ; y de resultas ha publicado un arreglo en 4 artículos , que</t>
  </si>
  <si>
    <t>ríaco baxo las órdenes del primer Cónsul Bonaparte : quando los exércitos franceses mandados por el General Bruñe ocupan la Italia desde los Alpes de norte á mediodía hasta Toscana : la Alemania, baxo las órdenes del General Moreau, desde el Rhin al Danubio; y el Egipto, baxo las órdenes del</t>
  </si>
  <si>
    <t>tü4° Á ntes de ayer llego aquíMilán 4 de Octubre. el General en xefe Bruñe con su quartel general.----El dia 29 se ajustó entre el General francés Marrnont y el austríaco Hchenzoilcrn un armisticio, que durará otro tanto como el del Rhin; y de resultas t</t>
  </si>
  <si>
    <t>l General Lecourbe, restablecido enteramente de sus achaques. El Teniente General Dupont remitió aí General Bruñe con fecha de 25 de Setiembre la siguiente relación sobre las operaciones del ala derecha del exército de Italia : „ Habiendo el cuerpo de tropas que manda el General Pino evacuado</t>
  </si>
  <si>
    <t>arés, se despacharáinmediatamente un correo á Viena. Si la respuesta es conforme á la solicitud del General en xefe Bruñe, se.ocupará ai instante la nueva línea; y sf es contraria', tendrá el General francés desde aquel instante facultad de anunciar la suspensión del armisticio, y 15 dias después pod</t>
  </si>
  <si>
    <t>mandado por el General Sommariva, se apoderó de Lúea y de una parte del país de Bolonia, quando el General Bruñe tenia reconcentradas sus fuerzas en la izquierda del Po. El General Dupont salió de Bolonia con tina división, desbarató dicho armamento del pueblo, é intimó al comandante Sommari</t>
  </si>
  <si>
    <t>— De París salió el 25 el Plenipotenciario Joseph Bonaparte para la misma ciudad del Congreso, „E1 General Bruñe en carta de 19 del corriente ha avisado al gobierno que en conseqüencia del artículo 2,0 de los preliminares y del convenio particular de C ftiglione intimó al General que manda en</t>
  </si>
  <si>
    <t>1748. Dicha reunión se supone hecha desde el 23 de Setiembre de este año, y así lo ha comunicado el General Bruñe á la junta de diputados cisalpinos formada para atender al abasto del exército francés en sus acantonamientos en territorio de esta República y en ios ducados de Parma y PLuencia.</t>
  </si>
  <si>
    <t>icional hecho en Castiglione entre tf General francés Marmont y el austríaco Hohcnzollern, había el General Bruñe consentido en esperar la respuesta de Viena en orden á la evacuación de! Ferrares por los austríacos, los quales en cumplimiento del convenio de Marengo debían evacuar aquel país;</t>
  </si>
  <si>
    <t>y que en conscqiiencia sé renovarían las hostilidades el 6 de Noviembre. Sin embargo, añaden que él General Bruñe ha propuesto al Conde de Bellegarda que prorogaria la suspensión de armas del mismo modo que en Alemania, con tal que los austríacos le entregasen por rehenes las fortalezas de Pe</t>
  </si>
  <si>
    <t>o que juzgue mas conveniente*” „ A punto estaban de. renovarse las hostilidades en Italia quando el General Bruñe supo la llegada del Conde de Cobentzel á Luneville; é inmediatamente comunicó al General Bellegárde que suspendía las hostilidades hasta recibir nuevas órdenes de su gobierno. Hub</t>
  </si>
  <si>
    <t>o si no se proroga la suspensión de armas. Aseguran que un oficial de plana mayor despachado por el General Bruñe ha llegado con cartas para el General Macdonald, en que Je avisa que se había roto en Italia el armisticio, y que de consiguiente se renovarían quanto ántes las hostilidades; pero</t>
  </si>
  <si>
    <t>s descansarán aquí dos dias, y luego saldrán, según se dice, para Italia á reforzar el exército del General Bruñe. Luneville 18 de Noviembre. I aos Plenipotenciarios Joseph Bonaparte y Conde de Cobentzel reciben muchos correos de sus respectivos gobiernos, y despachan otros con gran fVeqiienc</t>
  </si>
  <si>
    <t>serán juzgados por un consejo de guerra. Milán 24 de Noviembre. H a salido de aquí para Brescia el General Bruñe* como tambien el cuerpo de tropas polacas que estabande guarnición en esta plaza * y van á re</t>
  </si>
  <si>
    <t>restantes quedáron prisioneros. Con esta ventaja se halla Oglow enteramente dueño de Bulgaria.0 El General Bruñe en Milán, y el General Moreau en Munich, han publicado proclamas exhortando á sus tropas á pelear con valor ya que nó puede ajustarse la paz. La proclama de Moreau dice así: „Quarte</t>
  </si>
  <si>
    <t>Bruneti, Juan</t>
  </si>
  <si>
    <t>Juan Bruneti</t>
  </si>
  <si>
    <t>simo Príncipe de Asturias nuestro Señor, grabado del modela original por el estilo de Bartolozi por D. Juan Bruneti. Se vende en la librería de Escribano , calle de las Carretas. Láminas ai y 22 de las 34 que se están grabando para la obra del Evangelio en triunfo, dibuxadas y grabadas por acre</t>
  </si>
  <si>
    <t>astos de conducción. Retrato en medio pliego de marquilla del nuevo Pontífice Pió VII , grabado por D. Juan Bruneti, Romano, por el dibuxo original venido de Venecia , y está representado en el verdadero trage pontificio. Véndese á 6 rs. en la librería de Escribano, calle de las Carretas. Retra</t>
  </si>
  <si>
    <t>Bruno Muñoz, Francisco</t>
  </si>
  <si>
    <t>Francisco Bruno Muñoz</t>
  </si>
  <si>
    <t>iente al Subteniente de granaderos D. Antonio Vianguet; á Subteniente de granaderos al de fusileros D. Francisco Bruno Muñoz , y i Subteniente de bandera al Cadete D. Pedro Nolasco Grimau: en el de México á Teniente Coronel al agregado en esta clase al mismo cuerpo, graduado de Coronel, D. Raymundo Andr</t>
  </si>
  <si>
    <t>Bruseín, Martín</t>
  </si>
  <si>
    <t>Martín Bruseín</t>
  </si>
  <si>
    <t>ra D. Manuel de Novales, Teniente de navio de la Real Armada,. Habiéndose dignado S. Ai. conceder á D. Martín Bruseín, residente en Madrid, privilegio exclusivo para construir una máquina hidráulica de su invención, ofrece al público el inventor plantificar dichas máquinas donde se le pida ; y en</t>
  </si>
  <si>
    <t>Brusein, Martín</t>
  </si>
  <si>
    <t>Martín Brusein</t>
  </si>
  <si>
    <t>es Militares al Coronel D. Juan Carlos de Areizaga, Teniente Coronel del de infantería de» Córdoba. D. Martin Brusein, en un viage que ha hecho de intento para buscar aplicaciones de su máquina hidráulica (anunciada en la gazeta del f de Mayo) habiendo reconocido Toledo, Yepes, Ocaúa y Valdemoro,</t>
  </si>
  <si>
    <t>Bryas de Molanghien, Francisco</t>
  </si>
  <si>
    <t>Francisco Bryas de Molanghien</t>
  </si>
  <si>
    <t>de granaderos al de fusileros D. Juan Bautista de Beccard; y á Alféreces de fusileros á los Cadetes D. Francisco Bryas de Molanghien, D. Andrés Dumont, D. Baltasar Francisco de Pultz, Marques de Monteil, D. Luis Antonio de Eraso y D. Carlos de Liot. También ha nombrado S, M. Capellán del tercer batallón del reg</t>
  </si>
  <si>
    <t>Brye, Almirante</t>
  </si>
  <si>
    <t>Almirante Brye</t>
  </si>
  <si>
    <t>aron en este puerto quatro navios rusos de 64 cañones, y dos fragatas de 38 y 28 , que al mando del Almirante Brye se restituyen de Inglaterra á Rusia con parte de las tropas que invernaron £ii las islas de Jersey y Guernsey, y continuaron su navegación dos dias después. El número de soldados</t>
  </si>
  <si>
    <t>Bucareli, Antonio</t>
  </si>
  <si>
    <t>Antonio Bucareli</t>
  </si>
  <si>
    <t>nuel Ladrón de Guevara, Ayudante mayor del mismo Real cuerpo: para está resulta aí Ayudante segundo D. Antonio Bucareli: ‘.para una Tenencia al Alférez D. Juan Gamero: para un empleo de Alférez tá D. Miguel March, Alférez del regimiento de dragones del Rey: para es¿a. resulta á D. Joseph Barreneche</t>
  </si>
  <si>
    <t>Bucellis, Luis Andrés</t>
  </si>
  <si>
    <t>Luis Andrés Bucellis</t>
  </si>
  <si>
    <t>uda al oficio de D. Juan López Fando, Escribano de número de esta villa , en el término de 30 dias. D. Luis Andrés Bucellis, cirujano latino romano titular de estuche de la villa de Torrejon de Ardoz, á conseqtíencia de haber expuesto en la g¿2eta de Madrid ló fácil que es la Operación del hilo de plom</t>
  </si>
  <si>
    <t>Buenaventura</t>
  </si>
  <si>
    <t>taban sin proveer, se ha servido Si M. nombrar á D. Manuel de Echevarría , D. Tadeo Segundo Gómez , D. Buenaventura1 de Ventura, D. Christóbal dé Góngora, D. Joáchín dé Henriquez y Doi^ Joseph Compañy. ‘ También se ha servido conferir la Comandancia de esquadron del regimiento de dragones de Sa</t>
  </si>
  <si>
    <t>Buendia, Francisco</t>
  </si>
  <si>
    <t>Francisco Buendia</t>
  </si>
  <si>
    <t>cultativos del uso de los pelicanes para la extracción de muela , raigón &amp;c. , merece citarse el de D. Francisco Buendia, Cirujano de Fuentelaencina, que en el afío de 1798 se halló en peligro de perder la vida por habérsele careado la quarta muela de la mandíbula inferior, de lo que le libró D. Bar</t>
  </si>
  <si>
    <t>Bueno, Francisco</t>
  </si>
  <si>
    <t>Francisco Bueno</t>
  </si>
  <si>
    <t>3*íálagá , VallacJolíd j^Granacla. y Rónda Subtenencias de bandera al Cadete D. Francisco Bueno, D. Manuel Natalio Colmenares y Modoya, D. Joseph del Pulgar y Varo y D. Francisco de Silva Berlanga y Tordesilías. También ha nombrado S. M. Teniente de las milicias urbanas de T</t>
  </si>
  <si>
    <t>Buget</t>
  </si>
  <si>
    <t>o. Antibo 20 de Mayo. xXuncjue las gazetas de Italia y Alemania aseguran que el ciud. Buget, comandante de la ciudadela de Savona, escribió al Gobernador de aquella ciudad que pegaría fuego y la abrasaría si no la evacuaban los imperiales, *e sabe que</t>
  </si>
  <si>
    <t>Buget, General</t>
  </si>
  <si>
    <t>General Buget</t>
  </si>
  <si>
    <t>a por hambre. El Teniente General Souchet, comandante del centro, ha escrito la carta siguiente del General Buget, que manda en aquel castillo : Quartel de la Ptetra 2/ de Abril. » Acabo de recibir vuestra carta de ayer. Extraño que el enemigo os cerque, y os estreche hasta fuera de la ciudad</t>
  </si>
  <si>
    <t>erse entregado por capitulación la torre del castillo de Bard. También se ha publicado un aviso del General Buget, comandante de la eiudadela de Savona: su fecha es del 20. Dice que le bloquean austríacos é ingleses. El General austríaco le ofreció al principio 200® francos, y li® para su ayu</t>
  </si>
  <si>
    <t>Bugge</t>
  </si>
  <si>
    <t>ico Augusto Emilio. Acaba S. M. de formar una secretaría á oficina de longitud baxo la disección de Mr. Bugge, Consejero de justicia, y profesor de astronomía. Se ha prohibido hasta nueva orden la extracción de cerdos y tocino de Dinamarca y sus Ducados. Elseneur 26de Setiembre. E n varia</t>
  </si>
  <si>
    <t>Buil, Joachín</t>
  </si>
  <si>
    <t>Joachín Buil</t>
  </si>
  <si>
    <t>de granaderos al primer Subteniente D. Juan María Narganes; á primeros Subtenientes á los segundos D. Joachín Buil, D. Olaguer i omas Aloy, D. Carlos Stonor, Don Felipe Ancora y D. Benito Albiny; y á segundos Subtenientes á los Cadetes D. Tomas Cantón, D. Guillermo Lyons, D. Andrés Aguado y Oq</t>
  </si>
  <si>
    <t>Bulnes, Rafael</t>
  </si>
  <si>
    <t>Rafael Bulnes</t>
  </si>
  <si>
    <t>su segundo D. Juan Moreno García con 36 hombres de todas clases: y muertos ios Alféreces de Fragata D. Rafael Bulnes y D. Nicolás del Pino con otros 21 hombres de tropa y marinería. La fragata Sabina amaneció á sotavento, y asegurada de la superioridad de los enemigos huyó, logrando entrar en Cádiz</t>
  </si>
  <si>
    <t>Buolz</t>
  </si>
  <si>
    <t>guiente fue el Ministro Bourgoing á tomar té en casa del Cónsul de Portugal, y también concurriéron Mr. Buolz y su esposa. A solicitud del gobierno británico ha permitido el Emperador de Rusia se extraiga trigo y cebada de Cuvlandia. Igualmente ha suspendido el Rey de Prusia la prohibición</t>
  </si>
  <si>
    <t>Buonaparte, General</t>
  </si>
  <si>
    <t>General Buonaparte</t>
  </si>
  <si>
    <t>ntinuas bataf las, por las pérdidas qué tuviéron en S. Juan de Acre, y por la falta que les hace el General Buonaparte: de modo que mal podrán resistir á un exército descansado , numeroso, y mandado por el primer Ministro del Imperio. Desde la toma y pérdida de Abukir no ha habido en Egipto encuen</t>
  </si>
  <si>
    <t>9&gt; H: a dadolejl Oran i Visir aviso á .la sublime Puerta de haber salido de Egip* tQ para Europa el General Buoñapárte , y qúeda aquel Ministro otoman* coh espernnzade que será apresado por alguno de los muchos baxeles que cruzan én .las aguas de Alexandría, en las costas de Sicilia y en todas lac</t>
  </si>
  <si>
    <t>Burriel, Marcos</t>
  </si>
  <si>
    <t>Marcos Burriel</t>
  </si>
  <si>
    <t>drid, quien las dedica á la Reyna Ntra. Sra., que Dios guarde. El nombre del P. Marcos Burriel, autor de estas Memorias, y las doctas adiciones , con que el editor las ha ilustrado , y de que da razón en el prólogo, bastan para hacer recomendable esta obra. La multitud de document</t>
  </si>
  <si>
    <t>Bussi, General</t>
  </si>
  <si>
    <t>General Bussi</t>
  </si>
  <si>
    <t>mi izquierda con tal ímpetu, que solamente la vigorosa' resistencia y la extraordinaria firmeza del General Bussi pudiéron inutilizar *sus esfuerzos. Dos batallones de Nadasti rechazáron varias veces al e"ncmigo que intentaba escalar el Lodrino. También fué atacado el Conde de Saint-julien en</t>
  </si>
  <si>
    <t>Bussiere, Capitán</t>
  </si>
  <si>
    <t>Capitán Bussiere</t>
  </si>
  <si>
    <t>n para tripularla; y se asegura que la inandará el Almirante Dew'inter. Antes de ayer llegó aquí el Capitán Bussiere, individuo de la plana mayor del General Augereau, con pliegos muy importantes para este gobierno y para el Ministro francés. No tardó mas que dos dias desde Francfort, y dexó en</t>
  </si>
  <si>
    <t>Bustamante, Antonio</t>
  </si>
  <si>
    <t>Antonio Bustamante</t>
  </si>
  <si>
    <t>de Colmenera, D. Fernando Cacho, D. Santiago Cevallos y D. Antonio Proto Alvarez; y con el tercero D. Antonio Bustamante, D. Julián Diaz, D. Julián Cartabuenaj</t>
  </si>
  <si>
    <t>Bustamante, Francisco</t>
  </si>
  <si>
    <t>Francisco Bustamante</t>
  </si>
  <si>
    <t>e infantería. S. M. ha promovido á Ingeniero extraordinario de sus exércitos, plazas y fronteras, á D. Francisco Bustamante, Ayudante de Ingeniero: y á este empico á D. Martin Casimiro de Lasala, D. Gaspar de Goicoechea, Subtenientes de los regimientes de infantería de Buenos-Ay res y del Rey; á D011 F</t>
  </si>
  <si>
    <t>Bustamante, Manuel</t>
  </si>
  <si>
    <t>Manuel Bustamante</t>
  </si>
  <si>
    <t>z: en el de Guadalaxara á primer Subteniente al segundo D. Pascual Pous, y á segundos á los Cadetes D. Manuel Bustamante y D. Antonio Hurtado: en el de Zaragoza á Subteniente de granaderos al primer Subteniente D. Blas Ximenez y Liam</t>
  </si>
  <si>
    <t>Bustos, Félix</t>
  </si>
  <si>
    <t>Félix Bustos</t>
  </si>
  <si>
    <t>ado de Teniente Coronel, D. Antonio Luxan; y en el Real cuerpo, de Artillería á Capitán al Teniente D. Félix Bustos. En el regimiento de caballería de Montesa se ha servido 'también S. M. promover á Alférez al Portaestandarte D. Manuel Yurre; y á Portaestandarte al Cadete D. Joseph Frasnedo: en</t>
  </si>
  <si>
    <t>Butal, Capitán</t>
  </si>
  <si>
    <t>Capitán Butal</t>
  </si>
  <si>
    <t>e nuestros prisioneros (sobre el qual tenemos facultades «le tratar), consentiréis en la vuelta del Capitán Butal, con sus oficiales y jn rineros. Las promesas que me hacéis con la esperanza de reciprocidad de mi parte, no pueden aplicarse á esta circunstancia; y creo superlluo ofreceros en r</t>
  </si>
  <si>
    <t>Butler, Ricardo</t>
  </si>
  <si>
    <t>Ricardo Butler</t>
  </si>
  <si>
    <t>niente* al segundo de granaderos D. Tomas Macoris; á segundo Teniente de granaderos al de fusileros D. Ricardo Butler; á segundo Teniente al Subteniente de granaderos D. Santiago Lorenzo; á Subteniente de granaderos al primer Subteniente D. Juan María Narganes; á primeros Subtenientes á los segun</t>
  </si>
  <si>
    <t>Butler, Tomás</t>
  </si>
  <si>
    <t>Tomás Butler</t>
  </si>
  <si>
    <t>el Rey á Ayudante al primer Teniente D. Miguel Zapiain ; á primer Teniente al segundo de granaderos D. Tomas Butler; á segundo Teniente de granaderos al de fusileros D. Agustín Molina; á segundo Teniente aí Subteniente de granaderos D. Juan Andrés; á Subteniente de granaderos al primer Subtenie</t>
  </si>
  <si>
    <t>Buxton</t>
  </si>
  <si>
    <t>os contra el bilí dirigido á precaver Jas combinaciones ó juntas ilícitas de los artesanos. Observó Mr. Buxton que las sesiones estaban muy adelantadas para ocuparse en este asunto; pero Mr. Sheridan replicó que esto no debía ser impedimento, supuesto que el bilí se aprobó quando estaban m</t>
  </si>
  <si>
    <t>Ca, Francisco</t>
  </si>
  <si>
    <t>Francisco Ca</t>
  </si>
  <si>
    <t>Valencia ; y para la Capellanía de Coro de la metropolitana de Toledo, vacante por fallecimiento de D. Francisco Ca</t>
  </si>
  <si>
    <t>Caamaño y Romero, Pedro</t>
  </si>
  <si>
    <t>Pedro Caamaño y Romero</t>
  </si>
  <si>
    <t>D. Joseph del Viso y Roxas,D. Francisco Perez de Grandallana y Fontecha, D. Benito Gijon y Rósalas, D. Pedro Caamaño y Romero, D. Miguel de Valenzuela y Melgarejo, D. Vicente Bermudez de Castro y Vivero, D. Bernabé de Mariaca y Ansótegui, D. Genaro de Aurea y Rho, D. Vicente Martin Vegue y Zayas, D. Gabr</t>
  </si>
  <si>
    <t>Caamaño, Ramón</t>
  </si>
  <si>
    <t>Ramón Caamaño</t>
  </si>
  <si>
    <t>Soubiran y Montealm, D. Fernando Muñoz y Abreu,D. Aii toni'o Tacón y Rosique, D. Salvador Spadafora,D. Ramón Caamaño, Don Isidoro Postigo y Bulnes, D. Joseph de Echeverría y Padilla’, D. Francisco Torralbo y Valenciano ,#D. Joseph García de Prado y Osorno, D. Manuel Ristori y Medina, D. Salvador</t>
  </si>
  <si>
    <t>Cabala, Joseph</t>
  </si>
  <si>
    <t>Joseph Cabala</t>
  </si>
  <si>
    <t>que se vende para hacer pago á 6us acreedores, y se rér ‘mató en 3p de .Ó tubre último en favor de D. Joseph Cabala, en la car tidad de Js,‘ éVyahg y To% dé elfos , en metálico, tasadas en ■ 4J?Q&gt;9?i 4 y died^uasa ^se .wmppne. 43 14,^40^ pies.quadridq^ Ssnperíjciaíes¿j Se ha señalado para su, r</t>
  </si>
  <si>
    <t>Caballero Ramos, Francisco</t>
  </si>
  <si>
    <t>Francisco Caballero Ramos</t>
  </si>
  <si>
    <t>r los Jidred.erps de 1&gt;. Rías Rodríguez ¡Caballerovecino que fué dé Ja ciudad de Pía-" .senda , con D. Francisco Caballero Ramos,, de Ja misma vecindad , sobré pago dé maravedises dei Aarijendamieqto de yerbas y glandes, del partido de dicha ciudad j yexistiendó por ahora en la misma escribanía dos vales Re</t>
  </si>
  <si>
    <t>Caballero, Andrés</t>
  </si>
  <si>
    <t>Andrés Caballero</t>
  </si>
  <si>
    <t>e, D. Jacobo Carrillo y D. Christóbal Medina; á segundos Tenientes á los Subtenientes de granaderos D. Andrés Caballero, D. Antonio Ximenez y D. Joseph Hernando; á Subtenientes de granaderos á los primeros Subtenientes D. Juan Ximenez, D. Joseph Ramón Gutiérrez y D. Francisco de Oña; á primeros Sub</t>
  </si>
  <si>
    <t>Caballero, Joseph Antonio</t>
  </si>
  <si>
    <t>Joseph Antonio Caballero</t>
  </si>
  <si>
    <t>Cevállos Guerra. Tendreislo entendido para su. cumplimiento*;^: Palacio 13 de Diciembre de iSoo.rA D. Joseph Antonio Caballero.*? i $&gt; M. se ha dignado nombrar para la Iglesia y Obispado' de Falencia* vacante pór muerte del limo. Sr. D. Joseph Luis de Molíinedo, ál Sr. D.ojé. Buenaventura Moyano Rodríguez</t>
  </si>
  <si>
    <t>Caballero, Juan</t>
  </si>
  <si>
    <t>Juan Caballero</t>
  </si>
  <si>
    <t>; y para la ae Capitán del regimiento de dragones de Lusitania , que déxá Vera, ál íeniente de ella D. Juan Caballero. Atendiendo el Rey á la antigua nobleza de D. Vicente Antonio de Figuerola y Vilana, vecino de la ciudad de Barcelona, a los enlaces que xrik jbstificádo tiene con las familias ma</t>
  </si>
  <si>
    <t>Caballero, Manuel</t>
  </si>
  <si>
    <t>Manuel Caballero</t>
  </si>
  <si>
    <t>uente; y Tenencia á D. Manuel Salazar. En el de Milicias urbanas de caballería de Camina compañía á D. Manuel Caballero, y Tenencia á D. Simón Sejuro. .En el de Milicias urbanas de caballería de S. Pablo de Chalaquez, Tenencia á D. Mitías Díaz , y empleo de Alférez á D. Mariano Arribaspíata. En el</t>
  </si>
  <si>
    <t>Cabeza de Vaca, Joseph</t>
  </si>
  <si>
    <t>Joseph Cabeza de Vaca</t>
  </si>
  <si>
    <t>ra de matemáticas puras de Don Carlos Lemaur; en secciones cónicas, cálculo diferencial é integral, D. Joseph Cabeza de Vaca, que Obtuvo elExáinen marítimo de D. Jorge Juan ' y el Suplemento de la obra de D. Benito Bails; y en mecánica é hidráulica, el Dr. D, Joseph Badillo, D. Sebastian Llórente y D. F</t>
  </si>
  <si>
    <t>Cabezón, Joseph Antonio</t>
  </si>
  <si>
    <t>Joseph Antonio Cabezón</t>
  </si>
  <si>
    <t>naderos D. Joachín Moreno ; £ Subteniente de granaderos al primer Subteniente graduado de Teniente* D. Joseph Antonio Cabezón; á primeros Subtenientes á los segundos Don Manuel Vico, D. Joseph de Miranda, D. Manuel Aroche y D. Estéban Aymerich , y á segundos Subtenientes a los Cadetes D. Agustín Ximene?</t>
  </si>
  <si>
    <t>Cabo, Francisco</t>
  </si>
  <si>
    <t>Francisco Cabo</t>
  </si>
  <si>
    <t>e náutica, los alumnos del tercer curso de esta ciencia D. Toribío Cifuentes, D. Toribio Rodríguez, D. Francisco Cabo y D. Antonio de Jove. 5.0 En esfera, geografía y las nueve primeras épocas de la historia antigua, baxo la dirección del profesor de geografía histórica D. Juan Alexandro Nais, los al</t>
  </si>
  <si>
    <t>Cabratosa, Juan</t>
  </si>
  <si>
    <t>Juan Cabratosa</t>
  </si>
  <si>
    <t>Antonia Claramont dio á luz un niño bastante Robusto, y continuándola los dolores, creyó su esposo D. Juan Cabratosa, Cirujano del tercer batallón del regimiento de infantería de Asturias, que la quedaba otro feto; sin embargo no olvidó de facilitar la extracción de la placenta hasta que conocie</t>
  </si>
  <si>
    <t>Cabrer, Carlos</t>
  </si>
  <si>
    <t>Carlos Cabrer</t>
  </si>
  <si>
    <t>do S. M. á Ingeniero en xefe á D.Francisco Villarocl, que era Ingeniero en segundo; á este empleo á D. Carlos Cabrer y D. Pedro Hernando, Ingenieros ordinarios; á este a D. Juan Zapatero, Ingeniero extraordinario; y á esta clase al Ayudante D. Vicente Ceris. Atendiendo el Rey á la avanzada edad y qu</t>
  </si>
  <si>
    <t>Cabrera, Francisco</t>
  </si>
  <si>
    <t>Francisco Cabrera</t>
  </si>
  <si>
    <t>o el Rey romover á primeros Tenientes á los segundos de fusileros y granaderos S &gt;. Cárlos Alcedo y D. Francisco Cabrera. En el de infantería del Príncipe á Capitán al primer Teniente de granaderos D. Jiian Francisco Goyena: en el de Zamora á primer Subteniente al segundo D. Eugenio Iraurgui: en el</t>
  </si>
  <si>
    <t>Cabrera, Vicente</t>
  </si>
  <si>
    <t>Vicente Cabrera</t>
  </si>
  <si>
    <t>: en el de Zaragoza á segundo Subteniente al Sargento primero de granaderos graduado de Subteniente D. Vicente Cabrera: en el de Asturias á primer Teniente al segundo de granaderos graduado de Capitán D. Salvador Maseres: en el de Aragón á primeros Subtenientes á los segundos D. Manuel Ortiz y D.</t>
  </si>
  <si>
    <t>eros Subtenientes á Jos segundos D. Joseph de Miranda, D. Mariano Villanova, D. Christóbal Estévez, D. Vicente Cabrera y D. Ignacio Cavero; y á segundos Subtenientes á los Sargentos primeros D. Gines García, de granaderos, y Don Matías Melero, y á los. Cadetes D. Alberto Falcó y Alvarez, D. Joseph de</t>
  </si>
  <si>
    <t>Cabrol, Juan</t>
  </si>
  <si>
    <t>Juan Cabrol</t>
  </si>
  <si>
    <t>ndo Teniente de granaderos D. Bartolomé Mendestre; á segundo Teniente de granaderos al de fusileros D. Juan Cabrol; á segundo Teniente de fusileros al Subteniente de granaderos D. Gabriel O Rian; á este empleo al primer Subteniente D. Ramón D’Aprea; á primeros Subtenientes á los segundos D. Lo</t>
  </si>
  <si>
    <t>Cácercs, Gregorio</t>
  </si>
  <si>
    <t>Gregorio Cácercs</t>
  </si>
  <si>
    <t>el de Calatrava al Sargento I). Francisco B i garra: á primer Teniente en el de Húsares al segundo D. Gregorio Cácercs; y á Alférez en el de la Costa de Granada al Alférez D. Francisco López , Sargento del propio cuerpo. Asimismo ha promovido el Rey á Ingeniero extraordinario de sus exércitos, pla</t>
  </si>
  <si>
    <t>Cacho Caballero, Manuel</t>
  </si>
  <si>
    <t>Manuel Cacho Caballero</t>
  </si>
  <si>
    <t>■■ — 111^——————■————11——————— D. Pedro Ruiz Campuzano remitió desde Cádiz el 49 de Agosto último á Don Manuel Cacho Caballero, de Xerez de la Frontera , un vale Real de 300 pesos, creación de i.° de Julio, num. 67,107 , endosado por el referido Ruiz á dicho Caballero, que no lo ha recibido. Quien supiere</t>
  </si>
  <si>
    <t>Cacho y Lodeyro, Luis</t>
  </si>
  <si>
    <t>Luis Cacho y Lodeyro</t>
  </si>
  <si>
    <t>y para la Subtenencia de la primera compañía de Milicias de artilleros provinciales de Ja Coruña X D. Luis Cacho y Lodeyro, Subteniente de las Milicias urbanas de aquella plaza. El Rey se ha dignado conceder á D. Manuel de la Cerda honores y agregación de Oficial'de la Secretaría de Estado y del Despa</t>
  </si>
  <si>
    <t>Cacho, Fernando</t>
  </si>
  <si>
    <t>Fernando Cacho</t>
  </si>
  <si>
    <t>enas y D. Carlos Reynaldo de Coupigfly: y en el Real cuerpo de Artillería á Teniente al Subteniente D. Fernando Cacho ; habiendo nombrado también Capellanes de los regimientos de infantería de Africa y Granada á los presbíteros D. Francisco Osorio y D. Bernardo Gómez de Valdivieso, Capellán del d</t>
  </si>
  <si>
    <t>el mayor 6 primer premio D. Juan de Soto y D. Saturnino Perez; con el segundo D. Juan de Colmenera, D. Fernando Cacho, D. Santiago Cevallos y D. Antonio Proto Alvarez; y con el tercero D. Antonio Bustamante, D. Julián Diaz, D. Julián Cartabuenaj</t>
  </si>
  <si>
    <t>Cadena, Mateo</t>
  </si>
  <si>
    <t>Mateo Cadena</t>
  </si>
  <si>
    <t>, natural de S. Andrés de la Bola , Corregimiento de Vique............ 53. 32. Mateo Cadena, hijo de Francisco y Francisca , natural de Montellá , Corregimiento de Urge!........................... 49. 3. Cabo.. Antonio Casal, hijo de otro y Ventura, natural de Canillo, Corregi</t>
  </si>
  <si>
    <t>Cadroy, Felipe</t>
  </si>
  <si>
    <t>Felipe Cadroy</t>
  </si>
  <si>
    <t>uel de Nueros; á Ayudante al primer Teniente D. Ignacio Coutoy; á primeros Tenientes á los segundos D. Felipe Cadroy , graduado de Capitán, D. Joachín de Alba y D. Juan Manuel Pereyra; á segundo Teniente al Alférez D. Alonso Marín ; á Alféreces á los Portaestandartes D. Jorge Zambrana y D. Jayme</t>
  </si>
  <si>
    <t>Calatayud, Ana</t>
  </si>
  <si>
    <t>Ana Calatayud</t>
  </si>
  <si>
    <t>de la misma Intendencia los siguientes : en la villa de Alcaudete pertenece á la memoria que fundó Doña Ana Calatayud un cortijo de 58 fanegas y 2 celemines, tasado en 36,434 rs. Una heredad en aquel término con casa de campo, y 35 aranzadas de olivar y 2 hazas , todo baxo de una linde , en el si</t>
  </si>
  <si>
    <t>rs. y renta 850. Villa de Alcaudete. Un cortijo de 100 fanegas, situado en Mazorque , fundación de Doña Ana Calatayud , tasado en 25,400 rs. y renta 800. Una huerta de 5 aranzadas , situada en Serrete , perteneciente á las Ankiias, tasada en 18© rs. y renta 670 rs. 29 mrs. Un cortijo de |0©</t>
  </si>
  <si>
    <t>Calderón de Guevara, Joseph Manuel</t>
  </si>
  <si>
    <t>Joseph Manuel Calderón de Guevara</t>
  </si>
  <si>
    <t>vara de Alcalde mayor de la ciudad de Cartagena á D. Gerónimo Serbent; y para la de la de Badajoz á D. Joseph Manuel Calderón de Guevara. El Rey se ha servido nombrar para la plaza de Oficial archivero de la Superintendencia general de los archivos de las Ordenes de Santiago, Calatrava, Alcántara y Montesa á D. Jua</t>
  </si>
  <si>
    <t>Calderón de la Barca, Francisco</t>
  </si>
  <si>
    <t>Francisco Calderón de la Barca</t>
  </si>
  <si>
    <t>ra, D. Vicente Ros, D. Joseph González Pardo, D. Martin Zarandía, D. Ramón Gómez, D. Rafael Riesch, D. Francisco Calderón de la Barca, D. Luis Solana, D.Fernán.lo Navia,D. Miguei Forcalio, Don Jacobo Gil de Avalle, D. Joachin Ponte, D.Francisco Arnau, D. Joachin Hidalgo y D. Luis de Sotomayor. El Rey se ha servi</t>
  </si>
  <si>
    <t>Calderón de la Barca, Ramón</t>
  </si>
  <si>
    <t>Ramón Calderón de la Barca</t>
  </si>
  <si>
    <t>lférez D. Antonio Roca; á Alférez al Portaestandarte D. Paulino Vicente, y á esta resulta al Cadete D. Ramón Calderón de la Barca: en el del Príncipe á Capitán ai Ayudante D. Alexandro Manglano; á Ayudante al primer Teniente D. Miguel de Nueros; á esti resulta al primer Teniente agregado D. Juan Dupac , y á</t>
  </si>
  <si>
    <t>Calderón y Laso de la Vega, Juan</t>
  </si>
  <si>
    <t>Juan Calderón y Laso de la Vega</t>
  </si>
  <si>
    <t>o, D. Joachín de Abreu y Orta y D. Jayme Michelena y Moreno. En 3.a fecha. D. Juan Valdés é Inclan, D. Juan Calderón y Laso de la Vega, D. Gabriel Olivar y Esquella , D. Joachín Moreno y Mancha , D. Antonio Quiroga y Arias, D. Benito Bermudez de Castro y Vivero , D. Manuel Duque de la Cruz , D. Antonio Piñeyro y</t>
  </si>
  <si>
    <t>Calderón y Laso, Francisco</t>
  </si>
  <si>
    <t>Francisco Calderón y Laso</t>
  </si>
  <si>
    <t>a á D. Diego Artacho y Durango: la Compañía de granaderos del de CiudadReal al Capitán de fusileros D. Francisco Calderón y Laso ; y Compañía de fusileros en el de Toledo al Teniente de granaderos D. Carlos Castro viejo. También ha conferido S. M. á Joseph Barril el oficio de Proto-'Albéytar del Principado</t>
  </si>
  <si>
    <t>Calderón, Juan</t>
  </si>
  <si>
    <t>Juan Calderón</t>
  </si>
  <si>
    <t>nientes D. Juan Rabel y D. Serafín Oliver; á Subtenientes de granaderos á los primeros Subtenientes Don Juan Calderón, D. Joachin Benitez y D. Nicolás Ortuño; á primeros Subtenientes X los segundos D. Joseph Fransoy, D. Francisco Gallardo, Don Joachin Navarro, D. Joseph Mancha y D. Christóbal Agu</t>
  </si>
  <si>
    <t>Calixto Payan de Vargas</t>
  </si>
  <si>
    <t>l Sargento mayor, graduado de Teniente Coronel, D. Joseph Badolato ; y.á Alférez aí Portaestandarte Don Calixto Payan de Vargas ; y en ei de dragones de Álmansa á Comandante del tercer esquadron al Sargento mayor del de la Reyna, graduado de Coronel, D. Antonio de las Cuevas. S. M. se ha servido promover e</t>
  </si>
  <si>
    <t>Callejas, Antonio</t>
  </si>
  <si>
    <t>Antonio Callejas</t>
  </si>
  <si>
    <t>món González Castro Taboada y Valenzuela, D. Joachín Xencrio y Giles, D. Ramón de Ayala y Silveyra, D. Antonio Callejas, D. Joseph López Berrio, D. Valentín Antonio Gutiérrez, D. Joseph Martin Ruiz y Lúeas y„D. Pedro Alcántara Alamanzon. Él Rey se ha servido nombrar para el Corregimiento, de capá y</t>
  </si>
  <si>
    <t>Callejo, Gabriel</t>
  </si>
  <si>
    <t>Gabriel Callejo</t>
  </si>
  <si>
    <t>oción de D. Joseph Gutiérrez á una Capellanía de la Real capilla de Sres. Reyes nuevos de Toledo, á D. Gabriel Callejo, con calidad de precisa y personal residencia- y para otro simple servidero de la parroquial de S. Julián y Sta. Basilisa de la ciudad de Salamanca, vacante por ascenso de D. Manu</t>
  </si>
  <si>
    <t>Callejo, Ramón</t>
  </si>
  <si>
    <t>Ramón Callejo</t>
  </si>
  <si>
    <t>3$8 parroquia de Válseca, del mismo obispado, vacante por muerte de D. Ramón Callejo, á D. Francisco Martin de Bartolomé, con obligación de servirlo por sí mismo. También ha venido el Rey en admitir á D. Alonso Martin Perez la renuncia que ha hecho de la Ración qu</t>
  </si>
  <si>
    <t>Calonge, Nicolás</t>
  </si>
  <si>
    <t>Nicolás Calonge</t>
  </si>
  <si>
    <t>Mencionado en el suplemento sobre renovación o amortización de vales Reales.</t>
  </si>
  <si>
    <t>Suplemento / vales Reales</t>
  </si>
  <si>
    <t>ariand;! .J* l ?.a&gt;IV;:.UT J fpj. En Murcia........... Sres. Moreda y Ladalid. En Patencia......... D. Nicolás Calonge. ~Y ^ cf). Martin MayoL i ' ,5t 4fc i»-°5r^ ^a^é^iiqcompañía, o ^ EnSegovta.^ . • * .. Sf es•• /v«luda de ELJoseph Manuel Rainiro y Martin.* Antonio Gpmez é hijo. jE# D,&lt;Andrés Ma</t>
  </si>
  <si>
    <t>laga.......... D. Antonio Mariano. En Murcia........... Sres. Moreda y Ladalid. En Palenda......... D. Nicolás Calonge. En Palma........... D. Martin Mayol. En Salamanca..... Sres. Gutiérrez y Mora!. En Santander...... Sres. Vial é hijo y compañía. En Segovia........... Sres. viuda de D. Joseph Ma</t>
  </si>
  <si>
    <t>a........... D. Antonio Mariano. En Murcia........... Sres. Moreda y Ladalid. En Falencia.......... D. Nicolás Calonge. En Palma............ D. Martin Mayo!. En Salamanca..... Sres. Gutiérrez y Moral. En Santander...... Sres. Vial é hijo y compañía. En Segovia........... Sres. viuda de D. Joseph M</t>
  </si>
  <si>
    <t>Calveton y Subirá, Miguel</t>
  </si>
  <si>
    <t>Miguel Calveton y Subirá</t>
  </si>
  <si>
    <t>as Reales que se hicieron en Sevilla por la aclamación de los Reyes Ntros. Sres. el año de 1789 por Don Miguel Calveton y Subirá , Alcalde mayor que ha sido de la ciudad de Algecíras: segunda impresión. Véndese en la librería de Escribano, calle de las Carretas. En la librería de Campo, calle de Alcalá, se</t>
  </si>
  <si>
    <t>Calvez de Sant, Joachín</t>
  </si>
  <si>
    <t>Joachín Calvez de Sant</t>
  </si>
  <si>
    <t>e de letras de la de Bujalance á D. Joseph María Yanguas y Acuna: para el do la v.11a de Aréválo á D. Joachin Calvez de Sant.llana: para el de Madrigal a D Miguel Alvarez de Loaisa: para la vara de Alcalde mayor 1 entente primero de Asistente de la ciudad de Sevilla á D. Antonio Rodríguez de Ribera la s</t>
  </si>
  <si>
    <t>Calvin, Félix</t>
  </si>
  <si>
    <t>Félix Calvin</t>
  </si>
  <si>
    <t>Americana al supernumerario D. Francisco Carmena; y para dos Bastones supernumerarios al Brigadier D. Félix Calvin©, y al Cadete Conde de Valparaíso. En él regimiento provincial 8e Cranada ha conferido el Rey Compañía de fusileros á D. Joseph Alfar©,, Teniente de cazadores; esta resulta al Ten</t>
  </si>
  <si>
    <t>Calviño, Cárlos</t>
  </si>
  <si>
    <t>Cárlos Calviño</t>
  </si>
  <si>
    <t>l Teniente de infantería y del provincial de Córdoba D. Rafael Valles, y al Capitán del de Santiago D. Cárlos Calviño: compañía de granaderos en el de Laredo al Capitán D. Joseph Antonio de Terán: compañías de fusileros en los de Betanzos y Mondoñedo, al Teniente de granaderos graduado de Capitán</t>
  </si>
  <si>
    <t>Calviño, Manuel</t>
  </si>
  <si>
    <t>Manuel Calviño</t>
  </si>
  <si>
    <t>Montenegro, y al de fusileros D. Pedro Belmar: en el de Santiago compañía al Teniente de cazadores D. Manuel Calviño , y Tenencia al Subteniente de granaderos D. Joseph Arteaga: en el de Soria compañía al Capitán agregado y graduado de infantería D. Joachín Gómez de la Serna: Tenencia de cazador</t>
  </si>
  <si>
    <t>Calvo</t>
  </si>
  <si>
    <t>n 7© rs. y renta 220. Otra1 calle del Roxo, D. Nicolás A zafia, con 415c pies, ea 13©, y renta 400. Doctor Calvo: una casa calle de la Pescadería, que habita Domingo Sanz, con 3952 pies, tasada en 4© rs. y renta 121. Otra calle de Santiago, D. Joseph Barbaria, con 27C5 pies, en 20©, y renta</t>
  </si>
  <si>
    <t>Calvo de Trapacete y Agudo, Manuel</t>
  </si>
  <si>
    <t>Manuel Calvo de Trapacete y Agudo</t>
  </si>
  <si>
    <t>la Vera y Campos; y en los de Salamanca, Orense, Toro, Córdoba y Granada Subtenencias de bandera á D. Manuel Calvo de Trapacete y Agudo, D. Benito Lobora, D. Lino Alvarez Maldonado, D. Joseph Rafael Gómez de Figueroa y D. Antonio Narvaez y Porcel. También ha conferido S. M. compañía en el cuerpo de milicias urbana</t>
  </si>
  <si>
    <t>Camachio, Joseph Antonio</t>
  </si>
  <si>
    <t>Joseph Antonio Camachio</t>
  </si>
  <si>
    <t>M. se ha dignado nombrar Teniente veterano del regimiento provin-; cial de dragones de la P.eyna á D. Joseph Antonio Camachio, Alférez veterano de Las milicias de la costa del Sur del Reyno de Nueva-España. Atendiendo S. M. al mérito y servicios del Alcaide del crimen decano de lá Audiencia de México, Oi</t>
  </si>
  <si>
    <t>Camacho, Fernando</t>
  </si>
  <si>
    <t>Fernando Camacho</t>
  </si>
  <si>
    <t>h Amar: en el de Extremadura á segundo Teniente al Subteniente de granaderos, graduado de Teniente, D. Fernando Camacho; á Subteniente de granaderos al primer Subteniente D. Diego Becerra; á primer Subteniente al segundo D. Antonio Delgado; y á segundo Subteniente al Cadete D. Diego Sande: en el se</t>
  </si>
  <si>
    <t>Camaño, Juan Miguel</t>
  </si>
  <si>
    <t>Juan Miguel Camaño</t>
  </si>
  <si>
    <t>de Dénia,la Tenencia de Rey de la de Valencia. Por jubilación del Contador de exército en Valencia D. Juan Miguel Camaño, se ha servido el Rey conferir este destino á D. Mirtin de Garay, y nombrar para reemplazar á este en igual empleo en Cataluña a D. Juan Belipe de Asaguirre , Oficial 2.0 de la Se</t>
  </si>
  <si>
    <t>Camargo, Antonio</t>
  </si>
  <si>
    <t>Antonio Camargo</t>
  </si>
  <si>
    <t>0 dias. Razón de bienes raíces propios de la capellanía fundada en la santa Iglesia de Tarazona por D. Antonio Camargo, vendibles por el tribunal eclesiástico de la misma ciudad , á cargo del Señor Vicario general Dr. D. Gregorio López de Castro y Cornidej los quales están sitos en Jes términos de</t>
  </si>
  <si>
    <t>Cambacerés</t>
  </si>
  <si>
    <t>de 70 á 72©. El Consejo de Estado ha tenido una sesión presidida por el segundo Cónsul Cambacerés. Ademas de algunos asuntos de rentas y de marina sobre que se deliberó, se trató de un proyecto de instrucción relativo á las medidas que conviene se adopten p</t>
  </si>
  <si>
    <t>. En Dijbn queda el quartel general para recibirlos &amp;c.” Igualmente, el segundo Cónsul Cambacerés asistió el 6 al Consejo de Estado; y después de dar cuenta de que Bonaparte habia salido para el exército de reserva, dixo que su ausencia será corta. Hasta su</t>
  </si>
  <si>
    <t>dia 21 se recibid el siguiente aviso telegráfico del General Moreau al segundo Cónsul Cambacerés: ,,Nada de nuevo en el exército, pero todo va bien.” El primer Cónsul ha escrito al Ministró de lo Interior una carta fecha en Martigni el 18 por la tarde, en</t>
  </si>
  <si>
    <t>roni. ,, El Consejero de Estado Petiet, destinado en el exército de reserva, al Cónsul Cambacerés. Milán 10 de Junio. El primer Cónsul me escribe hoy desde Broni en estos términos: „Ayer tuvimos una acción muy brillante. Sin ponderación han tenido los enemi</t>
  </si>
  <si>
    <t>Cambacérès</t>
  </si>
  <si>
    <t>lase su esposo algunos ratos para perfeccionar su obra. El dia 9 dio el segundo Cónsul Cambacercs una fiesta á los individuos del gobierno para celebrar el cumpleaño de la llegada del General Bonaparte, que al volver de Egipto desembarcó en Frejus el 9 de O</t>
  </si>
  <si>
    <t>Cambiazo</t>
  </si>
  <si>
    <t>specto á la capitulación de Egipto, y lo propio hacen con la de Génova----- Los ciudadanos Cambiazo, Serra y otro diputado de aquella ciudad han venido ¿ Milán á presentarse al primer Cónsul. Este los recibió con señales de aprecio Créese que pasado mañana en</t>
  </si>
  <si>
    <t>Cambier</t>
  </si>
  <si>
    <t>os á cada una.” Haya 20 de Febrero. u&gt;e ha conferido el Ministerio de Guerra al ciud. Cambier, Comisario del Directorio executivo en el departamento del Amstel. Se están completando las brigadas francesas que hay en esta República, y se aumenta la artil</t>
  </si>
  <si>
    <t>CamiJIery, Francisco</t>
  </si>
  <si>
    <t>Francisco CamiJIery</t>
  </si>
  <si>
    <t>anaderos D. Ramón Oller, graduado de Teniente, y D. Patricio Ontañon, y á los primeros Subtenientes D. Francisco CamiJIery y D. Bartolomé de la Vega; á Subtenientes de granaderos á los primeros Subtenientes D. Clemente Lanza, D. Atanasio Revuelta y D. Julián Zurita; á primeros Subtenientes á los segundos</t>
  </si>
  <si>
    <t>Camila Nazary</t>
  </si>
  <si>
    <t>a, Don Melchor Magrath y D. Joachín Calderónjr Losada, y á los Sargentos primeros D. Nicolás Petit, D. Camila Nazary y D. Pedro Spraeckmans: en el de Aragón á segundos Subtenientes al Sargento primero de granaderos D. Martin de Sierra y al Cadete D. Juan Alexo Puig: en el de América á Capitán de gra</t>
  </si>
  <si>
    <t>Campillo Ruiz, Estéban</t>
  </si>
  <si>
    <t>Estéban Campillo Ruiz</t>
  </si>
  <si>
    <t>irbuda de las Agujas, en la diócesis de Burgos, vacante por fallecimiento de D. Matías Bocanegra, á D. Estéban Campillo Ruiz; y para el Beneficio simple de la feligresía de S. Miguel de Hoya, en la diócesis de Tuy, que resulta vacante oor fallecimiento de D. Lorenzo Fernandez Cueto, á Don Gerónimo Martí</t>
  </si>
  <si>
    <t>Campo, Joseph</t>
  </si>
  <si>
    <t>Joseph Campo</t>
  </si>
  <si>
    <t>os segundos D. Carlos Vinuesa, D. Juan Luzuriaga, L&gt;. Casimiro Bastarrachea , D. Fernando Aívarez , D. Joseph Campo y D. Agustín Otermin, y á segundos Subtenientes al Sargento primero de granaderos D. Gavino Martínez, y á los Cadetes D. Vicente Garrido y D. Manuel Esquer: en el de granaderos Volunt</t>
  </si>
  <si>
    <t>Campo, Pedro</t>
  </si>
  <si>
    <t>Pedro Campo</t>
  </si>
  <si>
    <t>ura Valladáres, Alférez del regimiento de Pavía, á los Sargentos primeros de Sagunto y Villaviciosa D. Pedro Campo y D. Millan Bustos, y á D. Pedro Vidaurre, Teniente de las milicias del antiguo pie de dicho Reyno. Asimismo ha conferido S. M. la Comandancia del batallón de milicias de pardos de Ca</t>
  </si>
  <si>
    <t>Campuzano y Marentes, Joachín</t>
  </si>
  <si>
    <t>Joachín Campuzano y Marentes</t>
  </si>
  <si>
    <t>liar D. Manuel Alvarez, los alumnos de primer año del quinto curso matemático D. Francisco Prendes, D. Joachín Campuzano y Marentes, D. Manuel García y Muñiz, D. Nicolás Carreño y D. Domingo González. 2.0 En dichos estudios y en geometría, trigonometría plana y esférica y logaritmos, baxo la dirección del auxi</t>
  </si>
  <si>
    <t>Campuzano, Joachín</t>
  </si>
  <si>
    <t>Joachín Campuzano</t>
  </si>
  <si>
    <t>ofesor de humanidades, en la versión de lengua inglesa Don Luis Mornard, y en la de lengua francesa D. Joachin Campuzano, D. Andrés Menendez Sala, D. Manuel Osorio, D. Agustín Fernandez y D. Juan Alonso Viado. 8.° Estuvieron expuestas ai público todas las muestras que, baxo la dirección del profesor</t>
  </si>
  <si>
    <t>Camús</t>
  </si>
  <si>
    <t>ton. Otros individuos leyeron algunas composiciones eruditas y literarias; y el ciud. Camús el anuncio de un premio sobre las leyes y reglamentos relativos á entierros' y sepulturas. El gobierno francés regaló la Flora-Atlántica al Sr. Cavanilles, natur</t>
  </si>
  <si>
    <t>Canciller de Irlanda, Lord</t>
  </si>
  <si>
    <t>Lord Canciller de Irlanda</t>
  </si>
  <si>
    <t>rina, arroz y otros granos sacados é introducidos anualmente en el Beyno desdé al año de 1794.__ El Lord Canciller de Irlanda ha intimado á los estudiantes de la universidad de Dublin, que no traten ni hablen de la unión legislativa, sopeña de ser echados de los estudios; pero en los Condados de Louth ,</t>
  </si>
  <si>
    <t>Canciller, Lord</t>
  </si>
  <si>
    <t>Lord Canciller</t>
  </si>
  <si>
    <t>ombatientes, contando las tropas de Baviera y Wurtemberg. Dublin 16 de Mayo. E 1 dia 11 presentó el Lord Canciller á la Cámara alta un mensage del Virey, en que decia que S.M. le mandaba comunicase á este Parlamento las resoluciones del de Inglaterra relativas á la unión legislativa de los dos</t>
  </si>
  <si>
    <t>Holland , y se desechó. — La Cámara suspendió sus sesiones hasta el dia 17; y en aquella se sión el Lord Canciller anunció haber S. M. resuelto que los vocales del Parlamento de Inglaterra representen en sus respectivas Cámaras á ia Gran Bretaña eit el Parlamento unido quando se convoque. . En</t>
  </si>
  <si>
    <t>Canclaux, General</t>
  </si>
  <si>
    <t>General Canclaux</t>
  </si>
  <si>
    <t>ar Bruñe el mando del exército de reserva, dispuso que algunas de sus tropas marchasen á Italia. El General Canclaux queda mandando interinamente dicho exercito de reserva. Hállase de vuelta en esta ciudad el Ayudante de campo Duroc. Se ha publicado un reglamento de los Cónsules, que consta de 4</t>
  </si>
  <si>
    <t>Cándido María Trigueros</t>
  </si>
  <si>
    <t>da quaderno sin iluminar, y á oo los iluminados. Sancho Ortiz de las Roelas, tragedia arreglada por D. Cándido María Trigueros , Bibliotecario de los Reales estudios.' Se hallará en las librerías de Sancha, calle del Lobo; de Quiroga, calle de la Concepción Gerónima; de Castillo, fren*, te á las gradas de</t>
  </si>
  <si>
    <t>l, comenzada por Miguel de Cervantes Saavedra , compendiada, continuada y últimamente concluida por D. Cándido María Trigueros : 4 tomos en 8.° Se hallará en el despacho de Ja imprenta Real á 34 rs. en pasta : hay también exemplares enquadernados en dos tomos á 30 rs. En el almacén de la misma imprenta, c</t>
  </si>
  <si>
    <t>Candioti, Antonio Gerónimo</t>
  </si>
  <si>
    <t>Antonio Gerónimo Candioti</t>
  </si>
  <si>
    <t>, del patronato de D. Christóbal de Barrios, en 109,118. Ot^a ctlle de-Sopratiis, del patronato de D. Antonio Gerónimo Candioti , en 342,1^0, Otra calle de la Rata , de id. en 180,476. Otra id. en 162,140. Otra calle dejflj, JRasa , de id. en 170,746. Otra callejón de los Desamparados , de id. en ® 16^4..O</t>
  </si>
  <si>
    <t>Cañedo, Ramón</t>
  </si>
  <si>
    <t>Ramón Cañedo</t>
  </si>
  <si>
    <t>Españótas. se rha servido el Rey promover á Alféreces de granaderos y cazadores á los dé fusileros D. Ramón Cañedo y D. Henrique Zidoaga. En . el de infantería inmemorial del Rey á Subteniente de granaderos .al primer Subteniertte D. Antonio Anguita : en el de lá Corona á segundo Subteniente al Ca</t>
  </si>
  <si>
    <t>Cano Henriquez, Joseph María</t>
  </si>
  <si>
    <t>Joseph María Cano Henriquez</t>
  </si>
  <si>
    <t>la Inspección general de milicias al Sargento mayor agregado ai regimiento provincial de Salamanca D. Joseph María Cano Henriquez; y ha concedido grados de Capitán de milicias provinciales á D. V icente Durango, Oficial de la Fmbaxada en París, y á D. Rafael de Urquijo, agregado á la misma , y el de Teniente</t>
  </si>
  <si>
    <t>Canseco, Juan</t>
  </si>
  <si>
    <t>Juan Canseco</t>
  </si>
  <si>
    <t>teniente de granaderos al de fusileros D. Félix Truxjilo, y á Subteniente de compañía al de bandera D. Juan Canseco. v</t>
  </si>
  <si>
    <t>Cansy, Juan</t>
  </si>
  <si>
    <t>Juan Cansy</t>
  </si>
  <si>
    <t>sco Peralta: en el primer batallón de infantería ligera de Cataluña á primer Subteniente al segundo D. Juan Cansy , y á esta resulta al Sargento primero D. Antonio Farre; á primer Subteniente en el segundo batallón de Cataluña al segundo D. Gerónimo Miró: en el regimiento de infantería de Náp</t>
  </si>
  <si>
    <t>Cantero, Joseph</t>
  </si>
  <si>
    <t>Joseph Cantero</t>
  </si>
  <si>
    <t>, de ig de Setiembre último, núm. 134,480, endosado por D. Francisco Antonio Portillo á Ja orden de D. Joseph Cantero , Tesorero principal de la provincia de Cuenca. Quien Je hubiere hallado lo devolverá al Sr. Cantero , en Cuenca , ó al referido Portillo, en la expresada villa de Minglanilla. En</t>
  </si>
  <si>
    <t>Cantero, Manuel</t>
  </si>
  <si>
    <t>Manuel Cantero</t>
  </si>
  <si>
    <t>ríguez, Manuel Teso y Joachin Candenas, dándose el accésit á Juan de Sahagun Almaraz: en la segunda D. Manuel Cantero, Benito de la Rúa y Joachin García Carbonero, y el accésit Juan Joseph Pastor; y en la tercera Vicente Parayuelo, Juan Martínez y Juan Sánchez Delgado, y el accésit Cecilio Ayllon</t>
  </si>
  <si>
    <t>Cantón, Tomás</t>
  </si>
  <si>
    <t>Tomás Cantón</t>
  </si>
  <si>
    <t>oy, D. Carlos Stonor, Don Felipe Ancora y D. Benito Albiny; y á segundos Subtenientes á los Cadetes D. Tomas Cantón, D. Guillermo Lyons, D. Andrés Aguado y Oquendo y D. Joseph Alvarez, este del de Soria, y al Sargento primero de granaderos D. Agustin Poncerot: en el de TJltonia á Capitán al pri</t>
  </si>
  <si>
    <t>Capacete, Fernando</t>
  </si>
  <si>
    <t>Fernando Capacete</t>
  </si>
  <si>
    <t>ñoz y* IX- Tomas Verdes de la Vega ; y segundas Subtenencias a los Sargentos primeros de granaderos D. Fernando Capacete y D. Joseph López» y á los Cadetes D. Joseph García y D. Francisco López del regimiento de’ Granada, y D, Fernando Iraola del de Extremadura* En el de la Corona ha promovido S. M, ¿ s</t>
  </si>
  <si>
    <t>Capaz Renden, Dionisio</t>
  </si>
  <si>
    <t>Dionisio Capaz Renden</t>
  </si>
  <si>
    <t>és, D. Juan de Vedia y González, D. Joseph de Rezustay Goicoechea, D. Pascual del Cañizo y Pareja , D. Dionisio Capaz Renden , D. Christóbal de Torres y Venegas , D. Manuel de Cárdenas y Osorio, D. Manuel Diqz y Martínez, D. Joachín de Irías y Atolla y Don Juan: González ÍVmrio y Tamariz. ■■ . , c ín co</t>
  </si>
  <si>
    <t>Capdevila, Pablo</t>
  </si>
  <si>
    <t>Pablo Capdevila</t>
  </si>
  <si>
    <t>qual lo hizo reconocer por el Catedrático de anatomía de aquel Real colegio de la facultad reunida D. Pablo Capdevila, y con su*certificación en que describe mas circunstanciadamente todas las rarezas del citado fenómeno, lo ha dirigido en el modo correspondiente al Exc. Sr. D. Mariano Luis de Ur</t>
  </si>
  <si>
    <t>Capmany, Antonio</t>
  </si>
  <si>
    <t>Antonio Capmany</t>
  </si>
  <si>
    <t>iqüclmc; y el tercero, que fue un juego del Teatro histórico-crítico de la eloqtiencia española, de D. Antonio Capmany, á D. Vicente Sanz. Ademas ofreció uno de los concurrentes, cuya modestia no permite se nombre, otro premio extraordinario compuesto de un exemplar de la Historia-de Mariana, de l</t>
  </si>
  <si>
    <t>Capón y López, Blas</t>
  </si>
  <si>
    <t>Blas Capón y López</t>
  </si>
  <si>
    <t>ño. Quien los baya encontrado los entregará á D. Ignacio Gazul portero mayor de la biblioteca Real. D. Blas Capón y López, natural del lugar de Escoureda , obispado de Lugo, dexó en la ultima disposición baxo de que ha fallecido en esta corte , legados io@ rs. para sus gentes, é ignorándose quien sea</t>
  </si>
  <si>
    <t>Car, Manuel Ángel</t>
  </si>
  <si>
    <t>Manuel Ángel Car</t>
  </si>
  <si>
    <t>as de obras pías fundadas en pueblos de la Intenden cía de Madrid, para cuya venta está comisionado D. Manuel Angel Car‘ rancio. Villa de Escariche. Animas: una tierra en el Chorrillo, de 6 fanegas, tasada en 240 rs. Otra camino de Yebra, de 6 fan. en 200. Otra en los Poiancares, de to fon. y 6 cel</t>
  </si>
  <si>
    <t>Caravaca, Manuel</t>
  </si>
  <si>
    <t>Manuel Caravaca</t>
  </si>
  <si>
    <t>del Pino: Sub- ■ teniente en la compañía de infantería fifca. de Estepon.i al Sargento de la misma D, Manuel Caravaca; y Subteniente de la de fusileros guarda-bosques Reales al Sargento primero de ella D. Manuel Basora, S. M. á consulta del Consejo se ha servido conceder a la villa de CastriV lio</t>
  </si>
  <si>
    <t>Carballo y Banguemert, Joseph</t>
  </si>
  <si>
    <t>Joseph Carballo y Banguemert</t>
  </si>
  <si>
    <t>h Díaz de Espada. Igualmente ha nombrado S. M. para la dignidad de Dean de la catedral de Caracas á D. Joseph Carballo y Banguemert: para el Arcedianato, que este dexa, al Chantre D. Pedro Miguel Martínez: para la Chantría al Tesorero D. Antonio Patricio de Alcalá: para la Maestrescolía al Canónigo Magistral D</t>
  </si>
  <si>
    <t>Carbonel, Andrés</t>
  </si>
  <si>
    <t>Andrés Carbonel</t>
  </si>
  <si>
    <t>Teniente Coronel D. Juan Casquero/primer Teniente ; á Capitán eñ-el de Alcántara al primer Teniente D. Andrés Carbonel; á Portaestandarte en el de España al Cadete D, Andrés Nieto; á Alférez en el de Calatrava al Portaestandarte D. Ramón Franch; á primer Teniente en el de Santiago al segundo D. Ma</t>
  </si>
  <si>
    <t>Carbonel, Juan Francisco</t>
  </si>
  <si>
    <t>Juan Francisco Carbonel</t>
  </si>
  <si>
    <t>l primer Teniente D. Juan de Cárdenas; y segundo Teniente en el de Voluntarios de España al Alférez D. Juan Francisco Carbonel. . Asimismo ha tenido S. M, á bien promover en el regimiento de dragones de Lusrtania á Teniente al Alférez D. Joseph Trigoso; y á Alférez al Cadete D. Rafael Otondo. Con fecha de</t>
  </si>
  <si>
    <t>Carbonero, Ramón</t>
  </si>
  <si>
    <t>Ramón Carbonero</t>
  </si>
  <si>
    <t>o Teniente al Subteniente de tiradores D. Pedro López; y á Subteniente de tiradores al de cazadores D. Ramón Carbonero. . ' En el de-caballería de Algarbe se ha servido S. M. promover también á Capitán al Ayudante D. Nicanor Ricaud: en el de Cahitrava á segundo Teniente al Alférez D. Antonio Arroy</t>
  </si>
  <si>
    <t>Cardaveras, Francisco</t>
  </si>
  <si>
    <t>Francisco Cardaveras</t>
  </si>
  <si>
    <t>hagiie, JD. Bernardo Joachín Gainza, D. Francisco Xavier Larreandi, D. Francisco Ignacio Iturzaeta, D. Francisco Cardaveras, D. Ignacio Larrañaga, y D. Miguel Juan de Barcaiztegui; los primeros Tenientes D. Joseph Xavier de Lozano, D. Joseph Ramón de Zavala, D. Pedro Joseph de Baldenain y D. Juan Josep</t>
  </si>
  <si>
    <t>Cardón, Juan Joseph</t>
  </si>
  <si>
    <t>Juan Joseph Cardón</t>
  </si>
  <si>
    <t>ni ser concejantes. A los individuos de Ayuntamiento que acordaron el acta y diputación, el Regidor D. Juan Joseph Cardón, el Jurado D. Joseph Antonio Lozano, y el Síndico: Procurador general D. Sebastian de Urrutia; los dos primeros que nunca puedan tener empleos de A juntamiento, ni ser concejantes</t>
  </si>
  <si>
    <t>Cardoso, Antonio</t>
  </si>
  <si>
    <t>Antonio Cardoso</t>
  </si>
  <si>
    <t>D. Gerónimo Miró: en el regimiento de infantería de Nápoles á Capitán de granaderos al de fusileros D. Antonio Cardoso; á Capitán de fusileros ai primer Teniente de granaderos D. Mariano Bianconi ; á este empleo al primer Teniente de fusileros D. Marcos Lambert, y á su resulta aí segundo Teniente</t>
  </si>
  <si>
    <t>Cários, Archiduque</t>
  </si>
  <si>
    <t>Archiduque Cários</t>
  </si>
  <si>
    <t>s Príncipes y Estados de Suabia, debe hallarse el iq de Enero en los parages que señale S. A. R. el Archiduque Cários , un cuerpo de10,800 hombres de infantería en esta forma: un batallón de granaderos de 8 compañías de á 100 hombres; y 8 batallones de fusileros, compuesto cada uno de 5 compañías</t>
  </si>
  <si>
    <t>al Kray dexará el m indo del exército, se retirará con 20© florines de pensión, y le reemplazará el Archiduque Cários, el qual durante su camino de Bohemia á Ulm revistará los batallones y refuerzos que se adelantan hácia el Danubio. También se dice que el Archiduque Palatino de Hungría va á toma</t>
  </si>
  <si>
    <t>Carisford, Lord</t>
  </si>
  <si>
    <t>Lord Carisford</t>
  </si>
  <si>
    <t>el Lord Holland, sobrino de Mr. Fox: va á Berlín, y de allí pasará á Italia. También ha llegado el Lord Carisford, nuevo Ministro ingles cerca del Rey de Prusia, que dicen viene especialmente encargado de tratar con aquel Soberano sobre la proyectada neutralidad del Norte.,, á fin de impedir</t>
  </si>
  <si>
    <t>en concluido entre aquella y esta corte. El Ministro ruso residente aquí dio una espléndida cena al Lord Carisford la noche del mismo dia que este Enviado extraordinario ingles fue presentado á S. M. \ Francfort rp de Agosto. D e Viena escriben que si prosigue la guerra, el Emperador mandará él e</t>
  </si>
  <si>
    <t>Cárlbs, Archiduque</t>
  </si>
  <si>
    <t>Archiduque Cárlbs</t>
  </si>
  <si>
    <t>aro-palatinas reunidas en los contornos de Amberg se retiran á Weldem, noléjos de Bohemia; y que el Archiduque Cárlbs ha llegado á Schwandorff, de donde/se trasladará al quartel general Austríaco de Weis para concertar las operaciones militares con el Archiduque Juan. Francfort 2$ de Noviembre, T</t>
  </si>
  <si>
    <t>Cárlos Andrés</t>
  </si>
  <si>
    <t>, calle del Lcbo. Quatro cartas escritas en el año de 1799 por el Abate D. Juan Andrés á su hermano D. Cárlos Andrés, dándole razón de varias noticias literarias. Véndese con las anteriores en la misma librería de Sancha. Colección de las guerras de Federico 11 en a&lt;5 planos, que «omprehenden la</t>
  </si>
  <si>
    <t>Carlos Joachín</t>
  </si>
  <si>
    <t>y se ha dignado conferir el empleo de Contador Ordenador del tribunal uvyor.de Cuentas de Sta. Fe á D. Carlos Joachin.de Urizarry: el de Tesorero Oficial Real de las Caxas de Mérida de Yucatán al honora rio y Oficial mayor de las mismas Reales Caxas f). Policarpo Antonio de Jíchanove, por jubilac</t>
  </si>
  <si>
    <t>Carlos Luis</t>
  </si>
  <si>
    <t>Madrid 23 de Diciembre. A yer se vistió la corte.de gala con motivo del cumpleaños del Sr. Infante D. Carlos Luis,. El Rey se ha servido dirigir á la Cámara el Real decreto del tenor siguiente c „El que los tribunales de mi Reyno llenen los objetos para que fueron establecidos ha sido siempre</t>
  </si>
  <si>
    <t>Carlos María</t>
  </si>
  <si>
    <t>re con los festejos propios de su instituto los dias del Rey Ntro. Sr. y del Serenísimo Sr. Infante D. Carlos María, ha determinado en este año, atendiendo á la epidemia que se padece en la Andalucía baxa, suspender los regocijos públicos, é implorar la divina piedad por medio de una misa solem</t>
  </si>
  <si>
    <t>Carlos, Archiduque</t>
  </si>
  <si>
    <t>Archiduque Carlos</t>
  </si>
  <si>
    <t>14 millones de libras para prestar- ' los á la República de Francia. Ratisbona 21 de Noviembre. E í Archiduque Carlos ha instado á la Dieta para que acelere él cumplimiento de lo ^ispúesto en orden á que los Príncipes y Estados del Imperio apronten el:quíiituplq contingente, supuesto que hasta ah</t>
  </si>
  <si>
    <t>vos repuestos de municiones y mucha artillería. Ya no se habla del ajuste de un armisticio entre el Archiduque Carlos y el General Massena. París 8 de Diciembre. L os rehenes de Toscana y Lúea, que están en Dijon, han escrito al Cónsul Buonaparte solicitando permiso para restituirse á su patria. Se h</t>
  </si>
  <si>
    <t>carse ¿.inmediatamente por los Generales en xefe de losiexéreitos francés y austríaco.”; • : . n El Archiduque Carlos, que no tuvo.por conveniente ratificar este atr misticio, mandó atacar á los'franceses en el Galgemberg cerca de Manheim. El General Baraguey d’Hilüers tomó providencias que fuéro</t>
  </si>
  <si>
    <t>, algunas de ellas por sumas muy quantiosas. ¡ .r Ratisbona 8 de Diciembre. E n una proclama que el Archiduque Carlos acaba de dirigir á los estados?</t>
  </si>
  <si>
    <t>43 J / Francfort 14 de Diciembre. C 011 fecha de 28 del mes último escribió el Archiduque Carlos al General francés del exército del Rhin quejándose de que en una de las últimas acciones militares algunos paisanos maguntinós armados en defensa de la patria, y que se habian en</t>
  </si>
  <si>
    <t>Cárlos, Archiduque</t>
  </si>
  <si>
    <t>Archiduque Cárlos</t>
  </si>
  <si>
    <t>enerales para resolver difinitivamente el plan de la campaña próxima. Asistirán á dicha asamblea el Archiduque Cárlos y el Conde Suwarow; y quizá resultará de ello la reconciliación de ambos Generales, cuyas desavenencias no han dexado de perjudicar á los intereses de la colicion. Entre tanto dan por</t>
  </si>
  <si>
    <t>a todas las austríacas entre el Necker y el Mein, las quales forman el ala derecha del exército del Archiduque Cárlos: y á fin de estar en el centro de ellas, ha sentado Mr. Starray su quartel en Heidelberga. Su vanguardia ocupa el distrito entre Wisloch y Lorsch al mando del Príncipe de Hohenloh</t>
  </si>
  <si>
    <t>los que sirvieron ya baxo las ordenes del Barón de Albini. Ha conferido el Emperador de Alemania al Archiduque Carlos el título de Generalísimo de sus ejércitos. Bareuih 6 de. Enero. L as esperanzas de paz que se habían concebido, empiezan á desvanecerse, pues aunque aseguran que se entablaron nego</t>
  </si>
  <si>
    <t>en todos los obispados de su Imperio. Augsburgo 7 de Enero. &lt; A Igunos regimientos del exército del Archiduque Carlos se han puesto en marcha para reforzar el de Italia, el qual se aumentará mucho, según</t>
  </si>
  <si>
    <t>efugiados en Holanda formarán parte de la legión referida, componiendo por sí solos un batallón. El Archiduque Carlos ha prohibido la comunicación que había hastfc sdiora entre las 2 riberas del Rhin por Maguncia y Francfort. Y como es</t>
  </si>
  <si>
    <t>parece le conferirá S. M. Imp. la comandancia de esta capital. Selingenstadt 2 de Enero. A caba el Archiduque Carlos de enviar al Barón de Albini orden de que disponga con la posible prontitud el armamento de paisanos maguntincs y otros, del qual está encargado. Este cuerpo se adelantará juntamente c</t>
  </si>
  <si>
    <t>la por donde se haga la introducción.” St ras burgo 22 de Enero. D&lt; fe resultas de haber cortado el Archiduque Carlos la comunicación entre Francfort y Maguncia, faltan muchos correos de la primera de dichas ciudades, y por consiguiente carecemos de noticias de lo interior de Alemania. Según avisos</t>
  </si>
  <si>
    <t>obrar ofensivamente si llegare el caso. Ratisbona ij de Enero. E 1 Emperador de Rusia ha escrito al Archiduque Carlos una carta sumamente lisonjera, en que le asegura que el exército ruso obrará con la mayor energía en todas las operaciones de la campaña inmediata. Acaban varios Estados del Imper</t>
  </si>
  <si>
    <t>10 se celebró aquí un Consejo de estado y de guerra , en el quaí, según parece, se resolvió que el Archiduque Cárlos mandará la campaña próxima .etfltáüa, y tendrá baxo: sus órdenes á los Generales Me las y Kray. El 'General Starray mandará otro cuerpo por el Rhin hácia Huninga, el qual estará d</t>
  </si>
  <si>
    <t>constar dicho exército de Italia siguen marchando muchos cuerpos de los que están en el Tirol; y el Archiduque Carlos llevará consigo 20® hombres de los que se hallan ahora baxo sus órdenes. Berlín jB de Enero. E ntre las muchas conjeturas que se han hecho sobre el encargo ó comisión política que</t>
  </si>
  <si>
    <t>us hogares pata librarse de ellos. Francfort 26 de Enero. E 1 Magistrado de Francfort ha escrito al Archiduque Carlos y al General Starray pidiendo se restablezca- la comunicación entre esta ciudad y Maguncia ? pero hast'a ahora no ha podido conseguirlo. A los movimientos que hace el exército franc</t>
  </si>
  <si>
    <t>Francfort. Sin embargo no queda libre para los efectos militares, cuya exportación ha prohibido el Archiduque Carlos. Se siguen recibiendo noticias de los continuos disturbios que hay en Bohemia entre las tropas rusas y la gente del pais. A veces llegan á las manos, y en una de estas ocasiones p</t>
  </si>
  <si>
    <t>ante que siguen abasteciéndose los almacenes que tienen en Ochsenfurt, Mergentheim y Ileilbronn. El Archiduque Carlos ha reunido todas sus fuerzas á orillas del Mein, y de resultas queda desguarnecida de tropas la Suabia y el país de los Grisones. En las cercanías del lago de Constanza hay apenas</t>
  </si>
  <si>
    <t>o del Rhin destinado á hacer frente al ala izquierda de los franceses: que obrará independiente del Archiduque Carlos; y que este Príncipe mandará el cuerpo que debe oponerse al que los franceses tienen en Suiza. Cada dia se publica una noticia distinta sobre la marcha de los rusos. Ayer se daba</t>
  </si>
  <si>
    <t>no. Ya no se habla de la orden que se.dixo había tenido dicho General para venir hacia el Rh in; el Archiduque Carlos ha publicado de oficio en su quartel gene ral de Donaueschingeivla noticia de que los moscovitas se retiran á su patria: finalmente, no se ha revocado la orden dada á los oficiale</t>
  </si>
  <si>
    <t>icia de su marcha hacia ci Rhin no se ha confirmado.” Varios avisos de Alemania contestan en que el Archiduque Carlos re</t>
  </si>
  <si>
    <t>del R hin-Superior, que será mucho mas crecido, queda por ahora, según parece, baxo las órdenes del Archiduque Carlos. De algunos dias á esta parte han aumentado considerablemente los austríacos las tropas que tienen á orillas del Nidda y del Mein. Ademas se sabe que las guarniciones de Viena, Ol</t>
  </si>
  <si>
    <t>uerra. Las cartas de Stutgard añaden que el Conde de Colíoredo, que llegó á Viena despachado por el Archiduque Cárlos con las proposiciones del gobierna francés que el General Moreau envió á dicho Príncipe, se espera quantb antes de vuelta en el quartel general de Donaueschingen con la respuesta</t>
  </si>
  <si>
    <t>l gobierno francés, que ni siquiera responderá á las cartas que Bonaparte le envió por conducto del Archiduque Carlos. El 4 de este mes murió aquí á los 85 años de edad la Condesa de Bentinck, hija del Conde de Aldemburgó, una de las mugeres de mas entendimiento é instrucción de este siglo. Sabia</t>
  </si>
  <si>
    <t>tonados entre el lago de Constanza y Schatfhusa á las ordenes de los Generales Kospoth y Sporck. El Archiduque Carlos se halla en Donaueschingen, que es el punto medio de la línea militar- El General Nauendorf manda el centro, el qual se extiende hacia Basilea. No léjos de allí se halla el cuerpo</t>
  </si>
  <si>
    <t>nto. El ciud. Duroc, primer Ayudante de Bonaparte, ha estado algunos dias en el quartel general del Archiduque Carlos, en el qual fue muy bien recibido. Volv ió aquí, y dio cuenta del objeto de su encargo al General Mofea u. Desde entonces se han acreditado las voces de paz. Como se han desechado</t>
  </si>
  <si>
    <t>ad que el General Kray mandará en xefe el exército del Rhin hasta que se restablezca enteramente el Archiduque Cárlos, quien, según las mismas gazetas, no tardará en restituirse á esta capital. Si el cuerpo de Conde queda al sueldo de la Gran Bretaña, como se da por cierto, obrará durante esta ca</t>
  </si>
  <si>
    <t>ia y de la Polonia prusiana. Suponen las gazetas austríacas que el exército imperial mandado por el Archiduque Cárlos se compone de 100© hombres de tropas del Emperador* inclusos 28® de caballería, 25® hombres de tropas de línea electorales, f de 15 á 16® de milicias del cuerpo germánico. A solic</t>
  </si>
  <si>
    <t>os 3 regimientos dé emigrados suizos y el cuerpo de Conde. Stntgard 27 de Febrero. A seguran que el Archiduque Carlos había resuelto dexar él exército é ir á Praga, en donde todo estaba dispuesto para recibirle; pero que así los regimientos como los pueblos en cuyo distrito se halla el exército,</t>
  </si>
  <si>
    <t>embarco. Berna 27 de Febrero. L a junta de comercio recien establecida ha enviado una diputación al Archiduque Cárlos, pidiéndole conceda ai comercio de Suiza las mismas franquicias que acaba de concederle el General Moreau y el gobierno francés. Se ha establecido en Berna una escuela militar. Lo</t>
  </si>
  <si>
    <t>sabe que las últimas proposiciones de paz del gobierno francés se enviaron por el General Moreau al Archiduque Carlos, y este las remitió á Viena por un General de quien hace la mayor confianza. lía tomado la Gran Bretaña á su sueldo por 3 años los 3 regimientos suizos contrarevolucionarios. En l</t>
  </si>
  <si>
    <t>neral dar pasaportes á unos diputados del vecindario ile Basilca, que solicitaban ir al quartel del Archiduque Carlos para pedirle facultad de extraer é introducir recíprocamente frutos entre Alemania y Suiza. i: s trepas francesas prodiguen marchando de lo interior de esta República. hacia el Rh</t>
  </si>
  <si>
    <t>r los franceses en la izquierda del Rhin; y que ademas pide la Bélgica para formar un patrimonio al Archiduque Carlos. Desde la embocadura del Escalda occidental hasta cerca de Dunkerque , se forma un cordon de puestos militares muy inmediatos unos á otros. En el centro habrá un cuerpo crecido de</t>
  </si>
  <si>
    <t>er: pues 2 batallones de granaderos Walones irán á incorporarse con sus banderas en el exército del Archiduque Carlos. . El General Melas saldrá de Turln el dia 28 con su quartel general. Parece que se dirige á Acqui. Todas aquellas tropas han sido revistadas, y están prontas á obrar___ Llegan de</t>
  </si>
  <si>
    <t>sublime Puerta sobre el modo de tratar con el mencionado General francés. Espérase en breve aquí al Archiduque Cárlos.; y vuelve á hablarse de que el Archiduque Juan su hermano mandará el exército del Rhin, y no tardará en transferirse al quartel general de Donaueschingen.—■_ Hoy sale de esta cap</t>
  </si>
  <si>
    <t>años de edad. 1.Francfort 15 de Marzo. os accidentes de epilepsia, que hace mucho tiempo padece el Archiduque Carlos, son ya tan freqüentes que le impiden dedicarse á quanto exige alguna aplicación. Léese en varias gazetas de Alemania que las cortes de'Berlín y Petersbtirgo han convenido en Jas</t>
  </si>
  <si>
    <t>ejército austríaco. Se asegura que las tropas están disgustadas desde quq saben que el Archiduque Carlos se retira. El dia 9 recibió el Príncipe de Conde orden de restituirse á Volhinia. Los enfermos y heridos de su cuerpo que hay en el hospital de Augsburgo irán en carros á TJlm , y</t>
  </si>
  <si>
    <t>Inglaterra, quedarán satisfechas de esta capitulación. Augsburgo 21 de Marzo. H&lt; .0y llegó aquí el Archiduque Cárlos, y saldrá mañana para Munich. Vuelve á asegurarse que entre las Cortes de Petersburgo , Londres, Nápoles y Lisboa se ha firmado un convenio, en virtud del qual la isla de Malta se</t>
  </si>
  <si>
    <t>ndo únicamente á los vasallos prusianos. Augs burgo 25 de Marzo. E, 23 á las 5 de la tarde llegó el Archiduque Cárlos á Munich, de donde salió para V iena el 24 por la mañana. Antes de ausentarse del exército dio S. A. gratificaciones muy quantiosas á las tropas. Un extraordinario ha traído la no</t>
  </si>
  <si>
    <t>cepto los que no puedan transportarse á causa de la gravedad de sus enfermedades. Los equipages del Archiduque Carlos, que marchaban á Praga, se han detenido en Baviera; y añaden que quizá volverá dicho Príncipe á encargarse del mando del exército así que se lo permita su salud. El Sr. Bouligni,</t>
  </si>
  <si>
    <t>reductos y atrincheramientos en la misma provincia. Viena 6 de Abril. S e advierte que lá salud del Archiduque Carlos no está tan deteriorada como se había dicho. Sin embargo, ha habido consulta de médicos, y parece han declarado que su mal procede de lombrices. El dia 4 salió ae aquí este Prínci</t>
  </si>
  <si>
    <t>armas imperiales durante esta campana. ,Praga 6" de Abril’. H oy mismo se espera en esta ciudad al Archiduque Carlos. Su Ayudante general, el Conde Delmotte, llegó ántes de ayer. Berlín 4 de Abril. L a Princesa Federica Augusta, hija del Rey, que nació el dia 14 de Octubre del año último, ha mue</t>
  </si>
  <si>
    <t>junta ó comisión imperial ha sabido la Dieta de Ratisbona que el General Kray no ha reemplazado al Archiduque Cárlos en el mando del exército sino interina y momentáneamente. No tardará el quartel general austríaco en salir de Donaueschingen para trasladarse , según se dice, á Friburgo. Varios cue</t>
  </si>
  <si>
    <t>27 de mayo de 1800</t>
  </si>
  <si>
    <t>a del Emperador su amo y de los Ministros, y sus poderes son mucho mas amplios que Jos que tenia el Archiduque Carlos. Por disposición de este Príncipe se imprimía en el quartel general una especie de gazeta militar, en que se publicaban de oficio Iosacontecimientos de la guerra. El General Kray</t>
  </si>
  <si>
    <t>egó aquel fuerte á los franceses. Francfort 8 de Mayo. S e ha esparcido estos dias la voz de que el Archiduque Carlos vuelve á mandar el exército austríaco y del Imperio á orillas del Rhin, y que MrKray irá á ponerse al frente del de Italia en lugar del General Metas, que por su edad y sus achaqü</t>
  </si>
  <si>
    <t>n subido algo aquí estos dias los fondos públicos, lo qual se atribuye á ciertos rumores ae paz. El Archiduque Carlos ha mandado comprar en esta ciudad varias letras de cambio , y las ha enviado al General Kray, para que cobrando su importe lo invierta en recompensar á los militares de su exércit</t>
  </si>
  <si>
    <t>a ha salido de Mitaw para las aguas de Pirmont. Augs burgo 26 de Mayo. H a regalado el Emperador al Archiduque Carlos, su hermano, el señorío de Bardewitz. , La mayor parte de los Príncipes, Condes y Prelados del Círculo de Suabia se han ausentado de aquel país: algunos van á Francia, y otros á v</t>
  </si>
  <si>
    <t>unio. e han embarcado en el Danubio casi todos los hospitales que había aquí. Aunque se dice que el Archiduque Cárlos volverá á mandar el exérci</t>
  </si>
  <si>
    <t>az que el Austria se; propone ajustar con Francia. ,Francfort 2 £ de Junio. D e Praga avisan que el Archiduque Carlos padece sumamente de su enfermedad de nervios. Sin embargo,nefiieren algunas gazetas que este PrínciIe ha recibido por extraordinario uan carta del Emperador su hermano, que e pide</t>
  </si>
  <si>
    <t>Príncipes de Alemania. Nuretnberg 2(7 de Junio. E [Príncipe de Schwarzenberg, Ayudante general del Archiduque Cárlos, pasó el dia 13 por Lichstadt; y poco después una parte de los equipages del Archiduque transitó por la misma ciudad dirigiéndose á Ulm. Añaden que no tardará S. A. R. en transfer</t>
  </si>
  <si>
    <t>e. este importante objeto adonde convenga luego que las circunstancias lo exijan. Se asegura que el Archiduque Carlos no tardará en venir de Praga aquív E! 23 llegó un correo con pliegos del General Melas, que los. envió desde Asti á .Eerrara-r ydde ¡allí se despacharon á esta corte por extraordi</t>
  </si>
  <si>
    <t>rza en persuadir al Emperador se sepáre de la alianza de Inglaterra, y haga paz een Francia. • » El Archiduque Carlos persiste en su resolución de no mandar cbevórcB* to de Alemania ; pero ha consentido enf arreglar el de reserva. El Gene-* r.al Staray ha -hecho dimisión de su maiido; y Mr.. Kray</t>
  </si>
  <si>
    <t>urgo 12 de Agosto. E 1 Coronel ingles Roberto Crawford, que el año último estuvo en el exército del Archiduque Carlos en calidad de comisario británico, llegó de Inglaterra á Altona el dia 4 con su esposa. De Copenhague escriben que así el ministerio como todos aquellos habitantes se han indignado</t>
  </si>
  <si>
    <t>sto. D e Viena escriben que si prosigue la guerra, el Emperador mandará él exército de Italia, y el Archiduque Carlos el de Alemania. Los cambistas Fries de Viena tuvieron orden de Londres para pagar al ministerio austríaco 20 millones de florines; pero se asegura que el Emperador no quiere recibir</t>
  </si>
  <si>
    <t>el 13 salió S. M. Imperial para Pasau á dar principio á la revista del cordon de sú exército___ El Archiduque Carlos hubiera ido á Welz para conferenciar con el Emperador su hermano, á no ser una indisposición que le impidió ponerse en camino. La gazeta de Bamberg desmiente la noticia que public</t>
  </si>
  <si>
    <t>el Lord Nelson y el Conde de Hamilton desde Viena. Pasáron por Praga, y se dice que no visitaron al Archiduque Carlos. E! Cónsul sueco en Trípoli ha escrito al Cónsul de la misma nación en Civitavecchia que aquella Regencia berberisca ha declarado guerra á Suecia. • . Viena $ de Octubre. P or un</t>
  </si>
  <si>
    <t>n hasta nueva orden. Dícese que Mr. de Colloredo, Ministro de gabinete, va á Praga para proponer al Archiduque Cárlos se encargue del mando de los exércitos imperiales en calidad de Generalísimo, y con total independencia del Consejo áulico. El Conde de Lehrbach prestó el dia 9 juramento de fidel</t>
  </si>
  <si>
    <t>austríaco Klenau con otros oficiales superiores alemanes. La noticia que se ha divulgado de que el Archiduque Carlos está nombrado Generalísimo de los exércitos imperiales ha causado el mayor gusto y satisfacción á todas las tropas austríacas. “ Francfort 20 de Octubre. E 1 hijo del Conde de Collo</t>
  </si>
  <si>
    <t>al Príncipe Cárlos de Aversberg para su Erabaxador en la corte de Petersburgo. Parece cierto que el Archiduque Cárlos ha aceptado el mando en xefe de los exércitos imperiales, y no tardará en llegar aquí. La Emperatriz le ha enviado de regalo un rico penacho guarnecido de brillantes valuado en 50</t>
  </si>
  <si>
    <t>tado fue cuando se despachó el Conde de Colloredo, hijo del Ministro de este nombre, para llevar al Archiduque Carlos su nombramiento de Feld-Mariscal Generalísimo de todos los exércitos austríacos: dignidad que no se ha conferido á ningún General desde el célebre Príncipe Eugenio de Saboya. Augs</t>
  </si>
  <si>
    <t>eral Duca, que de 5 á 6 meses á esta parte se hallaba en Viena, ha salido para Praga llamado por el Archiduque Carlos. Los exércitos rusos que han de formarse en las fronteras de Lithuania y de la Polonia-Pequeña no están destinados, según las últimas noticias de aquel país, contra ninguna de las</t>
  </si>
  <si>
    <t>nando salió de aquí el dia 21 de vuelta á su quartel general de Prcznítz , habiéndole acompañado el Archiduque Cárlos hasta cierta distancia de esta ciudad. Queriendo el Emperador asegurar sus estados de Bohemia contra toda invasión enemiga en caso de continuar la guerra, ha dirigido al Bourgrave</t>
  </si>
  <si>
    <t>Suiza; y quiere que se juzgue en un consejo de guerra á todos los Generales austríacos, incluso el Archiduque Cárlos. Francfort g de Noviembre. L a gazeta de Viena del 25 de Octubre anuncia la entrada del Conde de Lehrbach en el Consejo imperial en calidad de Ministro de Estado; pero hasta ahora</t>
  </si>
  <si>
    <t>Estados hereditarios continúan los preparativos militares con un ardor de que no había exemplo» El Archiduque Carlos dirigió con fecha del 24 una proclama á los habitantes de Bohemia, Silesia y Moray ia exhortándoles á que se alisten en los 20 batallones que se han de formar en dichos estados pa</t>
  </si>
  <si>
    <t>tando las tropas ae los estados del Imperio. Otro se está formando en Bohemia baxo la dirección del Archiduque Cárlos, y constará de 15 á 2o3 hombres de tropa reglada con gran número de levas y reclutas. El exército que defiende el Tirol baxo las órdenes del General Hiller se compondrá de 35 á 40</t>
  </si>
  <si>
    <t>o de arcabuceros se llame batallón de arcabuceros de los estados del Austria-Inferior. Ha pedido el Archiduque Carlos 10 oficiales y 50 sargentos de cada regimiento de los que componen el exército austriaco del Inn para incorporarlos en la legión de Bohemia. Dresde /j de Noviembre. M r. de Stakel</t>
  </si>
  <si>
    <t>Cárlos, Príncipe</t>
  </si>
  <si>
    <t>Príncipe Cárlos</t>
  </si>
  <si>
    <t>n Heidelberga. Están helados los ríos Necker y Rhin. Francfort 26de Diciembre. EL .abiendo hecho el Príncipe Cárlos quantó juzgó conveniente para cubrir la Suabia contra toda invasión de parte de los republicanos, que podrían intentarla en medio de los rigores del invierno á causa de las necesi</t>
  </si>
  <si>
    <t>sin combinar sus operaciones con las del Archiduque, y entrará en Francia por el Franco-Condado. El Príncipe Cárlos con otro numeroso exército penetrará por Alsacia, al paso que el General Metas entrará al mismo tiempo en Provenza y el Delfinado por Niza y el valle de Barcelonnette.__ La Gran B</t>
  </si>
  <si>
    <t>Carlos, Príncipe</t>
  </si>
  <si>
    <t>Príncipe Carlos</t>
  </si>
  <si>
    <t>bera derecha del Rhin escriben que se ha puesto en movimiento el ejercito austríaco manJ ido por el Príncipe Carlos, y todas las tropas salen de sus acantonamientos para acercarse á las orillas de dicho rio. Hacia el Mein se envían refuerzos muy crecidos, y no tardarán en juntarse allí 12® aust</t>
  </si>
  <si>
    <t>o se embarcará para Constantinopla. Su sucesor no tardará en llegar. El 30 entro en esta capital el Príncipe Cárlos. Salid á recibirle á S. Poelten el Duque Alberto de Saxonia: y el pueblo manifestó con aplausos y Víctores el gusto de ver al Archiduque. Acaba de prohibirse en Hungría que los pr</t>
  </si>
  <si>
    <t>sino interinamente, y que al fin lo ha aceptado el Barón de Lauer. Dicen que también se ofreció ai Príncipe Carlos, y que respondió como otras veces, que lo admitiría baxo varias condiciones, entre ellas las siguientes: i.a Que el exército se completase hasta el numero de 8q®-hombres efectivos</t>
  </si>
  <si>
    <t>Carmena, Francisco</t>
  </si>
  <si>
    <t>Francisco Carmena</t>
  </si>
  <si>
    <t>er D. Pedro Martínez Espinal. Para fin Basten de Exento de número de la Americana al supernumerario D. Francisco Carmena; y para dos Bastones supernumerarios al Brigadier D. Félix Calvin©, y al Cadete Conde de Valparaíso. En él regimiento provincial 8e Cranada ha conferido el Rey Compañía de fusiler</t>
  </si>
  <si>
    <t>Carmena, María</t>
  </si>
  <si>
    <t>María Carmena</t>
  </si>
  <si>
    <t>es, situado en térmico de la villa de la Higuera de Calatrava, perteneciente á la memoria que fuñió Doña María Carmena, tasado en • 8,096 rs. y renta 140.== Andujar. Una ha?sa de 44 fanegas, en el sitio del Salado, para cuito divino , tasada eu 44© rs. y reí.</t>
  </si>
  <si>
    <t>Carmona, Manuel Salvador</t>
  </si>
  <si>
    <t>Manuel Salvador Carmona</t>
  </si>
  <si>
    <t>da: lleva el t&lt;xto latino en mejor carácter de letra que la primera, el busto' de César grabado por D. Manuel Salvador Carmona , y dos mapas el uno de los Galias y el otro .de España , según se hallaba dividida por aquel tiempo. Los militares miran con admiración esta obra por sus singulares exenipk&gt;s de</t>
  </si>
  <si>
    <t>Carnicero, Vicente</t>
  </si>
  <si>
    <t>Vicente Carnicero</t>
  </si>
  <si>
    <t>te de granaderos al de fusileros D. Pedro Loísaga y á segundo Teniente al Subteniente de granaderos D. Vicente Carnicero. S. M. ha promovido á Ingeniero Director de sus exércitos, plazas y</t>
  </si>
  <si>
    <t>Carnot</t>
  </si>
  <si>
    <t>te, los Consejeros de Estado Petiet y Dejean salieron el dia 5 para Ginebra. £1 ciud. Carnot, Ministro de Guerra, ha partido»á desempeñar una comisión especial, que hace precisa su ausencia por unos diar; y queda el Consejero de Estado Lacuée interinam</t>
  </si>
  <si>
    <t>a nombrado Bonaparte al General Rerthier par.i Ministro de Guerra, en lugar del ciud. Carnot, que ha hecho dimisión. El dia 5 llegó de Berlín á Paris el ciud. Belair, Ayudante del General Beurijonville, Ministro de Francia en Prusia. El ciud. Luis Bona</t>
  </si>
  <si>
    <t>Carpintero y Esgueva, Andrés</t>
  </si>
  <si>
    <t>Andrés Carpintero y Esgueva</t>
  </si>
  <si>
    <t>as de los Pedroches de Córdoba, vacante por fallecimiento de D. Nicolás Antonio Mella y Carvajal, i D. Andrés Carpintero y Esgueva. En América El Rey ha conferido compamas en las milicias disciplinadas de Infantería de la isla Margarita al Subteniente y Cadetes de dichas milicias D. Pedro Arismendi, D. Juan B</t>
  </si>
  <si>
    <t>Carpintero, Luis</t>
  </si>
  <si>
    <t>Luis Carpintero</t>
  </si>
  <si>
    <t>á primer Teniente al segundo D. Francisco Coello: en el de Alcántara á segundo Teniente al Alférez D. Luis Carpintero; y en el de Algarbe á Ayudante al primer Teniente D. Tomas Aquino Falcó. El Rey se lia servido conferir el empleo de Sargento mayor del regimiento provincial de Salamanca á D. Jua</t>
  </si>
  <si>
    <t>Carra-Saint-Cyr</t>
  </si>
  <si>
    <t>campo de batalla la división de Monnier ; y dos medias brigadas al mando de los Generales Carra-Saint-Cyr y Schilt, que marcharon por derecha, recobraron parte del terreno que habíamos cedido. La guardia de infantería y caballería de los Cónsules contribuyó mucho á sostener</t>
  </si>
  <si>
    <t>Carrá-Saint-Cyr</t>
  </si>
  <si>
    <t>a, en caso que aquel General se negase á vuestra solicitud. Las brigadas de los Generales Malher y Carrá-Saint-Cyr sereurúéron, la primera, en Imola, y la segunda enForli. La división cisalpina del GeneralTino, y Ja brigada de cazadores de á caballo del General Jablonowski,</t>
  </si>
  <si>
    <t>Carra-Saint-Cyr, General</t>
  </si>
  <si>
    <t>General Carra-Saint-Cyr</t>
  </si>
  <si>
    <t>I I 72 ba hacia fuego con la mayor viveza. El General Carra-Saint-Cyr acudió con dos batallones de línea á una altura inmeduta á la ciudadela: otro batallón de las mismas tropas se dirigió al camino de Perusa : varios cañones sostenidos por un batal</t>
  </si>
  <si>
    <t>Carrancio, Manuel Ángel</t>
  </si>
  <si>
    <t>Manuel Ángel Carrancio</t>
  </si>
  <si>
    <t>a acuda ante dicho Sr. Juez, y por Ja escribanía del numero de D. Gervasio Fernandez Izquierdo. Por D. Manuel Angel Carrancio, Abogado de los Reales Consejos , comisionado de orden de S. M. por el Sr. Intendente de esta provincia para entender y conocer en esta villa y corte en la venta y enagenacion de</t>
  </si>
  <si>
    <t>lativa fundada en la parroquial de la villa de Ambel por María AUér, tasada en 1882 rs. 12 mrs. Por D. Manuel Angel Carrancio, Abogado de los Reales Consejos, comisionado de orden de S. M. por el Sr. Intend&amp;nte de esta provincia para entender y conocer en esta villa y corte en la venta.y enagesacioa de l</t>
  </si>
  <si>
    <t>sa), en 197,293 rs. Quien quiera hacer postura á ella ocurra á la citada escribanía del número. Por D. Manuel Angel Carrancio, Abogado de los Reales Consejos, comisionado de orden de S. M. por el Sr. Intendente de esta provincia para entender y conocer en esta villa y corte en la venta y enagenacion de l</t>
  </si>
  <si>
    <t>Carranclo, Manuel Ángel</t>
  </si>
  <si>
    <t>Manuel Ángel Carranclo</t>
  </si>
  <si>
    <t>en 52,455 rs. Quien quisiere hacer postura acuda ante dicho Señor Teniente y citada escribanía. Por D. Manuel Angel Carranclo, Abogado de los Reales Consejos , comisionado de orden de S. M. por el Sr. Intendente de esta provincia para entender y conocer en esta villa y corte en la venta y enage nación de</t>
  </si>
  <si>
    <t>Sr, D. Pedro González Calderón, y escribanía del número de D. Tomas de Sancha y Prado. Por el Lie. D. Manuel Angel Carranclo, Abogado del ilustre colegio de esta corte, y Juez comisionado para la enagenacion de fincas pertenecientes á memorias y obras pías fundadas en todos los pueblos de esta Intendenc</t>
  </si>
  <si>
    <t>Cárrartcio, Manuel Ángel</t>
  </si>
  <si>
    <t>Manuel Ángel Cárrartcio</t>
  </si>
  <si>
    <t>número de esta villa, quienes admitirán las que se hkieren.icrclgualmente por providencia del mismo D. Manuel Angel Cárrartcio se ha señalado para el remate de las fincas propias de las obras pías establecidas en las villas de Torrejon de Velasco, Valde Santo Domingo, Canillas, Alameda , Santa Cruz del Re</t>
  </si>
  <si>
    <t>Carrasco, Francisco</t>
  </si>
  <si>
    <t>Francisco Carrasco</t>
  </si>
  <si>
    <t>al del Nuevo Reyno de Granada al Oficial quinto de ellas £&gt;, Joseph Gaspar de Llana; está resulta á D. Francisco Carrasco; él empleo de Tercenista de la Administración principal de tabacos de Quito á D, Aiitonio Flor dé la Bastida s el de Fiel dé almacenes y Maestro de la fábrica, de tabacos dé Guaya</t>
  </si>
  <si>
    <t>Carreño, Nicolás</t>
  </si>
  <si>
    <t>Nicolás Carreño</t>
  </si>
  <si>
    <t>o curso matemático D. Francisco Prendes, D. Joachín Campuzano y Marentes, D. Manuel García y Muñiz, D. Nicolás Carreño y D. Domingo González. 2.0 En dichos estudios y en geometría, trigonometría plana y esférica y logaritmos, baxo la dirección del auxiliar D. Antonio de Condres, los alumnos de segundo</t>
  </si>
  <si>
    <t>Carril, Ángel</t>
  </si>
  <si>
    <t>Ángel Carril</t>
  </si>
  <si>
    <t>de infantería del Rey se ha servido S. M. promover á segundo Teniente al Subteniente de granaderos D. Angel Carril; á esta resulta al primer Subteniente D. Pedro Martínez ; á primer Subteniente al segundo D. Francisco Matute Rubio, y á segundos Subtenientes al Cadete D. Gregorio Sanz de Santuo</t>
  </si>
  <si>
    <t>Carrillo, Christóbal</t>
  </si>
  <si>
    <t>Christóbal Carrillo</t>
  </si>
  <si>
    <t>as en el sitio dei Lomo, en 80. Otra al cerro de S. Juan, de a fan. en aoo. Memorias del Licenciado D. Christóbal Carrillo: ur.a tierra al camino de Va’travieso,. de 3 fanegas, tasada en *750 rs. Otra á los Arenales, de 2 fan. y 3 cel. en i9. Otra á ios Barrancones, de 3 fan. en $co. Otra al sitio que</t>
  </si>
  <si>
    <t>Carrillo, Christobal</t>
  </si>
  <si>
    <t>Christobal Carrillo</t>
  </si>
  <si>
    <t>i:*; V: . .. 'Én eTregimieifto dexaballeria .de Bórbori ha promovido el Rey á Carpitan al Ayudante D. Christobal Carrillo: en el de Santiago á Capitán ál primer Teniente D. Joseph Sandoval: en el de Carabineros dé la Reyna María Luisa á Capitán al primer Teniente. D. Christobal Mariano; y en el de la</t>
  </si>
  <si>
    <t>Carrillo, Joseph</t>
  </si>
  <si>
    <t>Joseph Carrillo</t>
  </si>
  <si>
    <t>iente de granaderos D. Felipe Rodríguez del Fierro; á primer Teniente de granaderos al de fusileros D. Joseph Carrillo; £ primeros Tenientes á los segundos D. Alexo Zamora y D. Fernando de Rodas, este graduado de Capitán; á segundos Tenientes á los Subtenientes de granaderos £). Francisco Samanieg</t>
  </si>
  <si>
    <t>Tenientes de la misma D. Joachin de Zea y D. Joseph Escovcdo , y Teni ntes á los Alféreces de ella D. Joseph Carrillo, D. Pedro Iturraldcn, D. Pedro de Iriberri y D. Antonio Zea, Teniente del regimiento de dragones de la Rey na. . Al Teniente Coronel D. Juan de Villalba, Sargento mayor de la plaz</t>
  </si>
  <si>
    <t>Carrion, Antonio</t>
  </si>
  <si>
    <t>Antonio Carrion</t>
  </si>
  <si>
    <t>Ayudante al primer Teniente D. Christóbal Roldan; y en el de Calatrava á Alférez al Portaestandarte D. Antonio Carrion. El Rey ha tenido á bien nombrar Sargento mayor del regimiento provincial de Burgos al Teniente Coronel, graduado de infantería, D. Juan Angel de Alguer, que lo era del de Salaman</t>
  </si>
  <si>
    <t>Carríon, Julián</t>
  </si>
  <si>
    <t>Julián Carríon</t>
  </si>
  <si>
    <t>2% lá metropolitana de' Lima á D. Julián Carríon; y para la Ración, que este -déxa, al Medios-Racionero D. Juan Cevaiíos. Igualmente en atención á la aptitud, méritos y circunstancias de Don Juan de Palacios, Contador ‘interino</t>
  </si>
  <si>
    <t>Carta, Carlos</t>
  </si>
  <si>
    <t>Carlos Carta</t>
  </si>
  <si>
    <t>e D. Joseph Dugi; á segundos Temantes al Subteniente de granaderos D. Juan Perdomo y al Subteniente D. Carlos Carta, a Subteniente de granaderos al de fusileros D. Juan Granados, y a Subtenientes a los Cadetes D. Francisco Dugi y D. Rafael del Campo. El Rey se ha servido nombrar para el Corregi</t>
  </si>
  <si>
    <t>Carta, Diego Antonio</t>
  </si>
  <si>
    <t>Diego Antonio Carta</t>
  </si>
  <si>
    <t>eniente al segundo de granaderos D. Ramón Xiron ; á segundo Teniente de. granaderos al de fusileros D. Diego Antonio Carta; X segundos Tenientes á los Subtenientes de granaderos D. Francisco Villarejo y D. Juan Hernández ; á Subtenientes desgranadlos á Jos primeros Subtenientes D. Alfonso de Casas y D</t>
  </si>
  <si>
    <t>Cartabuenaj, Julián</t>
  </si>
  <si>
    <t>Julián Cartabuenaj</t>
  </si>
  <si>
    <t>ntiago Cevallos y D. Antonio Proto Alvarez; y con el tercero D. Antonio Bustamante, D. Julián Diaz, D. Julián Cartabuenaj</t>
  </si>
  <si>
    <t>Cartas, Antonio</t>
  </si>
  <si>
    <t>Antonio Cartas</t>
  </si>
  <si>
    <t>rimero D. Juan López Quevedo: en el de Málaga á segundos Tenientes de granaderos á los de fusileros D. Antonio Cartas y D. Francisco Sanz; á primer Subteniente al segundo D. Juan Cavanillas; y á segundos Subtenientes á los Cadetes D. Miguel Pacheco y D. Ramón de Medina, y al Sargento primero distingu</t>
  </si>
  <si>
    <t>Cartaux</t>
  </si>
  <si>
    <t>al Augereau , que consta de 15® hombres, se reúna con las tropas que mandan los Generales Sainte-Suzanne y Cartaux, compondrá un total de 50© combatientes. Entre el Directorio bátavo y la ciudad de Embden se ha concluido un convenio relativo á los fanales y á otras disposic</t>
  </si>
  <si>
    <t>Carteaux, General</t>
  </si>
  <si>
    <t>General Carteaux</t>
  </si>
  <si>
    <t>nombró el primer Cónsul Consejero de Estado á su hermano Joseph Bonaparte. ' Se ha enviado orden al General Carteaux para que forme entre Lieja y Maestrich un cuerpo de observación destinado á ir donde lo exijan las circunstancias. Liorna ij de Abril. H a entrado en este puerto un transporte con</t>
  </si>
  <si>
    <t>Carteax, General</t>
  </si>
  <si>
    <t>General Carteax</t>
  </si>
  <si>
    <t>en donde se forma un exército compuesto ya de 3 divisiones, y ha de reforzarse con la que manda el General Carteax. Se está tratando con los austríacos sobre el cange del xefe de la legión polaca, que quedó prisionero en un reconocimiento que hizo estos dias cerca de Ofíemburgo. Parece que los</t>
  </si>
  <si>
    <t>Carvajal y Valle, Alonso</t>
  </si>
  <si>
    <t>Alonso Carvajal y Valle</t>
  </si>
  <si>
    <t>Burgos al Teniente de la misma clase D. Fernando de León: la Subtenencia de cazadores del de Lugo á D. Alonso Carvajal y Valle, Subteniente de fusileros: Compañías de fusileros en el de Oviedo á D. Pedro de la Barzana, D. Juan María Vega y D. Ramón de la Huelga, Tenientes de granaderos, cazadores y fusile</t>
  </si>
  <si>
    <t>Carvajal, Bartolomé</t>
  </si>
  <si>
    <t>Bartolomé Carvajal</t>
  </si>
  <si>
    <t>á los Sargentos primeros D. Luis Zamora y Don Í sidro Sánchez, y á los Cadetes D. Rafael Fernandez, D. Bartolomé Carvajal y D. Felipe Zamora, este del regimiento de las Ordenes Militares, y pl que le precede de la compañía de Escopeteros de Getares. También se ha servido el Rey promover en el regimiento</t>
  </si>
  <si>
    <t>Carvajal, Juan</t>
  </si>
  <si>
    <t>Juan Carvajal</t>
  </si>
  <si>
    <t>ro Gutiérrez; y a segundos oubtenientes al Sargento primero de granaderos, graduado de Subteniente, Don Juan Carvajal y al Cadete D. Antonio Pinzano y Nogues: en el de caza¿ores voluntarios de la Corona á Capitán al primer i ementóle gastaaores D. Francisco Garbayo; á primer Teniente de gastadores</t>
  </si>
  <si>
    <t>Carysfort, Lord</t>
  </si>
  <si>
    <t>Lord Carysfort</t>
  </si>
  <si>
    <t>aldrá el Rey para Silesia con su Ministro el Conde de Haugwitz. Durará su viage de 15 á 20 dias. El Lord Carysfort, nuevo Enviado extraordinario ingles, ha tenido su</t>
  </si>
  <si>
    <t>Casado, Lorenzo</t>
  </si>
  <si>
    <t>Lorenzo Casado</t>
  </si>
  <si>
    <t>naderos al primer Subteniente D. Manuel Romeo: en el de Guadalaxara á primer Subteniente al segundo D. Lorenzo Casado; y á segundo Subteniente al Sargento primero graduado de Subteniente D. Policarpo&gt; Algarra: en el de Zaragoza á segundo Subteniente al Sargento primero de granaderos graduado de S</t>
  </si>
  <si>
    <t>Casal y Marado, Francisco</t>
  </si>
  <si>
    <t>Francisco Casal y Marado</t>
  </si>
  <si>
    <t>Plascncia á los Subtenientes, de granaderos y cazadores los dos primeros, D. Pedro Joseph Espadero, Don Francisco Casal y Marado, D. Antonio Pándelo, D. Antonio .María Moscoso y D. Miguel Zancada; y Subtenencias de bandera en los de Toledo y Laredo á D. Juan Manuel Iglesias y D. Sebastian de S. Juan Gonzále</t>
  </si>
  <si>
    <t>Casal, Antonio</t>
  </si>
  <si>
    <t>Antonio Casal</t>
  </si>
  <si>
    <t>l de Montellá , Corregimiento de Urge!........................... 49. 3. Cabo.. Antonio Casal, hijo de otro y Ventura, natural de Canillo, Corregimiento de Urgél........................................... 124. Otro... EstéS m Juan Pera, hijo de otro y María, natural de Villaplan</t>
  </si>
  <si>
    <t>Casal, Joseph</t>
  </si>
  <si>
    <t>Joseph Casal</t>
  </si>
  <si>
    <t>la Colegial de S. Hipólito de Córdoba, vacante por fallecimiento de D. Pedro de Barcia y Camacho, á D. Joseph Casal, Beneficiado mas antiguo de la parroquia de S. Lorenzo de la misma ciudad; y para el Beneficio de la parroquial de Santa María de la ciudad de Ecija, arzobispado de Sevilla, vacan</t>
  </si>
  <si>
    <t>Casamajor</t>
  </si>
  <si>
    <t>en Ilarwich la fragata Ariana, en la qual han venido de Jilseneur el Lord Withworth , Mr. Hailes y .Mr. Casamajor. Este último fue presentado al Emperador como Encargado de negocios de Inglaterra en Petcrsburgo quándo se ausentó el Embaxadór Lord Withworth; pero poco después le intimaron orde</t>
  </si>
  <si>
    <t>Casanova de Arnuero y Rada, Tomás</t>
  </si>
  <si>
    <t>Tomás Casanova de Arnuero y Rada</t>
  </si>
  <si>
    <t>y para el de la de Ronda á D. Juan Agustín de Mendoza : para el de Letras de la ciudad de Toledo á D. Tomas Casanova de Arnuero y Rada: para el de los Pedroches de Córdoba á D. Nicolás Antonio Mella y Carvajal: para la vara de Alcalde mayor de la ciudad de Cartagena á D. Gerónimo Serbent; y para la de la de Badaj</t>
  </si>
  <si>
    <t>Casanova, Joseph María</t>
  </si>
  <si>
    <t>Joseph María Casanova</t>
  </si>
  <si>
    <t>da, Monterey y Tüy á D. Joseph Manuel Fernández Moreda, D. Blas de Pina y Llanos, D. Joseph María Casanova y D. Francisco de Barros. También ha nombrado S. M. Subteniente de las milicias urbanas de AIburquerque á D. Francisco Perez Heredero; y Subteniente de las milicias ‘urbanas de Tarifa</t>
  </si>
  <si>
    <t>go á D. Silvestre de Novoa , Teniente de fusileros-. la Subtenencia de granaderos del de Monterey á D. Joseph María Casanova, Subteniente de fusileros: en el de Segó vía Tenencias de fusileros á los Subtenientes D. Juan Soldado y Don Tomas Rodrigo , el primero de cazadores; y Subtenencia de bandera á D.</t>
  </si>
  <si>
    <t>Casánovas, Juan</t>
  </si>
  <si>
    <t>Juan Casánovas</t>
  </si>
  <si>
    <t>a supo los movimientos de la esquadra y convoy enemigos , trató Donadío con el Ingeniero comandante D. Juan Casánovas de ocupar las alturas de Chamorro para contener á las tropas enemigas, y mantenerlas distantes de Ja plaza; y aunque convinieron en el modo de hacerlo, habiendo observado movimientos</t>
  </si>
  <si>
    <t>Casas, Juan</t>
  </si>
  <si>
    <t>Juan Casas</t>
  </si>
  <si>
    <t>tural de Ubeda, Reyno de Jaén................ ................................. Juan Casas, hijo de Francisco y María , natural de Fornells , Corregimiento de Manresa................................... 4j. I2. Narciso Clos, hijo de Esteban y Claudia, natural de San Julián, Co</t>
  </si>
  <si>
    <t>Casasola, Pedro</t>
  </si>
  <si>
    <t>Pedro Casasola</t>
  </si>
  <si>
    <t>rian , y á Portaestandarte al Cadete D. Joseph Bacna : en el de España á Alférez ai Portaestandarte D. Pedro Casasola; y á esta resulta al Sargento D. Miguel Navarro: en el de Adgarbe á primer Teniente al segundo D, Joseph Manuel de Cárdenas: en el de Calatrava á Capitán al agregado en esta clase</t>
  </si>
  <si>
    <t>Casaus, Manuel</t>
  </si>
  <si>
    <t>Manuel Casaus</t>
  </si>
  <si>
    <t>primer Teniente Don Joseph García: en el de Murcia á segundo Teniente de granaderos al de fusileros D. Manuel Casaus; á primer Subteniente al segundo D. Marcos Márquez ; y á segundo Subteniente al Cadete D. Vicente de Vargas: en el de Navarra á segundo Subteniente al Cadete del de las Ordenes Mi</t>
  </si>
  <si>
    <t>Casdamon, Juan</t>
  </si>
  <si>
    <t>Juan Casdamon</t>
  </si>
  <si>
    <t>Joseph del Castillo: de! tercero del de Navarra á D. Este'ban Teixido: del primero del de Aragón a Don Juan Casdamon; y del primevo del del Rey á D. Joseph de Ayala. En América. 5. M. se ha servido conferir la pinza de Contaoor de Cuentas de nueva creación del tribunal de Goatemuia a D. Antonio</t>
  </si>
  <si>
    <t>Casedebant, Pedro</t>
  </si>
  <si>
    <t>Pedro Casedebant</t>
  </si>
  <si>
    <t>M. nombrar Capellán del sexto batallón del regimiento de Reales Guardias Walonas al del de Irlanda D. Pedro Casedebant: del tercer batallón del de Extremadura al Presbítero D. Francisco Bastida: del segundo batallón de Voluntarios de Barcelona á D. Ramón Marimon; y del tercer batallón del de infan</t>
  </si>
  <si>
    <t>Casillas, Antonio</t>
  </si>
  <si>
    <t>Antonio Casillas</t>
  </si>
  <si>
    <t>ito: para otra de las parroquiales de Fraga de la* diócesis de Lérida, vacante por fallecimiento de D. Antonio Casillas, á D. Francisco Asensio^: para otra llamada de Derrengada, en la iglesia de S. Pedro de la villa de Alba de Tormes, en la diócesis de S.dajnanca, vacante por fallecimiento de D. F</t>
  </si>
  <si>
    <t>Casimiro Antonio Go</t>
  </si>
  <si>
    <t>con muchas parras y árboles frutales t/uien quisiere comprarle acuda á la, escribanía del número de D. Casimiro Antonio Go*</t>
  </si>
  <si>
    <t>Casimiro Antonio Gomes</t>
  </si>
  <si>
    <t>ón de Marques de la Nava de Bracinas, regulado en «id ducados. Quien quisiere hacer postura acuda á D. Casimiro Antonio Gomes 'Escribano , Escribano del número. A virtud de providencia del Sr. D. Pedro González Calderón, Teniente Corregidor de esta villa, y por la escribanía del número de D. Gervasio Fer</t>
  </si>
  <si>
    <t>Casimiro Antonio Gómez</t>
  </si>
  <si>
    <t>Sr. Juez D. Pedro González Calderón, Teniente Corregidor de esta villa , y escribanía del número de D. Casimiro Antonio Gómez, se está subastando una casa perteneciente á las memorias de Doña Antonia Engracia del Val, sita en la calle de la Sartén, núm. 395 , está tasada en 140,106^ rs. , y dan por ella</t>
  </si>
  <si>
    <t>r Teniente primero de Corregidor D. Juan Antonio de Santa María , y por la escribanía del número de D. Casimiro Antonio Gómez, ha pedido y se ha mandado celebrar junta de acreedores \ y en efecto se ha señalado para ella el dia 18 de Mayo á las 9 de su mañana en la sala de juntas generales del banco naci</t>
  </si>
  <si>
    <t>Señor Teniente primero de Corregidor D. Juan Antonio Santa María, y por la escribanía del número de D. Casimiro Antonio Gómez , celebra junta dé acreedores el Domingo iS de esté mes á las 9 de la mañana en la sala de juntas generales del Banco nacional de S. Cárlos ; y á fin de que llegué á noticia de lo</t>
  </si>
  <si>
    <t>D. Juan Antonio de Utraza. Ante el mismo Sr, D. Pedro González Caldero», y escribanía del número de D. Casimiro Antonio Gómez, se está subastando una casa perteneciente á las memorias de Doña Antonia Engracia del Val, sita en la calle de la Sartén, núm. 3, manz. 39*}, tasada en 140,106 rs. 17 mrs., y su</t>
  </si>
  <si>
    <t>rto principal; y exhibiendo las acciones ó créditos que tuviesen , se les dará esquela rubricada de D. Casimiro Antonio Gómez, escribano del numero, que conoce de este asunto , para que se les permita la entrada; previniendo han 'de hacer la exhibición de acciones hasta el dia 8 de dicho mes. En la villa</t>
  </si>
  <si>
    <t>Casimiro de Lasala, Martín</t>
  </si>
  <si>
    <t>Martín Casimiro de Lasala</t>
  </si>
  <si>
    <t>exércitos, plazas y fronteras, á D. Francisco Bustamante, Ayudante de Ingeniero: y á este empico á D. Martin Casimiro de Lasala, D. Gaspar de Goicoechea, Subtenientes de los regimientes de infantería de Buenos-Ay res y del Rey; á D011 Fernando de la Serna, D. Francisco Ximenez de la Isla y D. Manuel Bayo,</t>
  </si>
  <si>
    <t>Casimiro Gómez de Ortega</t>
  </si>
  <si>
    <t>e botánica , dispuesto de orden del Rey para la enseñanza del Real Jardín botánico de Madrid por el Dr. D Casimiro Gómez de Ortega, primer Catedrático &amp;c.: dos tomos en 8.° Véndense á 22 rs. en la librería de Castillo, frente á las gradas de S. Felipe, donde se hallarán también la Filosofía botánica de Linneo</t>
  </si>
  <si>
    <t>Casimiro Ortega</t>
  </si>
  <si>
    <t>admitido últimamente de su voluntad por socio al primee profesor del Real jardin botánico de Madrid D. Casimiro Ortega: distinción que hasta ahora no se había concedido á ningún extrangero no residente en Inglaterra,. Ha dado S. M. otro premio al Marques de Wellesley, Gobernador general de nuestra</t>
  </si>
  <si>
    <t>Casimiro, Juan</t>
  </si>
  <si>
    <t>Juan Casimiro</t>
  </si>
  <si>
    <t>os segandps D. Joseph de Luna y D. Vicente Martínez,, y á segundos Subtenientes al Sargento primero D. Juan Casimiro y ai Cadete del de infantería de Astu</t>
  </si>
  <si>
    <t>Casis de la Torre, Pedro Joseph</t>
  </si>
  <si>
    <t>Pedro Joseph Casis de la Torre</t>
  </si>
  <si>
    <t>ra la Chanrría ai Maestrescuela D. Tomas Antolin Baxo y Ozerin: para la Maest pesco lía al Tesorero D. Pedro Joseph Casis de la Torre: para la Tesorería ai Canónigo D. Pedro Juan de Batista; y para esta Canongía á D. Juan joseph Martínez , Cura en aquel obispado. S. M. se ha dignado conceder empleo de Capitán en</t>
  </si>
  <si>
    <t>Caso y Luengo, Francisco</t>
  </si>
  <si>
    <t>Francisco Caso y Luengo</t>
  </si>
  <si>
    <t>M. se ha dignado promover á Capitanes del regimiento de infantería fixo de Ja Luisiana al Ayudante D. Francisco Caso y Luengo, y ál Teniente de granaderos D. Francisco Bellestre: á Ayudante y Teniente de granaderos á los Tenientes D. Luis Piernas y D. Fernando de Lizoro: á Tenientes á los Subtenientes D.</t>
  </si>
  <si>
    <t>Casou, Joseph</t>
  </si>
  <si>
    <t>Joseph Casou</t>
  </si>
  <si>
    <t>a á primer Teniente al segundo D. Francisco Martin; á segundo Teniente al Subteniente de granaderos D. Joseph Casou; á Subteniente de granaderos al primer Subteniente D. Antonio Hidalgo Torralba, y á primer Subteniente al segundo D. Joachín Rodríguez: en el dé Burgos a Capitán al primer Tenient</t>
  </si>
  <si>
    <t>Casreils, Pedro</t>
  </si>
  <si>
    <t>Pedro Casreils</t>
  </si>
  <si>
    <t>a", natural de Pianolas , Corregimiento de Puigcerdí......... .d........ . 124. Pedro Casreils, hijo de Jayme y Margarita , natural de S. Andrés de la Bola , Corregimiento de Vique............ 53. 32. Mateo Cadena, hijo de Francisco y Francisca , natural de Montellá , Corregimien</t>
  </si>
  <si>
    <t>Cassou y Compañía, Juan</t>
  </si>
  <si>
    <t>Juan Cassou y Compañía</t>
  </si>
  <si>
    <t>ia en ia Reai casa Aduana , y en las Provincias á los Comisionados siguientes: En Alicante......... D. Juan Cassou y Compañía. En Avila:............ D. Fcrnando.de JEchcpare. En Badajoz......... D. Manuel de la Peña. En Barcelona...... D. Ramón de Llordeila é hijo. En Burgos......... .. D. Andrés Fray le</t>
  </si>
  <si>
    <t>ada en la Real casa Aduana , y en las Provincias á ios Comisionados siguientes; En Alieante. ~..... D. Juan Cassou y Compañía. En Avila............ D, Fernando de Echepare. En Badajoz...... D.*Manuel de la Peña. En Barcelona.. .... D. Ramón de Llordelia é hijo. En Btírgos......... . D. Andrés Fray le. En</t>
  </si>
  <si>
    <t>Castañcn, Antonio</t>
  </si>
  <si>
    <t>Antonio Castañcn</t>
  </si>
  <si>
    <t>usileros á D. Gregorio Pedro Naharro: en el de León Compañía de fusileros al Teniente de granaderos D. Antonio Castañcn; su resulta á • D. Francisco García Bernaldo, Teniente de fusileros; Tenencia de está clase al Subteniente de cazadores D. Domingo Morete, y su resulta al Subteniente de fusileros</t>
  </si>
  <si>
    <t>Castaño, Joseph</t>
  </si>
  <si>
    <t>Joseph Castaño</t>
  </si>
  <si>
    <t>Julián Navajas, este graduado de Teniente; á Subtenientes de granaderos á los primeros Subtenientes D. Joseph Castaño y-D. Antonio Ruiz; á primíeros Subtenientes á los sc°undo$ D. Juan Yustiniani y D.Antonio González; y á segundos Subtenientes á los Cadetes D. Vicente Sánchez y D. Joseph Conesa, y</t>
  </si>
  <si>
    <t>Castañon y Monroy, Manuel</t>
  </si>
  <si>
    <t>Manuel Castañon y Monroy</t>
  </si>
  <si>
    <t>n el de Badajoz a D. Juan de Dios Aponte, Capitán de granaderos del mismo cuerpo; y en el de León á D. Manuel Castañon y Monroy, Capitán de cazadores de este regimiento: de Capitán en el de Mondoñedo al Teniente dje infantería graduado y efectivo del misino D. Joachin Baámonde; el de Teniente al Subtenient</t>
  </si>
  <si>
    <t>Castaños, Diego</t>
  </si>
  <si>
    <t>Diego Castaños</t>
  </si>
  <si>
    <t>xa del Reyno de Nueva España á Don Agustín de Islas, Subteniente de la misma; y para esta resulta á D. Diego Castaños , Sargento distinguido del regimiento de dragones de México. S. M. se ha dignado conceder Subtenencia de bandera en el regimiento fxo de Cartagena á D. Isidoro de la Torre, Cadete</t>
  </si>
  <si>
    <t>Castell, Miguel</t>
  </si>
  <si>
    <t>Miguel Castell</t>
  </si>
  <si>
    <t>ncisco Becerra y Oribe y D. Joachín G-utierrez de Maldivia: en el de Alcira al Subteniente agregado D. Miguel Castell y á D. Cárlos Torres: en el de Lorca al Cadete D. Bartolomé Martínez: en el de Avila á D. Diego Castrillon: en el de Alicante y Orihuela ai Subteniente agregado D.. \ icente Escolan</t>
  </si>
  <si>
    <t>Castelló, Francisco</t>
  </si>
  <si>
    <t>Francisco Castelló</t>
  </si>
  <si>
    <t>46 rs. 9. mrs. Una pieza de tierra, en la partida del Riego mayor, perteneciente fr Ja causa pía de.D. Francisco Castelló, presbítero, en 12,743, rs. 17 mrs. Otra id. , en Ja partida oel Kiego d« S Salvador, perteneciente al legado pió que percibe D.- b ra ncis.ee va.! , presbítero», en 19.710 rs.’30</t>
  </si>
  <si>
    <t>Castilla, Antonio</t>
  </si>
  <si>
    <t>Antonio Castilla</t>
  </si>
  <si>
    <t>nto, graduado de Alférez , D. Alonso Serrano ;y en el de dragones de la Reyna á Teniente al Alférez D. Antonio Castilla. También ha nombrado S. M. Capellanes de los regimientos de infantería de la Reyna, España, Aragón y batallón de voluntarios de Tarragona á los .Presbíteros D. Agustín Perez, D. J</t>
  </si>
  <si>
    <t>Castleragh, Lord</t>
  </si>
  <si>
    <t>Lord Castleragh</t>
  </si>
  <si>
    <t>n presentarse al Virey con un recursó de la Cámara para que las comunique á S. M----- Contestóle el Lord Castleragh con un dilatado discurso, al fin, del qual propuso que se suspendiese ventilar dichas proposiciones; y así se acordo por 15$ votos contra 17. _ Londres 18 de Marzo. hl Conde de Ar</t>
  </si>
  <si>
    <t>Castlereagh, Lord</t>
  </si>
  <si>
    <t>Lord Castlereagh</t>
  </si>
  <si>
    <t>s de ayer, formada en junta de subsidios la Cámara de Comunes del Parlamento hibérnico, presentó el Lord Castlereagh un estado de los gastos para el ramo militar duránte el año corriente: ascienden á 4.422,209 libras esterlinas, y son 400© menos que en el año anterior. El total de laS tropas de</t>
  </si>
  <si>
    <t>264 el tiempo que necesitan para meditar sobre todas las partes del proyecto* pero el Lord Castlereagh respondió que la Cámara lo había tenido suficiente para formar su opinión, á lo menos en quanto al principio de si ha de hacerse ó no la unión; y por lo que hace á los artículos p</t>
  </si>
  <si>
    <t>comunicaron á la Cámara de los Comunes, y en ella se adoptáron también. Concluido esto, propuso el Lord Castlereagh un discurso de gracias ai Rey ; y al cabo se aprobó casi unánimemente. t El General Dufe ha mandado á todoslos habitantes del Condado de Limench pongan en las puertas de sus casas</t>
  </si>
  <si>
    <t>ue había aprobado el de Irlanda; y así se acordó. En la Cámara de ios comunes leyó igual mensage el Lord Castlereagh, y observó que la única mudanza de importancia hecha por el Parlamento británico consistia en el número de vocales irlandeses empleados por la corona, que habían de entrar en el P</t>
  </si>
  <si>
    <t>contener la ambición de todas las potencias beligerantes. Londres 28 de Mayo. S egun el plan que el Lord Castlereagh presentó en la Cámara baxa del Parlamento hibérnico, de los 100 vocales de aquel Reyno que han de concurrir al Parlamento imperial, los Condados elegirán Ó4, la ciudad de Corck 2</t>
  </si>
  <si>
    <t>Castrillo, Antonio</t>
  </si>
  <si>
    <t>Antonio Castrillo</t>
  </si>
  <si>
    <t>a de Cuba, concediéndole aTpropio tiempo los. ¿honores de Comisario ordenador. Por fallecimiento de D. Antonio Castrillo, Oidor de la Audiencia de Santiago de Chile, ha nombrado el Rey para esta plaza á D. Manuel de Irigoyen, que estaba provisto para una de igual clase en la de Guadilaxara: para la</t>
  </si>
  <si>
    <t>Castrillon, Diego</t>
  </si>
  <si>
    <t>Diego Castrillon</t>
  </si>
  <si>
    <t>guel Castell y á D. Cárlos Torres: en el de Lorca al Cadete D. Bartolomé Martínez: en el de Avila á D. Diego Castrillon: en el de Alicante y Orihuela ai Subteniente agregado D.. \ icente Escolano; y en el de Orense á D. Luis Senra. Asimismo lia nombrado S. M. Secretario de la Inspección general de</t>
  </si>
  <si>
    <t>Castro</t>
  </si>
  <si>
    <t>n la librería de Campo, calle de Alcalá , frente al Buen—Suceso. Sermones morales y panegíricos del Dr. Castro, formados sobre los tres estiIds que divide la retórica sublime, mediocre y familiar , dirigidos á los predicadores jóvenes, y útiles á toda clase de fieles. Se hallará en dicha l</t>
  </si>
  <si>
    <t>Castro, Carlos</t>
  </si>
  <si>
    <t>Carlos Castro</t>
  </si>
  <si>
    <t>os D. Francisco Calderón y Laso ; y Compañía de fusileros en el de Toledo al Teniente de granaderos D. Carlos Castro viejo. También ha conferido S. M. á Joseph Barril el oficio de Proto-'Albéytar del Principado de Cataluña. Se reciben en la oficina de la renovación de vales Reales hasta 15 de Oc</t>
  </si>
  <si>
    <t>Castro, Francisco</t>
  </si>
  <si>
    <t>Francisco Castro</t>
  </si>
  <si>
    <t>atemala, á Don Nicolás Covo Pelaez: el del partido de Gracias del mismo ramo, en el propio Reyno, á D. Francisco Castro; y el destino de Interventor de la misma factoría, que este obtenía, á D. Francisco Antonio Medina y Urbina. Por Real orden de 31 de Octubre de 1799» que se insertó en la gazeta d</t>
  </si>
  <si>
    <t>Castróviejo Barruso, Joseph</t>
  </si>
  <si>
    <t>Joseph Castróviejo Barruso</t>
  </si>
  <si>
    <t>de Charcas , vacante por fallecimiento de D. Juan Antonio Ruiz Tagle, á D. Estéban Agustín Gascón. D. Joseph Castróviejo Barruso, Cura y Rector de Sta. María de Brion y villa de la Grana, en la diócesis de Mondoñedo, ha representado al Rey lo siguiente: ' • ,,E 1 dia 25 de Agosto último desembarcó en la ens</t>
  </si>
  <si>
    <t>Castruccio Buonamici, Conde</t>
  </si>
  <si>
    <t>Conde Castruccio Buonamici</t>
  </si>
  <si>
    <t>memorias de la sorpresa de Veletri y de la guerra de Italia* año de 1744: escritas en fatin por el Conde Castruccio Buonamici, y traducidas por el P. Bernardo Ariño de S. Pablo, de las Escuelas Pías: un tomo en 8.° mayor. =E1 Estudiante instruido; diálogo entre padre é hijo, ó método breve para adelantar</t>
  </si>
  <si>
    <t>Catalá, Francisco</t>
  </si>
  <si>
    <t>Francisco Catalá</t>
  </si>
  <si>
    <t>se había verificado én muchos años), siendo dirigida por su Capitán el Teniente de Fragata graduado D. Francisco Catalá, Piloto de la Real Armada; y dio fondo en el Callao á los 3 meses y 24 días de navegación. Su salida de Guayaquil para los Reynos de España fue á 13 de Agosto, en conserva de la f</t>
  </si>
  <si>
    <t>Catalá, Salvador</t>
  </si>
  <si>
    <t>Salvador Catalá</t>
  </si>
  <si>
    <t>ón de la Plana á Capitanes al agregado en esta clase D. Agustín de Hortelani y al Teniente efectivo D. Salvador Catalá; á Tenientes á D. Agustín Escudar y D. Tomas Querol, Subtenientes del mismo, y á Subtenientes de bandera á D. Manuel Llistar de Alegría y á D. Pedro Cifre y García: en el de Alica</t>
  </si>
  <si>
    <t>Catalina</t>
  </si>
  <si>
    <t>° de este á favor de Dolía Catalina Perez Noriega. Quien le hubiere hallado le entregará á la misma Doña Catalina , que vive en la calle, de las Huertas, núm.. 10,. quarto principal , frenteá la del Lobo. En virtud de providencia del Sr» D. Juan Antonio Santa María, Teniente Corregidor de est</t>
  </si>
  <si>
    <t>Catalina Caballero</t>
  </si>
  <si>
    <t>mino, festone .m? yor niimero , y .corresponder la pertenencia de uno ide .ellos y sus intereses á Doña Catalina Caballero, hija natural .y única heredera de ID. ■ Joseph Rodríguez ¿Caballero, hijo del JO. -Blas, que parece falleció el .afio?de ^785 en 1.a,. ¿ciudad de ^artobelp y .eí otro i Doña Marr</t>
  </si>
  <si>
    <t>Catalina Gómez Hurtado</t>
  </si>
  <si>
    <t>la carrera de S. Francisco, núm. 2, manzana 122, perteneciente á la memoria y capellanía que fundó Doña Catalina Gómez Hurtado, tasada en 163,166 rs. Quien quisiere hacer postura acuda á la escribanía del número de D. Juan Antonio de Urraza dentro del término de 30 días. Deseando la ciudad de Santiago pro</t>
  </si>
  <si>
    <t>Catalina Rorja</t>
  </si>
  <si>
    <t>tapias de tierra, de caber g fan. 3 cel. y 19 est. tasada en 28,606 rs. 17 mrs. y renta 858 6 mrs; Doña Catalina Rorja: una casa calle de Sta. María la Rica, que habita e! Doctor D. Patricio Rami-rez , con ¿280 pies , tasada en 20© rs. y renta 600. Otra allí mismo, que sirve de quartel, con 5300 p</t>
  </si>
  <si>
    <t>Catalina San</t>
  </si>
  <si>
    <t>s dos casas y un almacén del patronato de Simón de Searselo, en 137,723. Otra casa del patronato de Doña Catalina San tur se, en 44,300. Otras 12 de la hermandad del Santísimo de S. Gil , en 134,230.= Villa de Coronil: tres casas, un solar, siete olivares y una huerta con su casa, del patronato d</t>
  </si>
  <si>
    <t>Catalina, Juan Pablo</t>
  </si>
  <si>
    <t>Juan Pablo Catalina</t>
  </si>
  <si>
    <t>éndose extraviado , quien los haya hallado ó sepa de ellos los remitirá ó dará aviso en Calatayud á D. Juan Pablo Catalina , ó en Zaragoza á D. Juan Joseph Dronda. Quien hubiese perdido un billete de 2500 rs. del préstamo de 400 millones, creado por Real decreto y cédula de y 17 de Octubre de 1798, ac</t>
  </si>
  <si>
    <t>Catín, Ignacio</t>
  </si>
  <si>
    <t>Ignacio Catín</t>
  </si>
  <si>
    <t>niente de granaderos D. Melchor Schwitter; y en el de Rutiman á Teniente supernumerario al Sargento D. Ignacio Catín.</t>
  </si>
  <si>
    <t>Caturla, Francisco</t>
  </si>
  <si>
    <t>Francisco Caturla</t>
  </si>
  <si>
    <t>Azntr; á primer Teniente al segundo D. Francisco Salvador; á segundo Teniente al primer Subteniente D. Francisco Caturla; á esta resulta al segundo Subteniente D. Joachin Rubio, y a segundo Subteniente al Sargento primero, graduado de Subteniente, D. Antonio Juárez : en el regimiento* süizo de Court</t>
  </si>
  <si>
    <t>Cavanillas, Juan</t>
  </si>
  <si>
    <t>Juan Cavanillas</t>
  </si>
  <si>
    <t>ranaderos á los de fusileros D. Antonio Cartas y D. Francisco Sanz; á primer Subteniente al segundo D. Juan Cavanillas; y á segundos Subtenientes á los Cadetes D. Miguel Pacheco y D. Ramón de Medina, y al Sargento primero distinguido D. Francisco Avendaño; habiendo nombrado Capellán del primer bat</t>
  </si>
  <si>
    <t>Cavero, Joseph</t>
  </si>
  <si>
    <t>Joseph Cavero</t>
  </si>
  <si>
    <t>r Teniente D. Francisco Ximenez; a primer Teniente al segurído de granaderos, graduado de Capitán , D. Joseph Cavero; a se cundo Teniente de granaderos al de fusileros D. T rancho lvaauan; a segundo Teniente al Subteniente de granaderos, graduado de relíente, Don Evaristo de Luna; á Subtenientes</t>
  </si>
  <si>
    <t>e Milicias urbanas de Carabayllo del Perú, á los Alféreces D. Juan foseph López , D. Simón Fuentes, D. Joseph Cavero y D. Juan Berindoaga. S. M. se ha dignado nombrar á D. Ramón Ramos y Poveda para tina plaza de Agente del número de Indias, vacante por fallecimiento de D011 Jomas Bellosillo. F1 dia</t>
  </si>
  <si>
    <t>Cayetano</t>
  </si>
  <si>
    <t>os pagados en tres plazos fixos; y principiarán las lecciones el i.° de Marzo. Asimismo el referido D. Cayetano á horas sucesivas, esto es, desde las 7 y media de la noche hasta las 9, dará también en su casa lecciones de eloqüencia española siguiendo las ideas dp su -mismo plan, y tendrá p</t>
  </si>
  <si>
    <t>Cayetano, Cardenal</t>
  </si>
  <si>
    <t>Cardenal Cayetano</t>
  </si>
  <si>
    <t>n Nicasio, carrera de S. Gerónimo. Elección de Prelado, conforme á la doctrina de Santo Tomas y del Cardenal Cayetano : útil á las personas que hayan de prestar su voto en comunidades religiosas de árnbos sexós , en cabildos , congregaciones y dernas en que sea necesario elegir superior á número</t>
  </si>
  <si>
    <t>Cayon, Diego</t>
  </si>
  <si>
    <t>Diego Cayon</t>
  </si>
  <si>
    <t>uez Boves y D. Joseph Fernandez Luanco, ba^í^la dirección del profesor de náutica el segundo Piloto D. Diego Cayon. El dia 6 se hizo la distribución de premios, adjudicándose el primero de matemática á D. Manuel González Villarmil, y el segundo empatado entre el Lie. D. Joseph Diaz y D. Manuel</t>
  </si>
  <si>
    <t>Cazorla del de Secretario de la Capitanía General, Juan</t>
  </si>
  <si>
    <t>Juan Cazorla del de Secretario de la Capitanía General</t>
  </si>
  <si>
    <t>manca á D. Juan Joseph Martínez, Capitán del de infantería de España; y ha tenido á bien exonerar á D. Juan Cazorla del de Secretario de la Capitanía General de Andalucía, nombrando para que lo sirva en propiedad á D. Joachín de Velasco. En la Subdelegacíon general de bienes mostrencos, vacantes y abintestatos se halla una maleta con vari</t>
  </si>
  <si>
    <t>Cazot</t>
  </si>
  <si>
    <t>la cabeza á los mismos que les habían dado cuerdas para subir. A este tiempo el comandante Cazot intentó hacer una capitulación con el Baxá Selim-Mustafá y con un oficial ingles que habían entrado en el fuerte. Se arregló en efecto, y por ella debia la gua</t>
  </si>
  <si>
    <t>Cean Bermudez, Juan Agustín</t>
  </si>
  <si>
    <t>Juan Agustín Cean Bermudez</t>
  </si>
  <si>
    <t>Diccionario histórico de los mas ilustres profesores de las bellas artes en Espafia, compuesto por D. Juan Agustín Cean Bermudez , y publicado por la Real Academia de S. Fernando. Madrid, en la imprenta de la viuda de Jbarra , afio de 1800. Tomo i.°, que compreherde las letras ABC. Esta obra , en que se tra</t>
  </si>
  <si>
    <t>n rústica. Diccionario de los mas ilustres profesores de las bellas artes en España , compuesto por D. Juan Agustín Cean Bermudez , y publicado por la Real Academia de S. Fernando: tomo a.° que comprehende las letras D hasta la J inclusive. Se vende con el i.° en la casa de la misma Academia, calle de Alcalá</t>
  </si>
  <si>
    <t>Cean Bermudez, Juan Agustin</t>
  </si>
  <si>
    <t>Juan Agustin Cean Bermudez</t>
  </si>
  <si>
    <t>Diccionario histórico de los mas ilustres profesores de las bellas artes en ^España, compuesto por D. Juan Agustin Cean Bermudez , y publicado por la Real academia de S» Fernando: tomo 3.a Comprehende las letras L hasta la O inclusive} y al fin del artículo del escultor D. Juan Domingo Olí vi eri un apéndic</t>
  </si>
  <si>
    <t>Cean Bermudezy, Juan Agustín</t>
  </si>
  <si>
    <t>Juan Agustín Cean Bermudezy</t>
  </si>
  <si>
    <t>io nario histórico de los mas ilustres profesores .de las bellas artes en Es-, paña ,’compuesto por D. Juan Agustín Cean Bermudezy y publicado por la Real^ ácadeinia de S. Fernando. Madrid, en la imprenta de la viuda de Ibarra, afio de *800, tomo g.*, que coinpréhende las letras T, U y V, con un apéndice de los</t>
  </si>
  <si>
    <t>Cean Berniudez, Juan Agustin</t>
  </si>
  <si>
    <t>Juan Agustin Cean Berniudez</t>
  </si>
  <si>
    <t>Diccionario histórico de ios mas ilustres profesores de las bellas artes en España , compuesto por D. Juan Agustin Cean Berniudez, y publicado por la Real, academia de S. Fernando. Madrid, en ia imprenta de la viuda de Ibarra, año de 1800: tomo 4.0 Coniprehencie desde la letra P hasta la S inclusive, y al fi</t>
  </si>
  <si>
    <t>Ceb, Obispo</t>
  </si>
  <si>
    <t>Obispo Ceb</t>
  </si>
  <si>
    <t>. Sr. í).-Ignacio de&gt; En América, üi íve^ sc m. cw..—------ A —Ar&gt; TManiLi. en las islas Salamanca, Obispo Ceb.u,'para el. Arzobispado de Manila Filipinas* ; . ■ •&gt; •* o■■■+■&gt;■•*-fí • a&gt;. • * s*!' *• 1 - j v't</t>
  </si>
  <si>
    <t>Cebollino, Joseph Antonio</t>
  </si>
  <si>
    <t>Joseph Antonio Cebollino</t>
  </si>
  <si>
    <t>Tenientes X los segundos de granaderos D. Juan del Fierro, D. Joseph Perez, graduado de Capitán, y D. Joseph Antonio Cebollino; a segundos Tenientes de granaderos X los de fusileros D. Domingo Nares , D. Antonio Martin Perez y D. Félix. Liorens; X segundos Tenientes á los Subtenientes de granaderos D. Fra</t>
  </si>
  <si>
    <t>Cecilio Lasuen</t>
  </si>
  <si>
    <t>rmelitas descalzas de Santa Teresa de Madrid, que ha vacado por renuncia de D. Tomas Perez Moros, á D, Cecilio Lasuen, con la pensión anual de 150 ducados a favor de Moros. El Rey se ha servido nombrar Ayudante en él regimiento de caballería de España al primer Teniente D. Juan de Cárdenas; y seg</t>
  </si>
  <si>
    <t>Cedilio Bae, Christóbal</t>
  </si>
  <si>
    <t>Christóbal Cedilio Bae</t>
  </si>
  <si>
    <t>n 22,630. Una casa principal, en 70,078. Un molino de aceyte, perteneciente á la obra pia que fundó D. Christóbal Cedilio Bae*a, en 38,911. Una suerte de tierra calma, de 70 fan. de la memoria .fundada por D. Aionso de S. Martin, en $3,900. - EN LA IMPRENTA REAL.</t>
  </si>
  <si>
    <t>Celedonio Villareal</t>
  </si>
  <si>
    <t>regada al batallón, de Pardos libres de infantería de Voluntarios de Panamá, al Capitán de milicias D. Celedonio Villareal, á D. Mateo Urania, D. Joseph Escovar y D. Joseph Videte, Sargentos primeros de distintos cuerpos. Ultimamente, otras dos Ayudantías de la plana mayor veterana, agregada al batall</t>
  </si>
  <si>
    <t>Celestino Calvo, Pedro</t>
  </si>
  <si>
    <t>Pedro Celestino Calvo</t>
  </si>
  <si>
    <t>ey los empleos siguientes: en el de Ciudad-Rodrigo la compañía de cazadores al Capitán de fusileros D. Pedro Celestino Calvo: en el de Murcia compañía al Teniente de granaderos D. Joseph Diaz; y Tenencias al Subteniente de cazadores D. Joseph Montenegro, y al de fusileros D. Pedro Belmar: en el de Santi</t>
  </si>
  <si>
    <t>Celis y Vázquez, Francisco</t>
  </si>
  <si>
    <t>Francisco Celis y Vázquez</t>
  </si>
  <si>
    <t>e la Colegí.il de Xcrez de la Frontera, en el arzobispado de Sevilla, vacante' por fallecimiento de D. Francisco Celis y Vázquez, á D. Joseph María Mariscal; y para el Beneficio simple servidero de la parroquia de Santiago de la villa de Talavera , en la diócesis de Toledo, vacante por fallecimiento de D. A</t>
  </si>
  <si>
    <t>Cenen Zeberg, Joseph</t>
  </si>
  <si>
    <t>Joseph Cenen Zeberg</t>
  </si>
  <si>
    <t>labriga y D. Antonio Conty; y en el de Suizos de Reding á Subteniente de granaderos al de fusileros D. Joseph Cenen Zeberg. En el de caballería del Rey á Alférez al Portaestand irte D. Ildefonso de Villar: en el del Príncipe á Capitán al : Ayudante D. Rafael Mariano: en el de Alcántara á Capitán al pr</t>
  </si>
  <si>
    <t>Cerbellont</t>
  </si>
  <si>
    <t>2^1 de Roma: ciud. Cerbellont, Embaxador cisalpino: ciud. Schimmelpenninck, Embaxador y Ministro plenipotenciario de la República bátava: ciud. Zeítner» Ministro plenipotenciario cjue íué d</t>
  </si>
  <si>
    <t>Cerda y Rico, Francisco</t>
  </si>
  <si>
    <t>Francisco Cerda y Rico</t>
  </si>
  <si>
    <t>irñero físico. El dia 5 de Enero anterior falleció en esta corte á los 60 años y medio el limo. Sr. D. Francisco Cerda y Rico, caballero pensionado de la Real y distinguida Orden española de Cárlos III, Secretario del Consejo y Cámara de Indias por lo respectivo á Nueva-España, con voz y voto en ambos Tr</t>
  </si>
  <si>
    <t>Cerda, Tadeo</t>
  </si>
  <si>
    <t>Tadeo Cerda</t>
  </si>
  <si>
    <t>Manzanos y Castillo; y para la de la provincia de Zapatitlán y Suchitepeques, en el mismo Reyno, á D. Tadeo Cerda. Igualmente se ha dignado S. M. conferir el empleo de Contador Vista de la administración principal de Alcabalas y Aduana de Sta. Fe á D. Joseph Bas y Bauza. El Comandante general</t>
  </si>
  <si>
    <t>Cerecio, Rafael</t>
  </si>
  <si>
    <t>Rafael Cerecio</t>
  </si>
  <si>
    <t>tonio Terranét, y á Tenientes al agregado en esta clase D. Vicente Gil de Arias y á los Subtementes D. Rafael Cerecio y D. Vicente Matas. En atención á los méritos y servicios de D. Ramón Flubia y Pastel/, vecino de la villa de Olot, corregimiento de Vi que en el Principado de Cataluña, se ha servido</t>
  </si>
  <si>
    <t>Ceris, Vicente</t>
  </si>
  <si>
    <t>Vicente Ceris</t>
  </si>
  <si>
    <t>enieros ordinarios; á este a D. Juan Zapatero, Ingeniero extraordinario; y á esta clase al Ayudante D. Vicente Ceris. Atendiendo el Rey á la avanzada edad y quebrantada salud de D. Joseph Ruiz de Celada, Relator de la Cámara, y teniendo presente sus méritos y dilatados servicios, se ha servido S</t>
  </si>
  <si>
    <t>Cermeño, Tomás</t>
  </si>
  <si>
    <t>Tomás Cermeño</t>
  </si>
  <si>
    <t>de 300 pesos de la creación de i.° de Julio, comprehendidos desde el número 34,168 hasta el 80,167. D. Tomas Cermeño, librero en Val lado] id, remitió el a&lt;5 de Marzo á D. Jo*» seph Alegría, de Salamanca, un vale Real de i$o pesos de 1$ de Setiembre, número 213,114; y no habiendo llegado ¿ su de</t>
  </si>
  <si>
    <t>Cerralde, Joseph María</t>
  </si>
  <si>
    <t>Joseph María Cerralde</t>
  </si>
  <si>
    <t>M. promover a Capitán al Ayudante D. Joseph Taberner: en el de Borbon á segundo Teniente al Alrcrez D. Joseph María Cerralde: en el de Alcántara á primer Teniente ai segundo D. Ramón de Ortigosa: en el de España á primer Teniente ¿1 segundo D. Román Gavilanes; y en el de Carabineros de la Eeyna María Lu</t>
  </si>
  <si>
    <t>Cervantes, Manuel María</t>
  </si>
  <si>
    <t>Manuel María Cervantes</t>
  </si>
  <si>
    <t>dministración general del arzobispado de México á D. Agustín Galicia, D. Joseph Joachín de Aguilar, D. Manuel María Cervantes, D. Joseph Salazar, D. Joseph García, D. Gabriel Gala» y D. Ignacio Mauri. Deseando S. M. reformar los teatros, y proporcionar ai pueblo una decente y honesta recreación, desterra</t>
  </si>
  <si>
    <t>Cervera, Lorenzo</t>
  </si>
  <si>
    <t>Lorenzo Cervera</t>
  </si>
  <si>
    <t>teniente al Cadete D. Mariano Sánchez de Figueroa: en el de Córdoba á primer Subteniente al segundo D. Lorenzo Cervera; y á segundo Subteniente al Cadete D. Antonio Villafranca : en el de Sevilla á segundo Subteniente al Cadete D. Carlos Montero: en el de Granada á segundo Subteniente al Sargento</t>
  </si>
  <si>
    <t>César Lyons, Juan</t>
  </si>
  <si>
    <t>Juan César Lyons</t>
  </si>
  <si>
    <t>Subteniente de granaderos al primer Subteniente D. Joseph Parody, y á primer Subteniente al segundo D. Juan César Lyons. En el de caballería de la Reyna se ha servido también S. M. promover a Capitán al Ayudante D. Joseph Taberner: en el de Borbon á segundo Teniente al Alrcrez D. Joseph María Cerra</t>
  </si>
  <si>
    <t>Cesáreo Rodríguez, Joseph</t>
  </si>
  <si>
    <t>Joseph Cesáreo Rodríguez</t>
  </si>
  <si>
    <t>por la promoción de D. Antonio García de la Cámara á la Maestrescolía de la catedral de Almería, á D. Joseph Cesáreo Rodríguez: para otro también servidero de la parroquia de Sta. Alaría de Aguila-Fuente , en el obispado de Segovia, á D. Domingo Fernandez Trapero, con la obligación que tiene anexa: para o</t>
  </si>
  <si>
    <t>Cetto</t>
  </si>
  <si>
    <t>dos millones de florines. Dos hombres perdieron la vida. Augsburgo ap de Julio. A yer llegaron aquí Mr. Cetto, Ministro que fue del Elector de Baviera en París, y Mr. Hamier, Encargado de negocios del Rey de Prusia en Munich. Vienen con el objeto de que el General Moreau rebaxe parte de l</t>
  </si>
  <si>
    <t>su Ministro Mr. Montgelás, salió de allí el mismo dia.__ También ha recibido el Elector pliegos de Mr. Cetto, su Enviado en París. Créese que las negociaciones entre Francia y Baviera siguen con esperanzas de que al fin produzcan una paz separada baxo garantía del Rey de Prusia. Quando u</t>
  </si>
  <si>
    <t>Cevallos, Fulgencio</t>
  </si>
  <si>
    <t>Fulgencio Cevallos</t>
  </si>
  <si>
    <t>ía Ruano, D. Joseph de Balbiani, Don Juan de Herrera, D. Rafael de Irazabal, D. Francisco González, D, Fulgencio Cevallos , D. Benito Sandoval, D. Antonio Galindo, D. Diego del Barco, Di Gabriel de Torres , D. Manuel Saenz Ramírez, D. Francisco de Hore é Iturralde, D. Francisco de Reyna, D. Manuel Do</t>
  </si>
  <si>
    <t>Cevallos, Juan</t>
  </si>
  <si>
    <t>Juan Cevallos</t>
  </si>
  <si>
    <t>á metropolitana de' Lima á D. Julián Carríon; y para la Ración, que este -déxa, al Medios-Racionero D. Juan Cevaiíos. Igualmente en atención á la aptitud, méritos y circunstancias de Don Juan de Palacios, Contador ‘interino de diezmos dé la catedral de Cuzco, día venido S. M. en concederle la pr</t>
  </si>
  <si>
    <t>Cevallos, Santiago</t>
  </si>
  <si>
    <t>Santiago Cevallos</t>
  </si>
  <si>
    <t>remio D. Juan de Soto y D. Saturnino Perez; con el segundo D. Juan de Colmenera, D. Fernando Cacho, D. Santiago Cevallos y D. Antonio Proto Alvarez; y con el tercero D. Antonio Bustamante, D. Julián Diaz, D. Julián Cartabuenaj</t>
  </si>
  <si>
    <t>Cevallós, Vicente</t>
  </si>
  <si>
    <t>Vicente Cevallós</t>
  </si>
  <si>
    <t>naderos D. Antonio Marinelerena: en el de Asturias á segundo Teniente de granaderos al de fusileros D. Vicente Cevallós; y á segundo Teniente al Subteniente de granaderos, graduado de Teniente, D* Juan Antonio Abal: en el de Ultonia a primer Teniente de granaderos ai de fusileros D. Guillermo Marra</t>
  </si>
  <si>
    <t>Chabert, General</t>
  </si>
  <si>
    <t>General Chabert</t>
  </si>
  <si>
    <t>chmann, Roverea y Salís. Esta disposición no ha sido aprobada por muchos republicanos. Ha tomado el General Chabert el mando de las tropas francesas en Berna en lugar del General Muller. París 27 de Enero. E 1 General Bernadotte ha sido nombrado Consejero de Estado por lo relativo á ios asuntos d</t>
  </si>
  <si>
    <t>Chabran, General</t>
  </si>
  <si>
    <t>General Chabran</t>
  </si>
  <si>
    <t>uniciones. El exército pasó el monte de S. Bernardo los dias 17, 18, 19 y 26. El 16 la división del General Chabran habla pasado el monte pequeño del mismo nombre. La mayor dificultad era,el transporte de ja artillería. El monte de S. Bernardo estaba.cubierto de nieve, y la subida es en extremo</t>
  </si>
  <si>
    <t>dad no supo que estaban en Italia hasta 24 horas antes de entrar aquí.__ Dos cañones de á 12 que el General Chabran mandó colocar contra el castillo de Bard, hiciéron brecha, lo qual le obligo á capitular. Hallamos en él 18 piezas de artillería, y 400 hombres de guarnición, los quales quedaron</t>
  </si>
  <si>
    <t>enemigos que defendía las cercanías del Bórmida, y lo batió, tomándole 3 cañones y 100 hombres. El General Chabran venia con su división hácia la orilla del Po por frente de Valencia; y de consiguiente el camino de Génova quedaba cortado á los enemigos, quienes ya no tenían sino este solo punt</t>
  </si>
  <si>
    <t>Generales de división, 22 Generales de brigada y 12 Ayudantes generales. Uno de los primeros es el General Chabran, que mandaba aquí. Le reemplaza en dicho mando el General Soult. Están ya enteramente derribadas las fortificaciones de esta ciudad. Se ocupa este gobierno en juntar caballos para</t>
  </si>
  <si>
    <t>Chacón, Francisco</t>
  </si>
  <si>
    <t>Francisco Chacón</t>
  </si>
  <si>
    <t>ic6ó Sevilla, vacante por fallecimiento de D. Ignacio Zalduendo, á D. Francisco Chacón: para la Ración, que este dexa, al Medio-Racionero D. Angel María de Guzman : para esta Media-Ración á D. Juan Fernandez Soler: para otra Canongía, vacante en dicha iglesia metrop</t>
  </si>
  <si>
    <t>Chamberí, General</t>
  </si>
  <si>
    <t>General Chamberí</t>
  </si>
  <si>
    <t>al primer Cónsul la prisión de este xefe en carta del 16, diciéndole: „ Acabo de recibir avisos del General Chamberí hac , en que me participa que al fin consiguió coger á los 7 xefes de los rebeldes; y son Pedro María Luis de Frotté, Mariscal de Campo, y caballero de S. Luis: Caumargue, Hugon y</t>
  </si>
  <si>
    <t>Chamberíhac, General</t>
  </si>
  <si>
    <t>General Chamberíhac</t>
  </si>
  <si>
    <t>a fecha en París á 27 de este mes, en que le dice: „Ciudadano Cónsul. Acabo de recibir noticias del General Chamberíhac. Me comunica que después de reunirse y de combinar sus* operaciones con el General Merle, consiguieron ambos alcanzar á los chouanes. Empezó la acción cerca de Mortagne, y no fina</t>
  </si>
  <si>
    <t>Chamberlac, General</t>
  </si>
  <si>
    <t>General Chamberlac</t>
  </si>
  <si>
    <t>case á'M.ps austriacos, y los acometiese en qualquier parte en que los hallase. Di t|mbien orden al General Chamberlac para que siguiese este movimiento, y á losa Generales Monnier y Gardanne para que atravesasen prontamente ei Po con sus divisiones. Aun no teníamos al otro lado del rio sino el cu</t>
  </si>
  <si>
    <t>Chamberlack, General</t>
  </si>
  <si>
    <t>General Chamberlack</t>
  </si>
  <si>
    <t>as del exército de reserva son de Martigní, en el pais de Vaud. El dia 16 emprendió la división del General Chamberlack su marcha para atravesar el monte de S. Bernardo, y en el espacio de 5 dias lo pasaron 45 2) hombres con su artillería y municiones.__ El primer Cónsul se hallaba el 16 por Ja noc</t>
  </si>
  <si>
    <t>Chamberlhac, General</t>
  </si>
  <si>
    <t>General Chamberlhac</t>
  </si>
  <si>
    <t>gido al primer Cónsul con fecha del 6 la si^ guíente carta t „ Ciudadano Cónsul. Habiendo sabido el General Chamberlhac que muchos xefes de chouanes se hallaban, reunidos en el castillo de Lacheaux, destacó el 3 á las 10 de la noche desde Brieúze al Ayudante general Dormenau con 450 hombres, encarg</t>
  </si>
  <si>
    <t>incipales oficiales párk qué pongan: sus tropas sobre 1^ defensiva; y espero vuestra respuesta.” El General Chamberlhac dirigió ál mismo Frotté una Carta eh que le' decía: „Las órdenes de mi gobierno me prohíben seguir vuestra cprrespondencía. Sin embargo, entregad al instante vuestras armas, e "ín</t>
  </si>
  <si>
    <t>Chamberlhac-, General</t>
  </si>
  <si>
    <t>General Chamberlhac-</t>
  </si>
  <si>
    <t>tiras contra los xefes de la República &amp;c.” Después de los elogios añade Lefebvre en posdata que el General Chamberlhac- debia salir el dia 7 de la Ferté-Macé para Domfront, habiendo los dias anteriores conseguido varias ventajas contra algunas partidas sueltas de rebeldes. $e está examinando en el tri</t>
  </si>
  <si>
    <t>Championnet, General</t>
  </si>
  <si>
    <t>General Championnet</t>
  </si>
  <si>
    <t>efectivamente en quarteles de invierno. París 7 de Enero. C on fecha del 21 de Diciembre escribe el General Championnet desde Niza al Ministro de Guerra, remitiéndole la relación circunstanciada que había ofrecido sobre la jornada del 14. Todo lo que comunica hace el mayor honor al denuedo de la ofici</t>
  </si>
  <si>
    <t>erencia muy larga con el Ministro prusiano Haugwitz. • De Niza escriben que por hallarse enfermo el General Championnet '•x</t>
  </si>
  <si>
    <t>e Mr. Mack íué arrestado contra el derecho de gentes ( supuesto que había conseguido pasaportes del General Championnet), no puede considerarse como prisionero de Osuerra. Las proposiciones de paz hechas por Bonaparte al Emperador de Alemania, y muy recomendadas por cierta corte poderosa, vienen á</t>
  </si>
  <si>
    <t>Chanukow, Almirante</t>
  </si>
  <si>
    <t>Almirante Chanukow</t>
  </si>
  <si>
    <t>y Cronstad se armarán 12 navios de Jínefa, que saldrán á principios de la primavera mandados por el Almirante Chanukow. Ha conferido este Soberano al General Michelson la comandancia de la península de Crimea. El número de embarcaciones que en el discurso del año último entráron en este puerto no</t>
  </si>
  <si>
    <t>te mes á Krasnaja-Gork, distante 35 werstas de Peterhoff, en donde se había juntado la esquadra del Almirante Chanukow en número de 12 navios de línea , 2 fragatas y un aviso. A cierta distancia de la costa meridional se hallaba surta la fragata nombrada Manuel, para repetir las señales que el Enape</t>
  </si>
  <si>
    <t>uques menores. Todas las fuerzas navales destinadas para dicha campaña estarán baxo las órdenes del Almirante Chanukow. £1 Vice-Almirante Makarow mandará la vanguardia, y el Vice-Almirante Baratinskoi la retaguardia.” Riga 14 de Setiembre. H; abiéndóse ajustado las desavenencias entre Dinamarca é</t>
  </si>
  <si>
    <t>se armarán inmediatamente los 26 navios de línea, las fragatas y buques menores que ha de mandar el Almirante Chanukow, y se pondrán al instante en franquía. Para ingeniero en xefe en el exército del Conde de Pahlen está nombrado el Mayor general Sulimow; y para el mismo destino en el del General</t>
  </si>
  <si>
    <t>Chapmann, Almirante</t>
  </si>
  <si>
    <t>Almirante Chapmann</t>
  </si>
  <si>
    <t>un monumento de mármol en la sala de los modelos de la esquadra de Carlscrona en honra del célebre Almirante Chapmann, que aunque cargado de años vive todavía, y es muye-conocido en Europa por su gran talento en el arte de la construcción naval. Con motivo de los alborotos que hubo en la clase de</t>
  </si>
  <si>
    <t>Chaptal</t>
  </si>
  <si>
    <t>eltos de á 6 estampas á 8 rs. Elementos de química , escritos en francés por el ciudadano Chaptal , profesor de química en Mompeller , .traducidos por D Higinio Antonio L «rente, Médico honorario de cámara de S M. y catedrático de química en esta Corte , tr</t>
  </si>
  <si>
    <t>iendo resarcimiento á las personas que han tenido pérdidas”. (Se concluirá.) El ciud. Chaptal publicó el año último un nuevo método para blanquear el algodón mediante el vapor del álkali fixo, y daba esperanzas de que la misma ventaja produciría para el</t>
  </si>
  <si>
    <t>Chatillon</t>
  </si>
  <si>
    <t>Chavarri, Andrés</t>
  </si>
  <si>
    <t>Andrés Chavarri</t>
  </si>
  <si>
    <t>os Subtenientes D. Lázaro Ruiz y D. Rafael Espinosa, y á estas resultas á los segundos Subtenientes D. Andrés Chavarri y D. Isidro Gil: en el de Soria á segundo Teniente al Subteniente de granaderos D. Ventura Macia y Areni; á Subteniente de granaderos al primer Subteniente D. Santiago Lobera, y á pri</t>
  </si>
  <si>
    <t>Chavarría, Joseph</t>
  </si>
  <si>
    <t>Joseph Chavarría</t>
  </si>
  <si>
    <t>onde de la Vega del Ren: en el de milicias urbanas de caballería de Ferreñafe á Teniente al Alférez D. Joseph Chavarría: últimamente, en el de milicias urbanas de dragones de la Victoria de los valles de Acarí y Chala á Teniente al Alférez D. Tomas Navarro. En cumplimiento de lo resuelto por S. M.,</t>
  </si>
  <si>
    <t>Chelil, Miguel Rafael</t>
  </si>
  <si>
    <t>Miguel Rafael Chelil</t>
  </si>
  <si>
    <t>e de grana-&gt; deros al de fusileros D. Vicente de Juan ; á primer Teniente al segundo; de granaderos D. Miguel Rafael Chelil á segundo Teniente de granaderos r al de fusileros D. Andrés Montruqui; á segunda Teniente al Subteniente de^ cranaderos D, Cayetano Maffey; á Subteniente de granaderos ab primer</t>
  </si>
  <si>
    <t>Chialamberto, Conde</t>
  </si>
  <si>
    <t>Conde Chialamberto</t>
  </si>
  <si>
    <t>cana. El Rey de Cerdeña llegó el día 23 á Frascati con algunas personas de su corte, entré ellas él Conde Chialamberto, su Ministro de Estado. TJ* Toledo j4 de Agosto. JlL\ 23 del mes último á las 6 de la tarde cayó en el rio Tajo una muchas cha de 10 años, llamada Ramona Oñate* Un hombre qüe sabe</t>
  </si>
  <si>
    <t>Chimeno, Manuel</t>
  </si>
  <si>
    <t>Manuel Chimeno</t>
  </si>
  <si>
    <t>edespierres: en el de infantería de la Corona á segundos Tenientes de granaderos á los de fusileros D. Manuel Chimeno y D. Juan Rosini; á segundos Tenientes á los Subtenientes de granaderos D. Ambrosio Aloy y D. Manuel Gamindez; á Subtenientes de granaderos á los primeros Subtenientes D. Lázaro Ruiz</t>
  </si>
  <si>
    <t>Chin Moles</t>
  </si>
  <si>
    <t>de S. Antonio Abad para guardar la salud de los animales: traducida por D.-Jóa¿ Chin Moles, presbítero. Se hallará en la imprenta y librería de Blánques, callé lele las Carretas. Guia dé litigantes y pretendientes para el año de i8ck&gt;. Véndese en la libre*» ría de Campo, calle de A</t>
  </si>
  <si>
    <t>Chinchilla Chichina y Vilches, Francisco Xavier</t>
  </si>
  <si>
    <t>Francisco Xavier Chinchilla Chichina y Vilches</t>
  </si>
  <si>
    <t>arques: para la Canongía de la catedral de León, vacante por fallecimiento de D. Domingo Gastaña, á D. Francisco Xavier Chinchilla Chichina y Vilches: para otra Canongía de la catedral de Falencia, vacante por promoción de D. Francisco Mulero Delgado , á D. Joseph Marín: para la Ración de la colegial de Antequera, diócesis de M</t>
  </si>
  <si>
    <t>Chinchilla Chiiana y Vilches, Francisco Xavier</t>
  </si>
  <si>
    <t>Francisco Xavier Chinchilla Chiiana y Vilches</t>
  </si>
  <si>
    <t>riano Villota: parada Canongía, que este dexa, al Racionero D. Alexo de Paredes: para esta Ración á D. Francisco Xavier Chinchilla Chiiana y Vilches?: para la Canongía de</t>
  </si>
  <si>
    <t>Chiva, Joseph</t>
  </si>
  <si>
    <t>Joseph Chiva</t>
  </si>
  <si>
    <t>graduado de. Capitán, y D. Francisco Diaz Galazo; á segundo Teniente de granaderos al de fusileros D. Joseph Chiva; á segundos Tenientes á los Subtenientes de granaderos D. Francisco del Pozo y D. Julián Navajas, este graduado de Teniente; á Subtenientes de granaderos á los primeros Subtenient</t>
  </si>
  <si>
    <t>Teniente D. Juan de la Mata; á primeros Tenientes á los segundos de granaderos D. Manuel Amatria , D. Joseph Chiva y D. Rafael Escovar; á segundos Tenientes de granaderos á</t>
  </si>
  <si>
    <t>Chnstobal Arismendi</t>
  </si>
  <si>
    <t>rgarita al Subteniente y Cadetes de dichas milicias D. Pedro Arismendi, D. Juan Bautista Arismendi, D. Chnstobal Arismendi y D. Rafael de Guevara; Tenencias a los Cadetes D. B as Marcano y D. Francisco de Guevara, y Subtenencias al Teniente de las milicias urbanas y á los Cadetes de las disciplinadas D. F</t>
  </si>
  <si>
    <t>Chofi, Mateo</t>
  </si>
  <si>
    <t>Mateo Chofi</t>
  </si>
  <si>
    <t>ro de la parroquial de la villa de Alams, en el arzobispado de Sev.na, vac.mte por fallecimiento de D. Mateo Chofi» , a D. Manuel Joseph Delgado; v para otro simple servidero del lugar de Fcrmoselle, en k diócesis de Zamora, vacante por muerte de D- Pedro Manuel de loa, a D. oscra En ei regimi</t>
  </si>
  <si>
    <t>Chrestíen</t>
  </si>
  <si>
    <t>Domingo un cuerpo crecido dé tropas, baxo las órdenes del General Sahuguet. £1 ciud. Chrestíen, médico de Montpeller, acaba de hacer uso con la mayor felicidad de la tintura de quina en fricciones para curar fiebres intermitentes. Dicho facultativo se pr</t>
  </si>
  <si>
    <t>Chrisóstomo Abadía y Lobera, Juan</t>
  </si>
  <si>
    <t>Juan Chrisóstomo Abadía y Lobera</t>
  </si>
  <si>
    <t>ara alivio de los presos de las cárceles de Madrid , dixo en la de villa el 12 de Enero el socio P. D. Juan Chrisóstomo Abadía y Lobera, Clérigo Reglar de S. Cayetano, Doctor en sagrada Teología, Exáminador sinodal de este arzobispado y Predicador de S. M. Se bailará en rústica á % rs. en la librería de Castillo ,</t>
  </si>
  <si>
    <t>Chrisóstomo Mañero, Juan</t>
  </si>
  <si>
    <t>Juan Chrisóstomo Mañero</t>
  </si>
  <si>
    <t>D. Toribio Ximenez : para otra de la de Tarazona, vacante por fallecimiento de D. Antonio Ximeno, á D. Juan Chrisóstomo Mañero: para la Media-Ración, vacante en la catedral de Córdoba por fallecimiento de D. Pedro Carlos Avalle, á D. Bernardo García Cañete: para otra Media-Ración de la de Segovia, vacante</t>
  </si>
  <si>
    <t>Christiano de Dos-Puentes, Teniente General</t>
  </si>
  <si>
    <t>Teniente General Christiano de Dos-Puentes</t>
  </si>
  <si>
    <t>adas por los ingleses permanecen todavía en la línea del exército de Mr.Kray cerca de Muhldoríf. El Teniente General Christiano de Dos-Puentes, que manda dichas brigadas, ha llegado al quartel general austríaco. Francfort j.i de Agosto. A las tropas del exército galo-bátavo, cuyo quartel general está en Soden no léjos de</t>
  </si>
  <si>
    <t>Christiano FH</t>
  </si>
  <si>
    <t>na panamensis, género nuevo : observaciones geonósticas que hizo D. Gniilelrao ThaJacker , y ordenó D. Christiano FH®rrgen: catálogo científico de las producciones mineralógicas que traxo. D. Gui1 Hiel00 Thalacker: c&amp;icedoniá de Panamá: descripción de un gravímetro poi el Cüludi, Guitón: discurs</t>
  </si>
  <si>
    <t>Christiano Herrgen</t>
  </si>
  <si>
    <t>posible, pues de otro modo quedarán excluidas del beneficio quese expresa en la citada Real orden. D. Christiano Herrgen, profesor del Real estudio de Mineralogía, establecido en Madrid en la calle del Turco junto al almacén de cristales,, empieza sus lecciones de la parte orictognóstica de esta cie</t>
  </si>
  <si>
    <t>Christóbai González de AiJer</t>
  </si>
  <si>
    <t>ros, graduado de infantería, D.,Nicolás Rendoro; Tenencias de fusileros al Subteniente de cazadores D. Christóbai González de AiJer, y al de fusileros D. Juan María García; las Subtenencias de granaderos y cazadores á los Subtenientes de fusileros D. Manuel Gil de la Torre, y D. 'ladeo Ortiz y Moreno, y la Sub</t>
  </si>
  <si>
    <t>Christobai Mestres</t>
  </si>
  <si>
    <t>te al primer Subteniente D. Mariano Colomer; á primer Subteniente al segundo, graduado de Teniente, D. Christobai Mestres; y á segundo Subteniente al de esta clase del primer batallón de Voluntarios de Cataluña D. Pedro de Calva. También se ha dignado S. M. nombrar Capellán del sexto batallón del reg</t>
  </si>
  <si>
    <t>Christpfcai Crucet</t>
  </si>
  <si>
    <t>3CP ptíos , de i.° de Julio del nón:o año , núm. $2,973. Quien supiese de ellos avisará en Málaga $ D, Christpfcai Crucet, y en Madrid á D. Manuel de Sampelayo, En la gazeta de 28 de Octubre dé 1796, mím. 87, se dió noticia de que Don Manuel Blanco habia fallecido en la ciudad de los Reyes del Perú,</t>
  </si>
  <si>
    <t>Cia, Joseph María</t>
  </si>
  <si>
    <t>Joseph María Cia</t>
  </si>
  <si>
    <t>. Andrés Bestigui, los seminaristas D. Francisco Necochea, D. Pedro Goossens, D. Joseph Fermín Cia, D. Joseph María Cia, D. Pedro Tavira, D. Rodrigo Tavira, D. Raymundo Cia, D. Joseph de Arellano y D. Joacliín Fernandez de Medrano. En sintaxis, baxo la dirección de D. Rufino Espada, D. Antonio Gilm</t>
  </si>
  <si>
    <t>Ciara de la Dehesa Felipe</t>
  </si>
  <si>
    <t>ancisco de las Barreras. * El 27 de Setiembre remitió D. Tomas Órtiz deXanzagorta, de esta corte, á Doña Ciara de la Dehesa Felipe, Abadesa del convento de Santa Clara de la villa de Astudillo en Castilla la Vieja, un vale Real de igo pesos, creación de Setiembre, número 104,173, con el recibo de intereses, y</t>
  </si>
  <si>
    <t>Cíarke, General</t>
  </si>
  <si>
    <t>General Cíarke</t>
  </si>
  <si>
    <t>ién ha muerto en Basilea el célebre botanista Lachenal. Nanci 6" de Octubre. H an salido de aquí el General Cíarke y el Secretario general de I*a Prefectura de este departamento. Van á Luneville á ñn de acelerar las disposiciones y obras que hay que hacer para la celebración del congreso. Rochefor</t>
  </si>
  <si>
    <t>Cibidancs, Juan Manuel</t>
  </si>
  <si>
    <t>Juan Manuel Cibidancs</t>
  </si>
  <si>
    <t>segundos Tenientes á los Subtenientes de granaderos £). Francisco Samaniego, graduado de Teniente, D. Juan Manuel Cibidancs y D. Rafael Bracho, y á los primeros Subtenientes Don Joseph Suarez y D. Joseph Berdot; á Subtenientes de granaderos á los primeros Subtenientes D. Vicente Hernández, D. Manuel Santia</t>
  </si>
  <si>
    <t>Cienfuegos, Joseph</t>
  </si>
  <si>
    <t>Joseph Cienfuegos</t>
  </si>
  <si>
    <t>nos, su promotor, encargado por S. M. de perfeccionar este establecimiento, del Teniente de Fragata D. Joseph Cienfuegos, su vice-director, y de todos sus protesores y auxiliares. Se abrió el primero por un eloqüente elogio, que pronunció el profesor de humanidades castellanas D. Juan Lespardat, de</t>
  </si>
  <si>
    <t>Ciezar y Bocanegra, Salvador</t>
  </si>
  <si>
    <t>Salvador Ciezar y Bocanegra</t>
  </si>
  <si>
    <t>. Francisco Torralbo y Valenciano ,#D. Joseph García de Prado y Osorno, D. Manuel Ristori y Medina, D. Salvador Ciezar y Bocanegra, D. Bonifacio de Tosta y Montano, D. Joachín de Abreu y Orta y D. Jayme Michelena y Moreno. En 3.a fecha. D. Juan Valdés é Inclan, D. Juan Calderón y Laso de la Vega, D. Gabriel O</t>
  </si>
  <si>
    <t>Cifre y García, Pedro</t>
  </si>
  <si>
    <t>Pedro Cifre y García</t>
  </si>
  <si>
    <t>omas Querol, Subtenientes del mismo, y á Subtenientes de bandera á D. Manuel Llistar de Alegría y á D. Pedro Cifre y García: en el de Alicante y Orihuela á Capitanes á D. Fernando Martínez Aguilar y D. joachín Germán, Capitanes agregados al mismo cuerpo, y á Tenientes á los agregados en esta elase D. A</t>
  </si>
  <si>
    <t>Cifuentes, Joseph María</t>
  </si>
  <si>
    <t>Joseph María Cifuentes</t>
  </si>
  <si>
    <t>á dirección del profesor de matemática, los alumnos que concluyeron el tercer curso de esta ciencia D. Joseph María Cifuentes y D. Andrés Menendez Sala. 4.0 En los estudios núm. i.° y 2.0 y en cosmografía, navegación, maniobra y dibuxo científico, baxo la dirección del profesor de náutica, los alumnos del te</t>
  </si>
  <si>
    <t>emios según el dictamen del director y profesores en la forma siguiente: El primero de matemática á D. Joseph María Cifuentes, y el primero de náutica á D. Toribio Cifuentes, cuyos nombres fueron inscriptos públicamente en la tabla de graduación. El segundo de matemática no se adjudicó por falta de concu</t>
  </si>
  <si>
    <t>Cipriano</t>
  </si>
  <si>
    <t>Reales, úno'de, 3*00 pesos ¡¡núm. 73,036,7 otro de 130 pesos, núm 303,927, que pertenecían al mismo D. Cipriano , y ahora pertenecen á su hermana Doña Xeonarda de Campos, muger de D. Ventura Madrigal, de la villa de lllescas , sin que se sepa si estaban endosados , ó si se hallaban con firm</t>
  </si>
  <si>
    <t>Cirbied</t>
  </si>
  <si>
    <t>Bonaparte. También le aa'mucháiLgra4? cías por haberlo coníiado al cuidado del ciud. Cirbied. A-Sam mancha con4» tentó; y espera ¡volver á Francia de aquí á 4 años/con géneros de la Chinv y entre tanto rinde á Bonaparte los homenages debidos a su grand</t>
  </si>
  <si>
    <t>Cirer, Vicente María</t>
  </si>
  <si>
    <t>Vicente María Cirer</t>
  </si>
  <si>
    <t>879 sa á Alférez al Cadete D. Vicente María Cirer. También se lia servido S. M, nombrar Capitán de la compañía de fusileros Guarda Bosques Reales al Capitán primero, graduado de Teniente Coronel del primer batallón de Voluntarios</t>
  </si>
  <si>
    <t>Cirilo de Morant</t>
  </si>
  <si>
    <t>cocr. D. Francislos Cadetes 6! Santiago de Morant, D. LuisDanoy, D. Luis Bouligny, n Luis Gavarre V D. Cirilo de Morant, y los Sargentos pr.meros Don Francisco iCodrigtiez y D. Diego Salazar. E, atención á la áisfmguida calidad y circunstancias que concurren en Doña Tuana Tosepha de Herce y Dulce,</t>
  </si>
  <si>
    <t>Cirilo Tubo</t>
  </si>
  <si>
    <t>co; y ha nombrado Capellán del primer batallón del regimiento dé infantería de Toledo al presbítero D. Cirilo Tubo; habiendo también promovido á Alférez del de dragones de Ja Rey na al Cadete Don Juan Terrats.*</t>
  </si>
  <si>
    <t>Cirios III</t>
  </si>
  <si>
    <t>s. en pergamino y 16 C“ Sueños escritos por el P. Joseph Francisco de Isla en la exáltacion del Sr. D. Cirios III : su precio a rs. y puede ir en carta. Se hallara en la librería de Hurtado, cálle de las Carretas. .... 1 ... , Reglas para: saber acompañar con facilidad el organo. Vendense en</t>
  </si>
  <si>
    <t>Ciscar, Gabriel</t>
  </si>
  <si>
    <t>Gabriel Ciscar</t>
  </si>
  <si>
    <t>ladas. Memoria elemental sobre los nuevos pesos y medidas decimales fundados en la naturaleza ; por D. Gabriel Ciscar , Capitán de Navio de la Real Armada, miembro de Ja comisión de pesos y medidas del instituto nacional de Francia por parte de S. M. Católica. Se vende en el despacho de la impren</t>
  </si>
  <si>
    <t>arreglo á la memoria elemental que de orden de S. M. publicó el Gapítan de navio de la Real Armada D. Gabriel Ciscar , que se encargó particularmente á Perez del Cerro. Fué crecido y brillante el concurso á estos actos, de los cuerpos eclesiásticos, militares y municipales, hallándose entre los</t>
  </si>
  <si>
    <t>Cisneros de la Oliva, Felipe</t>
  </si>
  <si>
    <t>Felipe Cisneros de la Oliva</t>
  </si>
  <si>
    <t>de la misma Audiencia D. Francisco Xavier Moreno y Escandon : para esta resulta al Oidor de Manila D. Felipe Cisneros de la Oliva: para esta plaza á D. Joseph de Avala ; y para la Fiscalía de lo civil y criminal de la Audiencia de Caracas, vacante por fallecimiento de D. Francisco Morales Gabaldon, á D. Dieg</t>
  </si>
  <si>
    <t>Cito, Joachín</t>
  </si>
  <si>
    <t>Joachín Cito</t>
  </si>
  <si>
    <t>granaderos al de fusileros D. Lorenzo de Sierra: á primeros Tenientes á los segundos de granaderos D. Joachín Cito y D. Miguel Heredia: á segundos Tenientes de granaderos á los de fusileros D. Joachín de Tejada y D. Francisco de Torres: á segundos Tenientes al primer Subteniente D. Antonio Arríete</t>
  </si>
  <si>
    <t>Claessens, Manuel</t>
  </si>
  <si>
    <t>Manuel Claessens</t>
  </si>
  <si>
    <t>idoro de Ojea, Pilotín de los Correos marítimos, fuéron examinados de aritmética D. Antonio Huárte, D. Manuel Claessens, D. Ramón Claessens y D. Ignacio de Lardizabal. De aritmética y principios de geometría D. Martin de Llano, Cadete de Reales Guardias Walonas, y D. Joseph María de Esponda. De álg</t>
  </si>
  <si>
    <t>Claessens, Ramón</t>
  </si>
  <si>
    <t>Ramón Claessens</t>
  </si>
  <si>
    <t>n de los Correos marítimos, fuéron examinados de aritmética D. Antonio Huárte, D. Manuel Claessens, D. Ramón Claessens y D. Ignacio de Lardizabal. De aritmética y principios de geometría D. Martin de Llano, Cadete de Reales Guardias Walonas, y D. Joseph María de Esponda. De álgebra elemental D. Luis d</t>
  </si>
  <si>
    <t>Clara Fernández Sierra, María</t>
  </si>
  <si>
    <t>María Clara Fernández Sierra</t>
  </si>
  <si>
    <t>a viña de cabida de 11 aranzadas, con su corral, pozo, casa y lagar, perteneciente á la obra pia de Doña María Clara Fernandez Sierra , tasada en 44,665 rs. y renta 900. Intendencia de Jaén. Villa de Valdepeñas : una casa cortijo, con tierras de labor y monte, de cabida de 900 cuerdas, perteneciente á la obra pi</t>
  </si>
  <si>
    <t>Clara Sánchez</t>
  </si>
  <si>
    <t>o otfo vale de i¡jo pesos, creación de 15 de Marzo, número 372,042, endosado en 10 de Noviembre por Doña Clara Sánchez á favor de Don Euscbio Medrano , Capitán de infantería, y vecino de Ja ciudad de Náxera, adonde se le dirigió en 5 de Diciembre. Quien lo haya bailado lo remitirá á dicho D. Enseb</t>
  </si>
  <si>
    <t>Claramunt, Rafael</t>
  </si>
  <si>
    <t>Rafael Claramunt</t>
  </si>
  <si>
    <t>Feria, Corregimiento de Gerona........................................ 5 5; 30. Rafael Claramunt, hijo de Lorenzo y Teresa, natural de Lérida, Corregimiento ídem.................................. 55. 30. Joseph Huguet, hijo de Pedro y Teresa, natural de Tora, Corregimiento de Cerve</t>
  </si>
  <si>
    <t>Clarck, General</t>
  </si>
  <si>
    <t>General Clarck</t>
  </si>
  <si>
    <t>e la India que los portugueses han consentido se entregue á las fuerzas británicas, mandadas por el General Clarck, 3a factoría de Goa y sus dependencias. Créese que el gobierno ingles de Bombay se trasladará á Goa, por quanto esta ciudad está mas inmediata que aquella á las nuevas posesiones</t>
  </si>
  <si>
    <t>Clark, General</t>
  </si>
  <si>
    <t>General Clark</t>
  </si>
  <si>
    <t>del armisticio de 6 meses entre franceses y austríacos, sino de uno de 40 di as. Se asegura que el General Clark, Secretario particular del primer Cónsul de Francia, ha salido de París con un encargo sumamente importante. Bruselas 2 de Marzo. S egun cartas recientes de Alemania no tiene duda</t>
  </si>
  <si>
    <t>Clarke, General</t>
  </si>
  <si>
    <t>General Clarke</t>
  </si>
  <si>
    <t>gobierno en la India socorros, que le fueron concedidos; y solamente á su solicitud entró en Goa el General Clarke. Es muy probable que al hacerse la paz general se devuelva aquella colonia á S. M. Fidelísima.**'__ Contra esto se observa que quando el mencionado General ingles entró con sus tr</t>
  </si>
  <si>
    <t>ras del mismo dia, sobre la entrega de Goa y sus dependencias á las tropas de S. M. mandadas por el General Clarke, carece de verdad.” Acaba de llegar á Inglaterra Mr. Sitgreaves, uno de los Comisarios enviados por los Estados-Unidos para quejarse de la inobservancia de algunos artículos del t</t>
  </si>
  <si>
    <t>inistros de las naciones que vengan á esta ciudad á ajustar la paz de Europa. Esperamos en breve al General Clarke, que mandará aquí durante dicho congreso. También se dispone un teatro público.” Han muerto en Alemania el Cardenal Larochefoucaúldt y el Obispo de Clermont,</t>
  </si>
  <si>
    <t>entró aquí el Plenipotenciario del Emperador fué recibido con salva de artillería. El Ayudante del General Clarke s.dió X recibirle á Kell, y vino acompañándole con una partida de húsares. Apenas llegó á esta ciudad dicho Ministro imperial,pasó á su alojamiento una guardia de 50 hombres con u</t>
  </si>
  <si>
    <t>francés con motivo de su feliz llegada. Dicho Ministro y el Conde de Cobentzel comiéron en casa del General Clarke. El dia 9 se comunicaron dichos Ministros sus plenipotencias respectivas: y siendo aquel dia el del cumpleaño de la ultima mudanza del gobierno francés, lo celebró el mismo Genera</t>
  </si>
  <si>
    <t>es. Uno de ellos hsbia salido de aquí para Inglaterra con pliegos de Mr. Cobentzel y pasaportes del General Clarke.</t>
  </si>
  <si>
    <t>Clarke----- Se, General</t>
  </si>
  <si>
    <t>General Clarke----- Se</t>
  </si>
  <si>
    <t>égrafo, que se coloca en aquella ciudad para seguir la correspondencia.'También llegó la espesa del General Clarke----- Se asegura que dur iite el congreso ti primer Cónsul residirá en Metz , con parte del Consejo de Estado: y aun añaden que ya se están disponiendo sus alojamientos. París 2Q de Octubr</t>
  </si>
  <si>
    <t>Classen</t>
  </si>
  <si>
    <t>ios de Hesse-Cassel: Mr. Signeul, Agente general del comercio y Encargado de negocios de Suecia 5 y Mr. Classen, Agente general del comercio de Dinamarca. Las credenciales de estos Embaxadores y Ministros fueron presentadas al primer Cónsul» quien las entrego al Ministro de Relaciones exter</t>
  </si>
  <si>
    <t>Claudia Donat</t>
  </si>
  <si>
    <t>uisiere hacer mejora acuda á la citada escribanía que se le admitirá. . Los herederos de la difunta Doña Claudia Donat, que murió en Bayona de Francia habrá cosa de 30 años , avisan á los deudores de su herencia , particularmente en el Reyno de Galicia, que si quieren hacer sus pagos á los acreedo</t>
  </si>
  <si>
    <t>Clausel, General</t>
  </si>
  <si>
    <t>General Clausel</t>
  </si>
  <si>
    <t>l Mengaud intentó pasar el Var por S. Martin;, pero no lo logró. El 29 la 4.a división al mando del General Clausel, y la caballería baxo las órdenes del General Ouesnel, entraron en N iza___El'General Rochambeau con’ su división penetró por JMagnon y S. Isidoro, y se apostó en las alturas de D</t>
  </si>
  <si>
    <t>Clauzel, General</t>
  </si>
  <si>
    <t>General Clauzel</t>
  </si>
  <si>
    <t>tas de esta ventaja queda libre de enemigos el territorio oriental de la República__-La brigada del General Clauzel de la división de Lemoine hizo un ataque y sorprehendió cerca de Monteremo á los enemigos, los quales perdieron 200 hombres, inclusos 4 oficiales. En Roma se ha prohibido la salida de g</t>
  </si>
  <si>
    <t>sioneros. Entre nuestros muertos contamos con sentimiento al valeroso xefe de batallón Clavel.__ El General Clauzel peleó todo el dia 10 en las alturas inmediatas á Santiago, é hizo prisioneros 150 granaderos húngaros. El xefe de batallón Chevalier perdió la vida; seguimos peleando todo el dia</t>
  </si>
  <si>
    <t>ai ataque general, mandó desde luego atacar el primer puesto que ocupaban los enemigos , y. que el General Clauzel lo ganó cogiendo en él 300 prisioneros, inclusos 13 oficiales. El dia 20 llegó á las manos con los enemigos; pero aunque la acción fue muy reñida, y se usó dei arma blanca, 110 ga</t>
  </si>
  <si>
    <t>Clavería, Juan</t>
  </si>
  <si>
    <t>Juan Clavería</t>
  </si>
  <si>
    <t>ue sea necesario elegir superior á número de votos &amp;c. : por el M. R. P. M. Fr. Juan Clavería, hijo y Regente del Real Colegio de Predicadores de Zaragoza. Se hallará á 5 rs. en pergamino y 6 en pasta en la librería de Bravo , calle de las Carretas , en los puestos del diario, c</t>
  </si>
  <si>
    <t>Clavijo, Rafael</t>
  </si>
  <si>
    <t>Rafael Clavijo</t>
  </si>
  <si>
    <t>a Causa pública. Asimismo ha merecido su Real aprecio el zelo activo con que ©1 Brigadier de Marina D. Rafael Clavijo, Comandante general de los correos marítimos, habilitó 4 de las lanchas cañoneras de la plaza de la Coruña, que puso á su. disposición D. Francisco Xa</t>
  </si>
  <si>
    <t>Cleere, Manuel</t>
  </si>
  <si>
    <t>Manuel Cleere</t>
  </si>
  <si>
    <t>fusileros D. Juan Fiztgerald y D. Jacobo Troche ; á segundos Tenientes al Subteniente dé granaderos D. Manuel Cleere, y á los primeros Subtenientes D* Juan Peirson y D. Guillermo Douning; á Subtenientes de granaderos á los primeros Subtenientes D. Mauricio Keating y D. Pedro Sarsiieid; á primero</t>
  </si>
  <si>
    <t>Clemencia, Diego</t>
  </si>
  <si>
    <t>Diego Clemencia</t>
  </si>
  <si>
    <t>y de Salustio, con un discurso preliminar y una epístola .á Tácito: por D. Joseph Mor de Fuentes, y D. Diego Clemencia. Se hallará á 8 rs. en rústica en las librerías de Castillo, frente á las gradas de S. Felipe, de Gómez , calle de las Carretas; y enZaragoza en la de Monge. Compendio cronológico</t>
  </si>
  <si>
    <t>Clement, General</t>
  </si>
  <si>
    <t>General Clement</t>
  </si>
  <si>
    <t>s que hay en Coni se ha echado de allí la mayor parte de¿ vecindario. Manda en aquella fortaleza el General Clement. Habiéndole intimado la rendición el General Melas, le respondió': Soy francés, y los franceses no se rinden hasta estar vencidos. ” ¿l'exércitoTrances se ha dividido, y ocupa alg</t>
  </si>
  <si>
    <t>tud que se manifestó un rato en aquella ciudad miéntras que el General Malher marchaba á Liorna. El General Clement, á quien habia yo enviado un correo el dia 12 para que ocupase á Lúea, me avisó que había entrado felizmente en aquella ciudad: alaba mucho la conducta del Coronel austríaco Siege</t>
  </si>
  <si>
    <t>e donde llego-ayer aquícl Teniente General Dupont, y al instante pasó á la junta de sanidad con el .General Clement. También ha venido de Florencia el General Miollis, y se espera al Ministro Petiet y al General Marmont. ^ r Tienen los ingleses bloqueado este puerto, y envían a Manon o a Fortof</t>
  </si>
  <si>
    <t>Clemente de Campos y Echeverría</t>
  </si>
  <si>
    <t>interesan noticias y papelead* mucha importancia* quien supiere de el, ó si ha fallecido, avisará á D. Clemente de Campos y Echeverría, Agente de Negocios de Indias, calle de juanelo* casa apeva, núm. Se abre subscripción al Espíritu del Semanario de Salamanca, en el qae, omitiendo las noticias particulares, en i</t>
  </si>
  <si>
    <t>Clemente de Cavia</t>
  </si>
  <si>
    <t>y no habiéndose recibido, la persona que lo tuviese lo remitirá á dichos interesados, ó en Madrid á D. Clemente de Cavia, que vive en la calle del Carmen. Quien quisiere hacer postura á una casa propia del Consejo de la Suprema , en la calle de los Tudescos, núm. 6, de la manzana 374, cuyo sitio ocu</t>
  </si>
  <si>
    <t>Clemente de Masdevall, Francisco</t>
  </si>
  <si>
    <t>Francisco Clemente de Masdevall</t>
  </si>
  <si>
    <t>Canongía de la catedral de Barcelona, vacante por fallecimiento de D. Francisco Xavier de Beccar, á D, Francisco Clemente de Masdevall, Canónigo de la de Gerona. En el regimiento de Reales Guardias Walonas se ha servido S. M. promover á Capitanes á los primeros Tenientes de granaderos D- Joseph Bassecourt de Mont</t>
  </si>
  <si>
    <t>Clemente Garoz</t>
  </si>
  <si>
    <t>infantería de Africa: Tenientes de granaderos de los de Toledo y Ciudad-Rodrigo á los de fusileros D. Clemente Garoz y D. Felipe Navarro: Tenientes de cazadores de los de Ronda y Plasencla á los de fusileros D. Salvador Linares y Taboadá y D. Julián Sarmiento y Corpa, este graduado de infantería: Su</t>
  </si>
  <si>
    <t>Clemente Gascón</t>
  </si>
  <si>
    <t>Rey se ha servido nombrar para la Canongía de la catedral de Segovia, vacante por fallecimiento de D. Clemente Gascón, á D. Pedro de Pablos: pura otra de la misma, que se halla vacante por la promoción de D. Ramón Zorrilla al Arcedianato de Sepúlveda, á D. Francisco Ribero Medrnno: para la Ración</t>
  </si>
  <si>
    <t>Clemente Lanza</t>
  </si>
  <si>
    <t>cisco CamiJIery y D. Bartolomé de la Vega; á Subtenientes de granaderos á los primeros Subtenientes D. Clemente Lanza, D. Atanasio Revuelta y D. Julián Zurita; á primeros Subtenientes á los segundos D. Carlos Vinuesa, D. Juan Luzuriaga, L&gt;. Casimiro Bastarrachea , D. Fernando Aívarez , D. Joseph</t>
  </si>
  <si>
    <t>gnacio Espinosa y D. Joseph Fortun y Mendoza; á segundos Tenientes á los Subtenientes de granaderos D. Clemente Lanza, D. Atanasio Revuelta y D. Julián Zurita; á Subtenientes de granaderos á los primeros Subtenientes D. Félix Melendez, D. Joseph Nevado y D. Narciso González; á primeros Subtenient</t>
  </si>
  <si>
    <t>Clemente Rodríguez de Truxillo</t>
  </si>
  <si>
    <t>io y Oficial mayor de las mismas Reales Caxas f). Policarpo Antonio de Jíchanove, por jubilación de D. Clemente Rodríguez de Truxillo, que obtenía este empleo: el de Administrador del estanco de pólvora de México y demás de aquel.arzobispado á D. Teodomiro,.Cañizares ; y el de Visitador del misrnp. rantQ _ai. Ca</t>
  </si>
  <si>
    <t>Clemente, Ignacio</t>
  </si>
  <si>
    <t>Ignacio Clemente</t>
  </si>
  <si>
    <t>aiten. Igualmente en el Real cuerpo de Artillería se ha servido S. M. promover aCapitán al Teniente D. Ignacio Clemente; y á Teniente al Subtenier.te D. Joseph de Miranda. . . , S M se ha servido promover en los regimientos de caballería: a Portacstándárte en el del Infante al Sargento D. Joseph Bl</t>
  </si>
  <si>
    <t>Cleraent, General</t>
  </si>
  <si>
    <t>General Cleraent</t>
  </si>
  <si>
    <t>ensenada enviaron á la junta de sanidad un 'parlamentario ,^ el iqual soiicitq conferenciar con:el -General Cleraent. Se verificp la conferenciayy concluida despacho, dicho General un correo- á Florencia*, desde donde llego-ayer aquícl Teniente General Dupont, y al instante pasó á la junta de sa</t>
  </si>
  <si>
    <t>Cliabran, General</t>
  </si>
  <si>
    <t>General Cliabran</t>
  </si>
  <si>
    <t>eneral Turreau, que manda las tropas francés sas en este pais, va á Bolonia, y le reemplaza aquí el General Cliabran. Ha creado el gobierno una junta de 5. vocales encargada del cuidado y administración de los bienes-llamados nacionales, y otra compuesta de 10 Sacerdotes seculares y regulares, q</t>
  </si>
  <si>
    <t>Climent y García, Antonio</t>
  </si>
  <si>
    <t>Antonio Climent y García</t>
  </si>
  <si>
    <t>Francisco Solís y Ximenez de Zucita, D. Joseph Pasalagua y Martínez, D. Diego de Aguirre y Rosales, D. Antonio Climent y García, D. Manuel de Cárdenas y Castillo de las Peñas, D. Juan Albornoz y Calafat, D. Joachín de Toledo y Parra, D. Joachín Leonés y Hernández Reyilo, D. Julián Leonés y Hernández Reyilo</t>
  </si>
  <si>
    <t>ClimentObispo de Barcelona, Joseph</t>
  </si>
  <si>
    <t>Joseph ClimentObispo de Barcelona</t>
  </si>
  <si>
    <t>e la misma Academia, calle de Alcalá, en el quarto del Conserge. Sermones panegíricos del limo. Sr. D. Joseph ClimentObispo de Barcelona; dos tomos en 4.0 Estos panegíricos, que comenzó á predicar el Sr. Climent el afio de 1736 , serán un auténtico testimonio de que ya entonces había en España quien predicaba las g</t>
  </si>
  <si>
    <t>Clive, Lord</t>
  </si>
  <si>
    <t>Lord Clive</t>
  </si>
  <si>
    <t>onfianza encontró y apresó á la altura de Cheduba el navio de la compañía de la India denominado el Lord Clive, que volvía de la China con un cargamento valsado en 80® pesos duros. Se ha descubierto recientemente que la levadura de cerveza es un gran</t>
  </si>
  <si>
    <t>Cobentze</t>
  </si>
  <si>
    <t>a paz: son allí muy freqüentes los consejos y conferencias entre los Ministros, á las quales asiste Mr. Cobentze!. La voz mas acreditada es que el Emperador no ha querido ratificar el convenio de Alexandría, y que sin embargo ha declarado al gobierno francés que está pronto á entrar en negoc</t>
  </si>
  <si>
    <t>Cobentzel</t>
  </si>
  <si>
    <t>presentase hasta conseguida dicha satisfacción. El ministerio aus-. triaco en vez de darla, mandó á Mr. Cobentzel se restituyese á Viena para nombrarle sucesor , y de resultas mandó también este gabinete á Mr. Sqwarow volviese á Rusia. ' Los emigrados franceses que naufragáron en Calais, y es</t>
  </si>
  <si>
    <t>ar á Viena hasta de aquí á algunos días; y aunque se dice que el General Moreau propuso acompañar á Mr. Cobentzel hasta Strasburgo, adonde recibida los pasaportes del primer Cónsul, no se admitió según parece esta proposición. De Viena escriben que el Barón de Thugnt pidió su retiro así que s</t>
  </si>
  <si>
    <t>rial, y le enseñe todos los establecimientos consagrados á las ciencias, artes y letras.._-Miéntras Mr. Cobentzel permanece ausente de Viena tiene Mr. de Colloredo el despacho de los negocios de estado. Han llegado deNápóles á Paris los dos hijos del celebrado Filangieri: el mayor tiene 15 añ</t>
  </si>
  <si>
    <t>iariamente se visitan los dos Ministros, y comen alternativamente el uno en casa del otro: bien que Mr. Cobentzel no ha salido de su posada los tres dias últimos por hallarse indispuesto. Aunque han llegado aquí muchos tapices, quadros y muebles para las salas del castillo en que han de celeb</t>
  </si>
  <si>
    <t>venían de' Viena, sino de Londres. Uno de ellos hsbia salido de aquí para Inglaterra con pliegos de Mr. Cobentzel y pasaportes del General Clarke.</t>
  </si>
  <si>
    <t>Cochi</t>
  </si>
  <si>
    <t>o que fué de los Reales hospitales de esta corte, crr Discurso sobre los baños de agua fría, por el Dr. Cochi , traducido del italiano. Se hallarán sueltos, ó juntos con otros tratados curiosos pertenecientes á la filosofía, artes y ciencias en la colección intitulada Variedades literaria</t>
  </si>
  <si>
    <t>Cochin</t>
  </si>
  <si>
    <t>y evangelios de los domingos y fiestas principales del año , escritas en francés en 4 volúmenes por Mr. Cochin, y traducidas en 6 tomos en 8.°, acudirán á la líbre—; Tía de Francés , calle de las Carretas , y en las provincias adonde hayan subscripto, á recoger el 3.® y el 4*‘q tomos , y p</t>
  </si>
  <si>
    <t>las epístolas y evangelios de los domingos y fiestas principales del afio, escritas en francés por Mr. Cochin, Cura párroco de Santiago de París, y traducidas en 6 tomos en 8.?, acudirán á recoger los a últimos tomos. Se vende toda la obra en las librerías de Francés , calle de las Carret</t>
  </si>
  <si>
    <t>de los dos tornos .que sobre sus oraciones y ceremonias sa acaban de publicar, y escribió el sabio Mr. Cochin, con dos estampas finas. Se hadará en Jas librerías de Francés, cade de Jas Carretas, y frente á las gradas de S. Felipe ; y en ia de Roquel, calle de los Preciados, en pasta á 6</t>
  </si>
  <si>
    <t>Coelio, Alonso</t>
  </si>
  <si>
    <t>Alonso Coelio</t>
  </si>
  <si>
    <t>ta de Roxas, de 155 píes, en 10,850. Otro de 259 pies al sitio de las Cañas, en 18,130. Obra pia de D. Alonso Coelio: una casa en la calle de Sta. María, tasada en 22,582 rs. Obra pia del Sr. Tesorero Contreras: una casa en la calle de las Rejas, tasada en 340 rs. Otra junto á la puerta del Sol,</t>
  </si>
  <si>
    <t>Coello, Alonso</t>
  </si>
  <si>
    <t>Alonso Coello</t>
  </si>
  <si>
    <t>0. Un oüvar de 259 pies , de id. en 18,130. Una casa en la calle de Santa María , de la obra pia de D. Alonso Coello , en 22,582. Otra en la calle de las Rejas , de la obra pia del tesorero Contreras, en 34^. Otra junto á la puerta del Sol, de id. en 16,890. Una tierra de 60 fanegas, de la obra</t>
  </si>
  <si>
    <t>Coello, Francisco</t>
  </si>
  <si>
    <t>Francisco Coello</t>
  </si>
  <si>
    <t>n el regimiento de caballería de la Revna se ha servido S. M. promover á primer Teniente al segundo D. Francisco Coello: en el de Alcántara á segundo Teniente al Alférez D. Luis Carpintero; y en el de Algarbe á Ayudante al primer Teniente D. Tomas Aquino Falcó. El Rey se lia servido conferir el emp</t>
  </si>
  <si>
    <t>Cokburn</t>
  </si>
  <si>
    <t>acobo Albrecht Von Sienen, decano y Presidente de los Burgomaestres, y Generalísimo de esta ciudad. Mr. Cokburn, Cónsul ingles en Alto na, ha tenido allí un lance harto pesado. Uno de sus criados fue arrestado una noche y llevado al cuerpo de guardia por haber contravenido á una providencia</t>
  </si>
  <si>
    <t>Colaud</t>
  </si>
  <si>
    <t>e Uc-Ó aquí el General Sainte-Suzanne con sus Ayudantes. También han venido los Generales Colaud y Souham. _ El General Moreau ha despachado un correo al Electo!, de Bavieia: ignórase el contenido de sus pliegos, pero se cree que es relativo al tratado que se ajust</t>
  </si>
  <si>
    <t>abían mantenido en los contornos de esta ciudad, empiezan á entrar en ella. Los Generales Colaud y Xaervín han ido á Offembach para conferenciar con los Generales alemanes, las tropas maguntinas se retiran según parece mas allá de Wurtzburgo. Aunque algunas gazetas</t>
  </si>
  <si>
    <t>Colaud y la de Souhau, General</t>
  </si>
  <si>
    <t>General Colaud y la de Souhau</t>
  </si>
  <si>
    <t>pidiéndole al mismo tiempo que sus tropas tratasen bien á aquel país-----.La división del referido General Colaud y la de Souhau han salido ya de las cercanías del Mein para Suabia y B.iviera. Los Enviados austríacos se han retirado de Ratisbona. El General Sainte-Suzanne ha ido á Ncuburgo para dirigir desd</t>
  </si>
  <si>
    <t>Colaud, General</t>
  </si>
  <si>
    <t>General Colaud</t>
  </si>
  <si>
    <t>an muy superiores en número, obligáron á los franceses á retirarse. Al mismo tiempo la división del General Colaud, que manda el ala derecha al otro lado del Mein, se hallaba atacada con igual esfuerzo. Pero el General Kniaziewicz, que eon la brigada polaca formaba el centro, acudió al socorro</t>
  </si>
  <si>
    <t>a, la qual estaba muy bien provis» de víveres y municiones. ■ . Trátase de trasladar el quartel del General Colaud a Francfort: aquella ciudad no ha pagado aun los 800® francos que el General Sainte-Snzanne ’le ha pedido. Se han despachado de ella diputados para arreglar el asunto 611 Han vuel</t>
  </si>
  <si>
    <t>Colé, Lord</t>
  </si>
  <si>
    <t>Lord Colé</t>
  </si>
  <si>
    <t>e los dos p.'-nidos. Ayer riñeron el Lord Ormond, que está por la unión, y Mr. Gould; y hoy riñó el Lord Colé con el Coronel Martin, que es también partidario de la unión. Londres 2 de Marzo. C jomo este gobierno ha manifestado su resolución de continuar la guerra, vuelve á hablarse en el</t>
  </si>
  <si>
    <t>Colingh, Mateo</t>
  </si>
  <si>
    <t>Mateo Colingh</t>
  </si>
  <si>
    <t>y D. Pedro Sarsiieid; á primeros Subtenientes á los segundos D. Garlos Montignany, D. Joseph Boery, D. Mateo Colingh, D. Manuel Motes y D. Joseph María Rindelan; y á segundos Subtenientes á los Cadetes ]&gt;. Antonio García, D. Gerónimo Stermund, Di Ramón Urraca, Don Melchor Magrath y D. Joachín Ca</t>
  </si>
  <si>
    <t>Coll y Puig, Francisco</t>
  </si>
  <si>
    <t>Francisco Coll y Puig</t>
  </si>
  <si>
    <t>ciudad de Gijona á D. Francisco Sociats y Soler; y para la Alcaldía mayor de la villa de igualada á D. Francisco Coll y Puig. En América. En el regimiento de Milicias urbanas de dragones de Ca-r rabayllo del Perú se ha servido el Rey conferir la Comandancia del tercer esquadron á D. Agustín Landaburu: l</t>
  </si>
  <si>
    <t>Coll, Joseph Antonio</t>
  </si>
  <si>
    <t>Joseph Antonio Coll</t>
  </si>
  <si>
    <t>. D. Joseph de Masdevall para la elección del suneto que debía enviarse, se sirvió el Rey nombrar a D. Joseph Antonio Coll, Físico de familia de S. M., y catedrático de su facultad en el colegio de Santiago. Este sugeto partió de Madrid á principios de Enero de este año y ha sido muy bien recibido del</t>
  </si>
  <si>
    <t>Colla</t>
  </si>
  <si>
    <t>Diputado de la nación piamontesa: le introduxo en la audiencia su predecesor el ciud. Colla, acompañándole el ciud. Pancoldi, Inspector general de Relaciones exteriores. El Presidente de la junta executiva recibió con mucho afecto al nuevo diputado, y</t>
  </si>
  <si>
    <t>Collado, Felipe</t>
  </si>
  <si>
    <t>Felipe Collado</t>
  </si>
  <si>
    <t>icente Ripoll, á D. Felipe de la Bodega: para otra de la de Santander, vacante por fallecimiento de D. Felipe Collado, á D. Manuel de San Pedro Ordoñcz , Cura mas antiguo de la misma: para otra de la de Ciudad-Rodrigo, vacante por fallecimiento de D. Blas Rodríguez, á D. Manuel Criado: para otra</t>
  </si>
  <si>
    <t>Collantes, Francisco</t>
  </si>
  <si>
    <t>Francisco Collantes</t>
  </si>
  <si>
    <t>ncisco de Oña; á primeros Subtenientes á los segundos 1&gt;. Pedro Torrequemada, D. Francisco Latorre, D. Francisco Collantes, D. Joseph Talens, D. Joseph Alemany y D. Manuel Arnaez, y á segundo Subteniente al Cadete D. Joseph Andeyro: en el de Asturias á Capitán aí Ayudante D. Francisco Manglano; á Ayud</t>
  </si>
  <si>
    <t>Colli</t>
  </si>
  <si>
    <t>las vivas y repetidas instancias,, que el-ciud. Bacher ha hecho á favor de los Generales Demont y Colli, se resiste el Austria á enviarlos á Francia. Es probable que el Consejo áulico no hace en esta ocasión sino ceder á la solicitud y esfuerzos de los emigrados</t>
  </si>
  <si>
    <t>ciudadela hasta que el Austria acredite sentimientos mas justos respecto á los Generales Demont y Colli, y demas extrangeros que sirven á la República. Me daréis cuenta de las medidas que adoptéis en cumplimiento de este encargo.” — r Strasburgo 29 de Setiembre.</t>
  </si>
  <si>
    <t>Colloredo, Coronel</t>
  </si>
  <si>
    <t>Coronel Colloredo</t>
  </si>
  <si>
    <t>us estados de Hannóver tropas para pelear contra los franceses; pero como Elector las ha negado. El Coronel CoUoredo llegó el 31 de Enero á Viena con pliegos del Archiduque Carlos, *que se dice son de mucha importancia. liLidfifia *1$ de Diciembre de J/S&gt;SR eunidos en Congreso el Senado y la Cám</t>
  </si>
  <si>
    <t>Colloredo, Mariscal</t>
  </si>
  <si>
    <t>Mariscal Colloredo</t>
  </si>
  <si>
    <t>mo le enviará una medalla en prueba de que no le olvida. Ilena 26 de Julio. N o ha admitido el Eeld-Mariscal Colloredo el encargo que le daba el Emperador de ir al exército de Mr. Kray en calidad de Comisario plenipotenciario para averiguar la causa y los principios de la insubordinación que reyna e</t>
  </si>
  <si>
    <t>Colloredoj, Conde</t>
  </si>
  <si>
    <t>Conde Colloredoj</t>
  </si>
  <si>
    <t>o enteramente su Salud. O Viena jo de Agosto. O. M. ha nombrado Presidente del Consejo de Guerra al Conde Colloredoj y ha pedido al Feld Mariscal Lasci asista á sus juntas. El Conde de Saint-Julien ha traido el ultimátum del primer Cónsul. Fiada se ha divulgado de su contenido; y solamente se dice</t>
  </si>
  <si>
    <t>Colmenáres, Ignacio</t>
  </si>
  <si>
    <t>Ignacio Colmenáres</t>
  </si>
  <si>
    <t>ldes, D. Rafael Texada, D. Manuel de Lardizabal, D. Luis de Lardizabal, Don Hilarión de Echavarría, D. Ignacio Colmenáres y D. Francisco Huarte; y otros varios de esfera y principios de geografía. En la lengua francesa, al cargo del profesor de humanidades, D. Juan María de Abraldes, D. Manuel de Lardiza</t>
  </si>
  <si>
    <t>Colmenero, Pedro Vicente</t>
  </si>
  <si>
    <t>Pedro Vicente Colmenero</t>
  </si>
  <si>
    <t>rte , su Capitán D. Lorenzo Olveyra, con 20 hombres cíe tripulación,un cañón y un, obús, armado por D. Pedro Vicente Colmenero por comisión de varios sugetos de Madrid. Estableció su crucero delante de Lisboa, y el dia 4 de Julio descubrió un convoy ingles de unas 45 velas, que al parecer por el rumbo que</t>
  </si>
  <si>
    <t>Colom, Joseph</t>
  </si>
  <si>
    <t>Joseph Colom</t>
  </si>
  <si>
    <t>Joseph Colom, hijo de Jayme y María, natural de Lladc&gt;, Corregimiento de Gerona............................................ 55. 3o. Isidro Poch, hijo de Justo y Margarita , natural de GeSEGUNDA COMP</t>
  </si>
  <si>
    <t>Colomer, Miguel</t>
  </si>
  <si>
    <t>Miguel Colomer</t>
  </si>
  <si>
    <t>nde dice: fecha en SchaíFusa á jo de Noviembre, léase á jo de Setiembre, El 16 de Diciembre remitió D. Miguel Colomer, de Sevilla , á D. Francisco Bastones, de Barcelona, un vale Real de 300 pesos, creación de 10 de Abrí!, núm. 445,884 , endosado por aquel á este j y no habiendo llegado á su dest</t>
  </si>
  <si>
    <t>Colomer, Vicente</t>
  </si>
  <si>
    <t>Vicente Colomer</t>
  </si>
  <si>
    <t>po de caballería de Blandengues de Buenos-Ayres ■se ha servido S. M. promover á Capitán al Teniente D. Vicente Colomer: á Teniente al Alférez D. Feliciano Hernández;y á Alférez al Cadete Don Joseph Valcarce. En la villa de Vergara se sorteó el 6 de Mayo ultimo la vaxilla de loza «fina inglesa, que</t>
  </si>
  <si>
    <t>Colon, Félix</t>
  </si>
  <si>
    <t>Félix Colon</t>
  </si>
  <si>
    <t>presididos por el Exc. Sr. D. Antonio Cornel, Ministro de la Guerra, y abrió la sesión el Brigadier D. Félix Colon, Protector de dicha, escuela, con una oración relativa á la beneficencia con que los Reyes nuestros Señores han erigido este establecimiento en medio de los cuidados'de la guerra,</t>
  </si>
  <si>
    <t>erinaria de esta corte exámenes generales de miologia y materia médica, presididos por el Brigadier D. Félix Colon, protector de este establecimiento. D iéron principio por una oración alusiva á. la materia del examen, y dixéron respectivamente en su dia el segundo director D. Hipólito Estevez</t>
  </si>
  <si>
    <t>Coma, Antonio</t>
  </si>
  <si>
    <t>Antonio Coma</t>
  </si>
  <si>
    <t>ete D. Joseph Manrique de Lara y D. Isidro de Rueda; y á primer Teniente en el de España al segundo D. Antonio Coma. , . Asimismo ha tenido el Rey á bien nombrar Alférez en el regimiento de dragones de Lusitania al Cadete D. Joseph Bahúnas. El Rey se ha di "nado nombrar Cirujano de! tercer bata</t>
  </si>
  <si>
    <t>Combs</t>
  </si>
  <si>
    <t>enviaban Embaxadores. Haya j i de Enero. A ntes de ayer llegó á esta ciudad el ciud. Combs, Secretario del ciudadano Schimmeípennink, Embajador de la República bátava en Paris. Virio en calidad de correo, y solo tardó 6o horas en su viage. Se hacen e</t>
  </si>
  <si>
    <t>Comendador, Coronel</t>
  </si>
  <si>
    <t>Coronel Comendador</t>
  </si>
  <si>
    <t>las insignias de la orden de S. Andrés para el Príncipe Real de Suecia. El Rey ha nombrado á dicho Coronel Comendador de la orden de la Espada., así como el Emperador de Rusia creó caballero de Malta coa uní encomienda de 1®-rubios de renta ai Coronel sueco Mcellersgoerd , quaiido llevó de esta corte á</t>
  </si>
  <si>
    <t>Comisario de Guerra</t>
  </si>
  <si>
    <t>de haber sido nombrado Secretario del Rey de las dos Sicilias, y sucesivamente Comisario de Guerra, Secretario de la Capitanía general de Cataluña, y Comisario Ordenador, sirvió por espacio de 30 años las Intendencias ác Burgos, Mallorca y Galicia, de donde vino á Secretario de dicha Real</t>
  </si>
  <si>
    <t>Compains y Ochoa, Manuel</t>
  </si>
  <si>
    <t>Manuel Compains y Ochoa</t>
  </si>
  <si>
    <t>sto Salafranca y Matheus, D. Baltasar Cornelias y Rosiñol, D. Joseph Rodríguez Truxiilo y Lasqueti, D. Manuel Compains y Ochoa, D. Joseph Pereyra y Soto Sánchez, D. Santiago de Mazarredo y Gómez de la Torre, D. Joseph de Mazarredo y Gómez de la Torre, D. Sebastian de Heres y Canel, D. Víctor Urbina y Aniz</t>
  </si>
  <si>
    <t>Compans, General</t>
  </si>
  <si>
    <t>General Compans</t>
  </si>
  <si>
    <t>gos; pero aunque la acción fue muy reñida, y se usó dei arma blanca, 110 ganó hi perdió terreno. El General Compans quedó herido. Massena había reunido en un cuerpo todas sus tropas, y disponía un fuerte ataque para ei 22 ó el 23. Por parte de Genova nada de nuevo había acontecido.” Asimismo se</t>
  </si>
  <si>
    <t>Compere, General</t>
  </si>
  <si>
    <t>General Compere</t>
  </si>
  <si>
    <t>enemigo de Orange perdió la vida. El 11 nos hicimos dueños de los muchos reductos de Settepani. El General Compere, con algunas tropas á quienes favoreció una niebla muy densa , rodeó á los enemigos , y cogió 1200 prisioneros de los regimientos de Hoff y Príncipe Orange, entre los quales se cu</t>
  </si>
  <si>
    <t>Conde Collorcdo, General</t>
  </si>
  <si>
    <t>General Conde Collorcdo</t>
  </si>
  <si>
    <t>ército de Italia, que le reemplaza efectivamente el General Kray, y que en lugar de este mandará el General Conde Collorcdo. , . 1 Se ha prohibido aquí, la venta de estampas y papeles; satíricos, que se publicaban contra los franceses, como también las comedias y todo quanto pueda ofender al gobierno d</t>
  </si>
  <si>
    <t>Conde de Bellegarde, General</t>
  </si>
  <si>
    <t>General Conde de Bellegarde</t>
  </si>
  <si>
    <t>juste quanto antes la paz general. . Stuttgard 29 de Octubre. L as cartas de Mantua expresan que el General Conde de Bellegarde se restituye á Viena por haber sido nombrado ayo del Príncipe heredero, y añaden que el General Mack le sucede en el mando del exército de Italia. Por intervención de Mr. Harnier,</t>
  </si>
  <si>
    <t>n pie, pueden aumentarse mucho y muy fácilmente en tiempo de guerra. Augs burgo 8 de Noviembre, E 1 General Conde de Bellegarde, que ha estado algunos dias en Venecia, salió de allí el 26 para el quaxtel general del exército de Italia. Se ha pedido una contribución de dos millones de libras á Florencia, ot</t>
  </si>
  <si>
    <t>Conde de Bellegarde, Teniente General</t>
  </si>
  <si>
    <t>Teniente General Conde de Bellegarde</t>
  </si>
  <si>
    <t>ipuli IJ9 8. Viena i.° de Enero de 1800. E I Lord Minto, Ministro de Inglaterra en esta corte, y el Teniente General Conde de Bellegarde, han salido de esta ciudad para Praga, á fin de conferenciar con el Conde Suwarow sobre asuntos importantes. Ratisbona j de Enero. A seguran varias gazetas que la primera coluna d</t>
  </si>
  <si>
    <t>Conde de Biarhaben, Coronel</t>
  </si>
  <si>
    <t>Coronel Conde de Biarhaben</t>
  </si>
  <si>
    <t>habiendo conferido también S. M. la Comandancia del tercer batallón del de infantería de Ultonia al Coronel Conde de Biarhaben , Comandante agregado .al regimiento de I libero ia. En la extracción de la Real lotería executada el lunes 26 del corriente salieron los números 1,63, 66, 12 y 84; y con ellos ha</t>
  </si>
  <si>
    <t>Conde de Haddick, Feld-Mariscal</t>
  </si>
  <si>
    <t>Feld-Mariscal Conde de Haddick</t>
  </si>
  <si>
    <t>vi, por haber el General enemigo Suchet llegado á las inmediaciones de aquella ciudad. Ef Te niente Feld-Mariscal Conde de Haddick mandaba la primera línea : seguía el Ten iente Feld-Mariscal Kaim; y después la división de granaderos de Morsin, y la de caballería de Elnitz. Mientras que la primer línea atacab</t>
  </si>
  <si>
    <t>Conde de Hohenzoílern, General</t>
  </si>
  <si>
    <t>General Conde de Hohenzoílern</t>
  </si>
  <si>
    <t>de Settepani, y se apoderó de ellas, como también de la ciudad de Savona y del castillo de Vado. El General Conde de Hohenzoílern tomó el dia 9 por asalto la Bocchétta; pero no se sabe si ocupó también las alturas inmediatas, á las quales se habrán retirado los franceses. Según esta relación quedaban los rep</t>
  </si>
  <si>
    <t>Conde de Hohenzollern, General</t>
  </si>
  <si>
    <t>General Conde de Hohenzollern</t>
  </si>
  <si>
    <t>ha caldo les ha obligado á levantar el bloqueo, enviando á Piamonte las tropas que lo formaban. El General Conde de Hohenzollern se halla en Alexandría , y allí 113». tomado quartel es de invierno los regimientos dé Kray y Alvinzy. Las,tropas francesas que ocupan el territorio déuGénova lian recibido aíguno</t>
  </si>
  <si>
    <t>Conde de Iíohenzollern, General</t>
  </si>
  <si>
    <t>General Conde de Iíohenzollern</t>
  </si>
  <si>
    <t>ancfort se ha impreso un capítulo de Milán de 12 de Abril, que incluye el extracto de una carta del General Conde de Iíohenzollern, en que avisa al Comisario imperial haberse tomado la Bocchétta el dia 9: qué el castillo de Gavi se entregó por capitulación: que el General Kaim, después de apoderarse del Col!</t>
  </si>
  <si>
    <t>Conde de Klenau, General</t>
  </si>
  <si>
    <t>General Conde de Klenau</t>
  </si>
  <si>
    <t>nero de 1800. caba de llegar aquí un extraordinario con noticia de un ataque ventajoso, dado por el General Conde de Klenau en el monte Conna en la ribera de Génova; pero solamente se dice que los franceses fueron rechazados hasta baxo el canon de la plaza. El 28 del mes último falleció en esta capital M</t>
  </si>
  <si>
    <t>Conde de Kuschelow, Almirante</t>
  </si>
  <si>
    <t>Almirante Conde de Kuschelow</t>
  </si>
  <si>
    <t>fragata nombrada Manuel, para repetir las señales que el Enape-rador disponía, y luego las daba el Almirante Conde de Kuschelow. Después de algunas evoluciones se figuró un combate naval; y concluida todo se restituyó la esquadra á Cronstadt al ca</t>
  </si>
  <si>
    <t>Conde de Lusi, Teniente General</t>
  </si>
  <si>
    <t>Teniente General Conde de Lusi</t>
  </si>
  <si>
    <t>y que con este objeto ha enviado á Munich al Conde de Goertz, Ministro de la Dieta en Ratisbona. El Teniente General Conde de Lusi está nombrado por el Rey de Prusia para ir á Petersburgo en calidad de su Ministro. Vicua 14 de Marzo. S e confirman las noticias recibidas de Constantinopla sobre haber los frances</t>
  </si>
  <si>
    <t>Conde de Meerfeld, General</t>
  </si>
  <si>
    <t>General Conde de Meerfeld</t>
  </si>
  <si>
    <t>ia entraron aquí 20 soldados franceses tambor batiente y en el mejor orden. Una hora antes habia el General Conde dé Meerfeld repasado el Iser al frente de una parte del cuerpo de su mando. Los Generales franceses y la oficialidad de plana mayor cenaron aquella noche en casa del Conde de Tattenbach, Gran</t>
  </si>
  <si>
    <t>Conde de Nogorolla, General</t>
  </si>
  <si>
    <t>General Conde de Nogorolla</t>
  </si>
  <si>
    <t>o 230© florines, ademas de 2© que S. M. ha dado de su bolsillo secreto. Ha venido á esta capital el General Conde de Nogorolla con un encargo del Elector de Baviera ; y poco después de su llegada tuvo una larga conferencia con el Ministro imperial Barón de Thugut. Esta corte ha enviado á la de Petersburgo</t>
  </si>
  <si>
    <t>Conde de Paar, Coronel</t>
  </si>
  <si>
    <t>Coronel Conde de Paar</t>
  </si>
  <si>
    <t>stillos . de los estados venecianos. ci Posteriormente llegó, aquí en calidad de correo el Teniente Coronel Conde de Paar, con pliegos de Mr. Melas escritos en la Bordighera el día 11. Avisa que dispuso atrincherar el importante puesto de la Raja, á fin de sacar el posible partido de su situación. Añ</t>
  </si>
  <si>
    <t>Conde de Requena, Teniente General</t>
  </si>
  <si>
    <t>Teniente General Conde de Requena</t>
  </si>
  <si>
    <t>raban. Madrid 25 de Abril. E n consideración al mérito, servicios y distinguidas circunstancias del Teniente General Conde de Requena , ha venido el Rey en conferirle el empleo de Capitán de la compañía Italiana del Real cuerpo de su Guardia de Corps, vacante por muerte del Sr. Duque de Lancáster. El Rey se ha d</t>
  </si>
  <si>
    <t>Conde de Saint-Julien, General</t>
  </si>
  <si>
    <t>General Conde de Saint-Julien</t>
  </si>
  <si>
    <t>el_exe'rcito del Danubio; y ha tenido una conferencu con S.:Mw Imperial. También llegó de Italia el General Conde de Saint-Julien ; y poco después salto con phegos del mmistetio. e ^ Gener¡|| Melas ha devado ya el mando del exército de Italia, que le reemplaza efectivamente el General Kray, y que en lugar de</t>
  </si>
  <si>
    <t>pimiento y la guerra entre la Gran Bretaña y la Holanda. Viena 8 de Agosto. H an vuelto de París el General Conde de Saint-Julien y el Mayor General Zagg. Acaba el Ministro ingles residente aquí de declarar á esta corte que en</t>
  </si>
  <si>
    <t>Conde de Salm, Teniente General</t>
  </si>
  <si>
    <t>Teniente General Conde de Salm</t>
  </si>
  <si>
    <t>n demasiada prontitud en París los preliminares de paz. Manheim 11 de Setiembre, E 1 dia 8 murió el Teniente General Conde de Salm, comandante de la plaza de Philipsburgo. Está interrumpida toda comunicación con Ulm, y no permiten los fran</t>
  </si>
  <si>
    <t>Conde de Santa Clara, Teniente General</t>
  </si>
  <si>
    <t>Teniente General Conde de Santa Clara</t>
  </si>
  <si>
    <t>l Audiencia en aquellas en que estuviere afecta. En conseqüencia ha nombrado S. M. para Cataluña al Teniente General Conde de Santa Clara: para Valencia al de la mis-* ijia clase D. Juan Manuel de Cagigal: para la costa de Granada al Mariscal de Campo D. Fernando Valdes : para Andalucía al Teniente General Don Luis</t>
  </si>
  <si>
    <t>Conde de Spanocchí, General</t>
  </si>
  <si>
    <t>General Conde de Spanocchí</t>
  </si>
  <si>
    <t>unos batallones de refuerzo despachados de ProvenzaFlorencia jo de Diciembre. ^[ .caba de llegar el General Conde de Spanocchí % Encargado interíname®^</t>
  </si>
  <si>
    <t>Conde de Sporck, Teniente General</t>
  </si>
  <si>
    <t>Teniente General Conde de Sporck</t>
  </si>
  <si>
    <t>etió á los austriacos , y por su parte cogió de 700 á 800 prisioneros, entre los quales se halla el Teniente General Conde de Sporck, que fué cogido por algunos húsares á 30 pasos de su coluna. El resultado de esta jornada , en la ,qual dos solas divisiones francesas pelearon y rechazaron á todo el exército aus</t>
  </si>
  <si>
    <t>Conde de Staray, Feld-Mariscal</t>
  </si>
  <si>
    <t>Feld-Mariscal Conde de Staray</t>
  </si>
  <si>
    <t>justado entre el General Lecourbe, comandante de It izquierda del exército del Rhin , y el Teniente Feld-Mariscal Conde de Staray, contenia los 5 artículos siguientes: ,, r.° Habrá suspensión de hostilidades entre la izquierda del exército francés del Rhin y el exército de S. M. el Emperador y Rey. 2.0 La lí</t>
  </si>
  <si>
    <t>jan,” „ Finalmente, el General Barón de Kray escribe con fecha de 20 del misino mes que el Teniente Feld-Mariscal Conde de Staray no pudo con todos los refuerzos que había recibido obligar á la división enemiga, que pasó el Danubio cerca de Grimheim, á retirarse al otro lado de aquel rio: antes bien los enem</t>
  </si>
  <si>
    <t>Conde de Suwarow, Feld-Mariscal</t>
  </si>
  <si>
    <t>Feld-Mariscal Conde de Suwarow</t>
  </si>
  <si>
    <t>ciembre de xjssh sdoe órden ha reconciliado esta corte con la de Viena; y de resultas se ha enviaal Feld-Mariscal Conde de Suwarow para que permanezca en Alemania, y concurra con sus tropas al mejor éxito de las operaciones de la campaña próxima, Añaden algunos que la Gran Bretaña pagará nuevos. subsidios par</t>
  </si>
  <si>
    <t>tillería ligera de los regimientos. Ratisbona 23 de Febrero. E 1 10 de este mes llegó á Cracovia el Feld-Mariscal Conde de Suwarow: se detendrá en aquella ciudad algunos dias, y seguirá luego su camino á Petersburgo. La coluna mandada por el General Derfelden, que consta de 25® hombres, es la que transita por</t>
  </si>
  <si>
    <t>o 6 extraordinarios de Rusia, Italia y Alemania. Uno de ellos ha traído la noticia de la muerte del Feld-Mariscal Conde de Suwarow , Príncipe Italiski, acaecida en Petersburgo el 18 de Mayo.__ Los dos correos de gabinete ingleses, que estuvieron detenidos muidlo tiempo en Rusia por orden del Emperador , se em</t>
  </si>
  <si>
    <t>Conde de Tige, General</t>
  </si>
  <si>
    <t>General Conde de Tige</t>
  </si>
  <si>
    <t>que podría hacer el exército de Bonaparte, que había pasado el Tesino. El General Melas en carta al General Conde de Tige,residente en Viena, le dice con igual fecha que como el General Guroupp no podía defender mas .tiempo el col de Tenda, y ademas quedaba por aquella parte cortado el camino á Mr. E</t>
  </si>
  <si>
    <t>Conde Staray, Feld-Mariscal</t>
  </si>
  <si>
    <t>Feld-Mariscal Conde Staray</t>
  </si>
  <si>
    <t>toaos los Ministros de las potencias que están en guerra con Francia. Una parte de los bagages del Feld-Mariscal Conde Staray llegó antes de ayer á esta ciudad. Hoy se han recibido noticias de que ayer estaban todavía los franceses en los contornos de Friedberg. No se han extendido al otro lado del Lech*</t>
  </si>
  <si>
    <t>Conde Süarez, Antonio</t>
  </si>
  <si>
    <t>Antonio Conde Süarez</t>
  </si>
  <si>
    <t>D. Ramón Martínez Vallejo y D. Antonio Gayoso Montenegro: Subtenencia de granaderos en el de Toro á D. Antonio Conde Süarez, Subteniente de fusileros; y Subtenencias de bandera en los de Logroño, Grana</t>
  </si>
  <si>
    <t>Conde Suwarow, Mariscal</t>
  </si>
  <si>
    <t>Mariscal Conde Suwarow</t>
  </si>
  <si>
    <t>victorias del Fcld-Mariscal Conde Suwarow, a quien ha promovido S. M. Imperial á Generalísimo de las tropas rustf, siendo el primevo á quien se ha conferido esta dignidad desde la muerte del Príncipe de MenzikolT y del Du</t>
  </si>
  <si>
    <t>Conde, General</t>
  </si>
  <si>
    <t>General Conde</t>
  </si>
  <si>
    <t>de S. M. I. una suma de 400® florines para la formación y arreglo de la legión de Bohemia. El Mayor General Conde deHaddick ha hecho una oferta de 500 florines anuales miéntras dure la guerra. Según las últimas cartas de Roma hay indicios de que los franceses tienen intenciones hostiles respecto</t>
  </si>
  <si>
    <t>Conde, Joseph</t>
  </si>
  <si>
    <t>Joseph Conde</t>
  </si>
  <si>
    <t>cia. Respuestas á la carta en castellano de D. Juan Antonio Pellicer , y á Ja Postdata polyglota de D. Joseph Conde, en que impugnáron Ja carta-crítica sobre el verdadero autor déla historia de D. Quixote; por D. Juan Francisco Pérez Cagigas, Cura párroco en el arzobispado de Toledo. Véndese co</t>
  </si>
  <si>
    <t>Conde, Joseph Antonio</t>
  </si>
  <si>
    <t>Joseph Antonio Conde</t>
  </si>
  <si>
    <t>rmente conocido por el Nubieúse: con el texto árabe muy corregido, traducción castellana y notas de D. Joseph Antonio Conde, Oficial primero de la Real Biblioteca de S. M.: un tomo en 8.° Se hallará en la librería de Ximenez, Caño', del Peral. Comedia nueva: la Tamara, ó el Poder del beneficio: en tres</t>
  </si>
  <si>
    <t>Conde, Juan Manuel</t>
  </si>
  <si>
    <t>Juan Manuel Conde</t>
  </si>
  <si>
    <t>s segundo, tercero y quarto de la Dirección y Contaduría de la renta de la Real Lotería de México á D. Juan Manuel Conde, D. Manuel Biazquez Prieto y D. Vicente Muquerza. Quien hubiese encontrado un vale de 150 pesos, creación de 15 de Setiembre, mim. 170,960, renovado á favor de D. Alonso Gome* Alv</t>
  </si>
  <si>
    <t>Conde, Pedro</t>
  </si>
  <si>
    <t>Pedro Conde</t>
  </si>
  <si>
    <t>ero y Gil. En trigonometría plana y esférica D. Antonio Gil de Santiso. En cosmografía y navegación D. Pedro Conde y D. Joseph Cansobre. En navegación y maniobras de abordo D. Salvador Perez del Cerro. Todas las proposiciones fuéron sorteadas ó elegidas por los concurrentes, excepto la demostració</t>
  </si>
  <si>
    <t>Consejero de Estado Euler</t>
  </si>
  <si>
    <t>imiento de Guardias de aquel Soberano.__ Habiendo muerto en la misma capital el Consejero de Estado Euler, secretario de la academia Imperial de ciencias, se ha conferido dicha, secretaría al Consejero Fuss. Semlin 12 de Octubre. A caba el Baxá de Belgrado de recibir un refuerzo de 1500 hombres d</t>
  </si>
  <si>
    <t>Consejero Dreyer</t>
  </si>
  <si>
    <t>vuelta á París el Secretario Guillaume, que vino despachado como correo por el Consejero Dreyer, Ministro ¡de Dinamarca cerca de aquella República. Acaba la junta ó cámara de la tesorería de promulgar un edicto que arregla difinitivamente en todo el Reyno el servicio personal del pueb</t>
  </si>
  <si>
    <t>Constantino de Malseigne</t>
  </si>
  <si>
    <t>l de fusileros D. Manuel de la Barre; á primer Ayudante mayor al primer Teniente y segundo Ayudante D. Constantino de Malseigne, Caballero de Maiche; y á primer Teniente y segundo Ayudante mayor al segundo Teniente y segundo Ayudante Don Joseph Francisco de Hautregard: en el de infantería de la Rey na á Co</t>
  </si>
  <si>
    <t>Constantino de Rusia, Duque</t>
  </si>
  <si>
    <t>Duque Constantino de Rusia</t>
  </si>
  <si>
    <t>an mucho las nuevas fortificaciones, en las quales han duplicado el número de trabajadores. El Gran Duque Constantino de Rusia llegó á. Bareuth el dia 12, y al siguiente siguió su. viage á Praga, yy w Londres 12 de Diciembre. X~Aa vuelto á salir de Torbay la esquadra del Almirante Bridport para cruzar del</t>
  </si>
  <si>
    <t>los rusos. Estos y los aliados se proponen reunir fuerzas crecidísimas á orillas del Rhin: el Gran Duque Constantino de Rusia y el Archiduque Palatino de Hungría mandaran un cuerpo separado cada uno; pero baxo las ordenes de Mr. Suwarow..__ Los franceses por su parte se refuerzan mucho en la izquierda del Rh</t>
  </si>
  <si>
    <t>ad de resultas de las desavenencias entre los Generales de los exércitos austriacó y ruso___El Gran Duque Constantino de Rusia hizo recientemente un viage á la Galitzia occidental? estaban las tropas austríacas maniobrando y haciendo sus exercicios, y aquel Príncipe mandó una división de ellas. Todo esto</t>
  </si>
  <si>
    <t>Constantino, Duque</t>
  </si>
  <si>
    <t>Duque Constantino</t>
  </si>
  <si>
    <t>esde la muerte del Príncipe de MenzikolT y del Duque Antonio TJJrico de Brunswick. Asimismo al Gran Duque Constantino le ha dado el Emperador el título de Zesarowiíz, en recompensa de su talento y de los servicios que ha hecho durante la campaña de Italia. Ha mandado S. M. que vuelva á Rusia el G</t>
  </si>
  <si>
    <t>al ruso Príncipe Pancration ha llegado aquí con el Coronel Hewitzki y 2 Ayudantes. Asimismo el Gran Duque Constantino vino á esta ciudad con una numerosa comitiva: se detuvo 2 dias, y salió para Brunn. Va á verse con el Archiduque Palatino de Hungría y su esposa, que vienen de Petersburgo. Parece</t>
  </si>
  <si>
    <t>ha ofrecido aprontar para la guerra. De Brunn escriben que el 17 del mes último llego allí el Gran Duque Constantino, y al día siguiente continuó su viage á Petersburgo. Añaden las mismas cartas que el Emperador de Rusia pondrá sus tropas á disposición del de Alemania; pero que no las mandará el</t>
  </si>
  <si>
    <t>las fronteras de Galitzia, entre Brodi y Saslow, hay un exército de 60© rusos mandados por el Gran Duque Constantino, hijo segundo de aquel Emperador. . . , Desde que se ha roto el armisticio se ausentan de esta ciudad los met^ cadetes que habían venido a ella para la feria. _ ' Londres 4 de Set</t>
  </si>
  <si>
    <t>ía resuelto embarcar ínmediatameiH te un exército para socorrer a Dinamarca. S. A. Imperial el Gran Duque Constantino ha sido nombrado Inspector de caballería en Petersburgo: el Teniente General Swetschin está nombrado General de infantería y Gobernador militar de esta ciudad; y el Príncipe Aleja</t>
  </si>
  <si>
    <t>mandar arrestar al Mayor general Tomitseh, y á los Coroneles defc regimiento de guardias del; Gran Duque Constantino,. Jankowitseh., Be-: sorasw, Leontjew, Samrasow, Sablukow y Príncipe WaesemsJtoy, por tw siguientes faltas: 1.* la caballería pasó del frente del enemigo s tiro de carabina; 2.* a</t>
  </si>
  <si>
    <t>Constantino, Príncipe</t>
  </si>
  <si>
    <t>Príncipe Constantino</t>
  </si>
  <si>
    <t>la gazeta de Cracovia se dice que Paulo I va á revistar sus exércitos de Polonia» acompañándole el Príncipe Constantino. Añaden otros avisos que varios regimientos de Guardias imperiales, que son las tropas escogidas del Imperio» irán de Petersburgo á Polonia» y que ha mandado aquel Soberano se hag</t>
  </si>
  <si>
    <t>Constar</t>
  </si>
  <si>
    <t>Golia , en 276,003. Otra calle de la f &lt;de id. en 298,749. Otra calle de Sopranis, del patronato de Doña Constar^ Fibera, en 569,244. Otra carlie Flamencos , del patronato de Peña Margina Sauz,en 310,686. Otra calle del Sacramento, del patronato de D. Antonio H¡|;gí|ig¡5 y Agndelo, en 327,84</t>
  </si>
  <si>
    <t>Cónsul</t>
  </si>
  <si>
    <t>to al primer Cónsul una carta fecha en París á 27 de este mes, en que le dice: „Ciudadano Cónsul. Acabo de recibir noticias del General Chamberíhac. Me comunica que después de reunirse y de combinar sus* operaciones con el General Merle, consiguieron ambos</t>
  </si>
  <si>
    <t>Lefebvre ha dirigido al primer Cónsul con fecha del 6 la si^ guíente carta t „ Ciudadano Cónsul. Habiendo sabido el General Chamberlhac que muchos xefes de chouanes se hallaban, reunidos en el castillo de Lacheaux, destacó el 3 á las 10 de la noche desde</t>
  </si>
  <si>
    <t>Cónsul Jove, Diego</t>
  </si>
  <si>
    <t>Diego Cónsul Jove</t>
  </si>
  <si>
    <t>e Barbastro. . .. , . - El Rey á consulta de la Junta de Comercio y Moneda se ha dignado conceder á D. Diego Cónsul Jove privilegio Rea exclusivo para la fabricación de hules de seda, lienzos finos, sombreros di- suela y pefieios de una sola pieza, y zapatos de hule de lo mismo que los sombreros, si</t>
  </si>
  <si>
    <t>Cónsul, General</t>
  </si>
  <si>
    <t>General Cónsul</t>
  </si>
  <si>
    <t>949 la carta siguiente: „General Cónsul. Los infrascriptos, oficiales rusos prisioneros de guerra, agradecidos al modo con que se les tratarse atreven á manifestaros su gratitud. A vos correspondía hacerles llevadera su</t>
  </si>
  <si>
    <t>Contador de las Canas de Cochabamba</t>
  </si>
  <si>
    <t>Lima á D. Joseph González de Prada con el sueldo que actualmente disfruta, como Ministro Contador de las Canas de Cochabamba, hasta, que entre en plaza de número ; y para esta resulta se lia dignado nombrar á D. Gregorio Dimas de Echaurrcn. Eli los Reales estudios de esta corte tuvie</t>
  </si>
  <si>
    <t>Conti, Francisco Antonio</t>
  </si>
  <si>
    <t>Francisco Antonio Conti</t>
  </si>
  <si>
    <t>1,740, y otro de 600 núm. 413.779, todos de la creación de Abril , endosados en 10 de Setiembre por D. Francisco Antonio Conti, de Sevilla, á favor de D. Antonio Torrija, mercader de Ecija, á quien los dirigió el dia 13 del mismo. Quien supiere de su paradero avisará á dicho Conti, ó i los Sres. Pastoriza</t>
  </si>
  <si>
    <t>Coote, General</t>
  </si>
  <si>
    <t>General Coote</t>
  </si>
  <si>
    <t>n nuevos preparativos en los puertos meridionales de Inglaterra , y principalmente en las Dunas. El General Coote se halla en Dea! para presidir al embarco de las tropas, las quales probablemente no tardarán en</t>
  </si>
  <si>
    <t>Coqui, Luis</t>
  </si>
  <si>
    <t>Luis Coqui</t>
  </si>
  <si>
    <t>al supernumerario D. Eugenio Gallego, y por Cadete supernumerario al Guardia de&gt; la misma compañía D. Luis Coqui. , . . En el regimiento de,Reales Guardias 'Españolas se ha servido S. M. promover á Comandantes de granaderos á los primeros Tenientes D. Ramón de Melgarejo y D. Manuel Francisco</t>
  </si>
  <si>
    <t>taliana del Real cuerpo de; Guardias de Corps ha nombrado el Rey Cadete de número al supernumerario D. Luis Coqui, y por Cadete supernumerario de la misma compañía al Guardia de ella D. Antonio Bragami. ... Ha 'Conferido S. M. la Tenencia de Rey de la plaza de Barcelona al Brigadier D. Doming</t>
  </si>
  <si>
    <t>Corao, Manuel</t>
  </si>
  <si>
    <t>Manuel Corao</t>
  </si>
  <si>
    <t>e por haber pasado D. Francisco Antonio Gutiérrez con igual destino á la santa iglesia de Toledo, á D. Manuel Corao. S. M. se ha dignado nombrar. Cirujano del batallón de cazadores Voluntarios de Barbastro á D. Jayme Serra: del tercero del regimiento de infantería de la Princesa á D. Joseph Alo</t>
  </si>
  <si>
    <t>Cordero, Tomás</t>
  </si>
  <si>
    <t>Tomás Cordero</t>
  </si>
  <si>
    <t>dido un vnle Real de 1 go pesos, creación de ig de Setiembre, rúmero 1415,608, endosado á nombre de D. Tomas Cordero y Da&gt;p, y por este á D. Rafael Armengot. Quien supiere de él avisará á dicho D. Tomas Cordero, que vive junto ú Jos registres de la puerta de Toledo, núm. 37, quarto principal. De orde</t>
  </si>
  <si>
    <t>Cordobés, Lucas</t>
  </si>
  <si>
    <t>Lucas Cordobés</t>
  </si>
  <si>
    <t>l mismo dia por Francisco Boluda á favor de Felipe Herrera. Quien lo hubiere hallado lo entregará á D. Lucas Cordobés én el Banco nacional. Desde Pamplona á Zaragoza se ha extraviado un vale de 150 pesos, creación de Marzo, núm. 305,184. Quien le tuviese avisará en Zaragoza á D. Victoriano Monico</t>
  </si>
  <si>
    <t>Coreóles, Mateo</t>
  </si>
  <si>
    <t>Mateo Coreóles</t>
  </si>
  <si>
    <t>e Farnesio á Capitán al Ayudante D. Joseph Merchante: en el de España á segundo Teniente al Alférez D. Mateo Coreóles; y á Alférez al Portaestandarte D. Manuel Ruiz: en el de Algarbe. á primer Teniente al segundo D. Bartolomé Poiiibo; y en el de dragones de la Rey na á Capitán al de esta clase, a</t>
  </si>
  <si>
    <t>Cornago, Francisco Xavier</t>
  </si>
  <si>
    <t>Francisco Xavier Cornago</t>
  </si>
  <si>
    <t>l Teniente del mismo cuerpo D. Francisco García de Orozco y al Teniente del provincial de Piasencia D. Francisco Xavier Cornago ; y Tenencias á los Subtenientes D. Joachin de Mora y D. Agustín Barrachina: en el de Córdoba Tenencia al Subteniente de cazadores D. A gustin Cubero: Subtenencias de granaderos y</t>
  </si>
  <si>
    <t>Corncl, Juan Antonio</t>
  </si>
  <si>
    <t>Juan Antonio Corncl</t>
  </si>
  <si>
    <t>4 4e Noviembre. E I Rey se ha servido nombrar para una Canongía de la metropolitana die Zaragoza á D. Juan Antonio Corncl, electo Canónigo de la catedral de</t>
  </si>
  <si>
    <t>Cornel, Antonio</t>
  </si>
  <si>
    <t>Antonio Cornel</t>
  </si>
  <si>
    <t>Directores i.° y 2.0 D. Segismundo Malats y D. Hipólito Estevez. Fueron presididos por el Exc. Sr. D. Antonio Cornel, Ministro de la Guerra, y abrió la sesión el Brigadier D. Félix Colon, Protector de dicha, escuela, con una oración relativa á la beneficencia con que los Reyes nuestros Señores h</t>
  </si>
  <si>
    <t>n motivo del cumpleaños de la Sra. Infanta Princesa del Brasil. El Rey se ha servido dirigir al Sr, D, Antonio Cornel el Real decreto siguiente: „Quando por mi Real decreto de 15 de Diciembre de 1798 tuve á bien mandar que los Intendentes y demas Oficiales del ministerio de Hacienda de Marina pasas</t>
  </si>
  <si>
    <t>a el debido cumplimiento. Señalado de la Real mano de S. M. = En Aranjuez á 18 de Abril de i8co.=rA D. Antonio Cornel.” El Rey se ha servido nombrar para la Canongía de Ja catedral de Jaén, vacante por fallecimiento de D. Diego Moyano, á D. Ramón Pueyó, Arcediano que ha sido de la catedral de la</t>
  </si>
  <si>
    <t>rden del Rey en la dirección de trabajos hidrográficos , y presentada ñ S. M. por mano del Exc. Sr. D. Antonio Cornel, Teniente General de los Reales exércitos, Secretario de Estado y del despacho universal de la Guerra, y encargado del de Marina. Se vende en casa de Aguilera, calle de Atocha, á</t>
  </si>
  <si>
    <t>nes convenientes. Tendreislo entendido para su cumplimiento.=En. Palacio á 3. de Julio» de 1800.^ A D. Antonio Cornel.” La Real academia de las tres nobles artes , denominada de S. Fernando** para que el público pueda ver la numerosa y selecta colección de estatuas y bustos sacados del antiguo y</t>
  </si>
  <si>
    <t>Cornel, Francisco Xavier</t>
  </si>
  <si>
    <t>Francisco Xavier Cornel</t>
  </si>
  <si>
    <t>undo batallón de Voluntarios de Aragón á Capitán primero al segundo, graduado de Teniente Coronel - Don Francisco Xavier Cornel; á Capitán segundo al primer Teniente y segundo Ayudante D. Mariano Barreneche; á segundo Ayudante al primer Teniente D. Pedro Ortiz; á primer Teniente al segundo D. Juan Baptista</t>
  </si>
  <si>
    <t>Cornel, Juan Antonio</t>
  </si>
  <si>
    <t>Juan Antonio Cornel</t>
  </si>
  <si>
    <t>rcon;■ para una Canongía de la de Jaén, vacante por fallecimiento de D. Diego Eustaquio de Gamez, á D. Juan Antonio Cornel: para otra de la deTuy, vacánte por muerte de D. Ignacio Gómez Pereyra, á D.JuanCárlos Vales Vaamonde.: para otra de la colegial de Santiílana, en la diócesis de Santander, Vacant</t>
  </si>
  <si>
    <t>. Santos Martínez: para' la Canongía que resultará vacante^ en la catedral de Jaén por promoción de D. Juan Antonio Cornel apotra de la de Zaragoza, á D. Francisco Mulero Delgado: para otrátde la metropolitana de Sevilla,, vacante.por fallee)miento deD. Alvaro Valcárcel y Viárgas , Marques de Medipa,</t>
  </si>
  <si>
    <t>Cornel, Pedro</t>
  </si>
  <si>
    <t>Pedro Cornel</t>
  </si>
  <si>
    <t>ción á los méritos y circunstancias de los Administradores generales de Rentas en Aragón y Mallorca D. Pedro Cornel y D. Miguel Monserrat, y del Comisario ordenador D. Antonio Montenegro, se lia servido el Rey distinguirlos con los honores de Intendente de Provincia; é igualmente con los de Comisar</t>
  </si>
  <si>
    <t>Corona, Joseph María</t>
  </si>
  <si>
    <t>Joseph María Corona</t>
  </si>
  <si>
    <t>llo, Reyno de Goatemala, á D. Roque Eztenaga; y su resulta de Oficial segundo de las mismas Caxas á Don Joseph María Corona. En cumplimiento de los Reales decretos de S. M. de 2 de Agosto de 1795 y 9 de Junio de 1796 se recibirán desde x.° del próximo Diciembre en la Tesorería mayor y en las de exércit</t>
  </si>
  <si>
    <t>Coronado, Francisco</t>
  </si>
  <si>
    <t>Francisco Coronado</t>
  </si>
  <si>
    <t>os Subtenientes de granaderos D. [oseph Castaño y D. Agustín Arizaga, y á los primeros Subtenientes Don Francisco Coronado y D. Justo Montes ; á Subtenientes de granaderos á los primeros Subtenientes D. Pedro Pérez, D. Rafael García y D. Joseph Quirós; á primeros Subtenientes á los segundos D. Marcos Rodr</t>
  </si>
  <si>
    <t>Corrales y Luque, Antonio</t>
  </si>
  <si>
    <t>Antonio Corrales y Luque</t>
  </si>
  <si>
    <t>rs. de pensión anual á favor de la Real capilla de S. M.: para la referida dignidad de Arcediano á D. Antonio Corrales y Luque, Canónigo Doctoral de la misma Iglesia, con 2-© rs. de pensión, también anual , para el mismo destino: para la Canongía de la metropolitana de Burgos, vacante por promoción ae D.</t>
  </si>
  <si>
    <t>Corrales, Francisco</t>
  </si>
  <si>
    <t>Francisco Corrales</t>
  </si>
  <si>
    <t>á primer Subteniente al segundo D. Joseph Juan de Rico: en el de la Princesa á Capitán al Ayudante D. Francisco Corrales; á Ayudante al primer Teniente D. Joseph Ximenez ; á primeros Tenientes á los segundos de granaderos D. Domingo Quadrado y D. Isidoro Acevedo; á segundos Tenientes de granaderos á</t>
  </si>
  <si>
    <t>Correa, Joseph</t>
  </si>
  <si>
    <t>Joseph Correa</t>
  </si>
  <si>
    <t>Rey se ha servido promover á primer Teniente en el regimiento de caíiállería del Infante al segundo D. Joseph Correa: ha tenido á bien conferir las Tenencias Coronelas de los de la misma clase de Borbon y Alcántara al Teniente Coronel D. Manuel Iturrigaray y al Coronel D. Juan Joseph Sardeñ, Com</t>
  </si>
  <si>
    <t>Corregidor de Londres, Lord</t>
  </si>
  <si>
    <t>Lord Corregidor de Londres</t>
  </si>
  <si>
    <t>a de hacerse de convertir el papel impreso, aunque sea viejo, en buena pasta para hacerlo nuevo. El Lord Corregidor de Londres ha presentado á la misma Cámara un recurso de los trabajadores y menestrales de las ciudades de Londres y Westminster, que solicitan se anule el acta dirigida á precaver y castiga</t>
  </si>
  <si>
    <t>Corregidor, Lord</t>
  </si>
  <si>
    <t>Lord Corregidor</t>
  </si>
  <si>
    <t>a, y allí encontrará nuevas órdenes sobre su posterior destino. Lóndres 16 de Enero. H aliándose el Lord Corregidor en la dura necesidad de subir todas las semanas el precio del pan (que en el dia cuesta cerca de real y medio cada libra) convocó el 9 de este mes una junta extraordinaria de A1derm</t>
  </si>
  <si>
    <t>enes de que ahora gozan.” Gran número de habitantes de Londres se proponen pedir en debida forma ál Lord Corregidor convoque una asamblea general pira hacer una petición á favor de la paz. Seguirán este exemplo otras ciudades princi pales y varios Condados. Formada en junta de subsidios la Cáma</t>
  </si>
  <si>
    <t>ntó el mismo día una petición con 1Ó19 firmas, por la qual se desaprueba la que había comunicado el Lord Corregidor sobre que se tratase de concluir la guerra. Sin embargo, al fin de esta representación se suplicad la Cámara adopte lis medidas que crea mas • convenientes para ajustar una paz só</t>
  </si>
  <si>
    <t>taña asciende actualmente á4ji. 699,919 libras esterlinas, y sus intereses anuales á 19.813,569. El Lord Corregidor, el Ayuntamiento y la Ciudad de Dublin han nombrado á Mr. Nathaniel Hone para presentar al Rey un recurso contra la unión dé Irlanda é Inglaterra. Haya 2% de Abril. E n las dos Cá</t>
  </si>
  <si>
    <t>ces el tirulo de imperial. Ayer se juntó el consejo de Ayuntamiento de esta ciudad presidido por el Lord Corregidor. Algunos vocales hicieron proposiciones á favor de la paz, y Mr. Hodgson pidió se dirigiese una súplica en forma de recurso á S. M., haciéndole presente que en las críticas circun</t>
  </si>
  <si>
    <t>l duradera carestía de víveres. Efectivamente ayer se pre-r sentó ésta suplica á S. M. por mano del Lord Corregidor, á quien acompañaban los Regidores y otros individuos del Ayuntamiento. Igual resolución ha tomada lá ciudad dé Nottingham. Con fecha de 24 de Setiembre avisan de Gibraltar que el</t>
  </si>
  <si>
    <t>as dos embarcaciones con 506 cañoneras algo maltratadas. Habiéndose convocado el dia 22 en casa del Lord Corregidor los diputados del gremio de panaderos para arreglar el precio del pan, se reconoció que era indispensable subirlo á proporción del valor que han tomado los granos y la harina. En una</t>
  </si>
  <si>
    <t>Corrí</t>
  </si>
  <si>
    <t>tos británicos de línea. El Consejero Powell murió el dia 21 en Dublin de resultas de un desafío; y Mr. Corrí , Canciller del Echiquier de aquel Reyno, que en otro desafio quedó herido en un brazo, no asistió el dia 20 á la Cámara de Comunes: y de esto se inferia que ha empeorado de su he</t>
  </si>
  <si>
    <t>Corrí, Lord</t>
  </si>
  <si>
    <t>Lord Corrí</t>
  </si>
  <si>
    <t>el Parlamento hibérni'co el plan de la unión legislativa con Inglaterra , propuso recientemente el. Lord Corrí* en esta Cámara de Comunes se dirigiese una representación ^1 Rey haciéndole presente los danos que puede producir esta disposición del minís</t>
  </si>
  <si>
    <t>Cortazar, Francisco</t>
  </si>
  <si>
    <t>Francisco Cortazar</t>
  </si>
  <si>
    <t>ente al segundo de granaderos IX Francisco Raduan; á segundo Teniente de granaderos al de fusileros D. Francisco Cortazar; á segundo Teniente ai Subteniente de granaderos D. Fernando Sangenis; á esta resulta al primer Subteniente D. Juan Bautista Maure ; á primer Subteniente al segundo D. Joachin Fon</t>
  </si>
  <si>
    <t>Cortés y Madariaga, Joseph</t>
  </si>
  <si>
    <t>Joseph Cortés y Madariaga</t>
  </si>
  <si>
    <t>umentar la extremada miseria de estos pueblos. Madrid 29 de Agosto. E 1 Rey se ha servido nombrar á D. Joseph Cortés y Madariaga para un* Canongía de la catedral de Santiago de Chile, en América, vacante por fallecimiento de D. Tomas Blas Troncoso. También ha nombrado S. M. á D. Miguel de Batres y Muñoz par</t>
  </si>
  <si>
    <t>Cortes, Antonio Martín</t>
  </si>
  <si>
    <t>Antonio Martín Cortes</t>
  </si>
  <si>
    <t>z de Ilervas: para otra de la misma catedral, vacante por fallecimiento de Don Joachín del Barco, á D. Antonio Martin Cortes: para otra de la colegiata de Alicante, diócesis de Orihuela, vacante por muerte de D. Juan Bautista Marco, á D. Joseph Gervasio Gozalvez: para otra de Palencia, vacante por falle</t>
  </si>
  <si>
    <t>Cortés, Félix</t>
  </si>
  <si>
    <t>Félix Cortés</t>
  </si>
  <si>
    <t>enencia de la compañía suelta de fusileros Voluntarios dé Aragón al segundo Subteniente de la misma D, Félix Cortés: Subtenencia de bandera en el provincial de Mallorca á D. Pedro Fabregues; y la segunda Tenencia de la compañía de infantería fixa de Vera al primer Subteniente de la misma D, Fra</t>
  </si>
  <si>
    <t>de segundo Capitán de ¿a compañía suelta de fusileros voluntarios de Aragón al Teniente de la misma D. Félix Cortés; y la segunda Subtenencia al Sargento primero graduado de Subteniente de infantería D. Francisco Mongay. En América. Habiendo tenido el Rey á bien erigir en independiente la Caxa</t>
  </si>
  <si>
    <t>Cortes, Joachín</t>
  </si>
  <si>
    <t>Joachín Cortes</t>
  </si>
  <si>
    <t>usileros D. Mariano Mirálles; y á segundo Teniente al Subteniente de .granaderos, del fixo de Ceuta D. Joachín Cortes.</t>
  </si>
  <si>
    <t>Cortes, Miguel</t>
  </si>
  <si>
    <t>Miguel Cortes</t>
  </si>
  <si>
    <t>cazadores voluntarios de la Corona á Subteniente al segundo Subteniente dél de infantería' de León D. Miguel Cortes: en el segundo batallón dé voluntarios der Aragón á Capitán segundo al Ayudante seguncío D. Fermín Zueco; y ha nombrado Capellán del primer batallón del regimiento dé infantería d</t>
  </si>
  <si>
    <t>Cortiella, Juan Bautista</t>
  </si>
  <si>
    <t>Juan Bautista Cortiella</t>
  </si>
  <si>
    <t>se ha servido nombrar para la Ración ó Comensalia segunda de Sto. Tomas de la catedral de Tortosa á D. Juan Bautista Cortiella, con retención de la Capellanía del castillo de la plaza de Tortosa que sirve. . En la compañía Española del Real cuerpo de Guardias de Corps ha nombrado S. M. Sub-Brigadier al Ca</t>
  </si>
  <si>
    <t>Cortijo, Juan</t>
  </si>
  <si>
    <t>Juan Cortijo</t>
  </si>
  <si>
    <t>a á ségundo Teniente al Subteniente de granaderos D. Jayme Mazip, y á primer Subteniente al segundo D. Juan Cortijo : en el de España á primer Teniente al segundo D. Francisco Martin; á segundo Teniente al Subteniente de granaderos D. Joseph Casou; á Subteniente de granaderos al primer Subtenie</t>
  </si>
  <si>
    <t>Corveto</t>
  </si>
  <si>
    <t>doos un sable de honor.” Qrénova ij de Abril. E 1 General Oudinot ha escrito al ciud. Corveto en estos términos: „Os comunico sin pérdida de tiempo que el General Souchet, al apoderarse del puesto importante de Santiago hizo 2© prisioneros. Vamos siguiend</t>
  </si>
  <si>
    <t>Corvetto</t>
  </si>
  <si>
    <t>n hecho varias mudanzas en la comisión ó junta de gobierno, y se ha nombrado al ciud. Corvetto para Ministro de Relaciones exteriores, y Comisario del ‘gobierno cerca de dicho General. Gijon J2 de Adarzo. E n la mañana del 23 de Enero, á las once ménos q</t>
  </si>
  <si>
    <t>Corzan, Francisco</t>
  </si>
  <si>
    <t>Francisco Corzan</t>
  </si>
  <si>
    <t>gundo al primer Tc.niente , graduado de Capitán, D. Francisco Vázquez; á primer Teniente al segundo D. Francisco Corzan; á segundo Teniente al primer Subteniente ,D. Francisco Salces , y á primer Subteniente al segundo D. Manuel Briz : •en el de infantería de Extremadura á segundo Teniente de grana</t>
  </si>
  <si>
    <t>Cosgalla, Ramón</t>
  </si>
  <si>
    <t>Ramón Cosgalla</t>
  </si>
  <si>
    <t>es á los Subtenientes D. Luis Duran y D. Joseph Zapata: á Subteniente de granaderos al de fusileros D. Ramón Cosgalla: á Subteniente de fusileros al Cadete D. Francisco de la Cámara, y á Subtenientes de bandera á los Cadetes D. Joachín y D. Antonio Arandap y compañía de granaderos del batallón de</t>
  </si>
  <si>
    <t>Cosme Damian de Urbina</t>
  </si>
  <si>
    <t>no8 i.® de Octubre, núm. 42,408 , endosado á D. Cosme Damian de Urbina, y ámbos. renovados en cabeza del citado Mea ve, juntamente con un recibo de intereses de otro vale de 600 pesos de la creación de i.° de Octubre, núm. 13,832, £ favor de D. Faust</t>
  </si>
  <si>
    <t>Costa</t>
  </si>
  <si>
    <t>s ciudadanos Bossi y Debernardi, los reemplazarán interinamente en la junta los ciudadanos Costa y Giulio. 4.0 Desde hoy empezará á exercer sus funciones la nueva junta de gobierno. Los indiv iduos que fueron de ella, y quedan ahora excluidos, serán empleados en la</t>
  </si>
  <si>
    <t>Costa, Joseph</t>
  </si>
  <si>
    <t>Joseph Costa</t>
  </si>
  <si>
    <t>Teniente al segundo de granaderos D. Pablo Andreu; á segundo Teniente de granaderos al de fusileros D. Joseph Costa, y á segundos Tenientes á los Subtenientes de granaderos D. Christóbal Antayo y D. Francisco Lance: en el de Sevilla á segundo Teniente de granaderos al de fusileros D. Antonio To</t>
  </si>
  <si>
    <t>e Chinchilla, en el obispado de Cartagena, vacante por fallecimiento de D. Carlos Zacarías Mateo, á D. Joseph Costa, con la obligación de servirlo según la carga que tiene anexa; y para otro de la de la villa de Alforja, diócesis de Tarragona, baxo la invocación de S. Miguel Arcángel, á D. Jose</t>
  </si>
  <si>
    <t>Costa, Juan</t>
  </si>
  <si>
    <t>Juan Costa</t>
  </si>
  <si>
    <t>ral de Mieras, Corregimiento de Gerona................................. 44; 22. Juan Costa , hijo de Andrés é Isabel, nautral de Olivedas , Corregimiento de Gerona...................................... 47. 29. N arciso Fabregas, hijo de Joseph y Francisca, natural de Anglés, C</t>
  </si>
  <si>
    <t>Cotarelo, Félix</t>
  </si>
  <si>
    <t>Félix Cotarelo</t>
  </si>
  <si>
    <t>S. M. Capellán del quárto batallón del citado regimiento de Reales Guardias Españolas al presbítero D. Félix Cotarelo</t>
  </si>
  <si>
    <t>Cotarelo, Lorenzo</t>
  </si>
  <si>
    <t>Lorenzo Cotarelo</t>
  </si>
  <si>
    <t>Rian; á este empleo al primer Subteniente D. Ramón D’Aprea; á primeros Subtenientes á los segundos D. Lorenzo Cotarelo y D. xAlexandro Arroyo, y á segundos Subtenientes á los Cadetes D. Fernando Baliñani y D. Pablo de los Senderos: en el Suizo de Betschart Tenencias á los Subtenientes de granaderos D.</t>
  </si>
  <si>
    <t>Coton, Luis</t>
  </si>
  <si>
    <t>Luis Coton</t>
  </si>
  <si>
    <t>a D. Juan Gutiérrez: Tenencias de granaderos en los de Santiago y Lugo á los Tenientes de fusileros D. Luis Coton y D. Fernando Miranda: Tenencias en los de Ciudad-Rodrigo, Ciudad-Real, Tuy, Mondoñedo y Logroño, á los Subtenientes de granaderos y cazadores D. Ramón de la Riva y D. Ramón Saturnino</t>
  </si>
  <si>
    <t>Cots, Antonio</t>
  </si>
  <si>
    <t>Antonio Cots</t>
  </si>
  <si>
    <t>a Bisbal, Corregimiento de Gerona.............................. ....... 55. 30. Antonio Cots, hijo de Fructuoso y María, natural de Manresa, Corregimiento ídem........... ................................... 55. 30. Cabo.. Bartolomé Cuiné, hijo de Mariano y María , natural de Ig</t>
  </si>
  <si>
    <t>Cotton, Carlos</t>
  </si>
  <si>
    <t>Carlos Cotton</t>
  </si>
  <si>
    <t>mperador-de la China. • ' ,. El dia 14 diéron la vela de Portsmouth 7 navios de línea ipandados por Mr. Carlos Cotton, y van á: reunirse con la esquadra grande. Asimis-, dio ha salido de Falmouth para cruzar sobre las costas de Francia una división compuesta del navio Impetuoso de 78 cañones, 4 f</t>
  </si>
  <si>
    <t>Coulon-Thevenot</t>
  </si>
  <si>
    <t>estuviese en Egipto.” En el palacio nacional de ciencias y artes ha abierto el ciud. CoulonThevenot una escuela de tachígrafia, ó arte de escribir tan apriesa como se habla. Su método se considera como el mejor y el nías fácil para aprender, y el que con meno</t>
  </si>
  <si>
    <t>Coupigni de Louverval, Antonio</t>
  </si>
  <si>
    <t>Antonio Coupigni de Louverval</t>
  </si>
  <si>
    <t>de Reales Guardias Walonas se ha servido el Rey promover á Capitán al primer Teniente de granaderos D. Antonio Coupigni de Louverval. En atención á los méritos y circunstancias de los Administradores generales de Rentas en Aragón y Mallorca D. Pedro Cornel y D. Miguel Monserrat, y del Comisario ordenador D. Ant</t>
  </si>
  <si>
    <t>Courten, General</t>
  </si>
  <si>
    <t>General Courten</t>
  </si>
  <si>
    <t>e de Reussse hallan actualmente en las cercanías de Bregentz___ En las fronteras del Valais está el General Courten formando otro regimiento suizo, que igualmente entrará al sueldo de la Gran Bretaña. En los dias 6 y 7 pasáron por esta ciudad 113 cañones y obuses, con mas de 100 carros de munic</t>
  </si>
  <si>
    <t>Coutoy, Ignacio</t>
  </si>
  <si>
    <t>Ignacio Coutoy</t>
  </si>
  <si>
    <t>s al primer Teniente D. Juan Dupac y al Ayudante D. Miguel de Nueros; á Ayudante al primer Teniente D. Ignacio Coutoy; á primeros Tenientes á los segundos D. Felipe Cadroy , graduado de Capitán, D. Joachín de Alba y D. Juan Manuel Pereyra; á segundo Teniente al Alférez D. Alonso Marín ; á Alférec</t>
  </si>
  <si>
    <t>Covo Pelaez, Nicolás</t>
  </si>
  <si>
    <t>Nicolás Covo Pelaez</t>
  </si>
  <si>
    <t>ferir el empleo de Factor de Tabacos de la factoría de !a provincia de S. Salvador, en Goatemala, á Don Nicolás Covo Pelaez: el del partido de Gracias del mismo ramo, en el propio Reyno, á D. Francisco Castro; y el destino de Interventor de la misma factoría, que este obtenía, á D. Francisco Antonio Me</t>
  </si>
  <si>
    <t>Coxweil de Temple-bar</t>
  </si>
  <si>
    <t>hallado modo de curar el escorbuto de mar con el uso a el acido concreto de limón, según lo prepara Mr. Coxweil de Temple-bar. En Bombay se han recibido cartas de Cantón, las quales refieren que el nuevo Emperador de la China ha mandado que el dia correspondiente al i.° de Mayo de cada año se erijan teat</t>
  </si>
  <si>
    <t>Crawfort</t>
  </si>
  <si>
    <t>ario. Napper-Tandy compareció el día 19 ante el tribunal del banco del Rey; y habiendo representado Mr. Crawfort, nuestro Ministro en Hamburgo, que si este acusado no hubiese sido preso hubiera tenido tiempo para presentarse conforme á lo prevenido en el bilí relativo á los fugitivos, fue ab</t>
  </si>
  <si>
    <t>Crescy, Domingo</t>
  </si>
  <si>
    <t>Domingo Crescy</t>
  </si>
  <si>
    <t>menez: en el de Ñapóles á Subteniente de granaderos al primer Subteniente D. Domingo Crescy ;y á segundo Subteniente al Cadete D. Juan Joseph Arríete : en el Suizo de Reding á Teniente al Subteniente de granaderos D. Félix Mollo; y á Subteniente de granaderos al de fusil</t>
  </si>
  <si>
    <t>Crespo Cantolia, Andrés</t>
  </si>
  <si>
    <t>Andrés Crespo Cantolia</t>
  </si>
  <si>
    <t>ser , bordar y demas labores propias de su sexó. Se concluyó la función con un discurso que compuso D. Andrés Crespo Cantolia, catedrático de esta Real universidad, sobre las tareas de la sociedad, y el fruto que anuaimentb'Tsaeá de follas. ;.;o u&gt; ,..i ..mvtdrid:i.° de Agosto. E 1 martes de esta semana</t>
  </si>
  <si>
    <t>Crespo, Miguel</t>
  </si>
  <si>
    <t>Miguel Crespo</t>
  </si>
  <si>
    <t>a de pago contra, la Tesorería general de una acción delKeal empréstito de 400 mil Iones á favor de D. Miguel Crespo, 3a entregará en la Dirección de Temporalidades en S. Isidro el Real á D. IVla-T nuel Zorrilla. Habiéndose extraviado un vale Real de i-go pesos, creación de 15 de Marzo, núm. 23&lt;</t>
  </si>
  <si>
    <t>Crespo, Rafael</t>
  </si>
  <si>
    <t>Rafael Crespo</t>
  </si>
  <si>
    <t>ltimo, se repartieron en junta general de 18 del propio mes premios en dinero á D. Miguel de Ripa , D. Rafael Crespo, D. Vicente Royo, D. Francisco Rimont, D; Juan Antonio Ochotarena y D. Antonio Seta; y á D. Mariano Herrando un libro del Jardinero instruido, enquadernado en pasta, costeando est</t>
  </si>
  <si>
    <t>Creux y Ximenez, Pedro</t>
  </si>
  <si>
    <t>Pedro Creux y Ximenez</t>
  </si>
  <si>
    <t>ra la de Oidor de la Audkncia de?Sevilla, vacante por fallecimiento de D. Carlos López Altam.ranó á D Pedro Creux y Ximenez , Ministro honorario de Mallorca. &lt; Igualmente ha nombrado S. M. para el Corregimiento político de la ciudad de Xerez de la Frontera al Marques de la Candía: para e de letras de l</t>
  </si>
  <si>
    <t>Criado, Manuel</t>
  </si>
  <si>
    <t>Manuel Criado</t>
  </si>
  <si>
    <t>o de la misma: para otra de la de Ciudad-Rodrigo, vacante por fallecimiento de D. Blas Rodríguez, á D. Manuel Criado: para otra de la colegial de Talayera de la Reyna, en la diócesis de Toledo, vacante por fallecimiento de D. Genaro Gómez de Encinas, á D. Joseph Antonio Montemayor: para la de la</t>
  </si>
  <si>
    <t>Cronstedt, Almirante</t>
  </si>
  <si>
    <t>Almirante Cronstedt</t>
  </si>
  <si>
    <t>y de Ugglás, Mr. de Ehrenheim , primer Ministro de Estado, el Mayor General Ltíienlkjrn y el Contra-Almirante Cronstedt. El vecindario de esta capital ha hecho acuñar una medalla en celebridad de la coronación dei Rey. ■ : .. Se ha dado á luz el estado de las rentad desde la última Dieta celebrada</t>
  </si>
  <si>
    <t>Crow</t>
  </si>
  <si>
    <t>a del ciud. Talleyrand, Ministro de Relaciones exteriores, al Lord Greíiviile. Acompañaba al correo Mr. Crow, empleado en la aduana de Donvres. Una y otra carta tratan , según se dice , de paz. La de Bonaparte venia dirigida d S. M. el Rey de la Gran Bretaña y de Irlanda} omitiendo el tí</t>
  </si>
  <si>
    <t>Cuero y Cayedo, Joseph</t>
  </si>
  <si>
    <t>Joseph Cuero y Cayedo</t>
  </si>
  <si>
    <t>Obispo de la Luisiana, para el Arzobispado de Goatemala y y para el Obispado de Quito al limo. Sr. D. Joseph Cuero y Cayedo , Obispo de Cuenca del Perú. El Rey Ntro. Sr. se ha dignado conceder permiso á D. Manuel Palomino, profesor de pintura, para que tenga una escuela pública de principios del dibuxo</t>
  </si>
  <si>
    <t>Cuervo, Juan Vicente</t>
  </si>
  <si>
    <t>Juan Vicente Cuervo</t>
  </si>
  <si>
    <t>Joseph María de Roxas, y al de la misma clase en él Don Ramón Queipo de Llano. Por fallecimiento de D. Juan Vicente Cuervo ha conferido el Rey la plaza de Fiscal del tribunal de la Contaduría mayor de Cuentas, que obtenía, al Contador de resultas D. Pedro de Otondo. En América. El Rey se ha dignado no</t>
  </si>
  <si>
    <t>Cuiné, Bartolomé</t>
  </si>
  <si>
    <t>Bartolomé Cuiné</t>
  </si>
  <si>
    <t>orregimiento ídem........... ................................... 55. 30. Cabo.. Bartolomé Cuiné, hijo de Mariano y María , natural de Igualada, Corregimiento de Villafranca....................... 100. 6» Otro... Jacinto Siados, hijo de otro y Rosa, natural de Barcelona , Corregimi</t>
  </si>
  <si>
    <t>Cumplido, Juan María</t>
  </si>
  <si>
    <t>Juan María Cumplido</t>
  </si>
  <si>
    <t>iente de granaderos al primer Subteniente D. Vicente Ruiz Cubero, y á primer Subteniente al segundo D. Juan María Cumplido: en el de León á segundo Subteniente al Subteniente graduado y Sargento primero de granaderos D. Francisco Iñiguez: en el de Málaga á Capitán al primer Teniente de granaderos D. F</t>
  </si>
  <si>
    <t>Cunegunda, Princesa</t>
  </si>
  <si>
    <t>Princesa Cunegunda</t>
  </si>
  <si>
    <t>de la Pomerania sueca, y quizá de allí pasará á Berlín. Ti l El ector de Tréveris, y su hermana la Princesa Cunegunda, han llegado á Dresde. Ha salido de aquí para Frusta el' General1 ruso Hermán, que mandó Ihs tropas de su nación en Ja expedición de Holanda. El ciud. Bourgoyng, Ministro de Franc</t>
  </si>
  <si>
    <t>Curiel</t>
  </si>
  <si>
    <t>ería de la viuda de Ibarra á 13 rs. en rústica y 16 en pasta. Tratado completo de quattanas: por el Dr. Curiel ¡ un tomo en 4.0 Se halla* rá en la librería de Argueta , calle de la Montera. Defensa de la jurisdicción real y sus relaciones con la pontificia 6 eclesiástica i obra en que se e</t>
  </si>
  <si>
    <t>Curtís</t>
  </si>
  <si>
    <t>de ellos ántes que se volase, y los demas como por milagro. Ha recibido el Almirantazgo pliegos de Mr. Curtís desde el Cabo de Buena-Esperanza. Avisa que se habian sosegado enteramente los alborotos de los países interiores de aquel establecimiento. Está señalado en la Cámara de los Pares el</t>
  </si>
  <si>
    <t>Cutoli, Joseph</t>
  </si>
  <si>
    <t>Joseph Cutoli</t>
  </si>
  <si>
    <t>a de bandera a D. Joseph María Sánchez : en el de Chinchilla Compañías de fusileros á los Tenientes D. Joseph Cutoli, D. Fernando Martínez y D. Sebastian García, el primero de cazadores; y Tenencia de fusileros ai Subteniente D. Julián González: la Tenencia de granaderos del de Alcázar de S. Jua</t>
  </si>
  <si>
    <t>da Durbaran y Esnovar, Diego</t>
  </si>
  <si>
    <t>Diego da Durbaran y Esnovar</t>
  </si>
  <si>
    <t>h Alvarez de Velasco. Para el remate de una casa perteneciente al patronato Real de legos que fundó D. Diego da Durbaran y Esnovar, sita en la calle de la Abada, con los núms. 6 y 7, mai)z. 35$, tasada en 60,804 rs*» y dan Por e^a los aden metálico, y lo demas en vales, que se está subastando por la audiencia</t>
  </si>
  <si>
    <t>Daganzo, Joachín Martín</t>
  </si>
  <si>
    <t>Joachín Martín Daganzo</t>
  </si>
  <si>
    <t>ez de Marure con el Diccionario de la Real academia que franqueó la generosidad del Sr. Presidente: D. Joachin Martin Daganzo con un exemplar de los Viages de Wanton con estampas y última edición : D. Miguel Gravet y D. Juan Antonio Zandiola cada uno con otro de las Lecciones retóricas de Blair: D. Luis</t>
  </si>
  <si>
    <t>Dagcrre y DominicaLizugaray, Santiago</t>
  </si>
  <si>
    <t>Santiago Dagcrre y DominicaLizugaray</t>
  </si>
  <si>
    <t>os de la Havana. A consulta de la Junta general de Comercio y Moneda se ha servido S. M. conceder á D. Santiago Dagcrre y Doña DominicaLizugaray, la gracia de que en las puertas de la fábrica de aguardiente y licores, que han establecido y mantienen en la ciudad de Logroño , y en las do sus almacenes, puedan colocar el esc</t>
  </si>
  <si>
    <t>Dahnansa, Juan</t>
  </si>
  <si>
    <t>Juan Dahnansa</t>
  </si>
  <si>
    <t>bteniente de granaderos al primer Subteniente D. Francisco Pérez, y á primer Subteniente al segundo D. Juan Dahnansa: en el de Granada á Subteniente de granaderos al primer Subteniente D. Sebastian ‘Garcini, y á primer Subteniente al segundo D. Joseph María Veza: en. el •_ primer batallón de Vol</t>
  </si>
  <si>
    <t>Dahtberg, Carlos (barón)</t>
  </si>
  <si>
    <t>Barón Carlos Dahtberg</t>
  </si>
  <si>
    <t>ia &amp;c. Trátase en ella del modo de atender á los: gastos que exige el armamento de los paisanos. El Barón Carlos Dahtberg, Canónigo y Coadjutor de Maguncia, sucede al Obispo de Constanza en aquella mitra. Munic h 2 j de Enero. L a noticia de ía marcha retrógrada de los rusos recibida ayer aquí por Ra</t>
  </si>
  <si>
    <t>Dale, Pedro</t>
  </si>
  <si>
    <t>Pedro Dale</t>
  </si>
  <si>
    <t>uras y mixtas D. Francisco Martínez de la Escalera, Teniente de brulote graduado de la Real armada, D. Pedro Dale sme,D. Joseph María García Rodrigo y D. Joseph Cortines Espinosa, Cadete del regimiento de voluntarios de Castilla : asistidos de D. Joseph Ramón de Ibarra, Capitán del Real cuerp</t>
  </si>
  <si>
    <t>Dalesme, Pedro</t>
  </si>
  <si>
    <t>Pedro Dalesme</t>
  </si>
  <si>
    <t>de Hibernia á segundo Subteniente al Soldado distinguido del mencionado de Reales Guardias Walonas D. Pedro Dalesme: en el de granaderos Voluntarios de Estado á primer Teniente al segundo D. Pedro Pascale, y á segundo Teniente al Subteniente Don Pedro Faustino González: en el de Ñapóles á prime</t>
  </si>
  <si>
    <t>Dalmau, Francisco</t>
  </si>
  <si>
    <t>Francisco Dalmau</t>
  </si>
  <si>
    <t>por quien preguntará. Los-subscriptores al mapa topográfico de la ciudad de Granada, dado á lúa por D. Francisco Dalmau, acudirán á recoger sus exemplares en Madrid en la librería de Escribano , en Granada en la de Colon &amp;c. , en las quales se halla también de venta. Si esta obra fuese como otras l</t>
  </si>
  <si>
    <t>de Atocha , y de Nicasio, carrera de S. Gerónimo. El Mapa topográfico de la ciudad de Granada , por D. Francisco Dalmau, maestro de matemáticas de la Real maestranza de aquella ciudad , é individuo de la Real academia de ciencias naturales y artes de Barcelona; dibuxado y grabado con la mayor exact</t>
  </si>
  <si>
    <t>Damas, General</t>
  </si>
  <si>
    <t>General Damas</t>
  </si>
  <si>
    <t>s napolitanas escogidas, compuesto de 8© hombres de infantería y 4® de caballería, y mandado por el General Damas. Ha llegado á esta capital un Embaxador de la Puerta otomana; pero hasta ahora no ha sido presentado al Emperador, ni ha hecho la visita de estilo al Ministro de Negocios extrange</t>
  </si>
  <si>
    <t>Octubre. &gt; * ! • H a causado aquí el mas vivo sobresalto la entrada de los franceses en Italia. El General Damas, que había salido de Roma para verse con el General Sommariva, no pasó de Sena por haber sabido allí'que los franceses se hallaban ya en Florencia y Liorna. Por consiguiente se re</t>
  </si>
  <si>
    <t>ende actualmente á 106© hombres efectivos, y se aumentará con el cuerpo de napolitanos que manda el General Damas, y también, se-&gt; gun se dice, con 12® ingleses que han de desembarcar en Ancona. Finalmente, el quinto exército, que es el llamado de reserva, se compone del armamento general de</t>
  </si>
  <si>
    <t>uvieron una conferencia con el Secretario de Estado. Al dia siguiente conferenciaron también con el General Damas, que sirve al Rey de Nápoles; y después despacharon un correo á Milán, y el mencionado General, expidió otro á Paiermo. T7 Florencia 16 de Noviembre. JlLn Liorna se ha levantado e</t>
  </si>
  <si>
    <t>Damaso Aldao</t>
  </si>
  <si>
    <t>es sesiones que se siguiéron sin interrupción , fueron examinados en aritmética D. Joseph Villapol, Don Damaso Aldao , D. Agustín Mollon, Cadete de carabineros de María Luisa, D. Andrés Romero, Cadete del regimiento Inmemorial del Rey, y D.Esteban Piñeyro. En álgebra y trigonometrías D. Pedro Br</t>
  </si>
  <si>
    <t>Dámaso de Isusquiza</t>
  </si>
  <si>
    <t>El Avaro; comedía en cj actos del célebre Moliere , traducida iibrerhente del .francés en prosa por D. Dámaso de Isusquiza : en 8.° á 3 rs. Se hallará en ias librerías de Quiroga, calle de las Carretas y de la Concepción Gerdníma. En las mismas se venden todas las piezas del Teatro nuevo Español suelt</t>
  </si>
  <si>
    <t>Damian de Cosme</t>
  </si>
  <si>
    <t>spejo teórico-práctico, en que se miran las enfermedades desde la niñez hasta la decrepitud: por el Dr. Damian de Cosme. Se hallarán cada uno á 2 rs. en la librería de Cerro, red de S.Luis; y en su puesto, calle de Alcalá. Descripción y breve explicación de las estatuas, fuentes y jarrones de los R</t>
  </si>
  <si>
    <t>Danoy, Luis</t>
  </si>
  <si>
    <t>Luis Danoy</t>
  </si>
  <si>
    <t>. Juan Mier y Teran, D. Juan Blanco , de : r» Dulcocr. D. Francislos Cadetes 6! Santiago de Morant, D. LuisDanoy, D. Luis Bouligny, n Luis Gavarre V D. Cirilo de Morant, y los Sargentos pr.meros Don Francisco iCodrigtiez y D. Diego Salazar. E, atención á la áisfmguida calidad y circunstancia</t>
  </si>
  <si>
    <t>Danús, Domingo</t>
  </si>
  <si>
    <t>Domingo Danús</t>
  </si>
  <si>
    <t>egimiento provincial de Ronda. En el provincial de Mallorca ha conferido S. M. compañía al Teniente D. Domingo Danús; y para la Tenencia que resulta vacanto ha nombrado a D. llamón Maroto, Capitán graduado de infantería, y Teniente agregado ai mismo cuerno. A - ■ * Habiendo resuelto S. M. que el</t>
  </si>
  <si>
    <t>Dar, General</t>
  </si>
  <si>
    <t>General Dar</t>
  </si>
  <si>
    <t>e habían llegado á dichos atrincheramientos , y no podían sostener su fuego de metralla. Destacó el General Dar ñau Id 2 compañías de granaderos, sostenidas por todo el cuerpo de su mando, las quales se adelantaron con intrepidez expuestas á un fuego terrible, y dieron tiempo á las demas tr</t>
  </si>
  <si>
    <t>Darnaud, General</t>
  </si>
  <si>
    <t>General Darnaud</t>
  </si>
  <si>
    <t>Con fecha de 3 del corriente escribe el General Massená al Ministro de la Guerra que la brigada del General Darnaud marchó el 26 de Enero hacia Chíavari y Sestri de levante ; cogió 30 prisioneros, y se apoderó de un repuesto de granos que tenian los enemigos en Sestri.</t>
  </si>
  <si>
    <t>Daultanne</t>
  </si>
  <si>
    <t>confiado el mando de la plaza de Augsburgo al General de brigada Scbinner: los Generales Daultanne y Devrigny mandan en los caminos de Munich y Ratisbona: el xefe de brigada Ducheron en los de Ulm y Donawert; y el General. Espagne manda la partida de reserva de la divi</t>
  </si>
  <si>
    <t>Dávalos, Vicente</t>
  </si>
  <si>
    <t>Vicente Dávalos</t>
  </si>
  <si>
    <t>dor del resguardo de la factoría de Guadalaxara á D. Carlos Pozo: para Teniente Visitador de ella á D. Vicente Dávalos; y para Guardas de las factorías de Puebla, Oaxaea, Guadalaxara y Administración general del arzobispado de México á D. Agustín Galicia, D. Joseph Joachín de Aguilar, D. Manuel Ma</t>
  </si>
  <si>
    <t>Davan, Manuel</t>
  </si>
  <si>
    <t>Manuel Davan</t>
  </si>
  <si>
    <t>l regimiento Je infantería del Príncipe se ha servido el Rey promover á Ayudante al primer Teniente D. Manuel Davan; á primer Teniente al segundo de granaderos D. Francisco Domeñé; á segundo Teniente de granaderos al de fusileros D. Francisco Priego; á segundo Teniente al Subteniente de granade</t>
  </si>
  <si>
    <t>Daverdoing</t>
  </si>
  <si>
    <t>e los quales están en Hamburgo. Ilaya 1 de Marzo. S e ha retirado de Holanda el ciud. Daverdoing, que durante 5 anos administró por cuenta del gobierno francés todas las posesiones pertenecientes al Elector Palatino en el Brabante holandés, y las de los em</t>
  </si>
  <si>
    <t>David Macbride</t>
  </si>
  <si>
    <t>Mayo. Introducción- metódica á la teórica y práctiea dé la Medicina; obra escrita en ingles-por el Dr. David Macbride ^traducida al latín por Juan Federico Closio, y de este al castellano por D. J. D. R. y C. Esta obra , útil para los profesores de ; medicina y cirugía, consta de 2 tomos en 8.° m</t>
  </si>
  <si>
    <t>de Abraldes, Juan</t>
  </si>
  <si>
    <t>Juan de Abraldes</t>
  </si>
  <si>
    <t>Manuel de Emparan, D. Juan Luis de Michelena, Don Gaspar de Echavarría, D. Baltasar de Echavarría, D. Juan de Abraldes, D. Rafael Texada, D. Manuel de Lardizabal, D. Luis de Lardizabal, Don Hilarión de Echavarría, D. Ignacio Colmenáres y D. Francisco Huarte; y otros varios de esfera y principios d</t>
  </si>
  <si>
    <t>de Abraldes, Juan María</t>
  </si>
  <si>
    <t>Juan María de Abraldes</t>
  </si>
  <si>
    <t>s de esfera y principios de geografía. En la lengua francesa, al cargo del profesor de humanidades, D. Juan María de Abraldes, D. Manuel de Lardizabal, D. Luis de Lardizabal, D. Alejandro Barruchi, Don Joseph Kindelan, D. Rafael Tejada, D. Antonio Gilman, D*-Manuel de la Riva-Agiiero; y otros varios en p</t>
  </si>
  <si>
    <t>de Abreu y Orta, Joachín</t>
  </si>
  <si>
    <t>Joachín de Abreu y Orta</t>
  </si>
  <si>
    <t>sorno, D. Manuel Ristori y Medina, D. Salvador Ciezar y Bocanegra, D. Bonifacio de Tosta y Montano, D. Joachín de Abreu y Orta y D. Jayme Michelena y Moreno. En 3.a fecha. D. Juan Valdés é Inclan, D. Juan Calderón y Laso de la Vega, D. Gabriel Olivar y Esquella , D. Joachín Moreno y Mancha , D. Antonio Quirog</t>
  </si>
  <si>
    <t>de Acebo y Sobron, Francisco Antonio</t>
  </si>
  <si>
    <t>Francisco Antonio de Acebo y Sobron</t>
  </si>
  <si>
    <t>de la de Valpuesta, en el arzobispado de Burgos, vacante por fallecimiento de Don Pedro Alegría, á D. Francisco Antonio de Acebo y Sobron: para otra de la catedral de Canaria, vacante por muerte de D. Francisco Bolean, á Don Joseph Fernandez Abad: para la Ración que este obtiene en la misma iglesia, y resultará vaca</t>
  </si>
  <si>
    <t>de Acedo, Miguel María</t>
  </si>
  <si>
    <t>Miguel María de Acedo</t>
  </si>
  <si>
    <t>Reales Guardias Españolas se ha servido el Rey promover á primer Teniente al Teniente de Cazadores D. Miguel María de Acedo. En el de infantería Inmemorial del Rey á primer Subteniente al segundo D. Vicente Bazarra: en el de Zamora á segundo Subteniente al Cadete D. Joseph Tomaseo : en el de Soria á se</t>
  </si>
  <si>
    <t>de Acevedo, Joachín</t>
  </si>
  <si>
    <t>Joachín de Acevedo</t>
  </si>
  <si>
    <t>as Españolas se ha servido el Rey promover á Teniente de cazadores al segundo Teniente de fusileros Don Joachín de Acevedo. S. M. ha promovido á Ingenieros en segundo de sus exércitos, plazas y fronteras á los ordinarios D. Pedro Roig de Lluis, D. Francisco Jacot y D. Antonio J acot. El Rey ha conferi</t>
  </si>
  <si>
    <t>de Acosta, Joseph Tomás</t>
  </si>
  <si>
    <t>Joseph Tomás de Acosta</t>
  </si>
  <si>
    <t>as de las factorías de la misma renta en Puebla, Oaxaca, Guadalaxara y Vera-Cruz á D. Joseph Moran, D. Joseph Tomas de Acosta, D. Teodoro de Aguirre y D. Rafael Rancaño; y Tercenista de la factoría de Mérida de Yucatán á D. Pedro Joseph Montero. Asimismo ha nombrado S. M. por Oficiales segundo, tercero y</t>
  </si>
  <si>
    <t>de Afargas, Nicolás</t>
  </si>
  <si>
    <t>Nicolás de Afargas</t>
  </si>
  <si>
    <t>ército principal austríaco. Madrid 10 de Enero de 1800. C ondescendiendo ql Rey con las súplicas de D. Nicolás de Afargas, del jConsejq de S. M. , su Secretario con exercicio de Decretos, y Oficial mayor Blas*antiguo, de la Secretaría de Estado y del Despacho universal de la Real Hacienda, se ha serv</t>
  </si>
  <si>
    <t>de Aguiar, Ángel Benito</t>
  </si>
  <si>
    <t>Ángel Benito de Aguiar</t>
  </si>
  <si>
    <t>expresada Embaxada. En el cuerpo de milicias urbanas de la Coruña ha nombrado el Rey Subtenientes á D. Angel Benito de Aguiar, D. Ramón Antonio Montenegro y D. Martin de Quevedo Monteagudo. En America. El Rey se ha servido nombrar para la plaza de Oficial primero de la Contaduría de las Reales Caxas de C</t>
  </si>
  <si>
    <t>de Aguilar, Joseph Joachín</t>
  </si>
  <si>
    <t>Joseph Joachín de Aguilar</t>
  </si>
  <si>
    <t>uebla, Oaxaea, Guadalaxara y Administración general del arzobispado de México á D. Agustín Galicia, D. Joseph Joachín de Aguilar, D. Manuel María Cervantes, D. Joseph Salazar, D. Joseph García, D. Gabriel Gala» y D. Ignacio Mauri. Deseando S. M. reformar los teatros, y proporcionar ai pueblo una decente y h</t>
  </si>
  <si>
    <t>de Aguilar, Juan</t>
  </si>
  <si>
    <t>Juan de Aguilar</t>
  </si>
  <si>
    <t>azadores del provincial de Alicante y Orihuela, que se dixo en la gazeta del martes 14, provista en D. Juan de Aguilar, debe decir en D. Sebastian Barceló. Real cédula por la qual se amplía á diez años el privilegio que se concedió por ocho á los cinco Gremios mayores de Madrid para transportar á</t>
  </si>
  <si>
    <t>de Aguilar, María</t>
  </si>
  <si>
    <t>María de Aguilar</t>
  </si>
  <si>
    <t>o de 30 dias una casa sita calle déla Madera alta, núm. 3, manz. 4Ó3, perteneciente á la memoria de Doña María de Aguilar , tasada en 31,781 rs. 17 mrs. Quien quisiere hacer postura acuda ante dicho Sr. Juez y escribanía. En conseq.üencia de Jo resuelto por S. M. en Reales órdenes se han mandado saca</t>
  </si>
  <si>
    <t>e de 2 casas, la una sita en la calle de la Madera alta, núm. 3, manz. 463, propia de la memoria de Doña María de Aguilar, tasada en 31,781 rs., y la otra en la calle de Toledo, núm. ó, manz. 144, propia de la memoria de Juan Talavera, tasada en 82,789 rs., y dan por ella 70^, se ha señalado el dia 2</t>
  </si>
  <si>
    <t>de Aguilar, Romualdo Antonio</t>
  </si>
  <si>
    <t>Romualdo Antonio de Aguilar</t>
  </si>
  <si>
    <t>ifical de Fazalcázar, en la vicaría de Utrera, arzobispado de Sevilla, vacante por fallecimiento de D. Romualdo Antonio de Aguilar , á D, Elias Xavier de Lanza y Siles. En los cuerpos provinciales se ha servido el Rey conferir los empleos siguientes: el de Ayudante del regimiento provincial de Valladolid á Do</t>
  </si>
  <si>
    <t>de Aguirre y Rosales, Diego</t>
  </si>
  <si>
    <t>Diego de Aguirre y Rosales</t>
  </si>
  <si>
    <t>elipe Ibargiien y Ximenez, I). Francisco Solís y Ximenez de Zucita, D. Joseph Pasalagua y Martínez, D. Diego de Aguirre y Rosales, D. Antonio Climent y García, D. Manuel de Cárdenas y Castillo de las Peñas, D. Juan Albornoz y Calafat, D. Joachín de Toledo y Parra, D. Joachín Leonés y Hernández Reyilo, D. Jul</t>
  </si>
  <si>
    <t>de Aizpitarte, Joseph María</t>
  </si>
  <si>
    <t>Joseph María de Aizpitarte</t>
  </si>
  <si>
    <t>ichos sugetos. El 9 de Octubre sé remitieron por D. Juan Bautista de Meave, vecino de esta corte, á D. Joseph María de Aizpitarte , de la ciudad de Vitoria, dos vales Real* s, uno de i$o pesos, creación de ig de Setiembre, mím. 174,484, endosado á favor de Doña Margarita de Maguregui, y el otro de 300 pesos,</t>
  </si>
  <si>
    <t>vor de D. Fausto María de Asteasu. Y habiéndose extraviado, quien sepa de ellos avisará al referido D. Joseph María de Aizpitarte, ó en Madrid al citado Don Juan Bautista de Meaye: vive calle del Lobo , casas de S. Ignacio , núm. 9. Las dos casas sitas en esta corte, una en la calle de Toledo, núm. 11, manza</t>
  </si>
  <si>
    <t>de Alava, Ignacio María</t>
  </si>
  <si>
    <t>Ignacio María de Alava</t>
  </si>
  <si>
    <t>operaciones que acababa de practicar en los mares de China la esquadra española del mando del xefe D. Ignacio María de Alava. Este General dio la vela de la bahía de Manila en 9 de Enero, con los navios Europa y Montañés, y las fragatas Fama y Lucía, habiéndose incorporado á estas fuerzas de su mando la</t>
  </si>
  <si>
    <t>de Alba, Joachín</t>
  </si>
  <si>
    <t>Joachín de Alba</t>
  </si>
  <si>
    <t>ente D. Ignacio Coutoy; á primeros Tenientes á los segundos D. Felipe Cadroy , graduado de Capitán, D. Joachín de Alba y D. Juan Manuel Pereyra; á segundo Teniente al Alférez D. Alonso Marín ; á Alféreces á los Portaestandartes D. Jorge Zambrana y D. Jayme Goig, y á Portaestandartes á los Cadetes Don</t>
  </si>
  <si>
    <t>de Albini, Barón</t>
  </si>
  <si>
    <t>Barón de Albini</t>
  </si>
  <si>
    <t>udad de Aschaífenburgo, y es ella ha sentado su quartel el General Augereau. El Ministro Barón de Albini,que se hallaba en aquella plaza, salió después de dichas tropas acompañándole sus guardias de infantería y caballería. £1 dia 10 entró allí el General Barbón c</t>
  </si>
  <si>
    <t>de Albino y Obregon, Manuel</t>
  </si>
  <si>
    <t>Manuel de Albino y Obregon</t>
  </si>
  <si>
    <t>do Es-' pinosa. En América. El Rey se ha servido nombrar para el Deanato de la catedral de Panamá á D. Manuel de Albino y Obregon: para el Arcedianato, que este dexa, al Chantre D. Félix Pascual Mateo: para la Chanrría ai Maestrescuela D. Tomas Antolin Baxo y Ozerin: para la Maest pesco lía al Tesorero D. Pe</t>
  </si>
  <si>
    <t>de Alcain, Ángel Ignacio</t>
  </si>
  <si>
    <t>Ángel Ignacio de Alcain</t>
  </si>
  <si>
    <t>segundos Tenientes D. Joseph María de Zoroa, D. Máximo de Goycoechea, D. Juan Ignacio de Casares , D. Angel Ignacio de Alcain, D. Joachín Luis de Bermingham, D. Joseph Joachin de Atalay, D. Francisco Borja Larreandi . D. Bernardo de Arzac Parada y D. Ricardo Bermingham ; y los Subtenientes D. Miguel Anto</t>
  </si>
  <si>
    <t>de Alcocer, Fernando</t>
  </si>
  <si>
    <t>Fernando de Alcocer</t>
  </si>
  <si>
    <t>de Capitán D. Joachín Urrutia: en el de Mallorca á Subteniente de granaderos al primer Subteniente D. Fernando de Alcocer : en el de Aragón á Capitán al Ayudante D. Roque Marco: á Ayudante al primer Teniente de granaderos D. Juan Ungo: á primer Teniente de granaderos al de fusileros D. Lorenzo de Sie</t>
  </si>
  <si>
    <t>de Aldama, Juan Joseph</t>
  </si>
  <si>
    <t>Juan Joseph de Aldama</t>
  </si>
  <si>
    <t>ba, vacante por promoción de D. Diego de Espinosa á otra de la metropolitana de Zaragoza, á D. Juan Joseph de Aldama: para el Beneficio préstamo de la parroquia de S. Esteban de Cienfuegos, en la diócesis de Oviedo, vacante por muerte de D. Juan García de San Pedro, y la Prestamera de la mitacio</t>
  </si>
  <si>
    <t>de Alguer, Juan Ángel</t>
  </si>
  <si>
    <t>Juan Ángel de Alguer</t>
  </si>
  <si>
    <t>rar Sargento mayor del regimiento provincial de Burgos al Teniente Coronel, graduado de infantería, D. Juan Angel de Alguer, que lo era del de Salamanca; y ha promovido á igual empleo en los de Ecija y Plasencia á D. Joseph Guardamuro, Capitán del regimiento de infantería de Granada, y al Teniente Coro</t>
  </si>
  <si>
    <t>de Allende-Salazar y Zubialdea, Joseph María</t>
  </si>
  <si>
    <t>Joseph María de Allende-Salazar y Zubialdea</t>
  </si>
  <si>
    <t>nga ppr conveniente. Madrid $ de Setiembre. A tendiendo el Rey á la nobleza, lustre y distinción de D. Joseph María de Allende-Salazar y Zubialdea, sus enlaces, méritos personales y de sus ascendientes, y la proporción de rentas con que se halla, se ha dignado concederle merced de título de Castilla, para sí, y los sucesores</t>
  </si>
  <si>
    <t>de Almagro, Luis</t>
  </si>
  <si>
    <t>Luis de Almagro</t>
  </si>
  <si>
    <t>o , tasada en 26,248 rs. y renta 787. Un cortijo de 127 cuerdas, en Puente Vieja, de la obra pia de D. Luis de Almagro , sita en la parroquial de Santo Domingo , tasada en 30,500 rs. y renta 915. Un olivar con 534 matas , en Valde Canales, de dicha obra pia , tasado en 35,464 rs. y renta 1064. Una</t>
  </si>
  <si>
    <t>de Altuna Aróstegui, Pedro</t>
  </si>
  <si>
    <t>Pedro de Altuna Aróstegui</t>
  </si>
  <si>
    <t>as en *7,135 rs. 5 casas, caseríos y varias tierras en el pueblo y campo de Azpeitia , fundación de D. Pedro de Altuna Aróstegui y su muger, tasadas en 130,543 rs. 49 mrs. 3 caserías y heredades en el campo de Mondragon, de la cofradía del Santísimo, tasadas en 41,133 rs. ao mrs. y rentan 743. a tierras sembr</t>
  </si>
  <si>
    <t>de Alustiza, Joseph</t>
  </si>
  <si>
    <t>Joseph de Alustiza</t>
  </si>
  <si>
    <t>se ha dignado nombrar para la plaza de Ministró Contador de Real Hacienda del puerto de la Guayra á D. Joseph dé Alustiza’; y para igual empleo, que este dexa,en Maracaybo, á D,. Manuel de Echegaray., Oficial primero de la Contaduría mayor del tribunal de Cuentas de Caracas, concediendo á los demas Of</t>
  </si>
  <si>
    <t>de Anaya y Rivas, Andrés</t>
  </si>
  <si>
    <t>Andrés de Anaya y Rivas</t>
  </si>
  <si>
    <t>de la colegial deUbeda, en la diócesis de Jaén, vacante por fallecimiento de D. Manuel del Olmo, á D. Andrés de Anaya y Rivas: para la Ración de la santa iglesia de Tuy, vacante por fallecimiento de D. Diego Alvarez, á D. Manuel Rodriguez Carrillo, Cura que fue de S. Juan de Letran en Valladolid: para ot</t>
  </si>
  <si>
    <t>de And, Mateo Joseph</t>
  </si>
  <si>
    <t>Mateo Joseph de And</t>
  </si>
  <si>
    <t>ps, ha conferido el Rey el gobierno del castillo de Sta, Cruz de la Mota, vacante por deposición de D. Mateo Joseph de And uaga. En atención al mérito y circunstancias de D, Juan de Lexarcegui se ha servido S. M. concederle los honores de Comisario de Guerra de los Reales exércitos. En América. El Rey</t>
  </si>
  <si>
    <t>de Angulo, Francisco Miguel</t>
  </si>
  <si>
    <t>Francisco Miguel de Angulo</t>
  </si>
  <si>
    <t>as, con su casa de teja, perteneciente á la memoria que fua-&gt; do en ]a_iglesia catedral el Canónigo D. Francisco Miguel de Angulo, tasado, en venta en 55,416.rs., y en renta en 14321 rs., y á que esta hecha postura en 36,944 rs.:—Al patronato que fundó en la parroquial de S. Ilde-. fonso D. Joseph Ignacio de</t>
  </si>
  <si>
    <t>de Angulo, Manuel Pablo</t>
  </si>
  <si>
    <t>Manuel Pablo de Angulo</t>
  </si>
  <si>
    <t>D. Antonio Artechea, de Cádiz, ó •en esta corte á dicho B. Anselmo García. El a&lt;5 de Agosto remitió D. Manuel Pablo de Angulo , de Madrid, á D. Juan Francisco de la Quintana, de Cádiz , dos vales Reales de &lt;5oo pesos , creación de 10 de Abril, números 390,152 y 401,139: el primero endosado al referido Qu</t>
  </si>
  <si>
    <t>de Anhalt-Coeten, Luis (príncipe)</t>
  </si>
  <si>
    <t>Príncipe Luis de Anhalt-Coeten</t>
  </si>
  <si>
    <t>El 28 de Julio se celebró en Darmstadt el matrimonio de la Princesa Luisa de Hesse-Darmstadt con el Príncipe Luis de Anhalt-Coeten. Léese en la gazeta de Praga que la Prusia y ía Rusia envían 50© hombres cada una como mediadoras armadas para obligar á la Francia á modear sus pretensiones, y conseguir la paz g</t>
  </si>
  <si>
    <t>de Antillon, Isidoro</t>
  </si>
  <si>
    <t>Isidoro de Antillon</t>
  </si>
  <si>
    <t>o de un quaderno anónimo intitulado Elementos de geografía. .Lo escribe» para desengaño del público D. Isidoro de Antillon , catedrático de geografía é historia del Real seminario de Nobles de Madrid. Véndese á a rs. en la librería de Barco, carrera de S. Gerónimo. Puede ir en carta. / - Teatro Españo</t>
  </si>
  <si>
    <t>de Antón, Juan</t>
  </si>
  <si>
    <t>Juan de Antón</t>
  </si>
  <si>
    <t>onzález y D. Manuel Corlantes; y á Segundos Subtenientes á los Sargentos primeros D. Juan González, D. Juan de Antón y D. Narciso González, los dos primeros de granaderos, al Cadete D. Juan Antonio Toledo, á los de estA clasedel de- Zamora D. Pedro A valle *£). Pedro Lamperez y £&gt;. Pedro Osó</t>
  </si>
  <si>
    <t>de Aragón, Agustín</t>
  </si>
  <si>
    <t>Agustín de Aragón</t>
  </si>
  <si>
    <t>lvarez, D. Joseph de Misa y D. Pedro Guerrero; en el de España á Capitanes á los primeros Tenientes D. Agustín de Aragón, de granaderos, y D. Gerónimo Muñoz; á primer Teniente de granaderos al de fusileros D. Juan de Valenzucla; X primeros Tenientes á los segundos de granaderos D. Antonio Gallardo y</t>
  </si>
  <si>
    <t>de Arana, Francisco Antonio</t>
  </si>
  <si>
    <t>Francisco Antonio de Arana</t>
  </si>
  <si>
    <t>nología histórica de sus Reyes, obispados y religiones, órdenes militares antiguas y modernas : por D. Francisco Antonio de Arana. Véndese á 1 rs. en la librería de .Cerro, red de S. Luis, y en su puesto , calle de Alcalá. SUPLEMENTO</t>
  </si>
  <si>
    <t>de Aranda, Francisco</t>
  </si>
  <si>
    <t>Francisco de Aranda</t>
  </si>
  <si>
    <t>aga, vacante por promoción de D. Tomas de Molina Martel á una Canongía de la catedral deOrihuela, á D. Francisco de Aranda; y para una Ración Patrimonial de la catedral de Tarazona á D. Lorenzo Ruiz. En el regimiento de Reales Guardias Walonas se ha servido el Rey promover á primer Teniente de granade</t>
  </si>
  <si>
    <t>de Aranza, Blas</t>
  </si>
  <si>
    <t>Blas de Aranza</t>
  </si>
  <si>
    <t>de esta noble idea el acreditado zelo del bien público del Intendente de este Exército y Principado Don Blas de Aranza, que aplaudió al profesor Albert por este útilísimo proyecto, y le estimuló á su execucion. En efecto, presentáronse la mayor parte de los sordo-mudos á la escuela que abrió el Sr</t>
  </si>
  <si>
    <t>de Arbizu y Alava, Joseph</t>
  </si>
  <si>
    <t>Joseph de Arbizu y Alava</t>
  </si>
  <si>
    <t>rres, D. Joseph de Tiscar y Pedrosa, D. Saturnino Aguado y Payan, D. Joseph Bayo y García de Prado, D. Joseph de Arbizu y Alava, Don Antonio Vázquez de Velasco y Ontañon, D. Santiago Palacio y Santibañez, D. Juan de Torres y Araujo, D. Juan Rubion y Gutiérrez de la Huerta,!). Joseph de Carracedo y Salgado,</t>
  </si>
  <si>
    <t>de Arce y Caballero, Domingo</t>
  </si>
  <si>
    <t>Domingo de Arce y Caballero</t>
  </si>
  <si>
    <t>eneral aplauso. Varios niños de la clase de ortología recitaron con gran propiedad algunas fábulas. Don Domingo de Arce y Caballero, del Consejo de S. M., su Alcalde decano de la sala del Crimen de esta Chancillería, y el Dr, D. Mariano Sicilia, catedrático de filosofía moral en esta universidad , leyeron do-s</t>
  </si>
  <si>
    <t>gramática y ortografía castellana, aritmética, historia de España y geografía: y concluyó el acto &gt;D. Domingo de Arce y Caballero, decano de las salas del Crimen, con un discurso sobre el influxo de la enseñanza en la felicidad pública. Pasando entonces á la adjudicación de premios, se distinguió a los sobre</t>
  </si>
  <si>
    <t>de Arcens y Faleons, Antonio</t>
  </si>
  <si>
    <t>Antonio de Arcens y Faleons</t>
  </si>
  <si>
    <t>Norris , D. Juan Alvarez Faxardo y Ruiz Mateos, Don Toachín de Vierna é Isla , D. Mariano Spadafora,D. Antonio de Arcens y Faleons, D. Tuan Bustamante y González del Rivero, D. Felipe de Zavas v LaudaD. Toseph Buitragoy Granados, D. Francisco Agraz y Fernandez, D. Antonio Gandarillas y Quixano , D. Juan de Or</t>
  </si>
  <si>
    <t>de Areizaga, Juan Carlos</t>
  </si>
  <si>
    <t>Juan Carlos de Areizaga</t>
  </si>
  <si>
    <t>nferido también el empleo de Coronel del de las Ordenes Militares al Coronel D. Juan Carlos de Areizaga, Teniente Coronel del de infantería de» Córdoba. D. Martin Brusein, en un viage que ha hecho de intento para buscar aplicaciones de su máquina hidráulica (anunciada en la gazeta del f de Ma</t>
  </si>
  <si>
    <t>de Arellano, Joseph</t>
  </si>
  <si>
    <t>Joseph de Arellano</t>
  </si>
  <si>
    <t>ns, D. Joseph Fermín Cia, D. Joseph María Cia, D. Pedro Tavira, D. Rodrigo Tavira, D. Raymundo Cia, D. Joseph de Arellano y D. Joacliín Fernandez de Medrano. En sintaxis, baxo la dirección de D. Rufino Espada, D. Antonio Gilman, D. Manuel de la Riva-Agüero, D. Alexandro Barruchi, D. Iñigo Ortés y D. Jose</t>
  </si>
  <si>
    <t>de Areta, Francisco Antonio</t>
  </si>
  <si>
    <t>Francisco Antonio de Areta</t>
  </si>
  <si>
    <t>Don Cárlos de San Martin, á D. Joseph Suero González: para la Canongía, que este dexa, al Racionero D. Francisco Antonio de Areta: para esta Ración al Medio-Racionero D. Alberto Illanes Camaño; y para la Media-Ración de la catedral de Popayan , vacante por fallecimiento de D. Manuel Sánchez Ramírez de Arella</t>
  </si>
  <si>
    <t>de Arguelles, Manuel</t>
  </si>
  <si>
    <t>Manuel de Arguelles</t>
  </si>
  <si>
    <t>Joseph Goya y Muniain: para la Ración, vacante también en la referida iglesia por fallecimiento de D. Manuel de Arguelles, á D. Vicente Lobo y Marques: para la Canongía de la catedral de León, vacante por fallecimiento de D. Domingo Gastaña, á D. Francisco Xavier Chinchilla Chichina y Vilches: para o</t>
  </si>
  <si>
    <t>de Argumosa y Bourke, Remigio</t>
  </si>
  <si>
    <t>Remigio de Argumosa y Bourke</t>
  </si>
  <si>
    <t>. de la misma D. León Gil de Palacio; y ha concedido grados de Tenientes de milicias Provinciales á D. Remigio de Argumosa y Bourke y á D. Joseph Martínez Hervas, agregados al Ministerio de S. M. en Prusia. S. M. se ha dignado nombrar primer Teniente en el regimiento de caballería de Calatrava al segundo D. Juan</t>
  </si>
  <si>
    <t>de Arion, Duque</t>
  </si>
  <si>
    <t>Duque de Arion</t>
  </si>
  <si>
    <t>ia cívica compuesta casi toda de lazzarones. Malaga jo de Junto. . E 1 Exc. Sr. Duque de Arion, Coronel dei regimiento de infantería de Málaga, dispuso, con arreglo á ordenanza, que los caballeros Cadetes de el diesen una prueba pública de la aplicación que tienen acreditada, celebr</t>
  </si>
  <si>
    <t>de Ariza y Taboa, Joseph</t>
  </si>
  <si>
    <t>Joseph de Ariza y Taboa</t>
  </si>
  <si>
    <t>al del Solar de Celis: en el de Sigiíenza la Subtenencia d.e granaderos al Subteniente de fusileros D. Joseph de Ariza y Taboa</t>
  </si>
  <si>
    <t>de Ariza y Taboada, Joseph María</t>
  </si>
  <si>
    <t>Joseph María de Ariza y Taboada</t>
  </si>
  <si>
    <t>el de Compostela á D. Juan Joseph de la Vega y Calo Vallo de Porras: en el de. Sigíienza al Cadete D. Joseph María de Ariza y Taboada; y en el de Alcira á D. Joseph Miro y Ríves. Asimismo ha nombrado S. M. segundo Teniente de la compañía de infantería de la plaza de Rosas al Subteniente de la misma 0. Antonio Al</t>
  </si>
  <si>
    <t>de Ariza, Nicolás Juan</t>
  </si>
  <si>
    <t>Nicolás Juan de Ariza</t>
  </si>
  <si>
    <t>de granaderos al primer Subteniente D. Joseph de la Reguera; á primeros Subtenientes á los segundos D. Nicolás Juan de Ariza, D. Ximen Ruiz de Liory y D. Ildefonso Tapia, y á segundos Subtenientes á los Cadetes D. Diego Tolosa y D. Antonio Remon y Huet, al Sargento primero de granaderos D. Miguel Fortun</t>
  </si>
  <si>
    <t>de Armendarizj, Pedro Ignacio</t>
  </si>
  <si>
    <t>Pedro Ignacio de Armendarizj</t>
  </si>
  <si>
    <t>esos, creación de Marzo, números 249,1 $7 y 249,1^8: el uno endosado en la renovación á la orden de D. Pedro Ignacio de Armendarizj y el otro á la del mismo Jáuregui. Quien supiere de ellos avisará al referido D. Miguel Antonio en Vergara, ó en Madrid á D. Manuel García Malde, calle de Cantarínas, núm. 9, frente a</t>
  </si>
  <si>
    <t>de Arochena, Bernardo</t>
  </si>
  <si>
    <t>Bernardo de Arochena</t>
  </si>
  <si>
    <t>odos á favor de D. Ingram Binns, con firma de este en blanco. Qulemlos haya hallado los entregará á D. Bernardo de Arochena, red de S. Luis, casa núm. 10. Se ha perdido un vnle Real de 1 go pesos, creación de ig de Setiembre, rúmero 1415,608, endosado á nombre de D. Tomas Cordero y Da&gt;p, y por este á D</t>
  </si>
  <si>
    <t>de Aróstegui y de Tomasa Basabe, Martín</t>
  </si>
  <si>
    <t>Martín de Aróstegui y de Tomasa Basabe</t>
  </si>
  <si>
    <t>. En el juzgado del Gobernador de Ja Havana se hallan pendientes los autos de las testamentarías de D. Martin de Aróstegui y de Doña Tomasa Basabe,'su muger, vecinos que fuéron de dicha ciudad, cuya.pronta conclusión le está encarga* da por repetidas Reales órdenes ; y á fin de que los interesados en ellas, que se hallan aus</t>
  </si>
  <si>
    <t>de Aróstegui, Antonio</t>
  </si>
  <si>
    <t>Antonio de Aróstegui</t>
  </si>
  <si>
    <t>516 miento en la escuela de hilar al torno: presenció ei acto el Subcolector Don Antonio de Aróstegui, dignidad Maestrescuela de la santa Iglesia metropolitana, y obtuvieron las suertes Joachína Borau y Pabla Franca, á quienes se entregó la certificación correspondiente , para que</t>
  </si>
  <si>
    <t>de Aróstegui, Miguel Joachín</t>
  </si>
  <si>
    <t>Miguel Joachín de Aróstegui</t>
  </si>
  <si>
    <t>a mencionada milicia quando se forme, sin que pueda ser oficial. Al Regidor que se fugó de la plaza D. Miguel Joachín de Aróstegui, que'no tenga empleo de Ayuntamiento, ni ser concejante en 6 años, pagando la multa de 200 ducados. A Joseph Xavier de Urbiztondo, vecino de S. Sebastian, por sacrilego y traidor</t>
  </si>
  <si>
    <t>de Arredondo, Joachín</t>
  </si>
  <si>
    <t>Joachín de Arredondo</t>
  </si>
  <si>
    <t>ñolas se ha servido el Rey promover á Tenientes de granaderos á los segundos Tenientes de fusileros D. Joachin de Arredondo y D. Manuel Angulo: en el de Reales Guardias Walonas á segundo Teniente al Alférez de granaderos D. Andrés Dehuerne, y á Alférez de granaderos al de fusileros D. Jayme Parella. En Amé</t>
  </si>
  <si>
    <t>de Arredondo, Manuel</t>
  </si>
  <si>
    <t>Manuel de Arredondo</t>
  </si>
  <si>
    <t>mandante de cazadores al primer Teniente\D, Joseph María Manso; á primeros Tenientes á los segundos D. Manuel de Arredondo, graduado de Teniente Coronel, y D. Francisco Galvez; y . á segundo Teniente al Alférez de. cazadores Don Basilio Báyón. En el de infantería de Soria á segundo Teniente de granade</t>
  </si>
  <si>
    <t>de Arredondo, Manuel Antonio</t>
  </si>
  <si>
    <t>Manuel Antonio de Arredondo</t>
  </si>
  <si>
    <t>ancias que concurren en Doña Tuana Tosepha de Herce y Dulce, vecina de la ciudad de Lima, raucer de D. Manuel Antonio de Arredondo, Regente de aquella Real Ausencia, * los méritos de sus ascendientes, y á los quant,osos bienes que posee, se ha servido el Rey, á consulta de la Camara de Indias, conceS facultad</t>
  </si>
  <si>
    <t>de Arrieta, Juan Agustín</t>
  </si>
  <si>
    <t>Juan Agustín de Arrieta</t>
  </si>
  <si>
    <t>y D. Ricardo Bermingham ; y los Subtenientes D. Miguel Antonio de Bengoechea, D. Francisco Otaegui, D. Juan Agustín de Arrieta, Don Martin de Echavc, D. Manuel de Medina, D. Juan Joseph Garnier, Don Agustín de Lecumberri y D. Francisco Antonio Barandiaran, que paguen cada uno 200 dudados de vellón de mult</t>
  </si>
  <si>
    <t>de Arroyo, Juan</t>
  </si>
  <si>
    <t>Juan de Arroyo</t>
  </si>
  <si>
    <t>a y D. Francisco Casal y Morado: en el de Bujalance compañía de fusileros al Teniente de granaderos D. Juan de Arroyo, y las Subtenencias de bandera á D. Joseph María Muñoz del Castillo y D. Joseph Valdelomar: en el de Segovia compañía de fusileros al Teniente graduado de Capitán de infantería D.</t>
  </si>
  <si>
    <t>de Arteaga, Joseph</t>
  </si>
  <si>
    <t>Joseph de Arteaga</t>
  </si>
  <si>
    <t>ucía D.Tomas de Moría,aUe Extremadura D. Joseph Alvarez , y al Capitán general de Castilla la Vieja D. Joseph de Arteaga. También ha nombrado S. M. al Teniente General D. Joseph Iturrigaray por segundo Cabo 6 Comandante general de la provincia de Andalucía con la Presidencia de la audiencia de Sevil</t>
  </si>
  <si>
    <t>de Arzac Parada, Bernardo</t>
  </si>
  <si>
    <t>Bernardo de Arzac Parada</t>
  </si>
  <si>
    <t>Alcain, D. Joachín Luis de Bermingham, D. Joseph Joachin de Atalay, D. Francisco Borja Larreandi . D. Bernardo de Arzac Parada y D. Ricardo Bermingham ; y los Subtenientes D. Miguel Antonio de Bengoechea, D. Francisco Otaegui, D. Juan Agustín de Arrieta, Don Martin de Echavc, D. Manuel de Medina, D. Juan Jose</t>
  </si>
  <si>
    <t>de Arzubialde, Juan Manuel</t>
  </si>
  <si>
    <t>Juan Manuel de Arzubialde</t>
  </si>
  <si>
    <t>los 9 vales Reales que en gazeta de 23 de Setiembre último se dixo haberse extraviado al remitirlos D. Juan Manuel de Arzubialde , de Cádiz , con endoso á D. Manuel de Muñoz y Usparicha, de Bilbao (ios quales aun no han parecido), se puso por equivocación el dei núm. 383,02.9 de 600 pesos.} y debió decirse</t>
  </si>
  <si>
    <t>de Arzubislde, Juan Manuel</t>
  </si>
  <si>
    <t>Juan Manuel de Arzubislde</t>
  </si>
  <si>
    <t>áminas , y un grande atías separado.: el precio de cada exempiar es 400 rs. El 13 de Agosto remitió D. Juan Manuel de Arzubislde ,vecino de Cádiz, coa endoso s D. Manuel de Muñoz y Us par i cha , del comercio de Bilbao, g vales Peales de á tfeo pesos, de 10 de Abril, números 383,029, 384,^58, 385,629, 394,1</t>
  </si>
  <si>
    <t>de Asturias, Príncipe</t>
  </si>
  <si>
    <t>Príncipe de Asturias</t>
  </si>
  <si>
    <t>llero de la orden de Cala-' trava , encargado de la instrucción militar del Sr. Príncipe de Asturias , Teniente Corojpeá,del Real cuerpo de artillería , y Comandante de la brigada de artillería volante del Real cuerpo de Guardias de Corps. Se hallará en la librería de Ranz,: calle dss lá Cr</t>
  </si>
  <si>
    <t>de Atalay, Joseph Joachín</t>
  </si>
  <si>
    <t>Joseph Joachín de Atalay</t>
  </si>
  <si>
    <t>Goycoechea, D. Juan Ignacio de Casares , D. Angel Ignacio de Alcain, D. Joachín Luis de Bermingham, D. Joseph Joachin de Atalay, D. Francisco Borja Larreandi . D. Bernardo de Arzac Parada y D. Ricardo Bermingham ; y los Subtenientes D. Miguel Antonio de Bengoechea, D. Francisco Otaegui, D. Juan Agustín de</t>
  </si>
  <si>
    <t>de Auersberg, Carlos (príncipe)</t>
  </si>
  <si>
    <t>Príncipe Carlos de Auersberg</t>
  </si>
  <si>
    <t>ulo I no: admitirá*la embaxada extraordinaria, á que está destinado por el Emperador de Alemania el Príncipe Carlos de Auersberg. vEn la lonja ó casa dé comercio de esta capital se ha publicado una orden de S. M. I.9 .en que manifiesta sus deseos de favorecer al comercio de sus vasallos, y sus disposiciones</t>
  </si>
  <si>
    <t>de Avala, Joseph</t>
  </si>
  <si>
    <t>Joseph de Avala</t>
  </si>
  <si>
    <t>y Escandon : para esta resulta al Oidor de Manila D. Felipe Cisneros de la Oliva: para esta plaza á D. Joseph de Avala ; y para la Fiscalía de lo civil y criminal de la Audiencia de Caracas, vacante por fallecimiento de D. Francisco Morales Gabaldon, á D. Diego Romero y Montero, Abogado d,e los Re</t>
  </si>
  <si>
    <t>de Aversberg, Cárlos (príncipe)</t>
  </si>
  <si>
    <t>Príncipe Cárlos de Aversberg</t>
  </si>
  <si>
    <t>nión de que está de inteligencia con BaswanOglow. Viena 18 de Octubre. E 1 Emperador ha nombrado al Príncipe Cárlos de Aversberg para su Erabaxador en la corte de Petersburgo. Parece cierto que el Archiduque Cárlos ha aceptado el mando en xefe de los exércitos imperiales, y no tardará en llegar aquí. La Emp</t>
  </si>
  <si>
    <t>de Avila, Miguel</t>
  </si>
  <si>
    <t>Miguel de Avila</t>
  </si>
  <si>
    <t>fecta i voz de contralto de la catedral de Orihuela, vacante por fallecimiento de D. Andrés Reus, á D. Miguel de Avila; y para el Beneficio, vacante en la metropolitana de Ntra. Sra. del Pilar de Zaragoza por fallecimiento de Don Miguel Montañés, á D. Rafael Blac y Castan. En la compañía Española</t>
  </si>
  <si>
    <t>de Ayala y Silveyra, Ramón</t>
  </si>
  <si>
    <t>Ramón de Ayala y Silveyra</t>
  </si>
  <si>
    <t>lo, Salamanca y Cuenca á D. Ramón González Castro Taboada y Valenzuela, D. Joachín Xencrio y Giles, D. Ramón de Ayala y Silveyra, D. Antonio Callejas, D. Joseph López Berrio, D. Valentín Antonio Gutiérrez, D. Joseph Martin Ruiz y Lúeas y„D. Pedro Alcántara Alamanzon. Él Rey se ha servido nombrar para el Cor</t>
  </si>
  <si>
    <t>de Ayala, Joseph</t>
  </si>
  <si>
    <t>Joseph de Ayala</t>
  </si>
  <si>
    <t>a á D. Este'ban Teixido: del primero del de Aragón a Don Juan Casdamon; y del primevo del del Rey á D. Joseph de Ayala. En América. 5. M. se ha servido conferir la pinza de Contaoor de Cuentas de nueva creación del tribunal de Goatemuia a D. Antonio Mana de Ribas. . it»* ai - Habiendo dado á luz J</t>
  </si>
  <si>
    <t>de Azanza, Miguel Joseph</t>
  </si>
  <si>
    <t>Miguel Joseph de Azanza</t>
  </si>
  <si>
    <t>limentaron á SS. MM. y A A. con tan plausible motivo. Condescendiendo el Rey con los deseos del Sr. D. Miguel Joseph de Azanza ha venido en exonerarle de los empleos de Vivey del Rey no de Nueva España y Presidencia de su Real Audiencia de México, concediéndole ai mismo tiempo, en prueba de lo gratos que</t>
  </si>
  <si>
    <t>de Azara, Joseph Nicolás</t>
  </si>
  <si>
    <t>Joseph Nicolás de Azara</t>
  </si>
  <si>
    <t>arquilla : en papel á ai rs., y á 32en pasta. Este tratado de pintura fue publicado por el Exc. Sr. D. Joseph Nicolásde Azara. El mérito del autor y su profundo conocimiento en la pintura son la mayor recomendación de esta obra, que es instructiva para profesores y aficionados.</t>
  </si>
  <si>
    <t>de Ázcué, Joseph</t>
  </si>
  <si>
    <t>Joseph de Ázcué</t>
  </si>
  <si>
    <t>AI Comisario de guerra D. Joseph de Ázcué. que se le suspenda de sa empleo por 6 meses. * ' AI Administrador de utensilios D. Angel Perez, que le sirva de castigo el arresto que ha sufrido. , . , A los Oficiales urbanos q</t>
  </si>
  <si>
    <t>de Azofra, Juan</t>
  </si>
  <si>
    <t>Juan de Azofra</t>
  </si>
  <si>
    <t>dicina sirva en los piques de grados y exámenes que se celebren en el Jos. Se vende en la tienda de D. Juan de Azofra, plaza mayor , portal de sedas , y en las librerías de Castillo y de Escribano, á 32 rs. en rústica y 38 en pasta. Cartas de Madama Montier á su hija , escritas en francés por Mad</t>
  </si>
  <si>
    <t>de Balbiani, Joseph</t>
  </si>
  <si>
    <t>Joseph de Balbiani</t>
  </si>
  <si>
    <t>eal cuerpo á los caballeros Cadetes D. Manuel González, Don Pedro Gutiérrez, D. Joseph María Ruano, D. Joseph de Balbiani, Don Juan de Herrera, D. Rafael de Irazabal, D. Francisco González, D, Fulgencio Cevallos , D. Benito Sandoval, D. Antonio Galindo, D. Diego del Barco, Di Gabriel de Torres , D. M</t>
  </si>
  <si>
    <t>de Baldenain, Pedro Joseph</t>
  </si>
  <si>
    <t>Pedro Joseph de Baldenain</t>
  </si>
  <si>
    <t>Juan de Barcaiztegui; los primeros Tenientes D. Joseph Xavier de Lozano, D. Joseph Ramón de Zavala, D. Pedro Joseph de Baldenain y D. Juan Joseph de Lubelza; los segundos Tenientes D. Joseph María de Zoroa, D. Máximo de Goycoechea, D. Juan Ignacio de Casares , D. Angel Ignacio de Alcain, D. Joachín Luis de Berm</t>
  </si>
  <si>
    <t>de Baos, Andrés</t>
  </si>
  <si>
    <t>Andrés de Baos</t>
  </si>
  <si>
    <t>misma dase B. Juan Laguna, su resulta á D. Juan Benitez, Subteniente de granaderos, y este empleo á D. Andrés de Baos, Subteniente de fusileros: Compañía en el de Málaga al Teniente de granaderos D. Nicolás de Forres, y Subtenencia de bandera al Cadete D. Mariano de Cárdenas: la Tenencia de grana</t>
  </si>
  <si>
    <t>de Barandiaran, Joseph Domingo</t>
  </si>
  <si>
    <t>Joseph Domingo de Barandiaran</t>
  </si>
  <si>
    <t>to de qtíe no han’llegado á poder de dicho Barandiaran , quien supiere de éllos avisará en Madrid á D. Joseph Domingo de Barandiaran , en Cádiz á dicho Mendiburu, ota S. Sebastian al referido D. Francisco Antonio. En la noche del i6 al 27 de Octubre del año último se extravíáron en ca» "de D. Cipriano de Campos</t>
  </si>
  <si>
    <t>de Barcaiztegui, Miguel Juan</t>
  </si>
  <si>
    <t>Miguel Juan de Barcaiztegui</t>
  </si>
  <si>
    <t>Xavier Larreandi, D. Francisco Ignacio Iturzaeta, D. Francisco Cardaveras, D. Ignacio Larrañaga, y D. Miguel Juan de Barcaiztegui; los primeros Tenientes D. Joseph Xavier de Lozano, D. Joseph Ramón de Zavala, D. Pedro Joseph de Baldenain y D. Juan Joseph de Lubelza; los segundos Tenientes D. Joseph María de</t>
  </si>
  <si>
    <t>de Barcaízteguí, Miguel Juan</t>
  </si>
  <si>
    <t>Miguel Juan de Barcaízteguí</t>
  </si>
  <si>
    <t>Murcia............. D. Baltasar Visto. En Pamplona........ La Caxa de Descuento. En S. Sebastian... D. Miguel Juan de Barcaízteguí. En Soria................. D. Andrés Martínez de Aparicio. En Valencia........... D. Evaristo Ortiz. En Vitoria.............. D. Fausto María x\steasu. En Zaragoza......... D. Jos</t>
  </si>
  <si>
    <t>de Barcena, Joseph Benito</t>
  </si>
  <si>
    <t>Joseph Benito de Barcena</t>
  </si>
  <si>
    <t>la metropolitana de Sevilla , vacante por fallecimiento de D. Gabriel González Torres de Navarra, á D. Joseph Benito de Barcena : para el Beneficio simple de la parroquial de Santiago de la villa de Utrera, en la diócesis de Sevilla, vacante por fallecimiento de D. Diego Mauricio Sánchez, á D. Martin Leona</t>
  </si>
  <si>
    <t>de Barcia y Camacho, Pedro</t>
  </si>
  <si>
    <t>Pedro de Barcia y Camacho</t>
  </si>
  <si>
    <t>omero de Castilla: para otra de la Colegial de S. Hipólito de Córdoba, vacante por fallecimiento de D. Pedro de Barcia y Camacho, á D. Joseph Casal, Beneficiado mas antiguo de la parroquia de S. Lorenzo de la misma ciudad; y para el Beneficio de la parroquial de Santa María de la ciudad de Ecija, arzobispad</t>
  </si>
  <si>
    <t>de Barrenechea, Joseph Vicente</t>
  </si>
  <si>
    <t>Joseph Vicente de Barrenechea</t>
  </si>
  <si>
    <t>unta de Comercio,Moneda y Minas, de n de Noviembre del año próximo pasado, se ha servido conceder á D. Joseph Vicente de Barrenechea el privilegio de fábrica Real á la que á sus expensas ha establecido en la villa de Ezcaray, de paños finos, superfinos y otros texidos de lana, para poner sobre las puertas de la s</t>
  </si>
  <si>
    <t>de Barricarte, Luis Ramón</t>
  </si>
  <si>
    <t>Luis Ramón de Barricarte</t>
  </si>
  <si>
    <t>nongia de la colegial de Xerez de la Frontera, arzobispado de Sevilla, vacante por fallecimiento de D Luis Ramón de Barricarte, á D. Antonio Zurita y Adorno; y para el Beneficio de Santa Barbara de Ecija, en el mismo arzobispado, vacante por promoción de D. Francisco Tuero á Oidor de Cananas, a D. FranAte</t>
  </si>
  <si>
    <t>de Barrio, Joseph</t>
  </si>
  <si>
    <t>Joseph de Barrio</t>
  </si>
  <si>
    <t>nía del número de D. Diego Benigno González. El g de Junio del afio último se ausentó de Valladolid D. Joseph de Barrio, Clérigo de prima tonsura , hijo de D. Luis y de Doña María López; sus señas son: pelo rubio , ojos garzos , blanco de cara, pecoso de viruelas , estatura de dos va— ras y de poca</t>
  </si>
  <si>
    <t>de Barrios, Christóbal</t>
  </si>
  <si>
    <t>Christóbal de Barrios</t>
  </si>
  <si>
    <t>. Otra id. en 117,634. Otra id¿ en 164,946. Otra callejón^ l«,ps l&gt;e$am parad os , del patronato de D. Christóbal de Barrios, en 109,118. Ot^a ctlle de-Sopratiis, del patronato de D. Antonio Gerónimo Candioti , en 342,1^0, Otra calle de la Rata , de id. en 180,476. Otra id. en 162,140. Otra calle dejflj</t>
  </si>
  <si>
    <t>de Barros, Nicolás</t>
  </si>
  <si>
    <t>Nicolás de Barros</t>
  </si>
  <si>
    <t>ervido el Rey conferir Compañía al Teniente D. Joseph Agustín Parodi : esta Tenencia al Subteniente D. Nicolás de Barros; y Subtenencias á D. Juan León Garavito y D. Joseph Vicente Frías, el primero Sargento distinguido del mismo cuerpo. Por Real resolución de S. M. á consulta de la Junta de Comerci</t>
  </si>
  <si>
    <t>de Bartolomé, Diego</t>
  </si>
  <si>
    <t>Diego de Bartolomé</t>
  </si>
  <si>
    <t>Salamanca, vacante por ascenso de D. Manuel Martin Mauriz á una Ración de la catedral de Segovia, a D. Diego de Bartolomé, con la obligación también de precisa y personal residencia, reteniéndole por esta razón la- renta eclesiástica que actualmente goza.</t>
  </si>
  <si>
    <t>de Bartolomé, Francisco Martín</t>
  </si>
  <si>
    <t>Francisco Martín de Bartolomé</t>
  </si>
  <si>
    <t>3$8 parroquia de Válseca, del mismo obispado, vacante por muerte de D. Ramón Callejo, á D. Francisco Martin de Bartolomé, con obligación de servirlo por sí mismo. También ha venido el Rey en admitir á D. Alonso Martin Perez la renuncia que ha hecho de la Ración que obtiene en la catedral de Palencia</t>
  </si>
  <si>
    <t>de Batista, Pedro Juan</t>
  </si>
  <si>
    <t>Pedro Juan de Batista</t>
  </si>
  <si>
    <t>ara la Maest pesco lía al Tesorero D. Pedro Joseph Casis de la Torre: para la Tesorería ai Canónigo D. Pedro Juan de Batista; y para esta Canongía á D. Juan joseph Martínez , Cura en aquel obispado. S. M. se ha dignado conceder empleo de Capitán en el regimiento de milicias disciplinadas de infantería d</t>
  </si>
  <si>
    <t>de Batres y Muñoz, Miguel</t>
  </si>
  <si>
    <t>Miguel de Batres y Muñoz</t>
  </si>
  <si>
    <t>Chile, en América, vacante por fallecimiento de D. Tomas Blas Troncoso. También ha nombrado S. M. á D. Miguel de Batres y Muñoz para el Corregimiento de Chiquimula de la Sierra en el distrito de la Presidencia de Goatemala: para la Alcaldía mayor de Vera-Paz á D. Pedro Antonia Alvarez; y para la de la prov</t>
  </si>
  <si>
    <t>de Beccar, Francisco Xavier</t>
  </si>
  <si>
    <t>Francisco Xavier de Beccar</t>
  </si>
  <si>
    <t>y se ha servido nombrar para una Canongía de la catedral de Barcelona, vacante por fallecimiento de D. Francisco Xavier de Beccar, á D, Francisco Clemente de Masdevall, Canónigo de la de Gerona. En el regimiento de Reales Guardias Walonas se ha servido S. M. promover á Capitanes á los primeros Tenientes de g</t>
  </si>
  <si>
    <t>de Beccard, Juan Bautista</t>
  </si>
  <si>
    <t>Juan Bautista de Beccard</t>
  </si>
  <si>
    <t>to de Reales Guardias Walonas se ha servido el Rey promover á Capitán de granaderos al de fusileros D. Juan Bautista de Beccard; y á Alféreces de fusileros á los Cadetes D. Francisco Bryas de Molanghien, D. Andrés Dumont, D. Baltasar Francisco de Pultz, Marques de Monteil, D. Luis Antonio de Eraso y D. Car</t>
  </si>
  <si>
    <t>de Benavides y Alovice, Luis</t>
  </si>
  <si>
    <t>Luis de Benavides y Alovice</t>
  </si>
  <si>
    <t>Ansótegui, D. Genaro de Aurea y Rho, D. Vicente Martin Vegue y Zayas, D. Gabriel Góngora y Palacio, D. Luis de Benavides y Alovice,D. Antonio Guerrero y Canredondo, D. Francisco González de la Riva y Vivanco,D. Joseph de Letona y Betéluri, D. Antonio Riquehne y Corral, D. Joseph Vial y Cardigondi, D. Juan Ord</t>
  </si>
  <si>
    <t>de Bengoechea, Miguel Antonio</t>
  </si>
  <si>
    <t>Miguel Antonio de Bengoechea</t>
  </si>
  <si>
    <t>rancisco Borja Larreandi . D. Bernardo de Arzac Parada y D. Ricardo Bermingham ; y los Subtenientes D. Miguel Antonio de Bengoechea, D. Francisco Otaegui, D. Juan Agustín de Arrieta, Don Martin de Echavc, D. Manuel de Medina, D. Juan Joseph Garnier, Don Agustín de Lecumberri y D. Francisco Antonio Barandiaran,</t>
  </si>
  <si>
    <t>de Bentinck, Condesa</t>
  </si>
  <si>
    <t>Condesa de Bentinck</t>
  </si>
  <si>
    <t>cto del Archiduque Carlos. El 4 de este mes murió aquí á los 85 años de edad la Condesa de Bentinck, hija del Conde de Aldemburgó, una de las mugeres de mas entendimiento é instrucción de este siglo. Sabia varias lenguas, y estaba muy impuesta en algunas ciencias, particularmente en l</t>
  </si>
  <si>
    <t>de Bermingham, Joachín Luis</t>
  </si>
  <si>
    <t>Joachín Luis de Bermingham</t>
  </si>
  <si>
    <t>h María de Zoroa, D. Máximo de Goycoechea, D. Juan Ignacio de Casares , D. Angel Ignacio de Alcain, D. Joachín Luis de Bermingham, D. Joseph Joachin de Atalay, D. Francisco Borja Larreandi . D. Bernardo de Arzac Parada y D. Ricardo Bermingham ; y los Subtenientes D. Miguel Antonio de Bengoechea, D. Francisco</t>
  </si>
  <si>
    <t>de Bernstorff, Conde</t>
  </si>
  <si>
    <t>Conde de Bernstorff</t>
  </si>
  <si>
    <t>e y el de la Gran Bretaña. Ayer noche tuvo Mr. Withworth una conferencia con el Ministro Conde de Bernstorff: concluida, despachó el Enviado ingles un extraordinario á su gobierno, y hoy expidió esta corte otro correo á P¿tersburgo. Se asegura que las principales cond</t>
  </si>
  <si>
    <t>de Biedma, María</t>
  </si>
  <si>
    <t>María de Biedma</t>
  </si>
  <si>
    <t>tro de 333 pies, en Bostezar, tasado en 48,695 rs. y renta 1453. Otro de 557 pies, á la obra pia de Doña María de Biedma , tasado en 30,600 rs. y renta 1275. Otro de 200 pies, situado en Maroteras, de la fábrica nueva de Ntra. Sra. de la Cabeza,jen Sierra Morena, tasado en 15,840 rs. y renta 594. Un</t>
  </si>
  <si>
    <t>de Bolonia, Arzobispo</t>
  </si>
  <si>
    <t>Arzobispo de Bolonia</t>
  </si>
  <si>
    <t>enfermos en el navio Guiliermo-Tell. Roma 8 de Abril. E 1 Cardenal Gioannetti, Arzobispo de Bolonia, murió en Venecia el 29 de Marzo á los 78 años de edad. Eué elevado á la sagrada púrpura por la santidad de Pió VI el año de 1777. * Ha entrado en Palerme una embarcación turca con regal</t>
  </si>
  <si>
    <t>de Bons, Alexo</t>
  </si>
  <si>
    <t>Alexo de Bons</t>
  </si>
  <si>
    <t>io de Preux; á esta resulta al Teniente D. Carlos de Preux; á Teniente al Subteniente de granaderos D. Alexo de Bons/j á Subteniente de granaderos al de fusileros D. Luis Pignat, y á Subteniente de fusileros al Cadete D. Francisco Quartery: en el de Betschart á Teniente al Subteniente de granade</t>
  </si>
  <si>
    <t>de Borbon, Luis</t>
  </si>
  <si>
    <t>Luis de Borbon</t>
  </si>
  <si>
    <t>pado. Al mismo tiempo teniendo consideración á Lis ilustres circunstancias del Arzobispo de Sevilla Don Luis de Borbon, hijo del Infante D. Luis mi tío, le nombro para la dicha mitra : é igualmente per las mismas ilustres circunstancias, y .teniendo también en consideración que por el notorio zelo</t>
  </si>
  <si>
    <t>de Borja Toranzo, Francisco</t>
  </si>
  <si>
    <t>Francisco de Borja Toranzo</t>
  </si>
  <si>
    <t>Feliciano Marín. También ha nombrado S. M. para la Canongü Magistral de la catedral de Antequera á D. Francisco de Borja Toranzo , provisto para una Ración de la misma iglesia; y á D. Alexandro de Burgos, Cura Vicario del partid do de Acacingo, en el obispado de Puebla de los Angeles, para una Media-Racion</t>
  </si>
  <si>
    <t>de Bouligni, Francisco</t>
  </si>
  <si>
    <t>Francisco de Bouligni</t>
  </si>
  <si>
    <t>deyro: en el de Asturias á Capitán aí Ayudante D. Francisco Manglano; á Ayudante al primer Teniente Don Francisco de Bouligni; á primer Teniente al segundo de granaderos DonDiego'Lorenzo; á segundo Teniente de granaderos al de fusileros D. Eugenio Iglesias; á segundo Teniente al Subteniente de granaderos</t>
  </si>
  <si>
    <t>de Brun, Joseph</t>
  </si>
  <si>
    <t>Joseph de Brun</t>
  </si>
  <si>
    <t>a propio de S. Justo y Pastor vistió á uno; y el Corregidor Intendente, Marques de Vi Ha-A legre, y D. Joseph de Brun, del comercio, hicieron respectivamente igual caridad. Tan tierna escena causó una dulce conmoción en el numeroso concurso, y todos aplaudiéron los rápidos progresos de tos</t>
  </si>
  <si>
    <t>de Burgos, Alexandro</t>
  </si>
  <si>
    <t>Alexandro de Burgos</t>
  </si>
  <si>
    <t>al de Antequera á D. Francisco de Borja Toranzo , provisto para una Ración de la misma iglesia; y á D. Alexandro de Burgos, Cura Vicario del partid do de Acacingo, en el obispado de Puebla de los Angeles, para una Media-Racion de esta iglesia catedral. ; .</t>
  </si>
  <si>
    <t>de Burgos, Joseph</t>
  </si>
  <si>
    <t>Joseph de Burgos</t>
  </si>
  <si>
    <t>, á D. Bernardo García Cañete: para otra Media-Ración de la de Segovia, vacante por la promoción de Don Joseph de Burgos á una Canongía de la misma Iglesia, á D. Manuel Fernandez de Roda y S. Pedro; y para una Capellanía de la parroquial de S. Salvador de la villa de Requena, diócesis ae Cuenca, á D</t>
  </si>
  <si>
    <t>de Cabrera, Francisco</t>
  </si>
  <si>
    <t>Francisco de Cabrera</t>
  </si>
  <si>
    <t>eniente al agregado en esta clase D. Antonio Baeza: en el de dragones del Rey á Capitán al Ayudante Don Francisco de Cabrera, y á Teniente al Alférez de granaderos D. Isidoro Sacristán: en el de Pavía á Teniente al Alférez D. Lorenzo .Martínez; y en el de Numancia á Alférez al Sargento primero de granad</t>
  </si>
  <si>
    <t>de Cácercs, Juan Francisco</t>
  </si>
  <si>
    <t>Juan Francisco de Cácercs</t>
  </si>
  <si>
    <t>der á Capitán al Teniente de minadores D. Hilarión Goñi. , S. M. se ha servido nombrar al Ihno. Sr, D. Juan Francisco de Cácercs, Fiscal del Consejo Real, para la plaza de Ministro de la Junta apostólica» vacante por fallecimiento deESr. D. Juan Antonio Pa2 y Merino. En América. S. M. ha conferido la compañ</t>
  </si>
  <si>
    <t>de Cáceres, Juan Francisco</t>
  </si>
  <si>
    <t>Juan Francisco de Cáceres</t>
  </si>
  <si>
    <t>smo cuerpo de milicias de Plasencia. S. M. se ha servido conceder honores de la Cámara al limo. Sr. Don Juan Francisco de Cáceres, Fiscal d i Consejo Real. En América. El Rey se ha servido conferir la compañía de infantería laxa de Acapuíco al Capitán D. Alexandro Cerdan , Ayudante mayor del cuerpo de lancer</t>
  </si>
  <si>
    <t>de Cadalso, Juan María</t>
  </si>
  <si>
    <t>Juan María de Cadalso</t>
  </si>
  <si>
    <t>Nepomuceno Pineda. También se ha servido S. M. conceder grado de Coronel de Milicias provinciales á D. Juan María de Cadalso; y el de Teniente Coronel de la propia clase i D. Luis Domingo de Contreras, Capitán del regimiento provincial de Segovia. El Rey se ha dignado conceder honores de Ministro del tr</t>
  </si>
  <si>
    <t>de Cagigal, Juan Manuel</t>
  </si>
  <si>
    <t>Juan Manuel de Cagigal</t>
  </si>
  <si>
    <t>M. para Cataluña al Teniente General Conde de Santa Clara: para Valencia al de la mis-* ijia clase D. Juan Manuel de Cagigal: para la costa de Granada al Mariscal de Campo D. Fernando Valdes : para Andalucía al Teniente General Don Luis de las Casas, Gobernador de la plaza de Cádiz: para el Campo de Gib</t>
  </si>
  <si>
    <t>de Calva, Pedro</t>
  </si>
  <si>
    <t>Pedro de Calva</t>
  </si>
  <si>
    <t>ai Mestres; y á segundo Subteniente al de esta clase del primer batallón de Voluntarios de Cataluña D. Pedro de Calva. También se ha dignado S. M. nombrar Capellán del sexto batallón del regimiento de Reales Guardias Walonas al del de Irlanda D. Pedro Casedebant: del tercer batallón del de Extrem</t>
  </si>
  <si>
    <t>de Calzada, Bernardo María</t>
  </si>
  <si>
    <t>Bernardo María de Calzada</t>
  </si>
  <si>
    <t>n su estilo dos plumas tan diestras como las .de Mirabeau y Desodoars. Las ha vertido al castellano D. Bernardo María de Calzada, Teniente Coronel de los Reales exércitos: son dos tomos, á 31 rs. el juego en pasta. S« venden en casa de Castillo , frente á las gradas de S. Felipe. Carta en castellano con pos</t>
  </si>
  <si>
    <t>de Calzadilla, Juan</t>
  </si>
  <si>
    <t>Juan de Calzadilla</t>
  </si>
  <si>
    <t>ia de D. Pedro de Castro: una huerta de &lt;?f- fanegas al Alamo blanco, tasada en i20 rs. Obra pia de D. Juan de Calzadilla : una tierra de 60 fanegas á las Barreras de Pedro Latorre, tasada en 150 rs. Intendencia de Jaén. Villa de Cabra del Sto. Christo. Un cortijo con 220 fanegas de tierra secano en</t>
  </si>
  <si>
    <t>de Cama, Francisco Tomás</t>
  </si>
  <si>
    <t>Francisco Tomás de Cama</t>
  </si>
  <si>
    <t>llería con sueldo á D. Antonio Valdecañas: para otra de Oidor de ella, vacante por fallecimiento de D. Francisco Tomas de Cama rasa , á D. Ignacio Areny y de Sola, con antigüedad preferente al dicho D. Pedro Garrido y Duran: para otra de Alcalde del Crimen super</t>
  </si>
  <si>
    <t>de Campo, Mariscal</t>
  </si>
  <si>
    <t>Mariscal de Campo</t>
  </si>
  <si>
    <t>ier se halló en la guerra de Oran hasta la entrega de aquella plaza; ascendió á Mariscal de Campo, Teniente General, segundo Comandante con facultades de Gobernador de 4a plazA dé Madrid, y á dicho empleo de Capitán dé Guardiasven #1 qúé falleció. Sü espíritu, talento militar, prudencia</t>
  </si>
  <si>
    <t>de Campo, Miguel</t>
  </si>
  <si>
    <t>Miguel de Campo</t>
  </si>
  <si>
    <t>867 v esta.resulta al Alférez de la misma D. Miguel de Campo. ' Jii Rey se ha servido promover á Tenientes, en el regimiento de 'dragones de Milicias urbanas de Carabayllo del Perú, á los Alféreces D. Juan foseph López , D. Simón Fuentes, D</t>
  </si>
  <si>
    <t>de Campos, Cipriano</t>
  </si>
  <si>
    <t>Cipriano de Campos</t>
  </si>
  <si>
    <t>D. Francisco Antonio. En la noche del i6 al 27 de Octubre del año último se extravíáron en ca» "de D. Cipriano de Campos , vecino de la villa del Viso , inmediata á esta cort$, dos vates “Reales, úno'de, 3*00 pesos ¡¡núm. 73,036,7 otro de 130 pesos, núm 303,927, que pertenecían al mismo D. Cipriano</t>
  </si>
  <si>
    <t>de Campos, Juan Francisco</t>
  </si>
  <si>
    <t>Juan Francisco de Campos</t>
  </si>
  <si>
    <t>dianato de ia metropolitana de México, vacante por fallecimiento de D. Joseph de S«rrutó^y'Navá’, á D. Juan Francisco dé Campos: para la Maestrescolía, que este dexa; al Tesorero D. Joseph Rui* dé Conejares: para la Tesorería al Canónigo D. Juan de Mier Villar: para esta Canongía al Racionero Don Juan dé h</t>
  </si>
  <si>
    <t>de Carasa y Sousa, Francisco</t>
  </si>
  <si>
    <t>Francisco de Carasa y Sousa</t>
  </si>
  <si>
    <t>a el Deanato •de la catedral de Cádiz, vacante por fallecimiento de D. Antonio Guerrero y Aranda, á D. Francisco de Carasa y Sousa, con retención de la Canongía que goza en la misma iglesia: para la Canongía de la de Plasencia, vacante por fallecimiento de D. Pedro Sánchez Mohno, á D. Joachín Ramos y Monroy,</t>
  </si>
  <si>
    <t>de Cárdenas y Castillo de las Peñas, Manuel</t>
  </si>
  <si>
    <t>Manuel de Cárdenas y Castillo de las Peñas</t>
  </si>
  <si>
    <t>Zucita, D. Joseph Pasalagua y Martínez, D. Diego de Aguirre y Rosales, D. Antonio Climent y García, D. Manuel de Cárdenas y Castillo de las Peñas, D. Juan Albornoz y Calafat, D. Joachín de Toledo y Parra, D. Joachín Leonés y Hernández Reyilo, D. Julián Leonés y Hernández Reyilo, D. Pedro Rato y Cisneros, D. Justo Salafranca</t>
  </si>
  <si>
    <t>de Cárdenas y Osorio, Manuel</t>
  </si>
  <si>
    <t>Manuel de Cárdenas y Osorio</t>
  </si>
  <si>
    <t>ea, D. Pascual del Cañizo y Pareja , D. Dionisio Capaz Renden , D. Christóbal de Torres y Venegas , D. Manuel de Cárdenas y Osorio, D. Manuel Diqz y Martínez, D. Joachín de Irías y Atolla y Don Juan: González ÍVmrio y Tamariz. ■■ . , c ín consideración á los servicios y mérito de D. Gerardo Joseph de Sousa, C</t>
  </si>
  <si>
    <t>de Cárdenas, Joseph Manuel</t>
  </si>
  <si>
    <t>Joseph Manuel de Cárdenas</t>
  </si>
  <si>
    <t>sola; y á esta resulta al Sargento D. Miguel Navarro: en el de Adgarbe á primer Teniente al segundo D, Joseph Manuel de Cárdenas: en el de Calatrava á Capitán al agregado en esta clase al de caballería de la costa de Granada, graduado de Teniente Corone], Don Fermín Mexía, y á primer Teniente al segundo D.</t>
  </si>
  <si>
    <t>de Cárdenas, Juan</t>
  </si>
  <si>
    <t>Juan de Cárdenas</t>
  </si>
  <si>
    <t>. El Rey se ha servido nombrar Ayudante en él regimiento de caballería de España al primer Teniente D. Juan de Cárdenas; y segundo Teniente en el de Voluntarios de España al Alférez D. Juan Francisco Carbonel. . Asimismo ha tenido S. M, á bien promover en el regimiento de dragones de Lusrtania á Te</t>
  </si>
  <si>
    <t>de Cárdenas, Lorenzo</t>
  </si>
  <si>
    <t>Lorenzo de Cárdenas</t>
  </si>
  <si>
    <t>des*, para otra de la colegial de S. Hipólito de la ciudad de Córdoba, vacante por fallecimiento de D. Lorenzo de Cárdenas, á D. Pedro Alcántara Berrocoso y Alvarez de Amaya: para otra de la colegial de S. Salvador de Granada , vacante por fallecimiento de D.. Ramcri Alonso de Ledesma,. á D. Rafael Va</t>
  </si>
  <si>
    <t>de Cárlos, Juan Francisco</t>
  </si>
  <si>
    <t>Juan Francisco de Cárlos</t>
  </si>
  <si>
    <t>catedral de la isla de Menorca: para otra de la de Osma, vacante por muerte de D. Ambrosio Marín, á D. Juan Francisco de Cárlos, Canónigo que también ha sido de la misma de Menorca: para cera de la colegial de la ciudad de Vitoria, en la diócesis de Calahorra, vacante por muerte de D. jo cph Joaclun de Aba</t>
  </si>
  <si>
    <t>de Carmona, Martín</t>
  </si>
  <si>
    <t>Martín de Carmona</t>
  </si>
  <si>
    <t>Manzanar, de dicha obra pia, tasado en 18,720 rs. Otro con 135- pie», en Higueral, del patronato de D. Martin de Carmona y otros consortes en el convento de dicha villa, tasado en 16,200 rs.tnin Castellar de Santistéban del Puerto. Un cortijo con 147 fanegas de tierra, en el sitio de Benatac , fundado</t>
  </si>
  <si>
    <t>de Casares, Juan Ignacio</t>
  </si>
  <si>
    <t>Juan Ignacio de Casares</t>
  </si>
  <si>
    <t>. Juan Joseph de Lubelza; los segundos Tenientes D. Joseph María de Zoroa, D. Máximo de Goycoechea, D. Juan Ignacio de Casares , D. Angel Ignacio de Alcain, D. Joachín Luis de Bermingham, D. Joseph Joachin de Atalay, D. Francisco Borja Larreandi . D. Bernardo de Arzac Parada y D. Ricardo Bermingham ; y lo</t>
  </si>
  <si>
    <t>de Cascaron, Francisco Xavier</t>
  </si>
  <si>
    <t>Francisco Xavier de Cascaron</t>
  </si>
  <si>
    <t>egio de Médicos y de la sociedad Real de Londres, y de la Real de medicina de Paris: traducidas por D. Francisco Xavier de Cascaron , Cirujano del Real sitio de Buen-Retiro y de' la Real familia* Se hallará en la librería de Calleja, calle angosta de Majaderitos, Estampa nueva en pliego de marca mayor, que rep</t>
  </si>
  <si>
    <t>de Castilla, Francisco</t>
  </si>
  <si>
    <t>Francisco de Castilla</t>
  </si>
  <si>
    <t>ático D. Sebastian Morera, lo desempeñáron con mucho lucimiento en aritmética, álgebra y geometría, D. Francisco de Castilla j Valcárcel , á quien se dio en premio la obra de matemáticas puras de Don Carlos Lemaur; en secciones cónicas, cálculo diferencial é integral, D. Joseph Cabeza de Vaca, que Obtuv</t>
  </si>
  <si>
    <t>de Castro y Barrios, Joachín</t>
  </si>
  <si>
    <t>Joachín de Castro y Barrios</t>
  </si>
  <si>
    <t>fantería fixa de la Costa de Granada, con el nombre de tercera de Almería,, la ha conferido S. M. á D. Joachín de Castro y Barrios, en atención al mérito de haberla formado y vestido á su costa; y para las Tenencias y Subtenencias de la misma compañía ha nombrado á D. Antonio Benavides, Subteniente de la prim</t>
  </si>
  <si>
    <t>de Castro, Andrés</t>
  </si>
  <si>
    <t>Andrés de Castro</t>
  </si>
  <si>
    <t>umerarios D. Manuel de Ayala'y D. Francisco Aguirre ; y para Cadetes supernumerarios á los Guardias Don Andrés de Castro y D. Francisco de Paula Eernuy : en la Americana ha nombrado S. M. para Brigadier al Sub-Brigadier D. Tomas Stronc : para esta resulta al Cadete D. V Ícente Bustamante : para Cadete d</t>
  </si>
  <si>
    <t>de Castro, Benito</t>
  </si>
  <si>
    <t>Benito de Castro</t>
  </si>
  <si>
    <t>s y al Subteniente Don Francisco del Cozar: en el de Betanzos la Tenencia de granaderos al Teniente D. Benito de Castro*, en el de Pontevedra Tenencia al Subteniente D. Fernando de la Fuente, y las Subtenencias de bandera al Cadete D011 Manuel Llórente y á D. Claudio Ozores de Fuga Sotomayor: en el</t>
  </si>
  <si>
    <t>de Castro, Blas</t>
  </si>
  <si>
    <t>Blas de Castro</t>
  </si>
  <si>
    <t>. Juan del Valie, y al de fusileros D. Joseph del Valle: para la Tenencia de granaderos al Teniente D. Blas de Castro: para Tenientes ai Subteniente de granaderos D. Francisco Mendieta, y al de fusileros D. Miguel Santos: para Subteniente de granaderos al de fusileros D. Bartolomé Guilloto; y par</t>
  </si>
  <si>
    <t>de Castro, Miguel</t>
  </si>
  <si>
    <t>Miguel de Castro</t>
  </si>
  <si>
    <t>aderos, D. Francisco Fernandez y D. Manuel Cimorra: en el de Saboya á primer Subteniente al segundo D. Miguel de Castro; y á segundo Subteniente al Cadete D. Pascual Canut: en el de Hibernia á Capitán al primer Teniente de granaderos, graduado de Teniente Coronel, D. Miguel Schelly; á primer Tenien</t>
  </si>
  <si>
    <t>de Castro, Pedro</t>
  </si>
  <si>
    <t>Pedro de Castro</t>
  </si>
  <si>
    <t>24 rs* en papel. ció sobre la antigüedad de las letras y otras cosas de la vida civil; escrito por D. Pedro de Castro, Canónigo de la santa Iglesia de Sevilla. Siendo el mas curioso artículo de las bellas letras el de su origen o época de la invención de los primeros caracteres del arte de escrib</t>
  </si>
  <si>
    <t>890. Obra pia del Sr. Quintano: una casa en la calle de Albaicin , tasada en 10,636 rs. Obra pia de D. Pedro de Castro: una huerta de &lt;?f- fanegas al Alamo blanco, tasada en i20 rs. Obra pia de D. Juan de Calzadilla : una tierra de 60 fanegas á las Barreras de Pedro Latorre, tasada en 150 rs. Inte</t>
  </si>
  <si>
    <t>de Cea y Cea, Antonio</t>
  </si>
  <si>
    <t>Antonio de Cea y Cea</t>
  </si>
  <si>
    <t>vaez y D. Francisco Laso de la Vega , y á Subtenientes de granaderos y cazadores á los de fusileros D. Antonio de Cea y Cea y D. Joseph Ponce de León : en el de lugo á Teniente de granaderos al de fusileros D. Miguel Ulloa; á Teniente de fusileros al Subteniente de cazadores D. Antonio Gayoso, y á esta res</t>
  </si>
  <si>
    <t>de Céspedes, Benito</t>
  </si>
  <si>
    <t>Benito de Céspedes</t>
  </si>
  <si>
    <t>: para una Canongía de la catedral'de Ciudad-Rodrigo, vacante oor muerte de D. Anselmo del Valle, á D. Benito de Céspedes*, para otra de la colegial de S. Hipólito de la ciudad de Córdoba, vacante por fallecimiento de D. Lorenzo de Cárdenas, á D. Pedro Alcántara Berrocoso y Alvarez de Amaya: para otr</t>
  </si>
  <si>
    <t>de Céspedes, Francisco Xavier</t>
  </si>
  <si>
    <t>Francisco Xavier de Céspedes</t>
  </si>
  <si>
    <t>á Subteniente de granaderos al primer Subteniente D. Antonio Peña; á primer Subteniente al segundo D. Francisco Xavier de Céspedes, y á segundos Subtenientes á los CadetesJO. Manuel Collantes, D. Ramón Rafael Gutiérrez, D. Rafael Joseph Alcocer y D. Joseph Zacarías Fantony, y á los Sargentos primeros D. Manue</t>
  </si>
  <si>
    <t>de Cevallos, Miguel</t>
  </si>
  <si>
    <t>Miguel de Cevallos</t>
  </si>
  <si>
    <t>rico Moretti; y en el Real cuerpo de Artillería á Coronel al Teniente Coronel graduado de Brigadier D. Miguel de Cevallos: habiendo nombrado también S. M. Capellán del quárto batallón del citado regimiento de Reales Guardias Españolas al presbítero D. Félix Cotarelo</t>
  </si>
  <si>
    <t>de Cfuells, Ramón</t>
  </si>
  <si>
    <t>Ramón de Cfuells</t>
  </si>
  <si>
    <t>e de la compañía de Getares D. Joseph de Robledo: en el de Zaragoza á segundo Subteniente al Cadete D. Ramón de Cfuells: en el de ;Toledo á Capitán de granaderos al de fusileros I). Antonio Hermosilla: en el de Mallorca á segundo. Subteniente al Sargento primero D. Antonio</t>
  </si>
  <si>
    <t>de Cifuentes, Blas</t>
  </si>
  <si>
    <t>Blas de Cifuentes</t>
  </si>
  <si>
    <t>irección del auxiliar D. Antonio de Condres, los alumnos de segundo año del quarto curso matemático D. Blas de Cifuentes, D. Joseph Valdés Sorribas, D. Feliciano Costales Jove, D. Lorenzo Valdés Hevia y D. Francisco Xavier Olarria. j.° En dichos estudios, en la aplicación del álgebra á la geometría,</t>
  </si>
  <si>
    <t>de Coalla y Córdoba, María</t>
  </si>
  <si>
    <t>María de Coalla y Córdoba</t>
  </si>
  <si>
    <t>zuela del Rastro, núm. 2, manzana 88., el que en el año de 1505 parece era del mayorazgo que gozaba Doña María de Coalla y Córdoba, heredera de D. Pedro de Coalla su padre, y luego sucedió en él D: Francisco de Sandi y Doña Ana de Mesa , y por muerte de estos su hijo D. Francisco de San de y Mesa: para que en</t>
  </si>
  <si>
    <t>de Coalla, Pedro</t>
  </si>
  <si>
    <t>Pedro de Coalla</t>
  </si>
  <si>
    <t>e en el año de 1505 parece era del mayorazgo que gozaba Doña María de Coalla y Córdoba, heredera de D. Pedro de Coalla su padre, y luego sucedió en él D: Francisco de Sandi y Doña Ana de Mesa , y por muerte de estos su hijo D. Francisco de San de y Mesa: para que en el término de 15. dias acudan a</t>
  </si>
  <si>
    <t>de Cobentzel, Conde</t>
  </si>
  <si>
    <t>Conde de Cobentzel</t>
  </si>
  <si>
    <t>41 GAZETA DE MADRID DEL VIERNES 30 DE MAYO DE 1800. Petersburgo 8 de Abril, E 1 Conde de Cobentzel, Ministro del Emperador de Alemania, no concurre todavía á palacio, ni se presenta á este Soberano; y el Conde do Furstemberg, Enviado extraordinario austríaco, no ha podido aun conseguir a</t>
  </si>
  <si>
    <t>de Coca, María</t>
  </si>
  <si>
    <t>María de Coca</t>
  </si>
  <si>
    <t>alo pertenece á esta misma memoria una. heredad , tasada en 59,740 rs* : y á la memoria fundada por Doña María de Coca pertenece en la ciudad de Salamanca una casa en la calle de Albaráeros , tasada en 2od rs.r=: Salamanca i.° de Marzo de 1800. Los subscriptores á las pláticas ó instrucciones fami</t>
  </si>
  <si>
    <t>de Collado, Manuel</t>
  </si>
  <si>
    <t>Manuel de Collado</t>
  </si>
  <si>
    <t>rios españoles, y 27 corsarios franceses con 11 presas. El corsario español la Ventura, al mando de D. Manuel de Collado,.ha conducido á este puerto un .bergantín ingles con 4155 quintales de bacalao, de porte de 4 cañones y 2 pedreros. Qüatro días antes apresó otro bergantín, también ingles , que e</t>
  </si>
  <si>
    <t>de Collorcdo, Conde</t>
  </si>
  <si>
    <t>Conde de Collorcdo</t>
  </si>
  <si>
    <t>sfacción á todas las tropas austríacas. “ Francfort 20 de Octubre. E 1 hijo del Conde de Collorcdo, Ministro de gabinete de S. M. Imperial, llegó el dia 10 á Praga, conferenció con el Archiduque Carlos, y 3 dias después volvió á salir para Viena. Créese que aquel Príncipe ha admitido el</t>
  </si>
  <si>
    <t>de Colloredo, Conde</t>
  </si>
  <si>
    <t>Conde de Colloredo</t>
  </si>
  <si>
    <t>nes de guerra. De resultas de dicho Consejo de Ektado fue cuando se despachó el Conde de Colloredo, hijo del Ministro de este nombre, para llevar al Archiduque Carlos su nombramiento de Feld-Mariscal Generalísimo de todos los exércitos austríacos: dignidad que no se ha conferido á ni</t>
  </si>
  <si>
    <t>de Colmenáres, Ignacio Xavier</t>
  </si>
  <si>
    <t>Ignacio Xavier de Colmenáres</t>
  </si>
  <si>
    <t>orcionar conocimientos en la literatura á los que no se dedicaren á la latinidad, fuéron examinados D. Ignacio Xavier de Colmenáres y D. Marcos Pinacho. En matemáticas, baxo la dirección de sus dos profesores D. Joseph Antonio de Ojea y D. Antonio Isidoro de Ojea, Pilotín de los Correos marítimos, fuéron examinado</t>
  </si>
  <si>
    <t>de Colmenera, Juan</t>
  </si>
  <si>
    <t>Juan de Colmenera</t>
  </si>
  <si>
    <t>del ario último, con el mayor 6 primer premio D. Juan de Soto y D. Saturnino Perez; con el segundo D. Juan de Colmenera, D. Fernando Cacho, D. Santiago Cevallos y D. Antonio Proto Alvarez; y con el tercero D. Antonio Bustamante, D. Julián Diaz, D. Julián Cartabuenaj</t>
  </si>
  <si>
    <t>de Condres, Antonio</t>
  </si>
  <si>
    <t>Antonio de Condres</t>
  </si>
  <si>
    <t>studios y en geometría, trigonometría plana y esférica y logaritmos, baxo la dirección del auxiliar D. Antonio de Condres, los alumnos de segundo año del quarto curso matemático D. Blas de Cifuentes, D. Joseph Valdés Sorribas, D. Feliciano Costales Jove, D. Lorenzo Valdés Hevia y D. Francisco Xavier</t>
  </si>
  <si>
    <t>de Contreras, Juan Gabriel</t>
  </si>
  <si>
    <t>Juan Gabriel de Contreras</t>
  </si>
  <si>
    <t>tos y oraciones ántes y después de la sagrada comunión , con un modo práctico de oir misa: su autor D. Juan Gabriel de Contreras, presbítero. Véndese en casa de Munita , calle de las Carretas. Estampa nueva en tamaño de quartilla , que representa el retrato de Ntro. M. Sto. P. Pió Vil. , Obispo que fué de I</t>
  </si>
  <si>
    <t>de Contreras, Luis Domingo</t>
  </si>
  <si>
    <t>Luis Domingo de Contreras</t>
  </si>
  <si>
    <t>de Milicias provinciales á D. Juan María de Cadalso; y el de Teniente Coronel de la propia clase i D. Luis Domingo de Contreras, Capitán del regimiento provincial de Segovia. El Rey se ha dignado conceder honores de Ministro del tribunal de la Contaduría mayor de Cuentas á D. Manuel Sánchez Dalp, Contador</t>
  </si>
  <si>
    <t>de Contreras, María</t>
  </si>
  <si>
    <t>María de Contreras</t>
  </si>
  <si>
    <t>to, que renta 550 rs.__ Una haza en el sitio huerta de S. Juan, que renta 450 rs., del patronato de Doña María de Contreras.,__ Una huerta en el shio de la Moriana, del mismo patronato, que renta 400 rs___ Un cortijo, perteneciente á la hacienda de la universidad, en el sitio del peñón de Zafra, con 62</t>
  </si>
  <si>
    <t>de Cortazar, Joseph Domingo</t>
  </si>
  <si>
    <t>Joseph Domingo de Cortazar</t>
  </si>
  <si>
    <t>reviniendo á los acreedores de una escritura de 600 pesos, poco mas ó ménos, que en la misma otorgó D. Joseph Domingo de Cortazar (ya difunto), acudiesen por sí ó apoderado al mismo Marques, residente entonces en Cádiz, nadie había parecido á reclamar dicho Ínteres^ pero teniendo presente que Ja copia de la</t>
  </si>
  <si>
    <t>de Coupigny, Alexandro</t>
  </si>
  <si>
    <t>Alexandro de Coupigny</t>
  </si>
  <si>
    <t>ales Guardias W alonas a segundos Tenientes de granaderos á los de fusileros D. Juan Mana de Pote^, D. Alexandro de Coupigny, D. Agustín de Zurita y Adorno, gradi-do de Teniente Coronel, y I&gt;. Carlos Gravma. En el de infantería de Gr’-rnd 1 á m-imer Teniente al segundo de granaderos D. Joseph Fernandez</t>
  </si>
  <si>
    <t>de Cozár Hidalgo, Francisco</t>
  </si>
  <si>
    <t>Francisco de Cozár Hidalgo</t>
  </si>
  <si>
    <t>747 López y D. Juan Rosicr; y eti este último á Teniente de fusileros al Subteniente de granaderos D. Francisco de Cozár Hidalgo: á Tenientes de fusileros en el de Jaén á los Subtenientes D. Joseph Valenzúela, D. Manuel'Obé:; o y D. J oseph Fernandez de la Pena y Gordillo: en el de Málaga á Teniente de fusi</t>
  </si>
  <si>
    <t>de Cuba, Juan Bautista</t>
  </si>
  <si>
    <t>Juan Bautista de Cuba</t>
  </si>
  <si>
    <t>y Relator del Consejo de Indias, 115 rs 2 mrs. Infanta, en 30 de'Abril de 1.79a, Por 194 pesos por D. Juan Bautista de Cuba para Doña María ‘Ruíz* Cabrera , 357a rs. 11 mrs. Cantabria, .en de Setiembre de 1794. Por ai pesos i|-rs. plata por D. Félix de la Roáa para Doña Petronila Amores , 387 rs. 13 mr</t>
  </si>
  <si>
    <t>de Cueto, Francisco Xavier</t>
  </si>
  <si>
    <t>Francisco Xavier de Cueto</t>
  </si>
  <si>
    <t>á segundo Teniente de granaderos al de fusileros D. Antonio Tomas; á primer Subteniente al segundo D. Francisco Xavier de Cueto, y á segundo Subteniente al Cadete D. (oseph Velez de Guevara: en el de Mallorca á segundo Subteniente al Cadete I). Manuel de la Roque: en el de granaderos Voluntarios de Estado</t>
  </si>
  <si>
    <t>de Cuzey, Miguel</t>
  </si>
  <si>
    <t>Miguel de Cuzey</t>
  </si>
  <si>
    <t>, Dv Felipa de Bojohs y D; Juan- María de Pótéstá; y á segundo Ayudante mayor ai Segundo Té Óten te D. Miguel de Cuzey : en el aé infantería del Príncipe á primer Subteniente al segundo D. Joseph Mendoza; y á esta resulta al Cadete del de Extremadura D. Manuel de Luna:* en el de Valencia á Tenient</t>
  </si>
  <si>
    <t>de Davalillo y Mena, Manuel</t>
  </si>
  <si>
    <t>Manuel de Davalillo y Mena</t>
  </si>
  <si>
    <t>utos de aquel pais. Se hallar! i 2 rs. en el despacho de la imprenta Real. £1 14 de Febrero remitió D. Manuel de Davalillo y Mena , de esta corre,! X). Juan Tomas Antolinez de Castro , de la villa de la Solana, provincia de la Mancha, un vale Real de 300 pesos, núm. 105,964, renovado en i.° de dicho mes, y s</t>
  </si>
  <si>
    <t>de Davalillo, Manuel</t>
  </si>
  <si>
    <t>Manuel de Davalillo</t>
  </si>
  <si>
    <t>novado en i.° de dicho mes, y se ha extraviado. Quien le tuviese le remitirá en esta corte al mismo Don Manuel de Davalillo , que vive calle del Carbón, núm. 7 , quarto z.°; y en la So-&gt; lana al referido D. Juan Tomas , por Manzanares. . El 13 de Febrero remitiéron los Sres. Varanda é hijo, del comerci</t>
  </si>
  <si>
    <t>de Diego Garcilaso de la Vega, Julián</t>
  </si>
  <si>
    <t>Julián de Diego Garcilaso de la Vega</t>
  </si>
  <si>
    <t>península, y por lo regular en los ejércitos. Tod.rs estes obras son del Dr. P. Julián de Diego Garcilaso de la Vega, médico del mírncro de la corte, al presente titular ce la ciudad de Málaga , médico y cirujano del Real Cuerpo de Artillería. Se hallarán en la librería de Hurtado, calle de las carretas</t>
  </si>
  <si>
    <t>de Drraza, Juan Antonio</t>
  </si>
  <si>
    <t>Juan Antonio de Drraza</t>
  </si>
  <si>
    <t>e su mañana en la audiencia del Sr. D. Pedro González Calderón , y por ante el Escribano del número D. Juan Antonio de Drraza. Por el Juzgado del Sr. D. Juan Antonio Santa María se venden las siguien</t>
  </si>
  <si>
    <t>de Durbaran y Escovar, Diego</t>
  </si>
  <si>
    <t>Diego de Durbaran y Escovar</t>
  </si>
  <si>
    <t>e la Encomienda, núm. 7 , manz. ói, perteneciente á la capellanía patronato Real de legos,que fundó D. Diego de Durbaran y Escovar , tasada en 111,258 rs. Quien quisiere hacer postura acuda ante dicho Sr. Alcalde y por la citada escribanía. Con facultad Real cometida al Sr. Teniente primero de Corregidor de M</t>
  </si>
  <si>
    <t>de Durbarán y Escovar, Diego</t>
  </si>
  <si>
    <t>Diego de Durbarán y Escovar</t>
  </si>
  <si>
    <t>uien quisiere hacer mejora á otra casa, perteneciente al patronato Real de le“£0*que fundó el mismo D. Diego de Durbarán y Escovar, sita en la calle de la Miadanúm. ó y 7, manz. 365 , que está tasada en &lt;55,804 rs. y y seha hecho pos-&gt; (pira era 50# rs., los a© en metálico, y los demás en vales, acuda áfla es</t>
  </si>
  <si>
    <t>de Durbarán y Estovar, Diegó</t>
  </si>
  <si>
    <t>Diegó de Durbarán y Estovar</t>
  </si>
  <si>
    <t>Real, éjuien quisiete hacer méjora á una casa perteneciente a1 patronato Real de leegcvs quis fundó D. Diegó de Durbarán y Estovar, sita en la calle de la Eneoalteada, núm. 7, manz. 61 , que está tasada en 111,458 rs. , y dan por ella la icnisnia .c&amp;ntidad, y de esta a§ en moneda jnetálica, y Jo demás en vale</t>
  </si>
  <si>
    <t>de Easávilbaso, Manuel</t>
  </si>
  <si>
    <t>Manuel de Easávilbaso</t>
  </si>
  <si>
    <t>istrados: Princesa, que arribó en 30 de Abril-de 1787. Por 44 pesos rs. plata, re— -gistraclós por :D. Manuel de Easávilbaso para D. Francisco Ortiz y compañía: líquido que percibir 87a rs.Ta mrs. Diligencia, en a3 de Fébrero de 1788. Por 97 pesos a rs. plata, registrados por *D. Martin de S&amp;rrátéa para</t>
  </si>
  <si>
    <t>de Echavarría, Gaspar</t>
  </si>
  <si>
    <t>Gaspar de Echavarría</t>
  </si>
  <si>
    <t>ía elemental D. Domingo de Otañez y D. Francisco de Huarte. De trigonometría esférica y cosmografía D. Gaspar de Echavarría y D. Baltasar de Echavarría. En trigonometría plana, geometría práctica, aplicación del álgebra á la geometría y secciones cónicas, D. Joseph Manuel de Emparan, D. Juan Lui$ de Michel</t>
  </si>
  <si>
    <t>de Echavc, Martín</t>
  </si>
  <si>
    <t>Martín de Echavc</t>
  </si>
  <si>
    <t>los Subtenientes D. Miguel Antonio de Bengoechea, D. Francisco Otaegui, D. Juan Agustín de Arrieta, Don Martin de Echavc, D. Manuel de Medina, D. Juan Joseph Garnier, Don Agustín de Lecumberri y D. Francisco Antonio Barandiaran, que paguen cada uno 200 dudados de vellón de multa; y que en el caso de</t>
  </si>
  <si>
    <t>de Echeandia, Pedro Gregorio</t>
  </si>
  <si>
    <t>Pedro Gregorio de Echeandia</t>
  </si>
  <si>
    <t>a inmediata al jardín botánico los días 20, 21 y 22 de Octubre, baxo la dirección'de su catedrático D. Pedro Gregorio de Echeandia, presididos por el mismo Señor Dean. El primer -¿dia disertó el Lie. D. Rafael Bbs Campesino sobre la utilidad de la historia natural en general: y á continiiacton fuéron exámiita</t>
  </si>
  <si>
    <t>de Echegaray, Francisco Manuel</t>
  </si>
  <si>
    <t>Francisco Manuel de Echegaray</t>
  </si>
  <si>
    <t>nía mayor que se halla vacante en el Real convento de la Visitación de Madrid, por fallecimiento de Don Francisco Manuel de Echegaray, al Dr. D. Francisco Fernando de Flores, Predicador de S. M. y su Capellán de Honor: para otra Capellanía mayor del de religiosas Mercenarias descalzas de Madrid, vacante por fall</t>
  </si>
  <si>
    <t>de Echegoyen, Juan Bautista</t>
  </si>
  <si>
    <t>Juan Bautista de Echegoyen</t>
  </si>
  <si>
    <t>ntos de infantería de Córdoba y de Jaén: á Sargentos mayores de *las de dragones del propio Reyno á D. Juan Bautista de Echegoyen y D. Agustín Aparicio, Tenientes de los regimientos de dragones de Pavía y de la Reyna; y á Ayudantes mayores de las mismas á D. Ventura Valladáres, Alférez del regimiento de Pavía, á</t>
  </si>
  <si>
    <t>de Echepare, Fernando</t>
  </si>
  <si>
    <t>Fernando de Echepare</t>
  </si>
  <si>
    <t>capitales de las Provincias del. Reyno, cuyos nombres son los que siguen. En Avila....... ......... D. Fernando de Echepare. En Biírgos.............. La Viuda de Isla. En la Coruña........ D. Manuel Antonio de Elzaurdi. En Gtiadalaxara. D. Lope María Romillo. En Oviedo............... D. Josef Santiago</t>
  </si>
  <si>
    <t>á ios Comisionados siguientes; En Alieante. ~..... D. Juan Cassou y Compañía. En Avila............ D, Fernando de Echepare. En Badajoz...... D.*Manuel de la Peña. En Barcelona.. .... D. Ramón de Llordelia é hijo. En Btírgos......... . D. Andrés Fray le. En Cádiz.............. I). Benito de la Piedra.</t>
  </si>
  <si>
    <t>de Echevarría, Manuel</t>
  </si>
  <si>
    <t>Manuel de Echevarría</t>
  </si>
  <si>
    <t>resulta de dicha plaza yt. de las vacantes, que estaban sin proveer, se ha servido Si M. nombrar á D. Manuel de Echevarría , D. Tadeo Segundo Gómez , D. Buenaventura1 de Ventura, D. Christóbal dé Góngora, D. Joáchín dé Henriquez y Doi^ Joseph Compañy. ‘ También se ha servido conferir la Comandancia de</t>
  </si>
  <si>
    <t>de Echeverría y Padilla, Joseph</t>
  </si>
  <si>
    <t>Joseph de Echeverría y Padilla</t>
  </si>
  <si>
    <t>. Aii toni'o Tacón y Rosique, D. Salvador Spadafora,D. Ramón Caamaño, Don Isidoro Postigo y Bulnes, D. Joseph de Echeverría y Padilla’, D. Francisco Torralbo y Valenciano ,#D. Joseph García de Prado y Osorno, D. Manuel Ristori y Medina, D. Salvador Ciezar y Bocanegra, D. Bonifacio de Tosta y Montano, D. Joachín d</t>
  </si>
  <si>
    <t>de Eguizabal, Juan Miguel</t>
  </si>
  <si>
    <t>Juan Miguel de Eguizabal</t>
  </si>
  <si>
    <t>co Franco Iglesias, D. Cipriano de la Cerna, D. Miguel Estéban de Irazoqui, D. Joseph Lino Salazar, Don Juan Miguel de Eguizabal y D. Juan de Echevarría: empleos de Alféreces á D. Manuel 4,e Fuentes, D. Joseph Eguizabal, D. Manuel Huete, Don Hilario Pó'nce,"D. Manuel Caballero, D. Buenaventura Sanz, D. Juan Mor</t>
  </si>
  <si>
    <t>de Eléxaga, Francisco Xavier</t>
  </si>
  <si>
    <t>Francisco Xavier de Eléxaga</t>
  </si>
  <si>
    <t>nopla : á D. Luis Viérgol, Secretario nombrado del ministerio de Iqs Estados-Unidos de América; y á D. Francisco Xavier de Eléxaga, Secretario de la Legación ai Sumo Pontífice. En América. El Rey se ha servido nombrar para la Canongía Doctoral de la catedral de Durango, en Nueva España, á D. Francisco Fernand</t>
  </si>
  <si>
    <t>de Elizahde, Bernardo</t>
  </si>
  <si>
    <t>Bernardo de Elizahde</t>
  </si>
  <si>
    <t>, frente á la casa del Exc. Sr. Marques de Villescas. El 8 de Julio remitió X). Bernardo de Elizahde, vecino de Cartagena, un vale de 600 pesos , creación 10 de Abril, núm. 382,496, baxo cubierta de D. Miguel Iraceburu , de Valencia , con el penúltimo endoso de D. Antonio Fiandrino i fav</t>
  </si>
  <si>
    <t>de Elzaburu, Manuel María</t>
  </si>
  <si>
    <t>Manuel María de Elzaburu</t>
  </si>
  <si>
    <t>e la misma capital á D. Juan de Ortega: la de igual clase de la renta de aguardientes de Medellin á D. Manuel María de Elzaburu: la de Oficial mayor de la administración principal de aguardientes dé Ley va. á D. Joseph Jorge Ramírez: la de Administrador particular de las rentas de tabaco y pólvora de Tequi</t>
  </si>
  <si>
    <t>de Elzaurdi, Manuel Antonio</t>
  </si>
  <si>
    <t>Manuel Antonio de Elzaurdi</t>
  </si>
  <si>
    <t>......... D. Fernando de Echepare. En Biírgos.............. La Viuda de Isla. En la Coruña........ D. Manuel Antonio de Elzaurdi. En Gtiadalaxara. D. Lope María Romillo. En Oviedo............... D. Josef Santiago Suarez.</t>
  </si>
  <si>
    <t>de Elzaurdr, Manuel Antonio</t>
  </si>
  <si>
    <t>Manuel Antonio de Elzaurdr</t>
  </si>
  <si>
    <t>ad-Real.. D. Ramón Antonio Pico. En Córdoba*...a.., Sres. Barcia, padre é hijo. En la Cotuña......./D. Manuel Antonio de Elzaurdr. En Cuenca............ D. Manuel Escolar y Noriega» En Granada.*,.... D. Francisco deUnzaga.</t>
  </si>
  <si>
    <t>de Emneter, Juan</t>
  </si>
  <si>
    <t>Juan de Emneter</t>
  </si>
  <si>
    <t>ros D. Remigio Kaysser; concediendo también grado de Capitán al Ayudante mas antiguo de este cuerpo D. Juan de Emneter ; y ha nombrado Capellán del de infantería de Navarra. aL presbítero D. Jacinto Pascual y Vaz. Atendiendo el Rey á la ilustre y antigua nobleza de D. Lorenzo Ron Peñaroxa , en el</t>
  </si>
  <si>
    <t>de Emparan, Joseph Manuel</t>
  </si>
  <si>
    <t>Joseph Manuel de Emparan</t>
  </si>
  <si>
    <t>trigonometría plana, geometría práctica, aplicación del álgebra á la geometría y secciones cónicas, D. Joseph Manuel de Emparan, D. Juan Lui$ de Michelena, y los Cadetes de Reales Guardias Españolas D. Luis Manuel Gaytan de Ayala y D. Juan María de i\bratdes, respondiendo el primero de todos los elementos</t>
  </si>
  <si>
    <t>de Emparan, Manuel</t>
  </si>
  <si>
    <t>Manuel de Emparan</t>
  </si>
  <si>
    <t>de la división de las fragatas Céres , Asunción , Efigenia y Diana, del mando del Capitán de navio D. Manuel de Emparan , que regresando de Surinam conduso dos presas al departamento del Ferrol , podrán acudir personalmente, o por medio de apoderado con el correspondiente poder, al citado departame</t>
  </si>
  <si>
    <t>de Eraso, Luis Antonio</t>
  </si>
  <si>
    <t>Luis Antonio de Eraso</t>
  </si>
  <si>
    <t>rancisco Bryas de Molanghien, D. Andrés Dumont, D. Baltasar Francisco de Pultz, Marques de Monteil, D. Luis Antonio de Eraso y D. Carlos de Liot. También ha nombrado S, M. Capellán del tercer batallón del regimiento de infantería de las Ordenes Militares al presbítero Dr. Frey D^Francisco Grau, del orden de</t>
  </si>
  <si>
    <t>de Errazu, Domingo María</t>
  </si>
  <si>
    <t>Domingo María de Errazu</t>
  </si>
  <si>
    <t>de Contralor, con la Comisaría de entradas y dirección del hospital militar de la plaza de Jaca, á D. Domingo María de Errazu , Contralor pensionado de los hospitales de campaña. El Rey se ha servido nombrar Afinador principal de la Real fundición de artillería de bronce de Sevilla á D. Juan Modesto Peri</t>
  </si>
  <si>
    <t>de Escoiquiz, Juan</t>
  </si>
  <si>
    <t>Juan de Escoiquiz</t>
  </si>
  <si>
    <t>nongía de la iglesia metropolitana de Toledo, yacantés por fallecimiento de Don Joseph Lorenzana, á D. Juan de Escoiquiz: para una Canongía de la catedrill de Salamanca, vacante por muerte de D. Joseph Perez Mesía, á Don Isidro Masquiaran, Canónigo de Zamora; y para el Medio Pontifical de Fazalcázar</t>
  </si>
  <si>
    <t>ombrar para el Arcediahato de Lorca, dignidad de la catedral de Cartagena, vacante por promoción de D. Juan de Escoiquiz al Arcedianato de Alcaraz, dignidad de la santa iglesia de Toledo, y á una Canongía de ella, á D. Agustín del Campo Rivera, juez de la Real capilla , con la obligación de residirl</t>
  </si>
  <si>
    <t>de Escondrülas, Andrés</t>
  </si>
  <si>
    <t>Andrés de Escondrülas</t>
  </si>
  <si>
    <t>D. Joseph Antonio de Palacio^ y habiéndose extraviado,quien supiese de éi le entregará en Bilbao á D. Andrés de Escondrülas, y en esta corte ¿t D. Manuel de Palacio y B.isualdo, del comercio, calle de Posras. J3. Christ'íano Kerrgen , profesor del Real estudio de mineralogía establecido en Madrid , con</t>
  </si>
  <si>
    <t>de Espinosa, Diego</t>
  </si>
  <si>
    <t>Diego de Espinosa</t>
  </si>
  <si>
    <t>el Rey de Ñapóles. El Rey se ha dignado nombrar para una Canongía de la metropolitana de Zaragoza á D. Diego de Espinosa, Canónigo de la catedral de Córdoba; y pára el Beneficio de la parroquial de Pioz, en este arzobispado de Toledo, vacante por fallecimiento de D. Nicolás Moreno, á D. Domingo Herr</t>
  </si>
  <si>
    <t>ba, vacante por promoción de D. Diego de Espinosa á otra de la metropolitana de Zaragoza, á D. Juan Joseph de Aldama: para el Beneficio préstamo de la parroquia de S. Esteban de Cienfuegos, en la diócesis de Oviedo, vacante por m</t>
  </si>
  <si>
    <t>de Espinosa, Miguel</t>
  </si>
  <si>
    <t>Miguel de Espinosa</t>
  </si>
  <si>
    <t>ento de D. Juan Salcedo, ai Racionero D. Manuel María Rodríguez de Caras!: para la Ración de este á D. Miguel de Espinosa: para otra Canonjía de la oropia iglesia metropolitana, vacante por fallecimiento de D. J oscph Rodríguez Bravo, á D. Joseph Goya y Muniain: para la Ración, vacante también en la</t>
  </si>
  <si>
    <t>de Esponda, Joseph María</t>
  </si>
  <si>
    <t>Joseph María de Esponda</t>
  </si>
  <si>
    <t>l. De aritmética y principios de geometría D. Martin de Llano, Cadete de Reales Guardias Walonas, y D. Joseph María de Esponda. De álgebra elemental D. Luis de Lardizabal, D. Joseph María Kindelan, primer Subteniente del regimiento de infantería de Ultonia, D. Ignacio Xavier de Colmenáres y D. Hilarión de</t>
  </si>
  <si>
    <t>de Estepar, Santiago</t>
  </si>
  <si>
    <t>Santiago de Estepar</t>
  </si>
  <si>
    <t>&lt; c por el Sr. D. Juán Antonio de Santa María, Teniente Corregidor de esta villa, y‘escribanía! de. D. Santiago de Estepar ,,se ha subastado unacasa en la calle del Pez eon fachadas á Jas del Rubio y Jesús deí Valle» atím. 5, manz. 471, tar sada en 1.046,668 rs.'; y habiéndose rematado en la misma can</t>
  </si>
  <si>
    <t>de Esterripa, Nicolás Vicente</t>
  </si>
  <si>
    <t>Nicolás Vicente de Esterripa</t>
  </si>
  <si>
    <t>Santa Isabel de Madrid , que se halla vacante por fallecimiento de D. Agustín Dominguez de León, á D. Nicolás Vicente de Esterripa, Capellán de honor de S. M.</t>
  </si>
  <si>
    <t>de Estrada y Eustamante, Antonio</t>
  </si>
  <si>
    <t>Antonio de Estrada y Eustamante</t>
  </si>
  <si>
    <t>los vicios y arrepentimiento del hombre. Escena entre Christo, el ángel , el alma y el cuerpo : por D. Antonio de Estrada y Eustamante. Se hallarán en casa de Munita , calle de las Carretas. Estampa nueva en pliego de marca mayor, que representa ia caida de los gigantes, pintado al fresco en el Heai palacio de Ma</t>
  </si>
  <si>
    <t>de Ezpeleta, Juan Bautista</t>
  </si>
  <si>
    <t>Juan Bautista de Ezpeleta</t>
  </si>
  <si>
    <t>lcázar é Hinojosa , en eí de Córdoba , vacante por muerte de D.. Manuel Francisco de PaulaLorÍeri,á D. Juan Bautista de Ezpeleta, Vicario eclesiástico' de Madrid. También se ha servido S. M. promover en el Real cuerpo de Artillería á Tenientes Coroneles á los Capitanes D. Juan Valdes y D. Juan de Arriada, e</t>
  </si>
  <si>
    <t>de Feliz, Felipe Ventura</t>
  </si>
  <si>
    <t>Felipe Ventura de Feliz</t>
  </si>
  <si>
    <t>cho deL esmero de la sociedad en perpetuar su memoria.. Oralapagar iy de Junta. E n 3 del corriente D. Felipe Ventura de Feliz , maestro de primeras letras, con aprobación del Consejo Real, en la villa de Galapagar ,, deseando dar al público y vecinos de ella una prueba del esmero que tiene en la enseñanz</t>
  </si>
  <si>
    <t>de Fersen, Áxel (conde)</t>
  </si>
  <si>
    <t>Conde Áxel de Fersen</t>
  </si>
  <si>
    <t>ste encargo. Obedeció la universidad, aunque con el sentimiento que puede considerarse, y eligió al Conde Áxel de Fersen. Ratificó el Rey su nombramiento, y salió al instante de aquella ciudad. Ratisbona &amp; o de Diciembre. E 1 Barón de Hugel, Comisario imperial en la Dieta, está nombrado por el Emper</t>
  </si>
  <si>
    <t>de Figuerola y Vilana, Vicente Antonio</t>
  </si>
  <si>
    <t>Vicente Antonio de Figuerola y Vilana</t>
  </si>
  <si>
    <t>a , que déxá Vera, ál íeniente de ella D. Juan Caballero. Atendiendo el Rey á la antigua nobleza de D. Vicente Antonio de Figuerola y Vilana, vecino de la ciudad de Barcelona, a los enlaces que xrik jbstificádo tiene con las familias mas nobles de Cataluña y Valencia , y entré ellas muchas condecoradas con títulos de C</t>
  </si>
  <si>
    <t>de Finkenstein, Conde</t>
  </si>
  <si>
    <t>Conde de Finkenstein</t>
  </si>
  <si>
    <t>s ejércitos imperiales. A 8^ años de edad ha muerto repentinamente en Berlín el Ministro Conde de Finkenstein. Lintz 8 de Enero. Príncipe de Condé recibió el 31 de Diciembre un correo de Petersburgo, y al dia siguiente mandó comunicar á sus tropas este aviso: „ Los ejé</t>
  </si>
  <si>
    <t>de Flon, Antonio</t>
  </si>
  <si>
    <t>Antonio de Flon</t>
  </si>
  <si>
    <t>se ha servido conceder agregación de Alférez en el regimiento de dragones de España, en América, á D. Antonio de Flon, Cadete del de Reales Guardias Españolas. En el cuerpo de cazadores del Rio Hacha se ha servido el Rey conferir Compañía al Teniente D. Joseph Agustín Parodi : esta Tenencia al Su</t>
  </si>
  <si>
    <t>de Flores, Francisco Fernando</t>
  </si>
  <si>
    <t>Francisco Fernando de Flores</t>
  </si>
  <si>
    <t>en la iglesia de Padres dei Escrito Santo {trasladada este año ai convento de Sto. Temas) e¿l J&gt;r. D. Francisco Fernando de Flores., Capellán de honor y predicador de ,S. M. &amp;c.: de vi 1a estampa de S. Ildefonso y Santa Casilda, patronos dé la misma Real congregación , y se veude á 4. ts.,^r:Vida y novena de</t>
  </si>
  <si>
    <t>rtin Perez; y para la Capellanía menor que obtenía en el Real monasterio de la Visitación de Madrid D. Francisco Fernando de Flores, y está vacante por su promoción á la Capellanía primera del mismo monasterio, á D. Manuel Sánchez. . En el regimiento de Reales Guardias Walonas se ha servido el Rey promover á p</t>
  </si>
  <si>
    <t>de Florez, Tomás</t>
  </si>
  <si>
    <t>Tomás de Florez</t>
  </si>
  <si>
    <t>iones de rentas de Hapa, Moncova y Xamiltepec , en el Reyno de Nueva España, á D. Alanuel de Orive, D. Tomas de Florez y D. Pedro Antonio Luzaeta y Zííñiga: plaza de Oficial tercero de la Contaduría general de la renta de pólvora, del mismo Reyno, á D. Nicolás Rey: la de Oficial segundo de la administ</t>
  </si>
  <si>
    <t>de Fonseca, Juan Joseph</t>
  </si>
  <si>
    <t>Juan Joseph de Fonseca</t>
  </si>
  <si>
    <t>y D. Matías de Carvajal Roco de Godoy. en el de Granada la Subtenencia de granaderos al Subteniente D. Juan Joseph de Fonseca: en el de Laredo Tenencia al Subteniente de granaderos D. Julián de Ozores; finalmente Subtenencias de bandera en el de Bada-joz á D. Francisco Becerra y Oribe y D. Joachín G-utie</t>
  </si>
  <si>
    <t>de Foronda y Toledano, Manuel</t>
  </si>
  <si>
    <t>Manuel de Foronda y Toledano</t>
  </si>
  <si>
    <t>a su clase de eloqiiencia española; y por la tarde se dio principio con una disertación del alumno D. Manuel de Foronda y Toledano sobre el origen y objeto de las bellas artes. Desempeñaron sus exercicios los jovenes que se presentaron á ser examinados con el mayor lucimiento y á satisfacción del público , re</t>
  </si>
  <si>
    <t>de Foronda, Manuel</t>
  </si>
  <si>
    <t>Manuel de Foronda</t>
  </si>
  <si>
    <t>compuesto de un exemplar de la Historia de España de Mariana, de la primera edición de Valencia, á D. Manuel de Foronda, Oficial de la Real Tesorería: el segundo, que consistid en otro excmphr del Don Quixote de Cervantes, de ía edición de Sancha, á Don Joachín Riqüclmc; y el tercero, que fue un ju</t>
  </si>
  <si>
    <t>de Forres, Nicolás</t>
  </si>
  <si>
    <t>Nicolás de Forres</t>
  </si>
  <si>
    <t>o á D. Andrés de Baos, Subteniente de fusileros: Compañía en el de Málaga al Teniente de granaderos D. Nicolás de Forres, y Subtenencia de bandera al Cadete D. Mariano de Cárdenas: la Tenencia de granaderos del de Salamanca al Teniente de fusileros, graduado de infantería, D. Benito de la Riva* la d</t>
  </si>
  <si>
    <t>de Frias Saiazar, Félix</t>
  </si>
  <si>
    <t>Félix de Frias Saiazar</t>
  </si>
  <si>
    <t>de $ fanegas y $ celemines, perteneciente á la capellanía que en eí hospital de dicha ciudad fundó D. Félix de Frias Saiazar, tasada en 5940 rs. Otra en las Rer.uejas del sotillo, de a fan y g cel., perteneciente á id. en 44^5. Otra en el Regazueio, de 3 fan, , perteneciente á id. en 4950. Una viña en M</t>
  </si>
  <si>
    <t>de Frias, Joseph Martín</t>
  </si>
  <si>
    <t>Joseph Martín de Frias</t>
  </si>
  <si>
    <t>fantería de Cuba. 1 Asimismo ha nombrado S, M. Guarda-Almacén de artillería de la plaza de Cumaná á D. Joseph Martin de Frias,</t>
  </si>
  <si>
    <t>de Frías, Martín</t>
  </si>
  <si>
    <t>Martín de Frías</t>
  </si>
  <si>
    <t>tado á Capitanes á los primeros Tenientes D. Juan Pedro Lacosta y D. Antonio Ufrutia, y al Ayudante D. Martin de Frías; á esta resulta al segundo Teniente del de infantería de Córdoba D. Vicente de Oquendo; á primeros Tenientes á los segundos D. Joseph Joachin Narvarte, D. Joseph Alemany, D. Joach</t>
  </si>
  <si>
    <t>de Frías, Tomás</t>
  </si>
  <si>
    <t>Tomás de Frías</t>
  </si>
  <si>
    <t>vivía en S. Sebastian de Vizcaya , para aclarar un cobro que hizo de 1444 rs. 44 mrs. que le debia D. Tomas de Frías, Teniente de granaderos que entonces era del regimiento de infantería de León; sobre lo qual escribirá á D. Antonio Rodríguez Catnargo, Capitán del regimiento de infantería de las</t>
  </si>
  <si>
    <t>de Garagorri, Joseph</t>
  </si>
  <si>
    <t>Joseph de Garagorri</t>
  </si>
  <si>
    <t>oseph de la Dehesa , comerciante de lienzos en la calle de Toledo. El 8 de Noviembre último remitió D. Joseph de Garagorri, de Cádiz, un vale de 130 pesos, .núm 322,069, creación de 13 de Marzo, endosado á Doña Marcelina Muxic'a, de S. SebavStian; y habiéndose extraviado, -quien le tuviere le entregar</t>
  </si>
  <si>
    <t>de Garay Leaniz, Juan</t>
  </si>
  <si>
    <t>Juan de Garay Leaniz</t>
  </si>
  <si>
    <t>por D. Juan de Garay Leaniz, tasada en 44,87$ rs. 17 mrs. y renta 440. Anteiglesia de Axpée. Una casa nombrada Elejaburu, en el sitio de este nombre, con sus pertenecidos , de la capellanía fundada por D. Ju</t>
  </si>
  <si>
    <t>de Garay, Juan</t>
  </si>
  <si>
    <t>Juan de Garay</t>
  </si>
  <si>
    <t>nombrada Elejaburu, en el sitio de este nombre, con sus pertenecidos , de la capellanía fundada por D. Juan de Garay , tasada en $9,564 rs. 48 mrs. = Anteiglesia de Berriz : un monte castañal , de 10,434 estados, de la ermita de S. Fausto, tasado en 15,478 rs. 44 mrs* y renta de $00 á 600. Otro</t>
  </si>
  <si>
    <t>de Garay, Martín</t>
  </si>
  <si>
    <t>Martín de Garay</t>
  </si>
  <si>
    <t>ontador de exército en Valencia D. Juan Miguel Camaño, se ha servido el Rey conferir este destino á D. Mirtin de Garay, y nombrar para reemplazar á este en igual empleo en Cataluña a D. Juan Belipe de Asaguirre , Oficial 2.0 de la Secretaría de Estado, y del despacho universal de Hacienda de Españ</t>
  </si>
  <si>
    <t>de Gardoqui, Diego</t>
  </si>
  <si>
    <t>Diego de Gardoqui</t>
  </si>
  <si>
    <t>iento de lo resuelto por S. M., y comunicado de su Real orden en 9 de Julio de 1796 por el Exc. Sr. D. Diego de Gardoqui á la Dirección general de la Renta de la Lotería, se anuncia al público, que si alguno tuviese que repetir 6 solicitar ganancia que crea le haya tocado, y á que pueda tener derech</t>
  </si>
  <si>
    <t>iento de lo resuelto por S. M., y comunicado de su Real orden en 9 de Julio de 1796 por el Exc. Sr. D. Diego de Gardoqui á la Dirección general de la Renta de la Lotería, se anuncia al público, que si alguno tuviese que repetir ó solicitar ganancia que crea le haya tocado, y á que pueda tener derech</t>
  </si>
  <si>
    <t>iento de lo resuelto por S. M., y comunicado de su Rea! orden en 9 de Julio de 1796 por el Exc. Sr. D. Diego de Gardoqui á la Dirección general de la Renta de la Lotería, se anuncia al público, qiie si alguno tuviese que repetir ó solicitar ganancia que crea le haya tocado, y. á que pueda tener dere</t>
  </si>
  <si>
    <t>de Garnica, Andrés</t>
  </si>
  <si>
    <t>Andrés de Garnica</t>
  </si>
  <si>
    <t>sobredicho, acudirá á dicho tribunal, y á la rsecretaria de ,Seqiiestros de él, que está á cargo de D. Andrés de Garnica. Para el remate de dos casas sitas la una en ía calle de S. Andrés , barrios de las Maravillas, núm. 19, manz. 455, tasada en 19,542 rs. , y dan por ella Jas dos terceras partes e</t>
  </si>
  <si>
    <t>de Gasaviella, Joachín</t>
  </si>
  <si>
    <t>Joachín de Gasaviella</t>
  </si>
  <si>
    <t>: en el de Córdoba á Teniente Coronel al de esta clase agregado al ae Granada, graduado de Coronel, D. Joachín de Gasaviella: en el de Toledo á segundo Teniente de granaderos al de fusileros D. Félix Fernandez de Soto; á segundo Teniente al Subteniente de granaderos D. Baltasar Briz; á Subteniente de gr</t>
  </si>
  <si>
    <t>de Gaytan, Joseph</t>
  </si>
  <si>
    <t>Joseph de Gaytan</t>
  </si>
  <si>
    <t>s, y baxo la dirección de su maestro D. Joseph de Uzin fueron examinados D. Joseph María de Munive, D. Joseph de Gaytan, D. Fernando Adan y D. Fernando de las Casas. En rudimentos de latinidad, baxo la dirección de su maestro D. Andrés Bestigui, los seminaristas D. Francisco Necochea, D. Pedro Goos</t>
  </si>
  <si>
    <t>de Giles y Leyva, Rafael</t>
  </si>
  <si>
    <t>Rafael de Giles y Leyva</t>
  </si>
  <si>
    <t>a de Montoro D. Fernando López de Cárdenas y los malos Argumentos del folleto que acaba de publicar D. Rafael de Giles y Leyva: por el mismo D. Fernando Ramirez de Luque. = Respuestas que á los Argumentos del Br. D. Rafael de Giles y Leyva da D. Fernando Ramirez de Luque , Cura beneficiado de las iglesias</t>
  </si>
  <si>
    <t>de Goertz, Conde</t>
  </si>
  <si>
    <t>Conde de Goertz</t>
  </si>
  <si>
    <t>al Duque de Berri Gran Prior de Malta.” Refieren las cartas de Ratisbona que el Conde de Goertz, Ministro de Prusia, ha declarado que el dia 3 de Diciembre se firmó en Petersburgo la orden para que los rusos vuelvan al Rhin, y que Mr. de Riedel, Coronel de Baviera, y Comisario para la</t>
  </si>
  <si>
    <t>s muchas tropas al servicio del Emperador. Léese en Ja gazeta de Bamberg que el Conde de Goertz, Ministro de S. M. prusiana en Ratisbona, ha dado á entender que el Emperador de Rusia firmó el 3 de Diciembre la orden para, que su exército vuelva á Ale*inania; añade que á principies del</t>
  </si>
  <si>
    <t>ue se desprenda de dichos enlaces; y que con este objeto ha enviado á Munich al Conde de Goertz, Ministro de la Dieta en Ratisbona. El Teniente General Conde de Lusi está nombrado por el Rey de Prusia para ir á Petersburgo en calidad de su Ministro. Vicua 14 de Marzo. S e confirman la</t>
  </si>
  <si>
    <t>de Goicoa, Joachín Gregorio</t>
  </si>
  <si>
    <t>Joachín Gregorio de Goicoa</t>
  </si>
  <si>
    <t>rresto que ha padecido por no haber sostenido su proposición de defensa. A D. Fermín de Urtizverea, D. Joachín Gregorio de Goicoa , D. Nicolás de Legarda , D. Juan Joseph Garragorri y D. Joseph Vicente de Elizondo, que siendo Oficiales urbanos y teniendo cargo de concejo se fugaron de la plaza; los 4 primero</t>
  </si>
  <si>
    <t>de Goicoechea, Gaspar</t>
  </si>
  <si>
    <t>Gaspar de Goicoechea</t>
  </si>
  <si>
    <t>, á D. Francisco Bustamante, Ayudante de Ingeniero: y á este empico á D. Martin Casimiro de Lasala, D. Gaspar de Goicoechea, Subtenientes de los regimientes de infantería de Buenos-Ay res y del Rey; á D011 Fernando de la Serna, D. Francisco Ximenez de la Isla y D. Manuel Bayo, Cadetes de los de. Guadai</t>
  </si>
  <si>
    <t>de Góngora, Christóbal</t>
  </si>
  <si>
    <t>Christóbal de Góngora</t>
  </si>
  <si>
    <t>ido Si M. nombrar á D. Manuel de Echevarría , D. Tadeo Segundo Gómez , D. Buenaventura1 de Ventura, D. Christóbal dé Góngora, D. Joáchín dé Henriquez y Doi^ Joseph Compañy. ‘ También se ha servido conferir la Comandancia de esquadron del regimiento de dragones de Sagunto á D. Manuel Olazabal, Capitán de</t>
  </si>
  <si>
    <t>de Gornendio, Joseph Joachín</t>
  </si>
  <si>
    <t>Joseph Joachín de Gornendio</t>
  </si>
  <si>
    <t>cer íleges ó arcos de hierro para pipería. Pertenece á Doña Josepha de Castilloveitia , y á su hijo D. Joseph Joachin de Gornendio, vecinos de la misma villa. En otras fábricas sitas en la citada villa, y por cuenta de los mismos, se labran también chapas de hierro de 3 quartas de línea de.grueso, ig pulgadas</t>
  </si>
  <si>
    <t>de Gorostiza, Francisco Xavier</t>
  </si>
  <si>
    <t>Francisco Xavier de Gorostiza</t>
  </si>
  <si>
    <t>s Guardias Españolas se ha servido promover el Rey á Teniente de granaderos al segundo de fusileros D. Francisco Xavier de Gorostiza; y á segundo Teniente al Alférez D. Pascual García Montañés y Cárdenas. En el de Reales Guardias Walonas á Capitán de granaderos al de fusileros y Brigadier D. Francisco de Sire D</t>
  </si>
  <si>
    <t>de Gorvea, Sebastián</t>
  </si>
  <si>
    <t>Sebastián de Gorvea</t>
  </si>
  <si>
    <t>ija de la santa iglesia de Sevilla, vacante por fallecimiento de D. Francisco Llánes y Arguelles, á D. Sebastian de Gorvea, Capellán de la Real capilla de Sres. Reyes nuevos de la. ciudad de Toledo: para una Canongía de la Colegial de Arbas del Puerto,, en el obispado de Oviedo, á D. Juan Antonio Garc</t>
  </si>
  <si>
    <t>la Real capilla de Sres. Reyes nuevos de la ciudad de Toledo, que se halla vacante por promoción de D. Sebastian de Gorvea al Arcedianato de Ecija, dignidad de la metropolitana de Sevilla, á D. Joseph Gutiérrez: para el Beneficio de S. Nicolás de la ciudad de Cuenca, vacante por fallecimiento de D. Is</t>
  </si>
  <si>
    <t>de Goycoechea, Máximo</t>
  </si>
  <si>
    <t>Máximo de Goycoechea</t>
  </si>
  <si>
    <t>o Joseph de Baldenain y D. Juan Joseph de Lubelza; los segundos Tenientes D. Joseph María de Zoroa, D. Máximo de Goycoechea, D. Juan Ignacio de Casares , D. Angel Ignacio de Alcain, D. Joachín Luis de Bermingham, D. Joseph Joachin de Atalay, D. Francisco Borja Larreandi . D. Bernardo de Arzac Parada y</t>
  </si>
  <si>
    <t>de Góyctféchea y Urtütia, Juan Bautista</t>
  </si>
  <si>
    <t>Juan Bautista de Góyctféchea y Urtütia</t>
  </si>
  <si>
    <t>n todo él mes de Diciembre con los títulos y documentos que califiquen su mérito y circunstancias á D. Juan Bautista dé Góyctféchea y Urtütia, vecino de Madrid, oficial de la secretaría de la Jühta general de Cóihércio, Moneda y Minas, qué vive en la calle del Déséngáño, casa del pasadizo á la cálle de S. Joseph, quién</t>
  </si>
  <si>
    <t>de Grassa, Juan</t>
  </si>
  <si>
    <t>Juan de Grassa</t>
  </si>
  <si>
    <t>S. M. se ha dignado nombrar primer Teniente en el regimiento de caballería de Calatrava al segundo D. Juan de Grassa. En atención á los distinguidos méritos de D. Francisco Xavier Henriquez, Oficial de la Contaduría principal del exército de Andalucía, se ha servido el Rey concederle honores de</t>
  </si>
  <si>
    <t>de Grijalva, Miguel</t>
  </si>
  <si>
    <t>Miguel de Grijalva</t>
  </si>
  <si>
    <t>M. se ha dignado nombrar para una Canongíá de la catedral de Segovia, vacante por fallecimiento de D. Miguel de Grijalva, á D. Bonifacio Lozano Ximenez , con retención del Beneficio préstamo de la parroquia de Bernuy que obtiene en aquella diócesis: para el Beneficio servidero de U</t>
  </si>
  <si>
    <t>de Guevara, Francisco</t>
  </si>
  <si>
    <t>Francisco de Guevara</t>
  </si>
  <si>
    <t>Arismendi, D. Chnstobal Arismendi y D. Rafael de Guevara; Tenencias a los Cadetes D. B as Marcano y D. Francisco de Guevara, y Subtenencias al Teniente de las milicias urbanas y á los Cadetes de las disciplinadas D. Francisco Maneiro, Don Ramón de Silva, D. Ramón Perez y D. Francisco Aguado. Asimismo h</t>
  </si>
  <si>
    <t>de Guzman, Ángel María</t>
  </si>
  <si>
    <t>Ángel María de Guzman</t>
  </si>
  <si>
    <t>o de D. Ignacio Zalduendo, á D. Francisco Chacón: para la Ración, que este dexa, al Medio-Racionero D. Angel María de Guzman : para esta Media-Ración á D. Juan Fernandez Soler: para otra Canongía, vacante en dicha iglesia metropolitana por fallecimiento de D. Juan Salcedo, ai Racionero D. Manuel María R</t>
  </si>
  <si>
    <t>de Haedo, Pedro</t>
  </si>
  <si>
    <t>Pedro de Haedo</t>
  </si>
  <si>
    <t>en la villa de Pinilia, jurisdicción de Buytrago, con la dotación de 300 ducados anuales , el Lie. D. Pedro de Haedo, dignidad de Tesorero que fue de la santa iglesia de Palencia, la qual se halla vacante por renuncia que ha hecho D Juan Pió de Vargas. Los pretendientes han de ser descendientes</t>
  </si>
  <si>
    <t>de Hamboldt, Barón</t>
  </si>
  <si>
    <t>Barón de Hamboldt</t>
  </si>
  <si>
    <t>enfermo, en términos que ya se dice que ha muerto. ¿- Berlín 12 de Marzo ¿ E 1 Barón de Hamboldt, natural de esta ciudad , que emprendió hace tiempo un viage penosísimo por América, ha enviado observaciones geográficas de los países que ha recorrido, las quales servirán para corregir</t>
  </si>
  <si>
    <t>de Haughwitz, Conde</t>
  </si>
  <si>
    <t>Conde de Haughwitz</t>
  </si>
  <si>
    <t>as á esta parte mucha ocupación en las secretarías del despacho. Se dice que el Conde de Haughwitz, Ministro de estado de Prusia, ha estado aquí algunos dias de oculto, y que conferenció varias veces con el Barón de Thugut. Hamburgo de Junio. E n los contornos de Brzeszc vuelve á juntars</t>
  </si>
  <si>
    <t>ant, adonde ya han llegado muchos oficiales extrangeros, y se esperan otros. El Ministro Conde de Haughwitz dio el dia 13 una comida al cuerpo diplomático, y concurrieron á ella el Ministro de Francia y el de Rusia. Se advirtió que se trataron con bastante intimidad.</t>
  </si>
  <si>
    <t>de Hautregard, Joseph Francisco</t>
  </si>
  <si>
    <t>Joseph Francisco de Hautregard</t>
  </si>
  <si>
    <t>lero de Maiche; y á primer Teniente y segundo Ayudante mayor al segundo Teniente y segundo Ayudante Don Joseph Francisco de Hautregard: en el de infantería de la Rey na á Coronel al Teniente Coronel del de infantería de Málaga, graduado de Coronel, D. Juan Bautista de Urrucla: en el de Saboya á segundo Teniente d</t>
  </si>
  <si>
    <t>de Helsenstreit, Barón</t>
  </si>
  <si>
    <t>Barón de Helsenstreit</t>
  </si>
  <si>
    <t>culo de Suabia comisionó en la última de sus sesiones, verificada el día 10, al Barón de Helsenstreit, Ministro del Príncipe Obispo de Constanza , para que en calidad de Plenipotenciario pase al quartel general del mencionado Archiduque, á fin de arreglar las disposiciones que exige la form</t>
  </si>
  <si>
    <t>de Henriquez y Doi, Joáchín</t>
  </si>
  <si>
    <t>Joáchín de Henriquez y Doi</t>
  </si>
  <si>
    <t>uel de Echevarría , D. Tadeo Segundo Gómez , D. Buenaventura1 de Ventura, D. Christóbal dé Góngora, D. Joáchín dé Henriquez y Doi^ Joseph Compañy. ‘ También se ha servido conferir la Comandancia de esquadron del regimiento de dragones de Sagunto á D. Manuel Olazabal, Capitán del de 1^ misma clase de la Reyna</t>
  </si>
  <si>
    <t>de Heres y Canel, Sebastián</t>
  </si>
  <si>
    <t>Sebastián de Heres y Canel</t>
  </si>
  <si>
    <t>Sánchez, D. Santiago de Mazarredo y Gómez de la Torre, D. Joseph de Mazarredo y Gómez de la Torre, D. Sebastian de Heres y Canel, D. Víctor Urbina y Aniz, D. Antonio Salazar y Allendelagua, Don Francisco Salazar y Allendelagua y D. Vicente de Arizaga y Vázquez. En 2.a fecha. D. Horacio Publicóla y Santa Cro</t>
  </si>
  <si>
    <t>de Herrera, Andrés Tomás</t>
  </si>
  <si>
    <t>Andrés Tomás de Herrera</t>
  </si>
  <si>
    <t>Joseph Fernandez Abad: para la Ración que este obtiene en la misma iglesia, y resultará vacante, á D. Andrés Tomas de Herrera: para otra Canonjía de la de Vich, llamada Rectoría de S. Miguel , vacante por fallecimiento de D. Segismundo Viñas , á D. Benito Boada de las Costas: para una Ración de la catedr</t>
  </si>
  <si>
    <t>de Herrera, Antonio</t>
  </si>
  <si>
    <t>Antonio de Herrera</t>
  </si>
  <si>
    <t>tamera de la Mitacion de Locches de Cañete y de Paterna, obispado de Córdoba, vacante por muerte de D. Antonio de Herrera, y el Medio-Préstamo de la parroquia de Vaíde-Nuño, en este arzobispado, vacante por haber contraído matrimonio D. Jorge Martínez, á D. Andrés Saturnino Duarte. ; En el Real cuerp</t>
  </si>
  <si>
    <t>de Herrera, Juan</t>
  </si>
  <si>
    <t>Juan de Herrera</t>
  </si>
  <si>
    <t>eros Cadetes D. Manuel González, Don Pedro Gutiérrez, D. Joseph María Ruano, D. Joseph de Balbiani, Don Juan de Herrera, D. Rafael de Irazabal, D. Francisco González, D, Fulgencio Cevallos , D. Benito Sandoval, D. Antonio Galindo, D. Diego del Barco, Di Gabriel de Torres , D. Manuel Saenz Ramírez,</t>
  </si>
  <si>
    <t>de Herrera, Miguel</t>
  </si>
  <si>
    <t>Miguel de Herrera</t>
  </si>
  <si>
    <t>: para otra de la colegial de Santiílana, en la diócesis de Santander, Vacante por fallecimiento de D. Miguel de Herrera, á Don Benito Barreda y Rebolledo: para la Media-Ración de la catedral de Cuenca, vacante por fallecimiento de D. Juan Herrero^, á D. Juan Moreno López y Ximenez, Rector de la Rea</t>
  </si>
  <si>
    <t>de Hervías Martínez y Lorca, Diego</t>
  </si>
  <si>
    <t>Diego de Hervías Martínez y Lorca</t>
  </si>
  <si>
    <t>e Setiembre. E I Rey se ha servido nombrar para el Deanato primera silla de la catedral de Guadix á D. Diego de Hervías Martínez y Lorca, dignidad de Arcediano de la misma iglesia, con 3® rs. de pensión anual á favor de la Real capilla de S. M.: para la referida dignidad de Arcediano á D. Antonio Corrales y Luque,</t>
  </si>
  <si>
    <t>de Hesse, Cárlos (príncipe)</t>
  </si>
  <si>
    <t>Príncipe Cárlos de Hesse</t>
  </si>
  <si>
    <t>ompañaban al cadáver 15© hombres de la guarnición de esta capital. ~" _ Copenhague JO de Junio. E 1 Príncipe Cárlos de Hesse lia salido de aquí para restituirse á Sleeswich. Apenas se supo que un corsario tunecino se habia apoderado de una embarcación dinamarquesa, se impidió la salida de todos los buqu</t>
  </si>
  <si>
    <t>de Hesse-Darmstadt, Luis (príncipe)</t>
  </si>
  <si>
    <t>Príncipe Luis de Hesse-Darmstadt</t>
  </si>
  <si>
    <t>do entre otros caballeros de. la orden al Príncipe Henrique de Prusia , hermano segundo del Rey, al Príncipe Luis de Hesse-Darmstadt, y al Príncipe Carlos de Meklemburgo-Schwerin. Procedió luego á elegir un. Coadjutor del Graa Maestre, y recayó la. elección; en el mencionado Principe Henrique*. Francfor. 11 de</t>
  </si>
  <si>
    <t>de Hierta, Barón</t>
  </si>
  <si>
    <t>Barón de Hierta</t>
  </si>
  <si>
    <t>, y el Barón Adelswaerd, Caballerizo del Duque de Sudermaniá. Por otra parte el Barón de Hierta, Secretario del protocolo, el Barón de Cederstroem, y Mrs. Adclsheim, Netherword y Sehultzenheim han renunciado su nobleza: y lo propio han ejecutado los déuias nobles que habían protestado t</t>
  </si>
  <si>
    <t>de Hita, Joseph</t>
  </si>
  <si>
    <t>Joseph de Hita</t>
  </si>
  <si>
    <t>se ha servido nombrar para la Canongía de la metropolitana de Granada, vacante por fallecimiento de D. Joseph de Hita, á D. Joseph López de la Torre Ayllon: para dos Canongías de la Real iglesia de San Isidro de Madrid, vacantes la primera por la promoción del Sr. D. Pedro Inocencio Bejarano al o</t>
  </si>
  <si>
    <t>de Hlzaurdi, Manuel Antonio</t>
  </si>
  <si>
    <t>Manuel Antonio de Hlzaurdi</t>
  </si>
  <si>
    <t>-Real.. D. Ramón Antonio Pico. En Córdoba.......... Sres. Barcia, padre é hijo. En la Corana....... D. Manuel Antonio de Hlzaurdi. En Cuenca........... D. Manuel Escolar y Noriega. En Granada........ D. Francisco de Unzaga. En Guadalaxara. D. Isidoro García Plaza. En Jaén.............. D. Pedro Esponera. En</t>
  </si>
  <si>
    <t>de Hore, Francisco</t>
  </si>
  <si>
    <t>Francisco de Hore</t>
  </si>
  <si>
    <t>o Sandoval, D. Antonio Galindo, D. Diego del Barco, Di Gabriel de Torres , D. Manuel Saenz Ramírez, D. Francisco de Hore é Iturralde, D. Francisco de Reyna, D. Manuel Domínguez y D. Félix Castillo. El Rey se ha servido promover á Ayudantes de Ingenieros de sus cxércitos, plazas y fronteras á D. Luis</t>
  </si>
  <si>
    <t>de Hortelani, Agustín</t>
  </si>
  <si>
    <t>Agustín de Hortelani</t>
  </si>
  <si>
    <t>seph Resino Estrada y Córdoba: en el de Castellón de la Plana á Capitanes al agregado en esta clase D. Agustín de Hortelani y al Teniente efectivo D. Salvador Catalá; á Tenientes á D. Agustín Escudar y D. Tomas Querol, Subtenientes del mismo, y á Subtenientes de bandera á D. Manuel Llistar de Alegría y á</t>
  </si>
  <si>
    <t>de Huete Molina, Alonso</t>
  </si>
  <si>
    <t>Alonso de Huete Molina</t>
  </si>
  <si>
    <t>no ; una tierra de 21 fanegas en el sitio llamado Villáres , perteneciente al patronato fundado por D. Alonso de Huete Molina, tasada en 12,842. rs. Una huerta en el sitio llamado Canalera, perteneciente á id. , en 13,570. Dos tierras y casa cortijo en el sitio de Pena Escosa , perteneciente á id. , en 4</t>
  </si>
  <si>
    <t>de Ibarra, Joachín</t>
  </si>
  <si>
    <t>Joachín de Ibarra</t>
  </si>
  <si>
    <t>para que saliese en todo correcta y completa se han tenido presentes la edición que hizo el exác-to D. Joachín de Ibarra y otras anteriores. Se hallarán á 18 rs. en pergamino y 22 en pasta en las librerías de Castillo, frente á S. Felipe el Real, y de Orea, calle de la Montera, frente de S. Luis. Semí</t>
  </si>
  <si>
    <t>de Ibarra, Joseph Ramón</t>
  </si>
  <si>
    <t>Joseph Ramón de Ibarra</t>
  </si>
  <si>
    <t>rigo y D. Joseph Cortines Espinosa, Cadete del regimiento de voluntarios de Castilla : asistidos de D. Joseph Ramón de Ibarra, Capitán del Real cuerpo de Ingenieros Cosmógrafos de Estado, y Catedrático de matemáticas en los expresados estudios. Los alumnos acreditaron su aplicación y aprovechamiento á sa</t>
  </si>
  <si>
    <t>de Ibarrola, Domingo</t>
  </si>
  <si>
    <t>Domingo de Ibarrola</t>
  </si>
  <si>
    <t>no habiendo llegado á poder del expresado Alvarez, quien !o tuviere Jo remitirá en Madrid al dicho D. Domingo de Ibarrola, ó en Rioseco al mismo D. Joseph Alvarez de Velasco. Para el remate de una casa perteneciente al patronato Real de legos que fundó D. Diego da Durbaran y Esnovar, sita en la calle</t>
  </si>
  <si>
    <t>de Igea, Juan Miguel</t>
  </si>
  <si>
    <t>Juan Miguel de Igea</t>
  </si>
  <si>
    <t>uel Mazon Correa, Comandante del resguardo del cordon del Ebro, y con los de Tesorero de exército á D. Juan Miguel de Igea, Don Joseph Orts y D. Agustín Manso, Comandantes de los resguardos de Sevicia, Navarra y Campo de S. Roque. S. M. se ha servido nombrar Fundidor de artillería de bronce de la Real</t>
  </si>
  <si>
    <t>de Ilarrazx, Santiago Antonio</t>
  </si>
  <si>
    <t>Santiago Antonio de Ilarrazx</t>
  </si>
  <si>
    <t>76í Hellin, eñ la diócesis de Cartagena, vacante por fuikciir.knto de IX Joser’' d» Ilar^aza, á D. Santiago Antonio de Ilarrazx, con retención ele. de Gíbraleon , que actualmente goza en el arzobispado de bcvilu : para otro de la parroquial de la villa de Alams, en el arzobispado de Sev.na, vac.mte por fal</t>
  </si>
  <si>
    <t>de Illescas, María</t>
  </si>
  <si>
    <t>María de Illescas</t>
  </si>
  <si>
    <t>, en la calle de los Viejos , tasadas en 84,328 rs. en venta , y en 1100 en renta. A la obra pia de Doña María de Illescas otras casas en la calle de S Miguel, tasadas en 26,946 rs. en venta, y en 484 en renta. A la cofradía del Santísimo</t>
  </si>
  <si>
    <t>de Irazabal, Rafael</t>
  </si>
  <si>
    <t>Rafael de Irazabal</t>
  </si>
  <si>
    <t>l González, Don Pedro Gutiérrez, D. Joseph María Ruano, D. Joseph de Balbiani, Don Juan de Herrera, D. Rafael de Irazabal, D. Francisco González, D, Fulgencio Cevallos , D. Benito Sandoval, D. Antonio Galindo, D. Diego del Barco, Di Gabriel de Torres , D. Manuel Saenz Ramírez, D. Francisco de Hore é</t>
  </si>
  <si>
    <t>de Irazoqui, Miguel Estéban</t>
  </si>
  <si>
    <t>Miguel Estéban de Irazoqui</t>
  </si>
  <si>
    <t>erna, D. Ramón Hernández, D. Joseph Montano, D. Francisco Franco Iglesias, D. Cipriano de la Cerna, D. Miguel Estéban de Irazoqui, D. Joseph Lino Salazar, Don Juan Miguel de Eguizabal y D. Juan de Echevarría: empleos de Alféreces á D. Manuel 4,e Fuentes, D. Joseph Eguizabal, D. Manuel Huete, Don Hilario Pó'n</t>
  </si>
  <si>
    <t>de Irías y Atolla y Juan, Joachín</t>
  </si>
  <si>
    <t>Joachín de Irías y Atolla y Juan</t>
  </si>
  <si>
    <t>en , D. Christóbal de Torres y Venegas , D. Manuel de Cárdenas y Osorio, D. Manuel Diqz y Martínez, D. Joachín de Irías y Atolla y Don Juan: González ÍVmrio y Tamariz. ■■ . , c ín consideración á los servicios y mérito de D. Gerardo Joseph de Sousa, Cónsul general en Trípoli de Berbería, se ha dignado el Rey concederl</t>
  </si>
  <si>
    <t>de Iribarren, Juan Martín</t>
  </si>
  <si>
    <t>Juan Martín de Iribarren</t>
  </si>
  <si>
    <t>ages siguientes. En la puerta de Guadalaxara, en casa de la Viuda de Sojo. En la del Sol , en la de D. Juan Martin de Iribarren. En la plazuela de Santo Domingo, en la de los Señores Olabarrieta hijo y compañía. En la de la Cebada, en casa de D. Rafael Robina. En la de Antón Martin, en casa de D. Josef Góm</t>
  </si>
  <si>
    <t>de Iribarren, Miguel</t>
  </si>
  <si>
    <t>Miguel de Iribarren</t>
  </si>
  <si>
    <t>s. 1 mrs. vn., resto líquido de 941 pesos fuertes 2 rs. plata, que se remitiéron en libranza contra D. Miguel de Iribarren, de Cádiz. Lo que se hace notorio á fin de que llegue á noticia de los interesados para que acudan por la Secretaría de Nueva-España á promover el cobro de lo que les pertenezca ,</t>
  </si>
  <si>
    <t>de Iriberri, Pedro</t>
  </si>
  <si>
    <t>Pedro de Iriberri</t>
  </si>
  <si>
    <t>y D. Joseph Escovcdo , y Teni ntes á los Alféreces de ella D. Joseph Carrillo, D. Pedro Iturraldcn, D. Pedro de Iriberri y D. Antonio Zea, Teniente del regimiento de dragones de la Rey na. . Al Teniente Coronel D. Juan de Villalba, Sargento mayor de la plaza de Cádiz, ha concedido el Rey grado de Corone</t>
  </si>
  <si>
    <t>de Irigoyen, Manuel</t>
  </si>
  <si>
    <t>Manuel de Irigoyen</t>
  </si>
  <si>
    <t>aza de Oidor de k Audiencia de Guadalaxara, vacante por jubilación de D. Martin Santos Domínguez, á D. Manuel de Irigoyen, Relator de la Audiencia de BuenosQ' ■% • i _ :__ i_— 4.^ o TU ♦i.-vclvrlnr* o Ti Annipnriu Cvníi-. JlUei , tlCi ivau-ij j w. plaza de Guadalaxara que aquel servia. L'rEn ia gázet</t>
  </si>
  <si>
    <t>Antonio Castrillo, Oidor de la Audiencia de Santiago de Chile, ha nombrado el Rey para esta plaza á D. Manuel de Irigoyen, que estaba provisto para una de igual clase en la de Guadilaxara: para la Regencia de la Audiencia de Sta. Fe., vacante por fallecimiento de D. Manuel Brayo, y Bermudez , á í). L</t>
  </si>
  <si>
    <t>de Irigoyen, Miguel</t>
  </si>
  <si>
    <t>Miguel de Irigoyen</t>
  </si>
  <si>
    <t>io Pinedo : para Tenientes á los Alféreces D. Matías Sancho, D. Luis Lafinur, Don Francisco Sancho, D. Miguel de Irigoyen y D. Norberto Manterola, el primero graduado de Teniente: para Alféreces al agregado en la misma clase D. Manuel Ordoñez, á los Portaguiones D. Juan López, D. Manuel Garavo y D. Josep</t>
  </si>
  <si>
    <t>de Islas, Agustín</t>
  </si>
  <si>
    <t>Agustín de Islas</t>
  </si>
  <si>
    <t>rvido nombrar Teniente de la segunda compañía franca de voluntarios ñxa del Reyno de Nueva España á Don Agustín de Islas, Subteniente de la misma; y para esta resulta á D. Diego Castaños , Sargento distinguido del regimiento de dragones de México. S. M. se ha dignado conceder Subtenencia de bandera</t>
  </si>
  <si>
    <t>de Iturriza, Miguel Francisco</t>
  </si>
  <si>
    <t>Miguel Francisco de Iturriza</t>
  </si>
  <si>
    <t>ue fue de Madrid , acudirán desde luego y hasta fin de Setiembre próximo con dichos nombramientos á D. Miguel Francisco de Iturriza, que vive en la calle del Príncipe, núm. 8 , quarto 3.0 ; con prevención de que pasado este segundo término,que por último y perentorio se señala ,, sin haber comparecido y presen</t>
  </si>
  <si>
    <t>de Jauregui, Joseph María</t>
  </si>
  <si>
    <t>Joseph María de Jauregui</t>
  </si>
  <si>
    <t>que se les han hecho sobre eb artículo de infidencia; como también de todo cargo el primer Teniente Don Joseph María de Jauregui; y apto para qualquieta empleo el segundo Teniente D. Joseph Mana de Olozaga; pero pagando este la .multa de 100 ducados. . &lt; ; Por atentada y delinqüente la acta celebrada en ¿I</t>
  </si>
  <si>
    <t>de Jáuregui, Manuel</t>
  </si>
  <si>
    <t>Manuel de Jáuregui</t>
  </si>
  <si>
    <t>los particulares méritos que ha contraido en algunas comisiones importantes del Real servicio; y á D. Manuel de Jáuregui, Asesor de la Intendencia del Real sit'o de.S. Ildefonso, y á D. Gil María Crespo, que lo es del Gobierno del de S. Lorenzo, honores de Alcaldes del crimen de la Chancillería de V</t>
  </si>
  <si>
    <t>de Jáuregui, Miguel Antonio</t>
  </si>
  <si>
    <t>Miguel Antonio de Jáuregui</t>
  </si>
  <si>
    <t>s cartapacios de dibuxo natural, y de arquitectura civil y militar, trabajados baxo la dirección de D. Miguel Antonio de Jáuregui. Todos los concurrentes admiraron en esta variedad de ramos, así los progresos de los seminaristas, como el zelo de los maestros, y mayormente los vocales de la junta de instituci</t>
  </si>
  <si>
    <t>de Jesús Paredes, Pedro</t>
  </si>
  <si>
    <t>Pedro de Jesús Paredes</t>
  </si>
  <si>
    <t>tasar Moreno: para la Tesorería al Canónigo D. Domingo Lander; y para la Canongía que servia este á D. Pedro de Jesús Paredes, Canónigo'Magistral qué fue de la santa iglesia de Santo Domingo. r Condescendiendo el Rey con las justas instancias de D. Victorian de. VUIava, Fiscal de la Real Audiencia de Cha</t>
  </si>
  <si>
    <t>de Jocano y Madaria, Sebastián</t>
  </si>
  <si>
    <t>Sebastián de Jocano y Madaria</t>
  </si>
  <si>
    <t>rios. Espíritu de S. Francisco de Sales, Obispo y Príncipe de Ginebra : traducidos .del francés por D. Sebastian de Jocano y Madaria : dos tomos en 8.° Se hallarán en la librería de Cerro, red de S. Luis, frente á la fuente, y en su puesto, calle de Alcalá , á 2,0 rs. en pasta. '■ Desengaños filosóficos, que en</t>
  </si>
  <si>
    <t>de Jos Heros, Joseph Antonio</t>
  </si>
  <si>
    <t>Joseph Antonio de Jos Heros</t>
  </si>
  <si>
    <t>D. Manuel Rascón y D. Francisco Olazeregui; á Alféreces á los Portaguiones D. Francisco Quintanar, D. Joseph Antonio de Jos Heros y D. ígnacio Ormachea, y á Portaguiones á D. Joseph Solis, D. Joseph Martínez y D. Manuel Rubio. El Consejo á consulta de la Comisión gubernativa, y con aprobación de S. M. ha acordad</t>
  </si>
  <si>
    <t>de Joveilanos, Gaspar Melchor</t>
  </si>
  <si>
    <t>Gaspar Melchor de Joveilanos</t>
  </si>
  <si>
    <t>, celebró el Real Instituto asturiano su segundo y tercero certámen público á presencia del Exc.Sr. D. Gaspar Melchor de Joveilanos, su promotor, encargado por S. M. de perfeccionar este establecimiento, del Teniente de Fragata D. Joseph Cienfuegos, su vice-director, y de todos sus protesores y auxiliares. Se</t>
  </si>
  <si>
    <t>de Juan, Vicente</t>
  </si>
  <si>
    <t>Vicente de Juan</t>
  </si>
  <si>
    <t>rimer Teniente de granaderos D. Pablo Duvernon ; a primer Teniente de grana-&gt; deros al de fusileros D. Vicente de Juan ; á primer Teniente al segundo; de granaderos D. Miguel Rafael Chelil á segundo Teniente de granaderos r al de fusileros D. Andrés Montruqui; á segunda Teniente al Subteniente de^</t>
  </si>
  <si>
    <t>de Jvivas, Juan</t>
  </si>
  <si>
    <t>Juan de Jvivas</t>
  </si>
  <si>
    <t>Carabineros ha conferido el Rey Ayudantía mayor á D.Vicente Osorio, Ayudante segundo: este empleo a D. Juan de Jvivas, Teniente de la brigada; y ha nombrado segundos Ayudantes á los Tenientes de la misma D. Joachin de Zea y D. Joseph Escovcdo , y Teni ntes á los Alféreces de ella D. Joseph Carril</t>
  </si>
  <si>
    <t>de Kalitcheff, Conde</t>
  </si>
  <si>
    <t>Conde de Kalitcheff</t>
  </si>
  <si>
    <t>conseguido su libertad. Viena 29 de Enero. A unque se halla en esta capital el Conde de KalitchefF, Ministro de Rusia, y sucesor del Conde de Razumowsky, se advierte que hasta ahora no ha hechq su entrada de ceremonia. j _ En las circunstancias del dia merece atención el siguiente artícu</t>
  </si>
  <si>
    <t>de Kémpis, Tomás</t>
  </si>
  <si>
    <t>Tomás de Kémpis</t>
  </si>
  <si>
    <t>güe. Imitación de Christo y menosprecio del mundo: compuesto en latin por el V. Tomas de Kémpis, Canónigo reglar de S. Agustín , traducido por el P. Juan Eusebio Nierembefg, de la Compañía de Jesús: un tomo en 8.° de buena letra y papel, y con 8-estampas; su preeio en pergamino 8 rs.</t>
  </si>
  <si>
    <t>de KollowratKrakowski, Felipe (conde)</t>
  </si>
  <si>
    <t>Conde Felipe de KollowratKrakowski</t>
  </si>
  <si>
    <t>mera división de la primer coluna ha llegado á Praga, y las demás tardarán pocos dias en llegar. El Conde Felipe de KollowratKrakowski, nombrado comisario del gobierno para atender á la marcha y alojamiento de la primera coluna, ha salido á encontrarla á Kentsche, en la •frontera de Bohemia; y el Barón de Dubnitz</t>
  </si>
  <si>
    <t>de Korb, Alexandro</t>
  </si>
  <si>
    <t>Alexandro de Korb</t>
  </si>
  <si>
    <t>e Goeble; á Ayudante al Teniente Don Francisco Schuch; á Tenientes de granaderos á los de fusileros D. Alexandro de Korb y D. Manuel Gerig; á Tenientes á los Subtenientes D. Bernardo Yutz, D. Fidel de Reding, de granaderos, D. Francisco Kamer, D. Víctor'Nidérist y D. Joseph Ledergerw, y á‘Subteniente dé</t>
  </si>
  <si>
    <t>de Kosenkrasci, Barón</t>
  </si>
  <si>
    <t>Barón de Kosenkrasci</t>
  </si>
  <si>
    <t>ado á Petersburgo, y salió luego de aquí para Dresde. Mariana saldrá también el Barón de Kosenkrasci, Ministro dinamarqués en esta corte, que va á Petersburgo con un encargo especial de su Soberano, y se cree relativo á una neutralidad armada contra los ingleses, que por aquí un correo de</t>
  </si>
  <si>
    <t>de la Azuela y Velasco, Antonio</t>
  </si>
  <si>
    <t>Antonio de la Azuela y Velasco</t>
  </si>
  <si>
    <t>primero D. Sebastian Torrente y al Subteniente de la compañía de in-r fantería ñxa de Velez-Málaga D. Antonio de la Azuela y Velasco: en el de Mallorca á Comandante del tercer batallón al Sargento mayor del de Córdoba, graduado de Teniente Coronel, D. Joseph Bermudez de Castro,: en el mismo de Córdoba á Sargent</t>
  </si>
  <si>
    <t>de la Barre, Manuel</t>
  </si>
  <si>
    <t>Manuel de la Barre</t>
  </si>
  <si>
    <t>ales Guardias Walonas se ha servido el Rey promover á primer Teniente de granaderos al de fusileros D. Manuel de la Barre; á primer Ayudante mayor al primer Teniente y segundo Ayudante D. Constantino de Malseigne, Caballero de Maiche; y á primer Teniente y segundo Ayudante mayor al segundo Teniente y</t>
  </si>
  <si>
    <t>de la Barzana, Pedro</t>
  </si>
  <si>
    <t>Pedro de la Barzana</t>
  </si>
  <si>
    <t>go á D. Alonso Carvajal y Valle, Subteniente de fusileros: Compañías de fusileros en el de Oviedo á D. Pedro de la Barzana, D. Juan María Vega y D. Ramón de la Huelga, Tenientes de granaderos, cazadores y fusileros, el primero graduado cíe Capitán de infantería: Subtenencia de bandera en el de Córdoba</t>
  </si>
  <si>
    <t>de la Bodega, Felipe</t>
  </si>
  <si>
    <t>Felipe de la Bodega</t>
  </si>
  <si>
    <t>tas: para una Ración de la catedral de Orihuela, vacante por fallecimiento de Don Vicente Ripoll, á D. Felipe de la Bodega: para otra de la de Santander, vacante por fallecimiento de D. Felipe Collado, á D. Manuel de San Pedro Ordoñcz , Cura mas antiguo de la misma: para otra de la de Ciudad-Rodrigo,</t>
  </si>
  <si>
    <t>de la Caballería, Juan</t>
  </si>
  <si>
    <t>Juan de la Caballería</t>
  </si>
  <si>
    <t>te al Subteniente de granaderos D. Juan Sarralde; á Subteniente dé granaderos al primer Subteniente D. Juan de la Caballería; á primer Subteniente al segundo D. Antonio María Sánchez, y á segundó Subteniente al Cadete D. Ramón de Vilialonga: en el de cazadores voluntarios de la Corona á Subteniente al s</t>
  </si>
  <si>
    <t>de la Cámara, Francisco</t>
  </si>
  <si>
    <t>Francisco de la Cámara</t>
  </si>
  <si>
    <t>á Subteniente de granaderos al de fusileros D. Ramón Cosgalla: á Subteniente de fusileros al Cadete D. Francisco de la Cámara, y á Subtenientes de bandera á los Cadetes D. Joachín y D. Antonio Arandap y compañía de granaderos del batallón de milicias de blancos de A ragua al Teniente Coronel D. Felipe Ro</t>
  </si>
  <si>
    <t>de la Cámara, Pedro</t>
  </si>
  <si>
    <t>Pedro de la Cámara</t>
  </si>
  <si>
    <t>yor y D. Atanasio Davales; y .una Subtenencia de bandera al Sargento primero del provincial de Toro D. Pedro de la Cámara: en el de Málaga( Tenencia al Subteniente D. Joachín Antonio Bello : en el de Logroño Tenencia al Subteniente de granaderos D. Francisco Xavier Avales-; la Subtenencia de cazadore</t>
  </si>
  <si>
    <t>de la Cerda, Joseph Antonio</t>
  </si>
  <si>
    <t>Joseph Antonio de la Cerda</t>
  </si>
  <si>
    <t>8 mrs. ‘Princesa, en 9 Be FébrefoMe 1789. Por 37 pesos &lt;5f .rs. plata por dicho Basa* vilbaso para D. Joseph Antonio de la Cerda, 696 rs. 9 mrs. ‘Cantabria, en a9 Be Jiilió deT7yi.TPor 6 pesos ef rs. plata por el citado Ba'Savilbaso para el'Escribano y Relator del Consejo de Indias, 115 rs 2 mrs. Infanta, e</t>
  </si>
  <si>
    <t>de la Cerda, Manuel</t>
  </si>
  <si>
    <t>Manuel de la Cerda</t>
  </si>
  <si>
    <t>ho y Lodeyro, Subteniente de las Milicias urbanas de aquella plaza. El Rey se ha dignado conceder á D. Manuel de la Cerda honores y agregación de Oficial'de la Secretaría de Estado y del Despacho universal de Hacienda de Indias, con opcion á las plazas ele número sin necesidad de nuevo decreto. En co</t>
  </si>
  <si>
    <t>de la Cerna, Cipriano</t>
  </si>
  <si>
    <t>Cipriano de la Cerna</t>
  </si>
  <si>
    <t>cias á D. Vicente de la Cerna, D. Ramón Hernández, D. Joseph Montano, D. Francisco Franco Iglesias, D. Cipriano de la Cerna, D. Miguel Estéban de Irazoqui, D. Joseph Lino Salazar, Don Juan Miguel de Eguizabal y D. Juan de Echevarría: empleos de Alféreces á D. Manuel 4,e Fuentes, D. Joseph Eguizabal, D.</t>
  </si>
  <si>
    <t>de la Cerna, Vicente</t>
  </si>
  <si>
    <t>Vicente de la Cerna</t>
  </si>
  <si>
    <t>García. En el de igual clase de caballería de Huamalies, Ayudantía á I). Bernabé Arisa; Tenencias á D. Vicente de la Cerna, D. Ramón Hernández, D. Joseph Montano, D. Francisco Franco Iglesias, D. Cipriano de la Cerna, D. Miguel Estéban de Irazoqui, D. Joseph Lino Salazar, Don Juan Miguel de Eguizabal</t>
  </si>
  <si>
    <t>de la Cesta, Vicente</t>
  </si>
  <si>
    <t>Vicente de la Cesta</t>
  </si>
  <si>
    <t>ran hacer postura á ella acudan ante el Sr. D. Juan Antonio Santa María, y escribanía dei número de D. Vicente de la Cesta, en el término de doce 'dias. Razon.de fincas enagénabíes de obras pías. Intendencia de León. León : cuatro casas pertenecientes á la cofradía de Animas de S. Marcelo,tasadas en 7</t>
  </si>
  <si>
    <t>de la Costa, Vicente</t>
  </si>
  <si>
    <t>Vicente de la Costa</t>
  </si>
  <si>
    <t>a D. Juan de Pifia y Ruiz, calle de la Salud , y escribanía de su juzgado y número de esta villa de D. Vicente de la Costa desde las 9 á las 11 de la mañana , en donde se admitirán las que se hicieren en el preciso término de dias contados desde el 17 de este mes. Por mandado del Sr. D. Juan Antonio de S</t>
  </si>
  <si>
    <t>de la Croix, Joachín</t>
  </si>
  <si>
    <t>Joachín de la Croix</t>
  </si>
  <si>
    <t>indario de esta capital á unirse á la sociedad, y trabajar en los objetos de su instituto. El socio D, Joachin de la Croix leyó el extracto de su memoria sobre el proyecto de uñ canal de navegación desde esta ciudad al puerto del Grao, el que.por encargo de la sociedad y de Real orden tiene formalizad</t>
  </si>
  <si>
    <t>de la Cruz, Joseph</t>
  </si>
  <si>
    <t>Joseph de la Cruz</t>
  </si>
  <si>
    <t>ez, Ayudante del de infantería de Granada; y al segundo Teniente de granaderos de este mismo cuerpo D. Joseph de la Cruz, igual empleo en el provincial de Pontevedra: el de Ayudante del provincial de Plasencia á D. Manuel Ortega , primer Teniente del de infantería de Córdoba : .al primer Teniente de</t>
  </si>
  <si>
    <t>de la Cuesta, Juan</t>
  </si>
  <si>
    <t>Juan de la Cuesta</t>
  </si>
  <si>
    <t>iradores al primer Teniente D. Manuel Bayona; y á segundo Teniente de tiradores al segundo Teniente Don Juan de la Cuesta; y en el de Ñapóles á segundo Teniente de granaderos al de fusileros D. Juan Gourbal. El Rey se ha servido promover á Portaestandarte del regimiento de caballería de Algarbe al Sa</t>
  </si>
  <si>
    <t>o; y á primer Teniente en el de cazadores voluntarios de la Corona al segundo Teniente de tiradores D. Juan de la Cuesta : habiendo conferido también S. M. la Comandancia del tercer batallón del de infantería de Ultonia al Coronel Conde de Biarhaben , Comandante agregado .al regimiento de I libero i</t>
  </si>
  <si>
    <t>de la Dehesa, Joseph</t>
  </si>
  <si>
    <t>Joseph de la Dehesa</t>
  </si>
  <si>
    <t>an con firmas en blanco. Quien supiere de ellos avisará á’dichoD. Ventura Mádrigal en lllescas, ó á D. Joseph de la Dehesa , comerciante de lienzos en la calle de Toledo. El 8 de Noviembre último remitió D. Joseph de Garagorri, de Cádiz, un vale de 130 pesos, .núm 322,069, creación de 13 de Marzo, end</t>
  </si>
  <si>
    <t>de la Escalera, Antonio</t>
  </si>
  <si>
    <t>Antonio de la Escalera</t>
  </si>
  <si>
    <t>Córdoba á Don Benito Saiz de Villegas: para el corregimiento de letras de Lacena, que este dexa, á D. Antonio de la Escalera; y para el de Chinchilla á.D. Joseph de Vargas. S. M. ha concedido á D. Vicente Menta y Albornoz, caballero Maestrante de la Real de Valencia, en atención á sus méritos y servicio</t>
  </si>
  <si>
    <t>de la Flor, Juan Basilio</t>
  </si>
  <si>
    <t>Juan Basilio de la Flor</t>
  </si>
  <si>
    <t>s al de fusileros, graduado, de Teniente Coronel, D. Manuel Montenegro; y á Teniente al Subteniente D. Juan Basilio de la Flor: en el de milicias disciplinadas dfe caballería del Cuzco á Teniente Coronel al de caballería D. Martin Martínez Concha, Comandante de esquadron ; á Alférez ai agregado D. Manuel</t>
  </si>
  <si>
    <t>de la Fuente Pita, Joseph</t>
  </si>
  <si>
    <t>Joseph de la Fuente Pita</t>
  </si>
  <si>
    <t>eras á D.Ramón de la Rocha y D. Juan Pirez,Ingenieros extraordinarios , y á este empleo al Ayudante D. Joseph de la Fuente Pita. El Rey se ha servido nombrar Teniente Coronel del regimiento provincial de Monterey al Conde de Priegue, que obtenía igual empleo en el de la misma clase de Santiago. S. M. se ha</t>
  </si>
  <si>
    <t>de la Fuente Román, Luis</t>
  </si>
  <si>
    <t>Luis de la Fuente Román</t>
  </si>
  <si>
    <t>3lo.m Villanueva del Arzobispo. Una casa tejada , sita en el Asperón , de las memorias del maestro D. Luis de la Fuente Román , tasada en 19,760 rs. y renta 605. Provincia de Murcia. Moratalla : varias fanegas de tierra de secano y algunos árboles, pertenecientes á la ermita de S. Jorge, tasadas en 6011</t>
  </si>
  <si>
    <t>de la Fuente, Fernando</t>
  </si>
  <si>
    <t>Fernando de la Fuente</t>
  </si>
  <si>
    <t>enencia de granaderos al Teniente D. Benito de Castro*, en el de Pontevedra Tenencia al Subteniente D. Fernando de la Fuente, y las Subtenencias de bandera al Cadete D011 Manuel Llórente y á D. Claudio Ozores de Fuga Sotomayor: en el de Toledo Tenencias de fusileros al Subteniente de granaderos D. Fermí</t>
  </si>
  <si>
    <t>de la Fuente, Joseph Cayetano</t>
  </si>
  <si>
    <t>Joseph Cayetano de la Fuente</t>
  </si>
  <si>
    <t>diencia. En América. El Rey se ha servido nombrar Teniente del regimiento de infantería de Puebla á D. Joseph Cayetano de la Fuente, Guardia de Corps de la compañía Americana. Asimismo se ha dignado S. M. nombrar Ayudante Veterano del regimiento provincial de dragones de S. Luis á D. Bernardo López, Tenienté t</t>
  </si>
  <si>
    <t>de la Fuente, Manuel</t>
  </si>
  <si>
    <t>Manuel de la Fuente</t>
  </si>
  <si>
    <t>942 jEn Palencia........... D. Josef Tomé cíe Córdoba. En Segovia.............. D. Manuel de la Fuente. En Salamanca....... D. Manuel Salgado. En León................. D. Tomas Díaz Serrano. En Valíadalid........ D. Gabriel de Semprum. En Zamora........... D. Juan García Sexmilo. E</t>
  </si>
  <si>
    <t>de la Grúa, Gerónimo</t>
  </si>
  <si>
    <t>Gerónimo de la Grúa</t>
  </si>
  <si>
    <t>r llegaron SS. MM. al palacio de Drottningliolm después de haber dado el Rey audiencia al caballero D. Gerónimo de la Grúa, Ministro de España, en la qual presentó sus recredenciales, y se despidió de S. M. En el mismo Real sitióse publicaron el 21 con las ceremonias acostumbradas las convocatorias pa</t>
  </si>
  <si>
    <t>as pretensiones del de Londres. . ’' . , -,; Antes de ayer salió de aquí para Hamburgó el Caballero D. Gerónimo dé la Grúa, Ministro que fué de la corte de España en la de Suecia; y ayer mañana salió igualmente el Lord Withwortn para el mismo puerto, desde ci qual.se restituirá á Inglaterra. Queda aqu</t>
  </si>
  <si>
    <t>axonia-Gotha.y Waldeck, ni las tropas francesas que están al sueldo de esta República. El caballero D. Gerónimo de la Grúa, que ha estado aquí algunos días, ha salido para Parma, en donde residirá como Ministro de S. M. Católica. Avisan de las fronteras de Westplialia que los almacenes de víveres que</t>
  </si>
  <si>
    <t>de la Huelga, Juan</t>
  </si>
  <si>
    <t>Juan de la Huelga</t>
  </si>
  <si>
    <t>pañía de granaderos y la segunda de fusileros del de Salamanca á D. Benigno Osorio y Caballero, y á D. Juan de la Huelga, Capitán y Teniente del mismo cuerpo: en el de Murcia la Tenencia y Subtenencia de granaderos al Teniente y Subteniente de fusileros D. Zacarías Perez y D. Mateo López; y la Subte</t>
  </si>
  <si>
    <t>de la Madrid, Tomás</t>
  </si>
  <si>
    <t>Tomás de la Madrid</t>
  </si>
  <si>
    <t>.é.^ijq.mayorr.;i. ; ]. EnZamora*,*».;***. D&gt; ^icenteíPérez dejXexada. ^ . MnZarag Q2*¿t* ««.i • #• D. Tomas de la Madrid. h&gt;. ApQftsu&amp;a de^la.Gpnji^qn^u.bernatÍYt^4^: Consolidación d? ^Tale? jr Ca^ xas¿dfb^tiocfoiyYfÓ^q^njps^-ljaíjaqqrdaj^q/^li^Cipnsjajoícqii aprobación d? S. M., que en conformidad</t>
  </si>
  <si>
    <t>Francisco Durango é hijo mayor. En Zamora.......... D. Vicente Perez de Texada. En Zaragoza........ D. Tomas de la Madrid. A consulta de la Comisión gubernativa de Consolidación de Vales y Caxas de Extinción y Descuentos, ha acordado el Consejo con aprobación de S. M., que en conformidad á lo dispues</t>
  </si>
  <si>
    <t>rancisco Durango é hijo mayor. En Zamora......... . D. Vicente Perez de Texada. En Zaragoza........ D. Tomas de la Madrid. A consulta de la Comisión gubernativa de Consolidación de Vales y Caxas de Extinción y Descuentos, ha acordado el Consejo con aprobación de S. M., que en conformidad á lo dispues</t>
  </si>
  <si>
    <t>de la Madriz, Joseph Vicente</t>
  </si>
  <si>
    <t>Joseph Vicente de la Madriz</t>
  </si>
  <si>
    <t>Propuesto para una dignidad eclesiástica.</t>
  </si>
  <si>
    <t>Lectura comprobada puntualmente en el texto de la página.</t>
  </si>
  <si>
    <t>Joseph Vicente de la Madriz, Canónigo Doctoral de la Catedral de Ávila.</t>
  </si>
  <si>
    <t>Revisado</t>
  </si>
  <si>
    <t>de la Mata, Juan</t>
  </si>
  <si>
    <t>Juan de la Mata</t>
  </si>
  <si>
    <t>bteniente al Cadete D. Eustaquio Yerro de Olavarria: en el de Córdoba á Ayudante al primer Teniente D. Juan de la Mata; á primeros Tenientes á los segundos de granaderos D. Manuel Amatria , D. Joseph Chiva y D. Rafael Escovar; á segundos Tenientes de granaderos á</t>
  </si>
  <si>
    <t>de la O, Pedro</t>
  </si>
  <si>
    <t>Pedro de la O</t>
  </si>
  <si>
    <t>n 272,848* Otra calle de Sta. Ines,de id. en 608,463. Otra calle de Fíame 14©^ „ del f&gt;atrojiato de D. Pedro de la O , en 215,201. Otra en id. en 539,044, (Otra calle de íSta. Catalina, de la cofradía de S. Joseph, en 82,217. Otra plazi^Mi de los Trabajos, de id. en 310,668. Otra calle de Capuch</t>
  </si>
  <si>
    <t>de la Parra, Bartolomé</t>
  </si>
  <si>
    <t>Bartolomé de la Parra</t>
  </si>
  <si>
    <t>e ha servido S. M. en la compañía de infantería íixa de Acápulco promover á Teniente al Subteniente D. Bartolomé de la Parra; y pava esta Subtenencia al Cadete D. Francisco Fosa. Igualmente se ha dignado conceder agregación de Alférez al regimiento de dragones de Buenos-Ayres á D. Ramón Vázquez y Pagóla</t>
  </si>
  <si>
    <t>de la Peña, Diego</t>
  </si>
  <si>
    <t>Diego de la Peña</t>
  </si>
  <si>
    <t>e ^785 en 1.a,. ¿ciudad de ^artobelp y .eí otro i Doña Marra Rodríguez Caballero , muger que fué de D. Diego de la Peña'.,-vecinos'de ja villa de Arenas j é hija asimismo,del pr.opip D. Blas ¡..se hace saber dicha existencia á las referidas Doña Catalina y r Pqjfia María , ó á quién su acción y dere</t>
  </si>
  <si>
    <t>de la Peña, Manuel</t>
  </si>
  <si>
    <t>Manuel de la Peña</t>
  </si>
  <si>
    <t>Fausto María x\steasu. En Zaragoza......... D. Joseph Mariano Torres y Arboles. En Badajoz.,»...... D. Manuel de la Peña. En Cddiz................ D. Josef María Vincenti y O-Rian. En Ciudad Real... D. Ramón Antonio Pico. En Córdoba............ Señores Barcia padre é hijo. En Ceuta................ E</t>
  </si>
  <si>
    <t>.... D. Juan Cassou y Compañía. En Avila:............ D. Fcrnando.de JEchcpare. En Badajoz......... D. Manuel de la Peña. En Barcelona...... D. Ramón de Llordeila é hijo. En Burgos......... .. D. Andrés Fray le. En Cádiz............... D. Benito de la Piedra. En Ciudad-Real.. D. Ramón Antonio Pico.</t>
  </si>
  <si>
    <t>ores de Contadores de Exército. Habiéndose servido el Rey acceder á la jubilación que ha solicitado D. Manuel de la Peña, Tesorero de Exército de Extremadura, ha tenido á bien nombrar para sucederle al de la misma clase en Ceuta D. Francisco Alvarez Caballero, y para esta resulta á D« Joseph María d</t>
  </si>
  <si>
    <t>de la Piedra, Benito</t>
  </si>
  <si>
    <t>Benito de la Piedra</t>
  </si>
  <si>
    <t>.... D. Ramón de Llordeila é hijo. En Burgos......... .. D. Andrés Fray le. En Cádiz............... D. Benito de la Piedra. En Ciudad-Real.. D. Ramón Antonio Pico. En Córdoba.......... Sres. Barcia, padre é hijo. En la Corana....... D. Manuel Antonio de Hlzaurdi. En Cuenca........... D. Manuel Escolar</t>
  </si>
  <si>
    <t>de la Plaza, Antonio</t>
  </si>
  <si>
    <t>Antonio de la Plaza</t>
  </si>
  <si>
    <t>se ha servido nombrar para la Iglesia y Obispado de Cádiz, vacante por fallecimiento del limo. Sr. D. Antonio de la Plaza, al Sr. Don Francisco Utrera, Canónigo Doctoral de la santa iglesia de Sevilla. En atención á la avanzada edad y achaques del Intendente de la provincia de Cuenca, honorario de ex</t>
  </si>
  <si>
    <t>de la Puente, Lorenzo</t>
  </si>
  <si>
    <t>Lorenzo de la Puente</t>
  </si>
  <si>
    <t>do el Rey conferir la Comandancia del tercer esquadron á D. Agustín Landaburu: la Sargentía mayor á D. Lorenzo de la Puente: compañías á D. Hermenegildo y D. Manuel de la Puente; y Tenencia á D. Manuel Salazar. En el de Milicias urbanas de caballería de Camina compañía á D. Manuel Caballero, y Tenencia</t>
  </si>
  <si>
    <t>de la Quádta, Ramón</t>
  </si>
  <si>
    <t>Ramón de la Quádta</t>
  </si>
  <si>
    <t>ara el Deanato de la catedral de Oviedo, bacante por faUééi mi en to de D. Manuel Gerónimo Garro, á D. Ramón de la Quádta* para la Canongía de la de Segovia, que este dexa y i D. Pedro Moritoro: para la Ración de la santa iglesia de Toledo, que.este-obtiene y resultará vacante, á D. Santos Martínez:</t>
  </si>
  <si>
    <t>de la Quintana, Joseph</t>
  </si>
  <si>
    <t>Joseph de la Quintana</t>
  </si>
  <si>
    <t>atronato de X). Manuel de Irribarri, en 421,849. Otra ca||(#jcjuida de la Culebra, del patronato de D. Joseph de la Quintana , en 335,23^ Qttra. plazuela de las Canastas, de jd. en 34,789. Otra en id., de id. en 48a,7W Otra callejuela de la Xabonería, de id. en 254,415. Otra calle de las Carreta^ de:l P</t>
  </si>
  <si>
    <t>de la Quintana, Juan Francisco</t>
  </si>
  <si>
    <t>Juan Francisco de la Quintana</t>
  </si>
  <si>
    <t>corte á dicho B. Anselmo García. El a&lt;5 de Agosto remitió D. Manuel Pablo de Angulo , de Madrid, á D. Juan Francisco de la Quintana, de Cádiz , dos vales Reales de &lt;5oo pesos , creación de 10 de Abril, números 390,152 y 401,139: el primero endosado al referido Quintana por D. Pedro Gutiérrez del Valle , y el s</t>
  </si>
  <si>
    <t>de la Quintana, Lorenzo</t>
  </si>
  <si>
    <t>Lorenzo de la Quintana</t>
  </si>
  <si>
    <t>de S. Felipe, avisó en la gazeta de 9 de Abril del año anterior, que habiendo hace años encargado á D. Lorenzo de la Quintana, vecino de la Mavana, dispusiese la ñxacion de carteles en aquella ciudad, previniendo á los acreedores de una escritura de 600 pesos, poco mas ó ménos, que en la misma otorgó D.</t>
  </si>
  <si>
    <t>de la Reguera, Joseph</t>
  </si>
  <si>
    <t>Joseph de la Reguera</t>
  </si>
  <si>
    <t>nte al Subteniente de granaderos D. Manuel Seco ; á Subteniente de granaderos al primer Subteniente D. Joseph de la Reguera; á primeros Subtenientes á los segundos D. Nicolás Juan de Ariza, D. Ximen Ruiz de Liory y D. Ildefonso Tapia, y á segundos Subtenientes á los Cadetes D. Diego Tolosa y D. Antonio</t>
  </si>
  <si>
    <t>de la Revilla y Blas Bielsa, Manuel</t>
  </si>
  <si>
    <t>Manuel de la Revilla y Blas Bielsa</t>
  </si>
  <si>
    <t>ete del dé Sabóya D. Joseph Aguado y Oquendo: en el de Aragón á segundos Subtenientes á los Cadetes D. Manuel de la Revilla y Don Blas Bielsa: en el de Extremadura á segundo Subteniente al Sargento primero D. Juan López Quevedo: en el de Málaga á segundos Tenientes de granaderos á los de fusileros D. Antonio Cartas y D.</t>
  </si>
  <si>
    <t>de la Riva, Benito</t>
  </si>
  <si>
    <t>Benito de la Riva</t>
  </si>
  <si>
    <t>denas: la Tenencia de granaderos del de Salamanca al Teniente de fusileros, graduado de infantería, D. Benito de la Riva* la de cazadores del de Sevilla á D. Mateo VaJbuena, Teniente de fusileros : Tenencia de esta clase en el de Burgos al Subteniente de granaderos D. Luis Artacho: igual empleo en e</t>
  </si>
  <si>
    <t>de la Riva, Nicolás</t>
  </si>
  <si>
    <t>Nicolás de la Riva</t>
  </si>
  <si>
    <t>e ellos ocho medallas de plata, de las quales se adjudicaron das á D. Romualdo Yañez, y las demas á D. Nicolás de la Riva, D. Vicente Velazquez, D. Benigno Yañez, D. Juan Llanas, D. Gregorio Pan y D. Julián García. AlgcCiras 13 de Agosta, H oy á lafc 6 de la tarde fondeó en esta bahía el bergantín in</t>
  </si>
  <si>
    <t>de la Riva, Ramón</t>
  </si>
  <si>
    <t>Ramón de la Riva</t>
  </si>
  <si>
    <t>Ciudad-Rodrigo, Ciudad-Real, Tuy, Mondoñedo y Logroño, á los Subtenientes de granaderos y cazadores D. Ramón de la Riva y D. Ramón Saturnino Gil, al Teniente que ha sido del de Ciudad-Real D. Juan Joseph -Carneros y al Subteniente D. Bernardo Nieto, y á los Subtenientes D. Vicente Kindelán y Meneses, D</t>
  </si>
  <si>
    <t>de la Riva-Agüero, Manuel</t>
  </si>
  <si>
    <t>Manuel de la Riva-Agüero</t>
  </si>
  <si>
    <t>acliín Fernandez de Medrano. En sintaxis, baxo la dirección de D. Rufino Espada, D. Antonio Gilman, D. Manuel de la Riva-Agüero, D. Alexandro Barruchi, D. Iñigo Ortés y D. Joseph María Ortés. En las humanidades y retórica, baxo la dirección de su profesor D. Pedro Fuertes, los seminaristas D. Rafael de Tej</t>
  </si>
  <si>
    <t>de la Roáa, Félix</t>
  </si>
  <si>
    <t>Félix de la Roáa</t>
  </si>
  <si>
    <t>Ruíz* Cabrera , 357a rs. 11 mrs. Cantabria, .en de Setiembre de 1794. Por ai pesos i|-rs. plata por D. Félix de la Roáa para Doña Petronila Amores , 387 rs. 13 mrs. Carrera de la 'fíavana. En 179a para D.. Juan Ignacio de Urizar , 994 rs. ía mrs. D. 'Matías de Mendiburu, de Cádiz , remitió el 13 de</t>
  </si>
  <si>
    <t>de la Rocha, Antonio</t>
  </si>
  <si>
    <t>Antonio de la Rocha</t>
  </si>
  <si>
    <t>de Monterey á D. Baltasar Araujo, Capitán del propio cuerpo; y á Sargento mayor del de Bujalance á D. Antonio de la Rocha, Capitán del de infantería fixo de Ceuta. En América. En el regimiento de caballería provincial de Queretaro se ha servido el Rey promover á Tenientes á ios Alféreces D. Manuel Ra</t>
  </si>
  <si>
    <t>de la Romana, Juan Miguel</t>
  </si>
  <si>
    <t>Juan Miguel de la Romana</t>
  </si>
  <si>
    <t>rdo Muros; la de fusileros al Subteniente D. Manuel Verdes, y Subtenencias de bandera á los Cadetes D. Juan Miguel de la Romana y D. Manuel Aldao. En el cuerpo veterano de infantería de Cumaná compañía al Ayudante mayor D. Francisco de Sucre ; la Ayudantía mayor al Teniente D. Francisco Moreno; Tenencia al Sub</t>
  </si>
  <si>
    <t>de la Santa, Manuel Blas</t>
  </si>
  <si>
    <t>Manuel Blas de la Santa</t>
  </si>
  <si>
    <t>Febrero último , entre Valencia dé- las Torres y la Higuera la Real, partido de Badajoz, fué robado D. Manuel Blas de la Santa, vecino de Bellosi— lio, junto á Soria } y entre otras cosas le quitaron un vale Real de 300 pesos , de t.° de Octubre, núm 22,238. Quien tuviere noticia de él la comunicará á dic</t>
  </si>
  <si>
    <t>de la Sierra, Ignacio Joseph</t>
  </si>
  <si>
    <t>Ignacio Joseph de la Sierra</t>
  </si>
  <si>
    <t>nes de la Reyna¿ S. M. se ha dignado nombrar Contador de la fábrica de puros y cigarros de México á D. Ignacio Joseph de la Sierra : Oficial mayor de la misma Contaduría á D. Joseph Rodríguez Varas: primero y segundo Tercenistas de tabaco en la propia capital á D. Joseph Vilb.mil y D. Fernando Alvarez Godoy:</t>
  </si>
  <si>
    <t>de la Sota Crespo, Santiago</t>
  </si>
  <si>
    <t>Santiago de la Sota Crespo</t>
  </si>
  <si>
    <t>surrección, y.lsts de carneros en el mismo tiempo y en el de quarésitia. ¿os pliegos se dirigirán á D. Santiago de la Sota Crespo, Secretario dé la Real dirección. Tomos 3.® y 4,0 del Rastor evangélico repartiendo £ sus ovejas el pasto de la divina palabra en los sermones y pláticas familiares de los domingo</t>
  </si>
  <si>
    <t>al partido, presenciando para ello pliego á la misma dirección y su secretaría, que está á cargo de D. Santiago de la Sota Crespo ; en la inteligencia y seguridad de que el producto ó precio de los carneros se le entregará inmediatamente en dirñero físico. El dia 5 de Enero anterior falleció en esta corte á</t>
  </si>
  <si>
    <t>de la Torre, Ana</t>
  </si>
  <si>
    <t>Ana de la Torre</t>
  </si>
  <si>
    <t>® rs. y renta 635. Un olivar con 257 matas , situado en Fuente Redonda , de la capellanía que fundó Doña Ana de la Torre , tasado en 21,225 rs. y renta 636. Un cortijo de 322 cuerdas, en Torre Pedro Gil Gil Martin, de U obra pia de los</t>
  </si>
  <si>
    <t>de la Torre, Francisco Manuel</t>
  </si>
  <si>
    <t>Francisco Manuel de la Torre</t>
  </si>
  <si>
    <t>ino de la villa de ^Joatoro., por el término y con las condiciones qye se estipulen, podrá acudir á D Francisco Manuel de la Torre , Alcalde mayor de la misma villa , y Juez .conservador privativo por S. M. de dicha dehesa.: en inteligencia de que '^e admite en ella .todo género de ganados mjénqs ,el ‘.cabrío</t>
  </si>
  <si>
    <t>de la Torre, Isidoro</t>
  </si>
  <si>
    <t>Isidoro de la Torre</t>
  </si>
  <si>
    <t>de México. S. M. se ha dignado conceder Subtenencia de bandera en el regimiento fxo de Cartagena á D. Isidoro de la Torre, Cadete del mismo cuerpo: la Ayudantía del esquadron de dragones voluntarios de Guayaquil á D. Juan Gargallo, Ayudante de la plana mayor veterana agregada al batallón de Pardos li</t>
  </si>
  <si>
    <t>de la Torre, Joseph</t>
  </si>
  <si>
    <t>Joseph de la Torre</t>
  </si>
  <si>
    <t>Pasoual Moreno; á primer Subteniente al segundo D. Pedro Morell, y á segundo Subteniente al Cadete D. Joseph de la Torre: en el de León á primeros Tenientes á los agregados en esta clase D. Ramón Herrero v D. Tomas Sancha; v á segundo Teniente al agregado D. Fernando Miyares. Asimismo se ha dignado</t>
  </si>
  <si>
    <t>de la Torre, Juan Antonio</t>
  </si>
  <si>
    <t>Juan Antonio de la Torre</t>
  </si>
  <si>
    <t>a párroco de la Alberca, partido de S. Clemente , con el resguardo de intereses caídos , propios de D. Juan Antonio de la Torre, presbítero ,natural de la villa de Honrubia ; y no habiéndose recibido , quien supiere de su paradero, dará aviso en Madrid á dicho D. Juan María Villanueva , calle del Prado, mí</t>
  </si>
  <si>
    <t>de la Torre, Pedro</t>
  </si>
  <si>
    <t>Pedro de la Torre</t>
  </si>
  <si>
    <t>patronato de D. Domingo Manuel de Rendon , en 252,658. Otra calle de la Compañía, del patronato de D. Pedro de la Torre ,/en 304,948. Otra id. en 319.300. Otra en la plazuela de la nueva Catedral , del patronato de Doña María del Carmen Andino , en 37,469. Otra calle de S. Martin, de id. en 391,240</t>
  </si>
  <si>
    <t>de la Vega Campuzano, Juan</t>
  </si>
  <si>
    <t>Juan de la Vega Campuzano</t>
  </si>
  <si>
    <t>asas de graciosos dibuxos, y cintas caseras, labradas por las niñas en las escuelas„de la sociedad. Don Juan de la Vega Campuzano, individuo del Colegio académico de primeras letras , recién establecido aquí baxo la dirección de la 'misma, hizo patentes las utilidades del nuevo método de enseñar á los ni• ño</t>
  </si>
  <si>
    <t>de la Vega y Calo Vallo de Porras, Juan Joseph</t>
  </si>
  <si>
    <t>Juan Joseph de la Vega y Calo Vallo de Porras</t>
  </si>
  <si>
    <t>a á los Subtenientes agregados D. Salvador Lozano y D. Juan Bautista Campos : en el de Compostela á D. Juan Joseph de la Vega y Calo Vallo de Porras: en el de. Sigíienza al Cadete D. Joseph María de Ariza y Taboada; y en el de Alcira á D. Joseph Miro y Ríves. Asimismo ha nombrado S. M. segundo Teniente de la compañía de infant</t>
  </si>
  <si>
    <t>de la Vera y Campos, Fernando</t>
  </si>
  <si>
    <t>Fernando de la Vera y Campos</t>
  </si>
  <si>
    <t>a D. Pedro Vicente Xareño: en el de Badajoz Subtenencias de bandera á D. Nicolás Domínguez Roso y á D. Fernando de la Vera y Campos; y en los de Salamanca, Orense, Toro, Córdoba y Granada Subtenencias de bandera á D. Manuel Calvo de Trapacete y Agudo, D. Benito Lobora, D. Lino Alvarez Maldonado, D. Joseph Rafa</t>
  </si>
  <si>
    <t>de Laguna, Tomás</t>
  </si>
  <si>
    <t>Tomás de Laguna</t>
  </si>
  <si>
    <t>ero y Canongía de la catedral de Plasencia, vacante por muerte de D. Manuel Viilanueva y Pacheco, á D. Tomas de Laguna: para la Canongía de la metropolitana de Sevilla , vacante por fallecimiento de D. Gabriel González Torres de Navarra, á D. Joseph Benito de Barcena : para el Beneficio simple de</t>
  </si>
  <si>
    <t>de Laniáta, Juan</t>
  </si>
  <si>
    <t>Juan de Laniáta</t>
  </si>
  <si>
    <t>deros D. Juan Gómez. En el de Córdoba á primeros Tenientes á los segundos de granaderos y fusileros D. Juan de Laniáta, graduado de. Capitán, y D. Francisco Diaz Galazo; á segundo Teniente de granaderos al de fusileros D. Joseph Chiva; á segundos Tenientes á los Subtenientes de granaderos D. Franc</t>
  </si>
  <si>
    <t>de Laportedespierres, Juan</t>
  </si>
  <si>
    <t>Juan de Laportedespierres</t>
  </si>
  <si>
    <t>ales Guardias Walonas se ha servido el Rey promover á primer Teniente de granaderos al de fusileros D. Juan de Laportedespierres: en el de infantería de la Corona á segundos Tenientes de granaderos á los de fusileros D. Manuel Chimeno y D. Juan Rosini; á segundos Tenientes á los Subtenientes de granaderos D</t>
  </si>
  <si>
    <t>de Larburu, Joseph Joachín</t>
  </si>
  <si>
    <t>Joseph Joachín de Larburu</t>
  </si>
  <si>
    <t>A los concejantes que acordaron ía rendición y entrega de la plaza, y la Diputación al Gobernador, D. Joseph Joachín de Larburu, D. Francisco Antonio Echeverría, D. Joachín ele Garde, D. Francisco Ignacio Gaztelu, D. Vicente de Mendizaval, D. Manuel Francisco de Soraiz, y D. Ignacio</t>
  </si>
  <si>
    <t>de Lardizabal, Luis</t>
  </si>
  <si>
    <t>Luis de Lardizabal</t>
  </si>
  <si>
    <t>tin de Llano, Cadete de Reales Guardias Walonas, y D. Joseph María de Esponda. De álgebra elemental D. Luis de Lardizabal, D. Joseph María Kindelan, primer Subteniente del regimiento de infantería de Ultonia, D. Ignacio Xavier de Colmenáres y D. Hilarión de Echavarría. De geometría elemental D. Domin</t>
  </si>
  <si>
    <t>de Lardizabal, Manuel</t>
  </si>
  <si>
    <t>Manuel de Lardizabal</t>
  </si>
  <si>
    <t>retórica, baxo la dirección de su profesor D. Pedro Fuertes, los seminaristas D. Rafael de Tejada , D. Manuel de Lardizabal, D. Antoniq de Tavira, D. Miguel Pablo de ligarte y D. Antonio de Ugarte. En la re</t>
  </si>
  <si>
    <t>helena, Don Gaspar de Echavarría, D. Baltasar de Echavarría, D. Juan de Abraldes, D. Rafael Texada, D. Manuel de Lardizabal, D. Luis de Lardizabal, Don Hilarión de Echavarría, D. Ignacio Colmenáres y D. Francisco Huarte; y otros varios de esfera y principios de geografía. En la lengua francesa, al carg</t>
  </si>
  <si>
    <t>de Larrizagá, Domingo</t>
  </si>
  <si>
    <t>Domingo de Larrizagá</t>
  </si>
  <si>
    <t>a cerrada , en casa de D. Manuel Martínez de Salazar. En los portales de Sta. Cruz, en la tienda de D. Domingo de Larrizagá. En la calle de la Luna , en la lonja titulada de Echenique. En la de Fuencarral, junto á los Agonizantes, en la tienda de D. Ramón Basualdo. En la calle Mayor , en la de los Seño</t>
  </si>
  <si>
    <t>de las Barreras, Francisco</t>
  </si>
  <si>
    <t>Francisco de las Barreras</t>
  </si>
  <si>
    <t>enador de los Reales exércitos D. Francisco González de Estéfani. Ef ia de Setiembre último remitió D. Francisco de las Barreras, vecino y del comercio de esta corte, á D. Agustín de Retóla, Administrador de Temporalidades de Azpeytia, dos vales Reales de igo pesos, creación de ig de Setiembre, con endoso a</t>
  </si>
  <si>
    <t>de las Casas, Luis</t>
  </si>
  <si>
    <t>Luis de las Casas</t>
  </si>
  <si>
    <t>Julio de este año falleció en la ciudad del Puerto de Santa María á los 54 años de edad el Exc. Sr. D. Luis de las Casas, Teniente General de los Reales exércitos, Ministro de la Junta suprema de la caballería del re) no , y Gobernador militar y político de la plaza de Cádiz. Sirvió al Rey 41 años d</t>
  </si>
  <si>
    <t>de las Casas, Luis (teniente general)</t>
  </si>
  <si>
    <t>Teniente General Luis de las Casas</t>
  </si>
  <si>
    <t>el de Cagigal: para la costa de Granada al Mariscal de Campo D. Fernando Valdes : para Andalucía al Teniente General Don Luis de las Casas, Gobernador de la plaza de Cádiz: para el Campo de Gibraltar al Mariscal de Campo D. Adrián Jácome: para Castilla la vieja al Teniente General D. Joseph de Arteaga; para Extremadu</t>
  </si>
  <si>
    <t>de las Citévas, Ambrosio</t>
  </si>
  <si>
    <t>Ambrosio de las Citévas</t>
  </si>
  <si>
    <t>io-Racionefo D. Joachín Pérez Martínez. Para utíáí Canongía de merced de la catedral de la Havana á D. Ambrosio dé las Citévas: para la Ración, que este dexa, á D. Juan Francisco Méndez de la Vega; y para la Media-Ración, que este obtenia, á D. Gregorio Ramírez Caívo. Para la Tesorería de la de Arequipa á</t>
  </si>
  <si>
    <t>de las Cuevas, Antonio</t>
  </si>
  <si>
    <t>Antonio de las Cuevas</t>
  </si>
  <si>
    <t>e Álmansa á Comandante del tercer esquadron al Sargento mayor del de la Reyna, graduado de Coronel, D. Antonio de las Cuevas. S. M. se ha servido promover en los regimientos de Milicias provinciales de España, á Coronel del de Segovia al graduado de infantería D. Juan Antonio Sedeño, Teniente Coronel de</t>
  </si>
  <si>
    <t>de las Cuevas, Juan Ambrosio</t>
  </si>
  <si>
    <t>Juan Ambrosio de las Cuevas</t>
  </si>
  <si>
    <t>hallan de venta en la jurisdicción de Alcalá de Hená— res ios siguientes de la memoria fundada por D. Juan Ambrosio dé las Cuevasi una casa, calle de la Garrapata , tasada en 8067 rs. Otra en dicha calle, tasada en 3300 rs. Otra en 7333 rs. Otra en 5133 rs. Otra en 9167 rs. Otraen 5500 rs. Otra en la calle Ma</t>
  </si>
  <si>
    <t>de las Doblas, Luis</t>
  </si>
  <si>
    <t>Luis de las Doblas</t>
  </si>
  <si>
    <t>io y Moneda del Reyno , y por Real cédula de 18 de Febrero último, se ha dignado el Rey aprobar que D. Luis de las Doblas, Tesorero honorario de exército, y vecino de Sevilla, titule fábrica de ilustración de obras curiosas de la industria popular de Andalucía, á la que tiene establecida en aquella c</t>
  </si>
  <si>
    <t>de las Heras, Dionisio</t>
  </si>
  <si>
    <t>Dionisio de las Heras</t>
  </si>
  <si>
    <t>niente y Alférez del propio; regimiento; Ayudante en el de Voluntarios de España al prime? Teniente D. Dionisio de las Heras; y Alférez en ehde Algarbe al Portaestandarte D. Francisco Amat. Por Real orden de 23 de Diciembre último ha venido S. M. en conceder al Duque de Medinaceli y de Santistéban la gr</t>
  </si>
  <si>
    <t>de las Muñecas, Carlos</t>
  </si>
  <si>
    <t>Carlos de las Muñecas</t>
  </si>
  <si>
    <t>en el de Laredo al Teniente agregado í&gt;* Joseph de Castañeda; en el de Burgos al de la misma cíase D. Carlos de las Muñecas; en el de Luí»© á D. Joseph.Vi.Ilademoros, Subteniente de granaderos;y, en el de Sigüenza al Subteniente de fusileros D. Antonio Fernandez Sohs: y Subtenencias de bandera en los d</t>
  </si>
  <si>
    <t>de las Piedras, Francisco</t>
  </si>
  <si>
    <t>Francisco de las Piedras</t>
  </si>
  <si>
    <t>ncisco Arroyave y Df Joseplv Perez Villareal : a Alféreces &amp; lo# Portaguiones- D; Joseph Valverde y D. Francisco de las Piedras; y á Portaguiones al Portaguión agregado al mismo cuerpo D.. Antonio de Flon, y al Cadete D. Sebastian de Ozta y Cótera.. ' ' ~ Colección de tablas para varaos usos, de la navegac</t>
  </si>
  <si>
    <t>de las Ribas, Santiago</t>
  </si>
  <si>
    <t>Santiago de las Ribas</t>
  </si>
  <si>
    <t>dirigirá al citado Arzubialde, de Cádiz , ó al referido Muñoz y Usparicha, de Bilbao, ó en Madrid á D. Santiago de las Ribas. Por la audiencia del Sr. D. Juan Antonio Santa María, Teniente Corregidor de esta villa , y por la escribanía del numero de D. Gervasio Fernandez Izquier-? do , se ha mandado sac</t>
  </si>
  <si>
    <t>de Latas y Lasala, Ramón</t>
  </si>
  <si>
    <t>Ramón de Latas y Lasala</t>
  </si>
  <si>
    <t>D. Francisco Montenegro y D. Eustaquio Hernando: en el de Mallorca á segundo Subteniente al Cadete D. Ramón de Latas y Lasala: en el de Murcia á primer Teniente al segundo de granaderos D. Joseph Fuensaüda: en el de Plibernia á Subteniente de granaderos ai primer Subteniente D. Francisco de Paula Purcell</t>
  </si>
  <si>
    <t>de Latorre, Manuel</t>
  </si>
  <si>
    <t>Manuel de Latorre</t>
  </si>
  <si>
    <t>13 y 14 de Mayo, cuyo acto autorizaron el mismo presidente, y los socios Dr. D. Manuel de Latorre, Canónigo penitenciario, y censor segundo de la sociedad, D. Serapio Sinués, D. Tomas López, D. Juan Polo y Catalina, D. Joseph Duaso y D. Pedro Gregorio de Echeandía, catedrático de botáni</t>
  </si>
  <si>
    <t>de Laures y Mayran, Juan Tomás</t>
  </si>
  <si>
    <t>Juan Tomás de Laures y Mayran</t>
  </si>
  <si>
    <t>ón; una explicación exácta de las partes de Ja oración; una tabla del modo de dar el verbo &amp;c.; por D. Juan Tomas de Laures y Mayran, ex Catedrático del idioma francés en el Real seminario de nobles de esta corte. Se hallará con el tratado suelto de conjugación en la librería de Escribano, calle de las Carretas</t>
  </si>
  <si>
    <t>de Lecumberri, Agustín</t>
  </si>
  <si>
    <t>Agustín de Lecumberri</t>
  </si>
  <si>
    <t>gui, D. Juan Agustín de Arrieta, Don Martin de Echavc, D. Manuel de Medina, D. Juan Joseph Garnier, Don Agustín de Lecumberri y D. Francisco Antonio Barandiaran, que paguen cada uno 200 dudados de vellón de multa; y que en el caso de formarse en lo sucesivo iguales compañías de Urbanos, sirvan en ellas dé so</t>
  </si>
  <si>
    <t>de Legarda, Nicolás</t>
  </si>
  <si>
    <t>Nicolás de Legarda</t>
  </si>
  <si>
    <t>ber sostenido su proposición de defensa. A D. Fermín de Urtizverea, D. Joachín Gregorio de Goicoa , D. Nicolás de Legarda , D. Juan Joseph Garragorri y D. Joseph Vicente de Elizondo, que siendo Oficiales urbanos y teniendo cargo de concejo se fugaron de la plaza; los 4 primeros que no tengan empleo d</t>
  </si>
  <si>
    <t>de Lema, Joseph</t>
  </si>
  <si>
    <t>Joseph de Lema</t>
  </si>
  <si>
    <t>nsula ha conferido S. M. los empleos siguientes: Tenencia en el de Lugo al Subteniente de cazadores Don Joseph de Lema: en los de Oviedo y Xerez de la Frontera, Tenencias á D. Pedro Pelaez Campománes, Subteniente de fusileros, y al de cazadores D. Bartolomé Lobato: en el de Bujalance las Subtenenc</t>
  </si>
  <si>
    <t>de León Ferrandiz Bendicho, Francisco</t>
  </si>
  <si>
    <t>Francisco de León Ferrandiz Bendicho</t>
  </si>
  <si>
    <t>la Chanciilería de Granada, vacante por ascenso de D. Diego Villafañe á Oidor de número de ella, á D. Francisco de León Ferrandiz Bendicho; y para la plaza de Ministro de la Audiencia de Canarias, vacante por renuncia que ha hecho de ella D. Andrés Miñano y las Casas, á D. Francisco Alfonso de Tuero López Treviíío. T</t>
  </si>
  <si>
    <t>de León y Navarrete, Pedro Antonio</t>
  </si>
  <si>
    <t>Pedro Antonio de León y Navarrete</t>
  </si>
  <si>
    <t>401 nencta al Subteniente D. Pedro Antonio de León y Navarrete : Subtenencia de granaderos en el de Logroño al Subteniente D. Vicente Ruiz; y Subtenencias de bandera en el de Ecija á D. Manuel Joseph y 0. Francisco de Paula Basques y Rivero:</t>
  </si>
  <si>
    <t>de León, Fernando</t>
  </si>
  <si>
    <t>Fernando de León</t>
  </si>
  <si>
    <t>granaderos D. Mariano Gorordo: Compañía de fusileros en el de Burgos al Teniente de la misma clase D. Fernando de León: la Subtenencia de cazadores del de Lugo á D. Alonso Carvajal y Valle, Subteniente de fusileros: Compañías de fusileros en el de Oviedo á D. Pedro de la Barzana, D. Juan María Veg</t>
  </si>
  <si>
    <t>de León, Joachín</t>
  </si>
  <si>
    <t>Joachín de León</t>
  </si>
  <si>
    <t>almente ha nombrado Teniente veterano del mencionado batallón de Cuba y Bayamo al Teniente graduado D. Joachin de León, Sargento Garzón de la Plana mayor veterana del batallón de Pardos de la Havana. A consulta de la Junta general de Comercio y Moneda se ha servido S. M. conceder á D. Santiago Dag</t>
  </si>
  <si>
    <t>de Lequerica, Agustín Antonio</t>
  </si>
  <si>
    <t>Agustín Antonio de Lequerica</t>
  </si>
  <si>
    <t>ante........... D. Luis Pesceto. En Barcelona....... La Caxa de Descuento. En Bilbao............... D. Agustín Antonio de Lequerica. En Cuenca............. D. Pedro Venancio de Velaunde. En Mallorca......... D. Antonio Marcel. En Murcia............. D. Baltasar Visto. En Pamplona........ La Caxa de Descuento.</t>
  </si>
  <si>
    <t>de Letona y Betéluri, Joseph</t>
  </si>
  <si>
    <t>Joseph de Letona y Betéluri</t>
  </si>
  <si>
    <t>de Benavides y Alovice,D. Antonio Guerrero y Canredondo, D. Francisco González de la Riva y Vivanco,D. Joseph de Letona y Betéluri, D. Antonio Riquehne y Corral, D. Joseph Vial y Cardigondi, D. Juan Ordoñez y Martínez, D. Pedro de Varo Franco y Areco, D. Manuel Ponce de León y Torres, D. Joseph de Tiscar y Pe</t>
  </si>
  <si>
    <t>de Lexarcegui, Juan</t>
  </si>
  <si>
    <t>Juan de Lexarcegui</t>
  </si>
  <si>
    <t>a, vacante por deposición de D. Mateo Joseph de And uaga. En atención al mérito y circunstancias de D, Juan de Lexarcegui se ha servido S. M. concederle los honores de Comisario de Guerra de los Reales exércitos. En América. El Rey se ha servido nombrar Teniente del batallón de infantería provincial</t>
  </si>
  <si>
    <t>de Liquigaray, Matías</t>
  </si>
  <si>
    <t>Matías de Liquigaray</t>
  </si>
  <si>
    <t>la acción núm. 12. Doña María Alville, por 249 rs. 2g mrs. , de la quarta parte de acción núm. 34; D Matías de Liquigaray, por 499 rs. 17 mrs. , de dos quartas partes de las acciones números 47 y 50. Doña María Antonia Lope/. de Tejida y Doña María Ventura su hermana, por 998 rs. 33! mrs. , de la acc</t>
  </si>
  <si>
    <t>de Lisbona, Joachín</t>
  </si>
  <si>
    <t>Joachín de Lisbona</t>
  </si>
  <si>
    <t>e extraviado, quien lo hubiese hallado lo devolverá al referido El izalde, ó á dicho Iraceburu, ó i D. Joachin de Lisbona, vecino de Valencia.</t>
  </si>
  <si>
    <t>de Llano Ponte, Manuel</t>
  </si>
  <si>
    <t>Manuel de Llano Ponte</t>
  </si>
  <si>
    <t>para el Arcedianato de Villaviciosa, Dignidad déla catedral de Oviedo, vacante por fallecimiento de D. Manuel de Llano Ponte, á D, Pedro Aiv-arez Caballero: para la Canongia de la catedral de León,</t>
  </si>
  <si>
    <t>de Llano, Martín</t>
  </si>
  <si>
    <t>Martín de Llano</t>
  </si>
  <si>
    <t>l Claessens, D. Ramón Claessens y D. Ignacio de Lardizabal. De aritmética y principios de geometría D. Martin de Llano, Cadete de Reales Guardias Walonas, y D. Joseph María de Esponda. De álgebra elemental D. Luis de Lardizabal, D. Joseph María Kindelan, primer Subteniente del regimiento de infant</t>
  </si>
  <si>
    <t>de Lloiídefla, Ramón</t>
  </si>
  <si>
    <t>Ramón de Lloiídefla</t>
  </si>
  <si>
    <t>p. Fernando de Eehepare.„ Eri -B adiijozv. I.:.... D.'Mañüéldé'iá Peña. ^ •*; £n Bartélóáa.. ...,■ D. Ramón de Lloiídefla é hijo. En'Burgos.:'....*.... D. Andrés Fráylé. EWCddiz*............ J&gt;. Benito de la Piedra. En Ciudad-Real.. D. Ramón Antonio Pico.</t>
  </si>
  <si>
    <t>de Llordeila, Ramón</t>
  </si>
  <si>
    <t>Ramón de Llordeila</t>
  </si>
  <si>
    <t>............ D. Fcrnando.de JEchcpare. En Badajoz......... D. Manuel de la Peña. En Barcelona...... D. Ramón de Llordeila é hijo. En Burgos......... .. D. Andrés Fray le. En Cádiz............... D. Benito de la Piedra. En Ciudad-Real.. D. Ramón Antonio Pico. En Córdoba.......... Sres. Barcia, padre é</t>
  </si>
  <si>
    <t>de Llordelia, Ramón</t>
  </si>
  <si>
    <t>Ramón de Llordelia</t>
  </si>
  <si>
    <t>ila............ D, Fernando de Echepare. En Badajoz...... D.*Manuel de la Peña. En Barcelona.. .... D. Ramón de Llordelia é hijo. En Btírgos......... . D. Andrés Fray le. En Cádiz.............. I). Benito de la Piedra. En Ciudad-Real.. D. Ramón Antonio Pico. En Córdoba*...a.., Sres. Barcia, padre é h</t>
  </si>
  <si>
    <t>de Lorena, Carlos (príncipe)</t>
  </si>
  <si>
    <t>Príncipe Carlos de Lorena</t>
  </si>
  <si>
    <t>eerfedt ha salido de Meszaros con un regimiento de ühíanos y húsares hácia Augsburgo. Igualmente el Príncipe Carlos de Lorena se ha adelantado hácia Donawert con dos regimientos de caballería y un batallón de infantería. La mayor parte del exército imperial está actualmente en marcha hácia el Gunz y el M</t>
  </si>
  <si>
    <t>de Lorena, Joseph (príncipe)</t>
  </si>
  <si>
    <t>Príncipe Joseph de Lorena</t>
  </si>
  <si>
    <t>c. La demas caballería, compuesta de los regimientos de corazas de Albert y de Nassau, ai mando del Príncipe Joseph de Lorena, está en estas cercanías. En Heilbronn y Guntzburgo se forman almacenes de víveres, de los quales hay también repuestos particulares de distancia en distancia hácia el Rhin. La co</t>
  </si>
  <si>
    <t>de los Angeles Catalan, Francisco</t>
  </si>
  <si>
    <t>Francisco de los Angeles Catalan</t>
  </si>
  <si>
    <t>de Tormes, en la diócesis de S.dajnanca, vacante por fallecimiento de D. Felipe Hernández Prieta, á D. Francisco de los Angeles Catalan: para un Beneficio servidero de la parroquial de S. Juan de Arévalo, en la diócesis de Avila, vacante por la promoción de D. Antonio García de la Cámara á la Maestrescolía de la c</t>
  </si>
  <si>
    <t>de los Ríos, Joseph</t>
  </si>
  <si>
    <t>Joseph de los Ríos</t>
  </si>
  <si>
    <t>el Rey Exento de número al supernumerario D. Joachín Eerrandiz: por Exento supernumerario al Cadete D. Joseph de los Ríos: para el empleo de Cadete de número al supernumerario D. Antonio León, y por Cadete supernumerario al Guardia D. Juan Termens. En la compañía flamenca del mismo Real cuerpo ha con</t>
  </si>
  <si>
    <t>de los Ríos, Joseph María</t>
  </si>
  <si>
    <t>Joseph María de los Ríos</t>
  </si>
  <si>
    <t>ro de las Lecciones retóricas de Blair: D. Luis Gil Ranz con los 1.2 tomos del Evangelio meditado : D. Joseph María de los Ríos con las obras que. ha impreso el catedrático; y D. Pedro Prieto con las que tiene impresas D. Juan Rubio,quien se las dió á sus expensas. Se dedicó este certamen á la Real junta g</t>
  </si>
  <si>
    <t>de Lozano, Joseph Xavier</t>
  </si>
  <si>
    <t>Joseph Xavier de Lozano</t>
  </si>
  <si>
    <t>rancisco Cardaveras, D. Ignacio Larrañaga, y D. Miguel Juan de Barcaiztegui; los primeros Tenientes D. Joseph Xavier de Lozano, D. Joseph Ramón de Zavala, D. Pedro Joseph de Baldenain y D. Juan Joseph de Lubelza; los segundos Tenientes D. Joseph María de Zoroa, D. Máximo de Goycoechea, D. Juan Ignacio de</t>
  </si>
  <si>
    <t>de Lugo y Medina, Santiago</t>
  </si>
  <si>
    <t>Santiago de Lugo y Medina</t>
  </si>
  <si>
    <t>tador de Ja Factoría del Tabaco del Real del Rosario, en las provincias internas de Nueva España, á D. Santiago de Lugo y Medina. En consideración á lo crecida y numerosa que es ía renovación de los Vales Reales de 150 y de 600 pesos de 15 de Marzo, en que está entendiendo la oficina de este ramo: que no lo</t>
  </si>
  <si>
    <t>de Lugo, Joseph María</t>
  </si>
  <si>
    <t>Joseph María de Lugo</t>
  </si>
  <si>
    <t>Lamberto L'honeux y D. Antonio Miguel de Troncos; X segundos Tenientes á los primeros Subtenientes Don Joseph María de Lugo y D. Miguel Pulido; á estas resultas á los segundos Subtenientes D. Antonio Juárez y D. Gabriel Igneson, y á segundos Subtenientes al Cadete D. Juan Joseph Morató y al Sargento primer</t>
  </si>
  <si>
    <t>de Luna, Joseph</t>
  </si>
  <si>
    <t>Joseph de Luna</t>
  </si>
  <si>
    <t>te de granaderos al primer Subteniente D. Francisco Gallano; á primeros Subtenientes á los segandps D. Joseph de Luna y D. Vicente Martínez,, y á segundos Subtenientes al Sargento primero D. Juan Casimiro y ai Cadete del de infantería de Astu</t>
  </si>
  <si>
    <t>de Luna, Manuel</t>
  </si>
  <si>
    <t>Manuel de Luna</t>
  </si>
  <si>
    <t>pe á primer Subteniente al segundo D. Joseph Mendoza; y á esta resulta al Cadete del de Extremadura D. Manuel de Luna:* en el de Valencia á Teniente Coronel al Comandante del tercer batallón del do infantería dé Saboya, graduado de Coronel, D. Jorge Galban; á Ayudante al primer Teniente D. Hermen</t>
  </si>
  <si>
    <t>de Luzan, Ignacio</t>
  </si>
  <si>
    <t>Ignacio de Luzan</t>
  </si>
  <si>
    <t>e la misma asociación. Arte del teatro ó del comediante, traducido del francés, muy recomendado por D. Ignacio de Luzan en sus memorias literarias de Paris , en que dico que esta obra le pareció lo mejor que podía escribirse en este género; su autor es francisco Riccoboni , cómico de la compañía ital</t>
  </si>
  <si>
    <t>de Magarola, Joachín</t>
  </si>
  <si>
    <t>Joachín de Magarola</t>
  </si>
  <si>
    <t>ez; á primer Teniente al segundo de granaderos D. Joseph Nieto ; á esta resulta al segundo Teniente D. Joachin de Magarola; á segundo Teniente al Subteniente de granaderos D. Vicente Hernández; á Subteniente de granaderos al primer Subteniente D. Luis Pcrez de Ribera; á primer Subteniente al segundo D</t>
  </si>
  <si>
    <t>de Manuel Rodríguez, Miguel</t>
  </si>
  <si>
    <t>Miguel de Manuel Rodríguez</t>
  </si>
  <si>
    <t>morias para la vida del santo Rey D. Fernando , dadas á luz con apéndices y otras ilustraciones por D. Miguel de Manuel Rodríguez, Bibliotecario primero de los Reales estudios de Madrid, quien las dedica á la Reyna Ntra. Sra., que Dios guarde. El nombre del P. Marcos Burriel, autor de estas Memorias, y las d</t>
  </si>
  <si>
    <t>de Manuel y Rodríguez, Miguel</t>
  </si>
  <si>
    <t>Miguel de Manuel y Rodríguez</t>
  </si>
  <si>
    <t>nden la versión de nuestra lengua á estos 3 idiomas; y el 4.0, dispuesto y trabajado por el difunto D. Miguel de Manuel y Rodríguez, Bibliotecario de los Reales estudios de S. Isidro de esta corte, contiene los 3 alfabetos francés, latino é italiano, con las voces que les corresponden en castellano, y se expli</t>
  </si>
  <si>
    <t>de Marcaida y Madariaga, Jacinto</t>
  </si>
  <si>
    <t>Jacinto de Marcaida y Madariaga</t>
  </si>
  <si>
    <t>ateo Plowes y Sevilla , D. Joseph Rubion y Gutiérrez de la Huerta, D. Domingo de Mesa y Wandcnhcde, D. Jacinto de Marcaida y Madariaga , D, Lorenzo Belon y Becerra, Don Tuan de Lanz y Norris , D. Juan Alvarez Faxardo y Ruiz Mateos, Don Toachín de Vierna é Isla , D. Mariano Spadafora,D. Antonio de Arcens y Faleons</t>
  </si>
  <si>
    <t>de Martos Villareal, Luis</t>
  </si>
  <si>
    <t>Luis de Martos Villareal</t>
  </si>
  <si>
    <t>is-' mo cuerpo, graduado de infantería; la compañía de cazadores del de Jaénal Capitán de fusileros D. Luis de Martos Villareal; empleo de Capitán de fusileros en el d&lt;e Granada al Teniente de granaderos D. Juan Golnez Zamora; las Tenencias de granaderos y cazadores del de Oviedo á los Tenientes de fusiler</t>
  </si>
  <si>
    <t>de Masdeu, Juan Francisco</t>
  </si>
  <si>
    <t>Juan Francisco de Masdeu</t>
  </si>
  <si>
    <t>de Cerro, red de S. Luis, y en su puesto, calle de Alcalá. Historia critica de España, por el Abate D. Juan Francisco de Masdeu, to*&gt;o 19. Se hallará con los anteriores en la librería de Sancha , calle del Lcbo. Quatro cartas escritas en el año de 1799 por el Abate D. Juan Andrés á su hermano D. Cárlos And</t>
  </si>
  <si>
    <t>de Masdevall, Joseph</t>
  </si>
  <si>
    <t>Joseph de Masdevall</t>
  </si>
  <si>
    <t>acultativo español de toda confianza ; y consultado el parecer del primer Físico de Cámara de S. M. D. Joseph de Masdevall para la elección del suneto que debía enviarse, se sirvió el Rey nombrar a D. Joseph Antonio Coll, Físico de familia de S. M., y catedrático de su facultad en el colegio de Santia</t>
  </si>
  <si>
    <t>e á 16 quartos. Otro id. $ partida llamada Marbadon , de $ fan. en i6gg. Elegía latina en elogio de D. Joseph de Masdevall, primer Médico de Cambra del Rey Ntro. Sr. y de S. M. Marroquí &amp;c. Por medio de este poema, cuya traducción libre en prosa castellana acompaña, se publican, los felices sucesos qu</t>
  </si>
  <si>
    <t>de Mathso, Manuel</t>
  </si>
  <si>
    <t>Manuel de Mathso</t>
  </si>
  <si>
    <t>en lo endosó al D. Anselmo García ; y no habiéndolo recibido, quien supiere de él avisará en Poza á D, Manuel de Mathso , contador mayor de aquellas salinas : en Burgos i D Domingo Antonio Pujana , de aquel comercio ; y en Madrid al mismo D. Anselmo García , plazuela de la Cebada , núm. \d\ quarto</t>
  </si>
  <si>
    <t>de Mazarredo y Gómez de la Torre, Joseph</t>
  </si>
  <si>
    <t>Joseph de Mazarredo y Gómez de la Torre</t>
  </si>
  <si>
    <t>l Compains y Ochoa, D. Joseph Pereyra y Soto Sánchez, D. Santiago de Mazarredo y Gómez de la Torre, D. Joseph de Mazarredo y Gómez de la Torre, D. Sebastian de Heres y Canel, D. Víctor Urbina y Aniz, D. Antonio Salazar y Allendelagua, Don Francisco Salazar y Allendelagua y D. Vicente de Arizaga y Vázquez. En 2.a fecha. D</t>
  </si>
  <si>
    <t>de Mazarredo y Gómez de la Torre, Santiago</t>
  </si>
  <si>
    <t>Santiago de Mazarredo y Gómez de la Torre</t>
  </si>
  <si>
    <t>Joseph Rodríguez Truxiilo y Lasqueti, D. Manuel Compains y Ochoa, D. Joseph Pereyra y Soto Sánchez, D. Santiago de Mazarredo y Gómez de la Torre, D. Joseph de Mazarredo y Gómez de la Torre, D. Sebastian de Heres y Canel, D. Víctor Urbina y Aniz, D. Antonio Salazar y Allendelagua, Don Francisco Salazar y Allendelagua y D. V</t>
  </si>
  <si>
    <t>de Meave, Juan Bautista</t>
  </si>
  <si>
    <t>Juan Bautista de Meave</t>
  </si>
  <si>
    <t>aga. Quien lo tuviere lo dirigirá á qualquiera de dichos sugetos. El 9 de Octubre sé remitieron por D. Juan Bautista de Meave, vecino de esta corte, á D. Joseph María de Aizpitarte , de la ciudad de Vitoria, dos vales Real* s, uno de i$o pesos, creación de ig de Setiembre, mím. 174,484, endosado á favor</t>
  </si>
  <si>
    <t>de Meaye, Juan Bautista</t>
  </si>
  <si>
    <t>Juan Bautista de Meaye</t>
  </si>
  <si>
    <t>viado, quien sepa de ellos avisará al referido D. Joseph María de Aizpitarte, ó en Madrid al citado Don Juan Bautista de Meaye: vive calle del Lobo , casas de S. Ignacio , núm. 9. Las dos casas sitas en esta corte, una en la calle de Toledo, núm. 11, manzana 144, tasada en 130,474 rs., y otra en la calle</t>
  </si>
  <si>
    <t>de Mecklemburgo, Cárlos (príncipe)</t>
  </si>
  <si>
    <t>Príncipe Cárlos de Mecklemburgo</t>
  </si>
  <si>
    <t>acos. Baxo las órdenes del Conde de Pahlen mandarán los Generales Príncipe Alexandro de Wurtemberg, Príncipe Cárlos de Mecklemburgo, Gervais, Barón de Gersdorf, Barón de Drechhsel &amp;c.; y baxo las dei General Kutusow los Generales Bowr, Essen, los Condes Witgenstein» Sprengtportem, Langeron, Forster, los Barone</t>
  </si>
  <si>
    <t>de Medina, Juan</t>
  </si>
  <si>
    <t>Juan de Medina</t>
  </si>
  <si>
    <t>villa de Valdepeñas un cortijo con su monte , valuado en 146^ rs. , perteneciente á la obra pia de D. Juan de Medina, llamada de las Animas. Otro perteneciente á los niños huérfanos de Jaén, su valor 94^ rs. En la villa de Rus una heredad de olivas , sitio de Valdecanales, perteneciente á la obr</t>
  </si>
  <si>
    <t>erras de labor y monte, de cabida de 900 cuerdas, perteneciente á la obra pia de Animas fundada por D. Juan de Medina , tasada en 146^ rs. y renta 4500. Provincia de Jaén. Villardonpardo : una haza de tierra de cabida ia cuerdas, situada en el cerro de Valdespejar, perteneciente á la obra pia de</t>
  </si>
  <si>
    <t>de Medina, Manuel</t>
  </si>
  <si>
    <t>Manuel de Medina</t>
  </si>
  <si>
    <t>guel Antonio de Bengoechea, D. Francisco Otaegui, D. Juan Agustín de Arrieta, Don Martin de Echavc, D. Manuel de Medina, D. Juan Joseph Garnier, Don Agustín de Lecumberri y D. Francisco Antonio Barandiaran, que paguen cada uno 200 dudados de vellón de multa; y que en el caso de formarse en lo suces</t>
  </si>
  <si>
    <t>de Mejorada, Conde</t>
  </si>
  <si>
    <t>Conde de Mejorada</t>
  </si>
  <si>
    <t>la Tesorería de Juros por D. Ramón de Palacio, y endosado por este á favor del Conde de Mejorada, vecino de aquella ciudad. La persona en quien se hallare lo entregará á dicho Sr. Conde de Mejorada en Sevilla, ó al mismo D. Ramón de Palacio en Madrid. Por auto de 17 de este mes del S</t>
  </si>
  <si>
    <t>de Meklemburgo-Schwerin, Carlos (príncipe)</t>
  </si>
  <si>
    <t>Príncipe Carlos de Meklemburgo-Schwerin</t>
  </si>
  <si>
    <t>al Príncipe Henrique de Prusia , hermano segundo del Rey, al Príncipe Luis de Hesse-Darmstadt, y al Príncipe Carlos de Meklemburgo-Schwerin. Procedió luego á elegir un. Coadjutor del Graa Maestre, y recayó la. elección; en el mencionado Principe Henrique*. Francfor. 11 de Julio,. ' S e han ausentado, de. Ratisbona los</t>
  </si>
  <si>
    <t>de Melas, Barón</t>
  </si>
  <si>
    <t>Barón de Melas</t>
  </si>
  <si>
    <t>2.6 de Junio. L a Regencia de esta ciudad ha recibido una carta del General en xefe Barón de Melas, en la que asegura que así este pueblo como todo su territorio están comprehendidos en la línea establecida por el convenio ajustado entre los dos exércítos. S</t>
  </si>
  <si>
    <t>de Melgarejo, Ramón</t>
  </si>
  <si>
    <t>Ramón de Melgarejo</t>
  </si>
  <si>
    <t>ardias 'Españolas se ha servido S. M. promover á Comandantes de granaderos á los primeros Tenientes D. Ramón de Melgarejo y D. Manuel Francisco Jáuregui; á Comandante de cazadores al primer Teniente\D, Joseph María Manso; á primeros Tenientes á los segundos D. Manuel de Arredondo, graduado de Teniente Co</t>
  </si>
  <si>
    <t>de Mena, Francisco</t>
  </si>
  <si>
    <t>Francisco de Mena</t>
  </si>
  <si>
    <t>Mariano; y en el de la Costa de Granada á Alférez, al agregado en esta clase, graduado de Teniente, D. Francisco de Mena, • &gt; Tamblen ha nombrado S. M. Capellán del primer batallón del de infantería del Príncipe aí presbítero D. Diego Molina. El Rey ha nombrado Teniente Coronel del regimiento provin</t>
  </si>
  <si>
    <t>de Mendiola, Joseph Joachín</t>
  </si>
  <si>
    <t>Joseph Joachín de Mendiola</t>
  </si>
  <si>
    <t>Oficial mayor de la contaduría de la factoría de la renta del tabaco de la Puebla de los Angeles á D. Joseph Joachín de Mendiola: para el de Oficial segundo de la misma, que este servia, á D. Joseph Martínez de Ortega: para Interventor de la fábrica de puros y cigarros de la citada factoría á D. Miguel Marí</t>
  </si>
  <si>
    <t>de Mendizábal, Vicente</t>
  </si>
  <si>
    <t>Vicente de Mendizábal</t>
  </si>
  <si>
    <t>ín de Larburu, D. Francisco Antonio Echeverría, D. Joachín ele Garde, D. Francisco Ignacio Gaztelu, D. Vicente de Mendizaval, D. Manuel Francisco de Soraiz, y D. Ignacio</t>
  </si>
  <si>
    <t>de Mendoza y Puerto, Martín</t>
  </si>
  <si>
    <t>Martín de Mendoza y Puerto</t>
  </si>
  <si>
    <t>promover á Alféreces de Fragata de su Real Armada á los Guardias-Marinas siguientes. En i.a fei ha. D. Martin de Mendoza y Puerto, D. Felipe Ibargiien y Ximenez, I). Francisco Solís y Ximenez de Zucita, D. Joseph Pasalagua y Martínez, D. Diego de Aguirre y Rosales, D. Antonio Climent y García, D. Manuel de C</t>
  </si>
  <si>
    <t>de Mendoza, Juan Agustín</t>
  </si>
  <si>
    <t>Juan Agustín de Mendoza</t>
  </si>
  <si>
    <t>el de la de Alcalá la Real, que este dexa* á D. Joachín Bernad y Vargas; y para el de la de Ronda á D. Juan Agustín de Mendoza : para el de Letras de la ciudad de Toledo á D. Tomas Casanova de Arnuero y Rada: para el de los Pedroches de Córdoba á D. Nicolás Antonio Mella y Carvajal: para la vara de Alcald</t>
  </si>
  <si>
    <t>de Mérida Ximenéz, Joseph</t>
  </si>
  <si>
    <t>Joseph de Mérida Ximenéz</t>
  </si>
  <si>
    <t>Joseph Jorge Ramírez: la de Administrador particular de las rentas de tabaco y pólvora de Tequia á D. Joseph de Mérida Ximenéz; y la de Administrador particular de aguardientes del sitio del Corozal á D. Manuel Martínez. Correspondiendo el Consejo á los vivos deseos de S. M. ha acordado á consulta de la C</t>
  </si>
  <si>
    <t>de Mesa y Montero, Rafael</t>
  </si>
  <si>
    <t>Rafael de Mesa y Montero</t>
  </si>
  <si>
    <t>, D. Benito Bermudez de Castro y Vivero , D. Manuel Duque de la Cruz , D. Antonio Piñeyro y Maceda, Don Rafael de Mesa y Montero , D. Francisco Troncoso de Lira y Garza, Don Manuel Bachoni y Padilla, D. Alonso Martin Vegue y Zayas, D. Joseph</t>
  </si>
  <si>
    <t>de Mesa y Wandcnhcde, Domingo</t>
  </si>
  <si>
    <t>Domingo de Mesa y Wandcnhcde</t>
  </si>
  <si>
    <t>, D. Joseph Ley y Marqueti, D. Mateo Plowes y Sevilla , D. Joseph Rubion y Gutiérrez de la Huerta, D. Domingo de Mesa y Wandcnhcde, D. Jacinto de Marcaida y Madariaga , D, Lorenzo Belon y Becerra, Don Tuan de Lanz y Norris , D. Juan Alvarez Faxardo y Ruiz Mateos, Don Toachín de Vierna é Isla , D. Mariano Spad</t>
  </si>
  <si>
    <t>de Mesa, Ana</t>
  </si>
  <si>
    <t>Ana de Mesa</t>
  </si>
  <si>
    <t>a y Córdoba, heredera de D. Pedro de Coalla su padre, y luego sucedió en él D: Francisco de Sandi y Doña Ana de Mesa , y por muerte de estos su hijo D. Francisco de San de y Mesa: para que en el término de 15. dias acudan ante el Sr. D Juan Antonio Santa María, Caballero de la Real orden de Carl</t>
  </si>
  <si>
    <t>de Mesa, Joseph María</t>
  </si>
  <si>
    <t>Joseph María de Mesa</t>
  </si>
  <si>
    <t>Valladolid: para otra de la colegial de Alfaro, vacante por fallecimiento de D. Joachín Martínez, á D. Joseph María de Mesa, Capellán que fue de la Armada; y para una de las quatro Capellanías menores del Real monasterio de la Visitación de Madrid, vacante por renuncia de D. Francisco González Hernánde</t>
  </si>
  <si>
    <t>de Metieses y Montemayor, Joseph</t>
  </si>
  <si>
    <t>Joseph de Metieses y Montemayor</t>
  </si>
  <si>
    <t>de Villareal , cálle de las Carretas. j Conversaciones de Sócrates: obra traducida del francés por D. Joseph de Metieses y Montemayor, Alférez de fragata retirado de la Real Armada. Se hallarán en las libreril* de Quiroga, calle de la Concepción y de las Carretas, y de Cerro, red de S. Luis, i 4 rs. en rústica.</t>
  </si>
  <si>
    <t>de Michelena, Juan Joseph Vicente</t>
  </si>
  <si>
    <t>Juan Joseph Vicente de Michelena</t>
  </si>
  <si>
    <t>iudad £ vuelta de correó testimonio de haberlo executado, á fin de unirlo al procéso de la causa. A D. Juan Joseph Vicente de Michelena, que siendo Alcalde de primer voto influyó al acuerdo de la acta, 6 años de extrañamiento á Uo leguas de S. Sebastian, dé la córte y sitios Reales, con privación perpetua de emple</t>
  </si>
  <si>
    <t>de Michelena, Juan Luis</t>
  </si>
  <si>
    <t>Juan Luis de Michelena</t>
  </si>
  <si>
    <t>, baxo la dirección de los profesores de matemáticas, los seminaristas D. Joseph Manuel de Emparan, D. Juan Luis de Michelena, Don Gaspar de Echavarría, D. Baltasar de Echavarría, D. Juan de Abraldes, D. Rafael Texada, D. Manuel de Lardizabal, D. Luis de Lardizabal, Don Hilarión de Echavarría, D. Ignacio</t>
  </si>
  <si>
    <t>de Mier Villar, Juan</t>
  </si>
  <si>
    <t>Juan de Mier Villar</t>
  </si>
  <si>
    <t>aestrescolía, que este dexa; al Tesorero D. Joseph Rui* dé Conejares: para la Tesorería al Canónigo D. Juan de Mier Villar: para esta Canongía al Racionero Don Juan dé harria y Alderete; y para ésta resulta al Medio-Racionero Don Joseph aei parriq. ,, . , Por fallecimiento de D. Juan Anselmo delMoral</t>
  </si>
  <si>
    <t>de Mier y Teran, Manuel</t>
  </si>
  <si>
    <t>Manuel de Mier y Teran</t>
  </si>
  <si>
    <t>nfantería de las Ordenes Militares. El Rey ha tenido por conveniente que se retire á esta península Don Manuel de Mier y Teran , Regente de lá Audiencia de Canarias, conservándole el sueldo de su plaza hasta que S. M. determine otra cosa : para suéederle én dicho empleo se ha servido nombrar á D. Antonio</t>
  </si>
  <si>
    <t>de Miranda y la Cotera, Joseph</t>
  </si>
  <si>
    <t>Joseph de Miranda y la Cotera</t>
  </si>
  <si>
    <t>za (ya difuntos), co» 0)0 poseedores que fueron del patronato de legos y memorias pías fundadas por D. Joseph de Miranda y la Cotera , vecino y Regidor perpetuo que fue de Madrid , acudirán desde luego y hasta fin de Setiembre próximo con dichos nombramientos á D. Miguel Francisco de Iturriza, que vive en la ca</t>
  </si>
  <si>
    <t>de Miranda, Domingo Antonio</t>
  </si>
  <si>
    <t>Domingo Antonio de Miranda</t>
  </si>
  <si>
    <t>nde para hacer pago á sus acreedores y la qual , y por auto del Sr. Alcalde de la Real casa y corte D. Domingo Antonio de Miranda, ante D. Venancio Fernandez de Zurita, escribano que fue de pro~ vi ocia, se mandó sacará subasta, y se suspendió su remate á instancia de los hijos menores de Manuel y- Miguel de</t>
  </si>
  <si>
    <t>hiciesen, en el supuesto de que sean justas y arregladas. Por la audiencia del Sr. Alcalde de corte D. Domingo Antonio de Miranda, y escribanía de provincia de D. Joseph Fernandez de Uceda, se está subastando una casa sita en la calle de S. Isidro, barrios de S. Francisco, núm 6, manz. jai, perteneciente á l</t>
  </si>
  <si>
    <t>lles. . Para el remate de una casa que se está subastando por la audiencia del Sr, Alcalde de corte D. Domingo Antonio de Miranda, y escribanía de provincia de D. Joseph Fernandez de Uceda, sitaren la calle de S. Isidro, barrios de S. Francisco, núm. 6 , manz. 121 , tasada en 145,602 rs. , y está hecha postu</t>
  </si>
  <si>
    <t>de Miranda, Joseph</t>
  </si>
  <si>
    <t>Joseph de Miranda</t>
  </si>
  <si>
    <t>ado de Teniente* D. Joseph Antonio Cabezón; á primeros Subtenientes á los segundos Don Manuel Vico, D. Joseph de Miranda, D. Manuel Aroche y D. Estéban Aymerich , y á segundos Subtenientes a los Cadetes D. Agustín Ximene? de Lasarte y D. Joseph Bermudez de Castro, y al Sargento primero Don Gregorio</t>
  </si>
  <si>
    <t>se ha servido S. M. promover aCapitán al Teniente D. Ignacio Clemente; y á Teniente al Subtenier.te D. Joseph de Miranda. . . , S M se ha servido promover en los regimientos de caballería: a Portacstándárte en el del Infante al Sargento D. Joseph Blanco: á primer Teniente y Portaestandarte en el de</t>
  </si>
  <si>
    <t>ariano de las Penas, D. Ambrosio Villaba y D. Manuel López; :t primeros Subtenientes á Jos segundos D. Joseph de Miranda, D. Mariano Villanova, D. Christóbal Estévez, D. Vicente Cabrera y D. Ignacio Cavero; y á segundos Subtenientes á los Sargentos primeros D. Gines García, de granaderos, y Don Matí</t>
  </si>
  <si>
    <t>de Miranda, Manuel</t>
  </si>
  <si>
    <t>Manuel de Miranda</t>
  </si>
  <si>
    <t>tante de sus res» pectivos aprecios. Las huérfanas que tengan nombramientos á prebendas, hechos por D. Manuel de Miranda, D. A ntonio y D. F rancisco Gerónimo de Arriaza (ya difuntos), co» 0)0 poseedores que fueron del patronato de legos y memorias pías fundadas por D. Joseph de Miranda y la Cotera</t>
  </si>
  <si>
    <t>de Misa, Joseph</t>
  </si>
  <si>
    <t>Joseph de Misa</t>
  </si>
  <si>
    <t>s D. Gines García, de granaderos, y Don Matías Melero, y á los. Cadetes D. Alberto Falcó y Alvarez, D. Joseph de Misa y D. Pedro Guerrero; en el de España á Capitanes á los primeros Tenientes D. Agustín de Aragón, de granaderos, y D. Gerónimo Muñoz; á primer Teniente de granaderos al de fusileros D.</t>
  </si>
  <si>
    <t>de Molíinedo, Joseph Luis</t>
  </si>
  <si>
    <t>Joseph Luis de Molíinedo</t>
  </si>
  <si>
    <t>M. se ha dignado nombrar para la Iglesia y Obispado' de Falencia* vacante pór muerte del limo. Sr. D. Joseph Luis de Molíinedo, ál Sr. D.ojé. Buenaventura Moyano Rodríguez, Canónigo de la metropolitana dé Toledo, y Gobernador deteste arzobispado : para la Iglesia y Obispado de Sigiienza, vacante por falle</t>
  </si>
  <si>
    <t>de Molina Martel, Tomás</t>
  </si>
  <si>
    <t>Tomás de Molina Martel</t>
  </si>
  <si>
    <t>infantería de Aragón: para otra de la de Orihuela, vacante por fallecimiento de D. Gerónimo Roca, á D. Tomas de Molina Martel; y para la Ración de Mensa de la santa iglesia de Zaragoza, vacante por fallecimiento de D. Pedro Benito Laguna , á D. Mariano Seira. En el regimiento de Reales Guardias Españolas</t>
  </si>
  <si>
    <t>eph Marín: para la Ración de la colegial de Antequera, diócesis de Málaga, vacante por promoción de D. Tomas de Molina Martel á una Canongía de la catedral deOrihuela, á D. Francisco de Aranda; y para una Ración Patrimonial de la catedral de Tarazona á D. Lorenzo Ruiz. En el regimiento de Reales Guardias</t>
  </si>
  <si>
    <t>de Molina y Huete, Alonso</t>
  </si>
  <si>
    <t>Alonso de Molina y Huete</t>
  </si>
  <si>
    <t>casa cortijo, valuado todo en 40,587 rs. En la villa de Torrejon pertenecen al patronato que fundó D. Alonso de Molina y Huete 44 fanegas en la peña Ascosa, tasadas en 38,720 rs. Otra pieza de tierra en el sitio de las Peñas, ccn casa cortijo, de cabida de 221 fanegas , tasada en 102,217 rs., 164 fanegas</t>
  </si>
  <si>
    <t>de Molina y Sierra, Alonso</t>
  </si>
  <si>
    <t>Alonso de Molina y Sierra</t>
  </si>
  <si>
    <t>Real sclemencia, ha venido en resolver se impongan á los reos las penas siguientes. « Al Brigadier D. Alonso de Molina y Sierra, Gobernador de la plaza; al Capitán D. Mateo Anduaga, Gobernador del castillo de Sta. Cruz de h Mota; y al Coronel D. Henrique Navarro, Teniente Coronel de artillería, y Comandant</t>
  </si>
  <si>
    <t>de Molina, Luis</t>
  </si>
  <si>
    <t>Luis de Molina</t>
  </si>
  <si>
    <t>de gala con motivo del cumpleaños deí. Sr. Infante D. Pedro. tedral de Cádiz, vacante por muerte de D, Luis de Molina, á. UL Joseph Figueyra, Canónigo de la de Burgos: para el Arcedianato ele Sepíuveaá, dignidad de la catedral de Segovia, vacante por muerte de D. Miguel dp Grijalba, á D. Ramón Zo</t>
  </si>
  <si>
    <t>de Molina, Manuel</t>
  </si>
  <si>
    <t>Manuel de Molina</t>
  </si>
  <si>
    <t>iérrez de Pando en Tarragona, ó á la Dirección general de Reales provisiones en Madrid. En poder de D. Manuel de Molina, presbítero, Rector del colegio de Niños doctrinos de esta corte, se halla un vale Real de 300 pesos, núm. 445,805 , que á fines del mes último le encontró en la callé un individu</t>
  </si>
  <si>
    <t>de Mollinedo, Antonio</t>
  </si>
  <si>
    <t>Antonio de Mollinedo</t>
  </si>
  <si>
    <t>irán con la posible brevedad á manifestarlo por escrito al Teniente de Alcayde del mismo Real sitio Don Antonio de Mollinedo , que vive á la entrada de la calle de las Fuentes por la plazuela de Herradores, á mano izquierda, núm. 9, quarto segundo, quien les instruirá de las dotaciones que se les señala</t>
  </si>
  <si>
    <t>de Montaldi, Juan Bautista</t>
  </si>
  <si>
    <t>Juan Bautista de Montaldi</t>
  </si>
  <si>
    <t>te y escribanía. A instancia del Banco nacional de S. Cárlos, uno de los acreedores á la quiebra de D. Juan Bautista de Montaldi, y de los Síndicos de ella, de que conoce el Sr. D. Joseph Navarro y Vidal, del Consejo de S. M. , su Alcaide de casa y corte por la escribanía de provincia de B. Pedro de Vall&amp;dá</t>
  </si>
  <si>
    <t>de Montes, Juan Bautista</t>
  </si>
  <si>
    <t>Juan Bautista de Montes</t>
  </si>
  <si>
    <t>otros varios en principios. En doctrina christiana, baxo la dirección del maestro principal el Lie. D. Juan Bautista de Montes, todos los seminaristas; y io de estos separadamente en el catecismo histórico de Fleuri. En gramática castellana to, baxo la dirección de su maestro Don Francisco Aranzabal. En m</t>
  </si>
  <si>
    <t>de Montoro y Andrade, Antonio</t>
  </si>
  <si>
    <t>Antonio de Montoro y Andrade</t>
  </si>
  <si>
    <t>io y Navarro, D. Antonio García de la Chica y Gutiérrez , D. Joseph Martínez de Velasco y Horcadas, D. Antonio de Montoro y Andrade , D. Joseph Ley y Marqueti, D. Mateo Plowes y Sevilla , D. Joseph Rubion y Gutiérrez de la Huerta, D. Domingo de Mesa y Wandcnhcde, D. Jacinto de Marcaida y Madariaga , D, Lorenzo</t>
  </si>
  <si>
    <t>de Mora, Joachín</t>
  </si>
  <si>
    <t>Joachín de Mora</t>
  </si>
  <si>
    <t>l Teniente del provincial de Piasencia D. Francisco Xavier Cornago ; y Tenencias á los Subtenientes D. Joachin de Mora y D. Agustín Barrachina: en el de Córdoba Tenencia al Subteniente de cazadores D. A gustin Cubero: Subtenencias de granaderos y cazadores en los de Laredo y Lugo á los Subtenientes de</t>
  </si>
  <si>
    <t>de Mora, Manuel</t>
  </si>
  <si>
    <t>Manuel de Mora</t>
  </si>
  <si>
    <t>ido promover á Portaestandarte en el regimiento de carabineros de la Rey na María Luisa al Sargento D. Manuel de Mora: á segundo Teniente y á Alférez en el de caballería de Húsares al Alférez Don Antonio Pernada y al Sargento D. Joseph García; y á primeros Tenientes en el de voluntarios de España</t>
  </si>
  <si>
    <t>de Mora, Pedro</t>
  </si>
  <si>
    <t>Pedro de Mora</t>
  </si>
  <si>
    <t>y Ministros les repartieron dinero ; D. Juan Manuel de Tejada cinco bandas, y el Síndico Personero D. Pedro de Mora hizo presente tenia en su poder para el mismo objeto 1® rs., que había entregado mi sugeto que quería ocultar su nombre, los cuales se destinaron para vestirlo?, En los intervalos</t>
  </si>
  <si>
    <t>de Morales Guzman y Tovar, Juan</t>
  </si>
  <si>
    <t>Juan de Morales Guzman y Tovar</t>
  </si>
  <si>
    <t>ca. Con este objeto se ha formado en Madrid uní Junta provincial de Sanidad, compuesta de los Sres. D. Juan de Morales Guzman y Tovar, Corregidor de esta villa y Presidente de dicha Junta, D. Pedro González Calderón, Teniente Corregidor y Vice-Presidente, y 39 vecinos: la qual en un asunto en que concurren el ín</t>
  </si>
  <si>
    <t>de Morales Salazar, Francisco</t>
  </si>
  <si>
    <t>Francisco de Morales Salazar</t>
  </si>
  <si>
    <t>cendientes, en primer lugar: á Doña Juliana de Morales y los suyos, en segundo; hijos ambos del Sr. D. Francisco de Morales Salazar, del Consejo cjue fue de S. M. en el Real de Hacienda: á Doña Luisa González de Torres f sus descendientes, en tercero: á Doña Ana María González de Torres y los suyos, en qnarto:</t>
  </si>
  <si>
    <t>de Morales, Juliana</t>
  </si>
  <si>
    <t>Juliana de Morales</t>
  </si>
  <si>
    <t>Juan de Morales, Caballero que fiué del hábito de Santiago, y sus descendientes, en primer lugar: á Doña Juliana de Morales y los suyos, en segundo; hijos ambos del Sr. D. Francisco de Morales Salazar, del Consejo cjue fue de S. M. en el Real de Hacienda: á Doña Luisa González de Torres f sus descendientes,</t>
  </si>
  <si>
    <t>de Morana, Juan Bautista</t>
  </si>
  <si>
    <t>Juan Bautista de Morana</t>
  </si>
  <si>
    <t>Rositas, inmediata i, los Solares, perteneciente al patronato que fundó en el colegio de Monte Sion D, Juan Bautista de Morana, en. 17,100. Otra contigua á la anterior, en *1,450. . &gt; Intendencia de Aragón. Zaragoza : una casa en la calle de Rufas, pertenecien— te al legado de Doña María Viesca , tasada e</t>
  </si>
  <si>
    <t>de Moría, Tomás</t>
  </si>
  <si>
    <t>Tomás de Moría</t>
  </si>
  <si>
    <t>te del contagio que ha sufrido. = Dios guarde á V. E. muchos años. Chiclana 10 de Octubre de 1800.” D. Tomas de Moría en el oficio con que ha acompañado la copia de dicha carta, dice entre otras cosas lo que sigue: „ De los 30 marineros que estuviéron con los ingleses de las lanchas pescadoras de l</t>
  </si>
  <si>
    <t>de Moya, Pedro</t>
  </si>
  <si>
    <t>Pedro de Moya</t>
  </si>
  <si>
    <t>Ana, en 27, 00. Una .casa cortijo con sus tierras de labor y monte, perteneciente á la obra pia de D. Pedro de Moya , en 226,050. Otra id. con sus tierras de labor, de la misma pertenencia , en 449,826. Otra id. de teja, con tierras de labor, de la misma obra pia, en 98,809. Otra id. con tierra</t>
  </si>
  <si>
    <t>de Muesas, Vicente María</t>
  </si>
  <si>
    <t>Vicente María de Muesas</t>
  </si>
  <si>
    <t>a servido conferir el empleo de Coronel del regimiento de infantería de la Corona de Nueva-España á D. Vicente María de Muesas, Teniente Coronel agregado al de infantería de Zaragoza. En el regimiento de milicias urbanas de dragones de Tarma ha venido el Rey en promover á Capitán al Teniente D. Antonio Be</t>
  </si>
  <si>
    <t>de Munive, Joseph María</t>
  </si>
  <si>
    <t>Joseph María de Munive</t>
  </si>
  <si>
    <t>abrazaba las primeras letras, y baxo la dirección de su maestro D. Joseph de Uzin fueron examinados D. Joseph María de Munive, D. Joseph de Gaytan, D. Fernando Adan y D. Fernando de las Casas. En rudimentos de latinidad, baxo la dirección de su maestro D. Andrés Bestigui, los seminaristas D. Francisco Ne</t>
  </si>
  <si>
    <t>de Muñoz y Us, Manuel</t>
  </si>
  <si>
    <t>Manuel de Muñoz y Us</t>
  </si>
  <si>
    <t>piar es 400 rs. El 13 de Agosto remitió D. Juan Manuel de Arzubislde ,vecino de Cádiz, coa endoso s D. Manuel de Muñoz y Us par i cha , del comercio de Bilbao, g vales Peales de á tfeo pesos, de 10 de Abril, números 383,029, 384,^58, 385,629, 394,140 , 39$,113 j y 4 de á 300 pe o-; de la misma creación</t>
  </si>
  <si>
    <t>de Muñoz y Usparicha, Manuel</t>
  </si>
  <si>
    <t>Manuel de Muñoz y Usparicha</t>
  </si>
  <si>
    <t>imo se dixo haberse extraviado al remitirlos D. Juan Manuel de Arzubialde , de Cádiz , con endoso á D. Manuel de Muñoz y Usparicha, de Bilbao (ios quales aun no han parecido), se puso por equivocación el dei núm. 383,02.9 de 600 pesos.} y debió decirse núm. 383,021. Quien hubiese hallado un libramiento de int</t>
  </si>
  <si>
    <t>de Murcia, Pedro Joachín</t>
  </si>
  <si>
    <t>Pedro Joachín de Murcia</t>
  </si>
  <si>
    <t>Cadete supernumerario al Guardia D. Joseph Medina. En atención al distinguido mérito y servicios de D. Pedro Joachin de Murcia, Ministro del Consejo Real, y Colector general de espolios y vacantes, ha venido el Rey en concederle honores del Consejo de Estado. En el regimiento de infantería de las Ordenes</t>
  </si>
  <si>
    <t>de Nava, Gaspar María</t>
  </si>
  <si>
    <t>Gaspar María de Nava</t>
  </si>
  <si>
    <t>Castillo, frente á las gradas de S. Felipe el Real. Pueden ir en carta. Tomo a.° de las poesías de D. Gaspar María de Nava,Conde deÑorofia. Contiene anacreónticas,silvas, canciones, odas, sonetos , décimas, idilios y un poema filosófico. Se vende en la librería de Argueta, calle de la Montera, á 12 rs</t>
  </si>
  <si>
    <t>de Nava, Joseph</t>
  </si>
  <si>
    <t>Joseph de Nava</t>
  </si>
  <si>
    <t>añía de fusileros á D. Joseph Alfar©,, Teniente de cazadores; esta resulta al Teniente de fusileros D. Joseph de Nava, y al de la misma clase D. Francisco Llano la Tenencia de granaderos; Tenencias de fusileros á los Subtenientes D. Juan Manuel Andaya, D. Antonio Benavides y D. Juan Joseph Fonsec</t>
  </si>
  <si>
    <t>de Navas, Juan</t>
  </si>
  <si>
    <t>Juan de Navas</t>
  </si>
  <si>
    <t>lemento sobré la quina carbbea : obra traducida del ingles de Tomas Skeete, Doctor en Medicina, por D. Juan de Navas, Vice-Director que fue del Real colegio de Cirugía de S. Carlos de Madrid.=Elementos del arte de partear, compuestos por el mismo D. Juan de Navas: dos tomos en 4.® con 18 estampa</t>
  </si>
  <si>
    <t>de Negrete, Xavier</t>
  </si>
  <si>
    <t>Xavier de Negrete</t>
  </si>
  <si>
    <t>n de recibirse, y ha comunicado por conducto del Comandante general del exército y Reyno de Galicia D. Xavier de Negrete , el Mariscal de Campo Conde de Donadío, Comandante de los campos volantes que desde 1797 hay establecidos para defender la plaza, arsenal y puerto del Ferrol ; resulta lo siguien</t>
  </si>
  <si>
    <t>de Neri Villaroel, Juan Sebastián</t>
  </si>
  <si>
    <t>Juan Sebastián de Neri Villaroel</t>
  </si>
  <si>
    <t>yon Ruiz, á D. Juan Sebastian de Neri Villaroel; y para la de la de Xerez de la Frontera á D. Cárlos Perez Mere. En América. S. M. se ha servido nombrar para la Dignidad de Maestrescuela de la metropolitana deChárcas, vacante p</t>
  </si>
  <si>
    <t>de Noaylles, Luis (coronel)</t>
  </si>
  <si>
    <t>Coronel Luis de Noaylles</t>
  </si>
  <si>
    <t>te al segundo D. Joseph Blanco: en el de Murcia á Capitán de granaderos al de fusileros graduado de Coronel Don Luis de Noaylles: en el de Irlanda á segundos Subtenientes á los Sargentos primeros y soldado distinguido D. Christóbal García, D. Francisco Doliany y D. Miguel Bray, al Cadete del de infantería d</t>
  </si>
  <si>
    <t>de Nova, Joseph</t>
  </si>
  <si>
    <t>Joseph de Nova</t>
  </si>
  <si>
    <t>que lo era del batallón de milicias de Cuba y Bayamo; á los Sargentos primeros del mismo regimiento D. Joseph de Nova y D. Santiago González, y á D. Andrés Bequet, soldado distinguido del de infantería de Cuba; y ha concedido grado de Teniente al Sargento primero de dicho regimiento de milicias de in</t>
  </si>
  <si>
    <t>de Novales, Manuel</t>
  </si>
  <si>
    <t>Manuel de Novales</t>
  </si>
  <si>
    <t>ia 6 del mismo, se omitió por olvido expresar el nombre del Comandante de la Florentina, que lo era D. Manuel de Novales, Teniente de navio de la Real Armada,. Habiéndose dignado S. Ai. conceder á D. Martín Bruseín, residente en Madrid, privilegio exclusivo para construir una máquina hidráulica de s</t>
  </si>
  <si>
    <t>de Nueros, Miguel</t>
  </si>
  <si>
    <t>Miguel de Nueros</t>
  </si>
  <si>
    <t>arca: en el del Príncipe á Capitán ai Ayudante D. Alexandro Manglano; á Ayudante al primer Teniente D. Miguel de Nueros; á esti resulta al primer Teniente agregado D. Juan Dupac , y á segundo Teniente .al Alférez D. Melchor Rengel: en el del Infante á primer Tenien^ te al segundo graduado de Capitá</t>
  </si>
  <si>
    <t>rancisco Xavier Rico: en el del Príncipe á Capitanes al primer Teniente D. Juan Dupac y al Ayudante D. Miguel de Nueros; á Ayudante al primer Teniente D. Ignacio Coutoy; á primeros Tenientes á los segundos D. Felipe Cadroy , graduado de Capitán, D. Joachín de Alba y D. Juan Manuel Pereyra; á segund</t>
  </si>
  <si>
    <t>de Nuix Perpiñá Tristany y de Bardaxi, Francisco</t>
  </si>
  <si>
    <t>Francisco de Nuix Perpiñá Tristany y de Bardaxi</t>
  </si>
  <si>
    <t>lipe, en el Reyno de Valencia, á D. Joseph Prat y Quadras. En atención á los méritos y servicios de D. Francisco de Nuix Perpiñá Tristany y de Bardaxi, vecino de la ciudad de Cervera, en el principado de Cataluña, se ha servido S. M. concederle título de Barón, para sí, sus hijos y descendientes, con la denominación de Perpiñá,</t>
  </si>
  <si>
    <t>de Ochoteco, Martín</t>
  </si>
  <si>
    <t>Martín de Ochoteco</t>
  </si>
  <si>
    <t>a creación de ig de Marzo, núm. 315,991 y 317,063 , renovados en el presente año de 1800 á favor de D. Martin de Ochoteco, y sin ningún endoso ni firma en blanco. Quien los tuviese los entregará en esta corte á D. Domingo Manuel Perez de Vea , en la calle Mayor, portales de S. Isidro. Por providencia</t>
  </si>
  <si>
    <t>de Ojea, Joseph Antonio</t>
  </si>
  <si>
    <t>Joseph Antonio de Ojea</t>
  </si>
  <si>
    <t>o Xavier de Colmenáres y D. Marcos Pinacho. En matemáticas, baxo la dirección de sus dos profesores D. Joseph Antonio de Ojea y D. Antonio Isidoro de Ojea, Pilotín de los Correos marítimos, fuéron examinados de aritmética D. Antonio Huárte, D. Manuel Claessens, D. Ramón Claessens y D. Ignacio de Lardizabal.</t>
  </si>
  <si>
    <t>de Olaso, Pedro Ángel</t>
  </si>
  <si>
    <t>Pedro Ángel de Olaso</t>
  </si>
  <si>
    <t>de Mari:ía Ignacia Ramírez,se dedicó á estudiar la gramática latina b.,xo la dirección y estudio de D. Pedro Angel de Olaso, maestro de humanidades y preceptor en esta villa. Al cabo de 11 meses sufrió esta joven, ele ed:.d ue 1 r años, un riguroso examen publico el 11 de este mes, f residiendo D. Manu</t>
  </si>
  <si>
    <t>de Olivares, Julián</t>
  </si>
  <si>
    <t>Julián de Olivares</t>
  </si>
  <si>
    <t>que exerce D. Tomas de Sancha -y Prado, se subastan dos casas pertenecientes al patronato que fundó D. Julián de Olivares, sítasela una en la calle de 1os Reyes que sale á la de S. Ignacio, núm. 3 , manzana ¿19, tasada en 43,84° rs. , y se halla puesta en 30&amp; con varias calidades y condicionas : y la</t>
  </si>
  <si>
    <t>de Olmedo y Araeieh, Juan de Dios</t>
  </si>
  <si>
    <t>Juan de Dios de Olmedo y Araeieh</t>
  </si>
  <si>
    <t>os para la Chantría al Maestrescuela D. Joseph Ortíz de la Peña : para bi Maestrescolía al Tesorero D. Juan de Dios de Olmedo y Araeieh para la Tesorería al Canónigo D. Juan Anselmo del Moral Castillo de Altra: par4 esta Canongía al Racionero D. Juan NepOmuceno dé Santolalla y&gt; Peraltas y para esta Ración al Medio</t>
  </si>
  <si>
    <t>de Olozaga, Joseph María</t>
  </si>
  <si>
    <t>Joseph María de Olozaga</t>
  </si>
  <si>
    <t>el primer Teniente Don Joseph María de Jauregui; y apto para qualquieta empleo el segundo Teniente D. Joseph Mana de Olozaga; pero pagando este la .multa de 100 ducados. . &lt; ; Por atentada y delinqüente la acta celebrada en ¿I Ayuntamiento de la ciudad de S. Sebastian el dia 3 de Agosto de 1794» y papel</t>
  </si>
  <si>
    <t>de Oña, Francisco Manuel</t>
  </si>
  <si>
    <t>Francisco Manuel de Oña</t>
  </si>
  <si>
    <t>Ignacio de Arcos ; á segundos Tenientes á los Subtenientes de granaderos D. Joseph Ramón Gutiérrez, D. Francisco Manuel de Oña y D. Antonio Peña, y á los primero? Subtenientes D.fMiguel dé la Peña y D. • Diego Suarez; á Subtenientes de granaderos á los pritáerps Subtenientes; JL-Mánuel Joseph Suífo , D. Alfon</t>
  </si>
  <si>
    <t>de Onis, Joachín</t>
  </si>
  <si>
    <t>Joachín de Onis</t>
  </si>
  <si>
    <t>tán de milicias provinciales á D. Toribio de Lamo y Gíiemes , Secretario de la Embaxada en Tutin, á D. Joachín de Onis, que ha sido Encargado de Negocios en Petersburgo; y el mismo grado con agregación de Capitán en el regimiento provincial de Laredo á D. Manuel González Salmón, agregado al, minis</t>
  </si>
  <si>
    <t>de Oquendo, Vicente</t>
  </si>
  <si>
    <t>Vicente de Oquendo</t>
  </si>
  <si>
    <t>, y al Ayudante D. Martin de Frías; á esta resulta al segundo Teniente del de infantería de Córdoba D. Vicente de Oquendo; á primeros Tenientes á los segundos D. Joseph Joachin Narvarte, D. Joseph Alemany, D. Joachin Ruil y D. Manuel Casal y Varela, y á segundos Tenientes á los Subtenientes D. Nicolá</t>
  </si>
  <si>
    <t>de Ordaz, Juan</t>
  </si>
  <si>
    <t>Juan de Ordaz</t>
  </si>
  <si>
    <t>udaD. Toseph Buitragoy Granados, D. Francisco Agraz y Fernandez, D. Antonio Gandarillas y Quixano , D. Juan de Ordaz Y -tizón, D. Fernando del Piélago y Arguedas, D. Juan Ignacio Pareja y Mariscal, D. Juan Miguel Pareja y Mariscal, D. Ramón de Bustamante y V elez, D. Antonio García y Navarro , D.</t>
  </si>
  <si>
    <t>de Orellana, Esteban Antonio</t>
  </si>
  <si>
    <t>Esteban Antonio de Orellana</t>
  </si>
  <si>
    <t>inistros del Supremo Consejo Real; D. Bernardo Febrer y D. Manuel Sixto Espinosa , del de Hacienda; D. Esteban Antonio de Orellana, Alcalde de su Real Casa y Corte; D. Manuel García Herreros, Procurador general de los Reynos; y los tres Directores de la Caxa D. Juan Pedro Vincenti, D. Luis Fernandez Gonzalo d</t>
  </si>
  <si>
    <t>de Orive, Manuel</t>
  </si>
  <si>
    <t>Manuel de Orive</t>
  </si>
  <si>
    <t>para las administraciones de rentas de Hapa, Moncova y Xamiltepec , en el Reyno de Nueva España, á D. Alanuel de Orive, D. Tomas de Florez y D. Pedro Antonio Luzaeta y Zííñiga: plaza de Oficial tercero de la Contaduría general de la renta de pólvora, del mismo Reyno, á D. Nicolás Rey: la de Oficia</t>
  </si>
  <si>
    <t>de Ortega, Francisco Mateo</t>
  </si>
  <si>
    <t>Francisco Mateo de Ortega</t>
  </si>
  <si>
    <t>van á invernar á Pisa. Cantoría , diócesis de Almería, 31 de Enero de 1800. D . Francisco Mateo de Ortega, Médico de numero de los Reales exérci-&gt; tos, y titular de esta villa, ha inoculado á 8 niños, desde edad de 10 meses hasta la de 5 años: todos salieron felizmente, aunque no precedió pre</t>
  </si>
  <si>
    <t>de Ortega, Juan</t>
  </si>
  <si>
    <t>Juan de Ortega</t>
  </si>
  <si>
    <t>: la de Oficial mayor de Contaduría de la administración principal de tabacos de la misma capital á D. Juan de Ortega: la de igual clase de la renta de aguardientes de Medellin á D. Manuel María de Elzaburu: la de Oficial mayor de la administración principal de aguardientes dé Ley va. á D. Joseph</t>
  </si>
  <si>
    <t>de Ortega, Luis Joseph</t>
  </si>
  <si>
    <t>Luis Joseph de Ortega</t>
  </si>
  <si>
    <t>a y D. Francisco de Gamez Laso de la Vega; á Tenientes de granaderos y cazadores á los de fusileros D. Luis Joseph de Ortega y D. Joseph Romero; á Tenientes de fusileros á los Subtenientes D. Francisco ^Xavier Noriega, D. Pedro Alcántara Roxas y Narvaez y D. Francisco Laso de la Vega , y á Subtenientes de g</t>
  </si>
  <si>
    <t>de Ortigosa, Ramón</t>
  </si>
  <si>
    <t>Ramón de Ortigosa</t>
  </si>
  <si>
    <t>gundo Teniente al Alrcrez D. Joseph María Cerralde: en el de Alcántara á primer Teniente ai segundo D. Ramón de Ortigosa: en el de España á primer Teniente ¿1 segundo D. Román Gavilanes; y en el de Carabineros de la Eeyna María Luisa á Portaestandarte al Cadete D. Antonio Pu'ig. En el de dragones de</t>
  </si>
  <si>
    <t>de Osores, Juan</t>
  </si>
  <si>
    <t>Juan de Osores</t>
  </si>
  <si>
    <t>s y cigarros de México á D Joseph Gallo: Guard-s de. las Factorías del tabaco de Oaxaca y Córdoba á D. Juan de Osores y D. Pedro de León: Escribano de esta ultima Factoría á D. Pedro, de la.Estrella: Administrador de dicha renta del partido de Coscomatepeque á D. Joseph María Fernandez; y para Guarda</t>
  </si>
  <si>
    <t>de Otañez, Domingo</t>
  </si>
  <si>
    <t>Domingo de Otañez</t>
  </si>
  <si>
    <t>ría de Ultonia, D. Ignacio Xavier de Colmenáres y D. Hilarión de Echavarría. De geometría elemental D. Domingo de Otañez y D. Francisco de Huarte. De trigonometría esférica y cosmografía D. Gaspar de Echavarría y D. Baltasar de Echavarría. En trigonometría plana, geometría práctica, aplicación del álgeb</t>
  </si>
  <si>
    <t>de Otondo, Pedro</t>
  </si>
  <si>
    <t>Pedro de Otondo</t>
  </si>
  <si>
    <t>laza de Fiscal del tribunal de la Contaduría mayor de Cuentas, que obtenía, al Contador de resultas D. Pedro de Otondo. En América. El Rey se ha dignado nombrar para la plaza de Ministró Contador de Real Hacienda del puerto de la Guayra á D. Joseph dé Alustiza’; y para igual empleo, que este dexa,</t>
  </si>
  <si>
    <t>de Ozores, Julián</t>
  </si>
  <si>
    <t>Julián de Ozores</t>
  </si>
  <si>
    <t>ros al Subteniente D. Juan Joseph de Fonseca: en el de Laredo Tenencia al Subteniente de granaderos D. Julián de Ozores; finalmente Subtenencias de bandera en el de Bada-joz á D. Francisco Becerra y Oribe y D. Joachín G-utierrez de Maldivia: en el de Alcira al Subteniente agregado D. Miguel Castell</t>
  </si>
  <si>
    <t>de Ozta y Cótera, Sebastián</t>
  </si>
  <si>
    <t>Sebastián de Ozta y Cótera</t>
  </si>
  <si>
    <t>s Piedras; y á Portaguiones al Portaguión agregado al mismo cuerpo D.. Antonio de Flon, y al Cadete D. Sebastian de Ozta y Cótera.. ' ' ~ Colección de tablas para varaos usos, de la navegación por I&gt;. Joseph-de Mend'oza Ríos * unr tomo eq folio.. Se vende en el despacho de la imprenta Real, y en ¿¿¿de 4guii?</t>
  </si>
  <si>
    <t>de Pablos, Pedro</t>
  </si>
  <si>
    <t>Pedro de Pablos</t>
  </si>
  <si>
    <t>brar para la Canongía de la catedral de Segovia, vacante por fallecimiento de D. Clemente Gascón, á D. Pedro de Pablos: pura otra de la misma, que se halla vacante por la promoción de D. Ramón Zorrilla al Arcedianato de Sepúlveda, á D. Francisco Ribero Medrnno: para la Ración de la Colegí.il de Xc</t>
  </si>
  <si>
    <t>de Palacio, Joseph Antonio</t>
  </si>
  <si>
    <t>Joseph Antonio de Palacio</t>
  </si>
  <si>
    <t>Burgos al lugar de Ocharan, un vale de 300 pesos, de i.° de Febrero , mim. 127 endosado á favor de D. Joseph Antonio de Palacio^ y habiéndose extraviado,quien supiese de éi le entregará en Bilbao á D. Andrés de Escondrülas, y en esta corte ¿t D. Manuel de Palacio y B.isualdo, del comercio, calle de Posras.</t>
  </si>
  <si>
    <t>de Palacio, Juan Fernando</t>
  </si>
  <si>
    <t>Juan Fernando de Palacio</t>
  </si>
  <si>
    <t>do Duran: ha nombrado Teniente de la compañía de infantería fixa de Motril en la costa de Granada á D. Juan Fernando de Palacio ; y ha concedido grados de Capitán de milicias provinciales á D. Toribio de Lamo y Gíiemes , Secretario de la Embaxada en Tutin, á D. Joachín de Onis, que ha sido Encargado de Neg</t>
  </si>
  <si>
    <t>de Palacio, Ramón</t>
  </si>
  <si>
    <t>Ramón de Palacio</t>
  </si>
  <si>
    <t>ale Real de 150 pesos de i¿/de Marzo, mím. *37,761,; cobrado en Madrid de la Tesorería de Juros por D. Ramón de Palacio, y endosado por este á favor del Conde de Mejorada, vecino de aquella ciudad. La persona en quien se hallare lo entregará á dicho Sr. Conde de Mejorada en Sevilla, ó al mismo D. R</t>
  </si>
  <si>
    <t>de Palacios, Diego</t>
  </si>
  <si>
    <t>Diego de Palacios</t>
  </si>
  <si>
    <t>s avisará'al mismo D. Agustín del/Arco,vde~Cárf:z Jgs, Spes. Cebriao y Martines, de Vajiencia., o á D. Diego de Palacios,t&lt;le iVÍacififi; A voluntad* de s s/dueños se vender’ una casa almacén de maderas en la"cabe del Limón, ia del Cbristo y Portillo/barrios ¿fe Guardias de Cbrps, señalado con el r.</t>
  </si>
  <si>
    <t>de Palacios, Juan</t>
  </si>
  <si>
    <t>Juan de Palacios</t>
  </si>
  <si>
    <t>Medios-Racionero D. Juan Cevaiíos. Igualmente en atención á la aptitud, méritos y circunstancias de Don Juan de Palacios, Contador ‘interino de diezmos dé la catedral de Cuzco, día venido S. M. en concederle la propiedad de dicho empleo con el sueldo de su dotación. &lt; \ L' Anales dé historia natural</t>
  </si>
  <si>
    <t>de Palafox y Croy, Antonio</t>
  </si>
  <si>
    <t>Antonio de Palafox y Croy</t>
  </si>
  <si>
    <t>enos efectos que en dicha ciudad habían producido las escudas patrióticas que el zelo del limo. Sr.-D. Antonio de Palafox y Croy habia fundado baxo la protección de la sociedad económica de aquella ciudad, pensó en igual establecimiento para remediar la falta de instrucción .en Jas primeras letras, que se e</t>
  </si>
  <si>
    <t>de Palafox, Joachín</t>
  </si>
  <si>
    <t>Joachín de Palafox</t>
  </si>
  <si>
    <t>para Galicia al Teniente General D. Francisco Xavier de N^egrete: para Navarra al de la misma clase D. Joachin de Palafox: para Guipúzcoa al Mariscal de Campo Marques de la Solana; y para., Aragón al de la misma clase D. Francisco Eguia, Gobernador de la plaza de Jaca. Para las islas de Mallorca y Ca</t>
  </si>
  <si>
    <t>de Palermo, Benito</t>
  </si>
  <si>
    <t>Benito de Palermo</t>
  </si>
  <si>
    <t>. Eí 16 de Octubre último murió en la ciudad de Sevilla, á los 38 años 7 meses y medio, el Exc. Sr. D. Benito de Palermo, Osorio, Orozco, Laso de la Vega &amp;c. Marques de Olias y Mortara, Duque de Ciudad Real,' Conde de Aramiyona &amp;c. Grande de España de primera clase: habiendo sido sepultado en su pan</t>
  </si>
  <si>
    <t>de Palma, Joseph</t>
  </si>
  <si>
    <t>Joseph de Palma</t>
  </si>
  <si>
    <t>avino Martínez y D. Manuel Esquer; y á segundos Subtenientes á los Sargentos primeros de granaderos D. Joseph de Palma y D.. Juan de Porras, y á los Cadetes D. Joachin Luzuriaga, D. Gaspar y D. Luis Pelegero, y D. Antonio Marín Fernandez. También ha conferido S. M. en el regimiento provincial de Chinc</t>
  </si>
  <si>
    <t>de Parada, Marcos</t>
  </si>
  <si>
    <t>Marcos de Parada</t>
  </si>
  <si>
    <t>iano titular de Cuenca, y Obispo electo de esta diócesis, D. Joachín de .León¿ B. Antonio IIoxas,y, D. Marcos de Parada , Señor de Mué 1 ve, Canónigos oe la misma, que pusiesen en execucion lo dispuesto según su última voluntad ; y en efecto han construido baxo la dirección del expresado Don Marcos</t>
  </si>
  <si>
    <t>de Paredes, Alexo</t>
  </si>
  <si>
    <t>Alexo de Paredes</t>
  </si>
  <si>
    <t>la Tesorería de la de Arequipa á D. Cipriano Villota: parada Canongía, que este dexa, al Racionero D. Alexo de Paredes: para esta Ración á D. Francisco Xavier Chinchilla Chiiana y Vilches?: para la Canongía de</t>
  </si>
  <si>
    <t>de Párraga, Joseph</t>
  </si>
  <si>
    <t>Joseph de Párraga</t>
  </si>
  <si>
    <t>de esta villa , se cita y emplaza á los acreedores que tengan derecho á los bienes concursados por D. Joseph de Párraga, difunto, que no hayan comparecido á legitimar sus créditos, para que lo executen ante dicho Señor y escribanía del número de D. Joachin-González de Castro, por sí ó procurador en</t>
  </si>
  <si>
    <t>de Paula Antonio, Francisco</t>
  </si>
  <si>
    <t>Francisco de Paula Antonio</t>
  </si>
  <si>
    <t>dad. Madrid 11 de Marzo. A yer se vistió la corte de gala con motivo del cumpleaños del Sr. Infante D. Francisco de Paula Antonio. Condescendiendo el Rey con la súplica que le ha hecho el Sr. D. Pedro de Silva, Capellán mayor del convento de la Encarnación de Madrid, ha venido en admitirle la renuncia que ha</t>
  </si>
  <si>
    <t>Madrid 4 de Abril. Antes de ayer se vistió la corte de gala con motivo de los días del Sr. Infante D. Francisco de Paula Antonio. El Key se ha servido promover á Sargento mayor del regimiento de Reales Guardias W alonas al Mariscal de Campo £). Joseph de Burean, Capitán de granaderos del mismo cuerpo. S. M.</t>
  </si>
  <si>
    <t>de Paula Bucareli, Francisco</t>
  </si>
  <si>
    <t>Francisco de Paula Bucareli</t>
  </si>
  <si>
    <t>para la Canongía de la metropolitana de Sevilla, vacante por fallecimiento de D. Joseph Barcena, á D. Francisco de Paula Bucareli: para otra de la catedral de León, vacante por fallecimiento de D. Joseph Xarainillo, á D. Juan Alvarez: para otra de la catedral de Tarazona, vacante por fallecimiento D. Juan Ig</t>
  </si>
  <si>
    <t>de Paula del Rey, Francisco</t>
  </si>
  <si>
    <t>Francisco de Paula del Rey</t>
  </si>
  <si>
    <t>Cádiz en la .de Pajares, y en Salamanca en la imprenta de Toxar, Reflexiones económico-políticas de D. Francisco de Paula del Rey , Abogado de los Reales Consejos,, y de los tribunales d¿&gt; Castilla, y ,de Navarra, sobre los capítulos 7 y, 38 del libró z déla obrain ti rulada Ciencia de la, legislación, esrcr</t>
  </si>
  <si>
    <t>nge, en Burgos en la de Revilla, y en Salamanca en la de Cuesta. Reflexiones económico políticas de D. Francisco de Paula del Rey , Abogado de los Reales Coi.sejos, y de los tribunales de Castilla y Navarra, sobre los capí-í tulos 7 y 38 del libro 2.0 de la obra intitulaba Ciencia de la legislación , escrita</t>
  </si>
  <si>
    <t>de Paula González, Francisco</t>
  </si>
  <si>
    <t>Francisco de Paula González</t>
  </si>
  <si>
    <t>ependencia de estas ; se ha dignado S. M. nombrar para el empleo de Ministro oticial Real de'ella á D. Francisco de Paula González, en atención á su mérito; y para la plaza de Oficial mayor á D. Andrés Duro. Un consideración á lo crecida y numerosa que es la renovación de los vales Reales de 150 y de 600 peso</t>
  </si>
  <si>
    <t>de Paula Joveilanos, Francisco</t>
  </si>
  <si>
    <t>Francisco de Paula Joveilanos</t>
  </si>
  <si>
    <t>por un eloqüente elogio, que pronunció el profesor de humanidades castellanas D. Juan Lespardat, de D. Francisco de Paula Joveilanos, Capitán de Navio de la Real Armada, y primer director que fue del Real Instituto. En los cinco dias siguientes exercitáron por mañana y tarde todos los alumnos que habían conclui</t>
  </si>
  <si>
    <t>de Paula Márquez, Francisco</t>
  </si>
  <si>
    <t>Francisco de Paula Márquez</t>
  </si>
  <si>
    <t>férez al Portaestandarte D. Joachin Salvador Izagúirre , y á esta resulta aí Cadete del de Santiago D. Francisco de Paula Márquez: en el de Alcántara á Ayudante al primer Teniente D. Mariano Sarrasqueta ; á esta resulta al primer Teniente agregado al de Calatrava D. Andrés Marín , y a Alférez al Portaestanda</t>
  </si>
  <si>
    <t>de Paula Martí, Francisco</t>
  </si>
  <si>
    <t>Francisco de Paula Martí</t>
  </si>
  <si>
    <t>xford, adaptado en Francia por Teodoro Pedro Bertin, y arreglado al uso de la lengua castellana por D. Francisco de Paula Martí , académico en la clase del grabado de la Real de S. Fernando. Este arte se compone de 14 estampas grabadas en dulce por mano del mismo autor para la mayor exactitud , las quales</t>
  </si>
  <si>
    <t>breviado siguiendo la palabra de un orador, ó la conversación de dos ó mas personas , publicada por Don Francisco de Paula Martí, acudirán á recoger la explicación impresa; y á los que quisieren comprar la Stercgrafia se Ies d¿rá con dicha explicación , sin alterar el precio de 16 rs. cada exemplar , en la</t>
  </si>
  <si>
    <t>y para hacer mas perceptibles las ideas se ha. adornado con 52 figuras en 13 estampas grabadas por D. Francisco de Paula Martí: 24 de dichas figuras corresponden al gesto, y 28 á la acción: y para hacerlas mas útiles,ofrecen estas últimas una colección de trages de varias nacio;nes antiguas y modernas. Su</t>
  </si>
  <si>
    <t>de Paula Mirafccte, Francisco</t>
  </si>
  <si>
    <t>Francisco de Paula Mirafccte</t>
  </si>
  <si>
    <t>7 Teniente al Alférez D. Ambrosio Foraster : en el de Alcántara á primeros Tenientes á ios serondos D. Francisco de Paula Mirafccte y 1). Bonifacio Martínez ; á Alférez al Portaestandarte D. Donato Ccbrian , y á Portaestandarte al Cadete D. Joseph Bacna : en el de España á Alférez ai Portaestandarte D. Pedro Cas</t>
  </si>
  <si>
    <t>de Paula Purcell, Francisco</t>
  </si>
  <si>
    <t>Francisco de Paula Purcell</t>
  </si>
  <si>
    <t>ranaderos D. Joseph Fuensaüda: en el de Plibernia á Subteniente de granaderos ai primer Subteniente D. Francisco de Paula Purcell: en el de Aragón á segundo Subteniente al Cadete D. Antonio Narvaez: eñ el de Extremadura á Ayudante al primer Teniente D. Antonio Falcon : en el de Málaga á segundo Subteniente a</t>
  </si>
  <si>
    <t>de Paula Zapata, Francisco</t>
  </si>
  <si>
    <t>Francisco de Paula Zapata</t>
  </si>
  <si>
    <t>ervido el Rey «romover á primer Teniente al segundo de granaderos, graduado de Te-' niente Coronel, D. Francisco de Paula Zapata; y en el de Reales Guardias Walonas á segundos Tenientes á los Alféreces D. Fernando de Roxas, Don Tayme Parella, D. Luis Vanausthoorn y D. Andrés ác Bassecourt, los dos ¿rimeros</t>
  </si>
  <si>
    <t>de Pazos, Diego</t>
  </si>
  <si>
    <t>Diego de Pazos</t>
  </si>
  <si>
    <t>arina al mando del Brigadier de la Real Armada D. Pedro Landa ,que llegó como el Capitán de Fragata D. Diego de Pazos á las alturas con los últimos socorros. Dichas tropas de primera línea atacaron con admirable serenidad ,unión y valor 2 las enemigas, obligándolas á abandonar con grande estrago</t>
  </si>
  <si>
    <t>de Peich, Bernardo</t>
  </si>
  <si>
    <t>Bernardo de Peich</t>
  </si>
  <si>
    <t>-¿ de Setiembre , cuyos números se ignoran , endosados el 9 de Marzo por D. Luis Lafosse á favor de D. Bernardo de Peich , y el dia iq por este á-D. Juato «te Mfcurens : y habiéndose extraviado, quien sepa de ellos avisará á dicho D.. Ramonr de Vialen Santander , ó á D. Guillermo Casterá, en Madrid,</t>
  </si>
  <si>
    <t>de Peñas, Manuel</t>
  </si>
  <si>
    <t>Manuel de Peñas</t>
  </si>
  <si>
    <t>noche del 26. Al amanecer del 27 dispuso que el batallón de voluntarios á la orden de su comandante D. Manuel de Peñas reconociese el campo, y lo halló abandonado por haberse embarcado el enemigo , el qual se hizo á la vela á las 6 de la tarde, habiendo abandonado en las playas de Cobas y de Doniñ</t>
  </si>
  <si>
    <t>de Peralta y Moya, Joseph Agustín</t>
  </si>
  <si>
    <t>Joseph Agustín de Peralta y Moya</t>
  </si>
  <si>
    <t>quieran hacer pretensión dirigirán sus memoriales al Ayuntamiento de la referida villa, por mano de Don Joseph Agustín de Peralta y Moya, Abogado de los Reales Consejos, Regidor por su estado noble , y comisionado para este efecto. y' Nueva edición del libro intitulado: Compendium latino-hispanum, utriusque linguae</t>
  </si>
  <si>
    <t>de Pifia y Ruiz, Juan</t>
  </si>
  <si>
    <t>Juan de Pifia y Ruiz</t>
  </si>
  <si>
    <t>n hacer proposiciones y enterarse de las condiciones acudán á la posada del Intendente de provincia D. Juan de Pifia y Ruiz, calle de la Salud , y escribanía de su juzgado y número de esta villa de D. Vicente de la Costa desde las 9 á las 11 de la mañana , en donde se admitirán las que se hicieren en e</t>
  </si>
  <si>
    <t>de Pina y Llanos, Blas</t>
  </si>
  <si>
    <t>Blas de Pina y Llanos</t>
  </si>
  <si>
    <t>da, Monterey y Tüy á D. Joseph Manuel Fernández Moreda, D. Blas de Pina y Llanos, D. Joseph María Casanova y D. Francisco de Barros. También ha nombrado S. M. Subteniente de las milicias urbanas de AIburquerque á D. Francisco Perez Heredero; y Subteniente de l</t>
  </si>
  <si>
    <t>de Plaza, Juan</t>
  </si>
  <si>
    <t>Juan de Plaza</t>
  </si>
  <si>
    <t>cia, de Jesús y Tamalameque; se ha servido nombrar para Ministro Oficial Real de la referida Caxa á D. Juan de Plaza, Oficial tercero de aquellas Gaxas matrices; y para Oficial mayor á D. Gonzalo García de Prado. Atendiendo el Rey á los méritos y servicios de D. Joseph Rengifo, Contador general</t>
  </si>
  <si>
    <t>de Posa, Joseph</t>
  </si>
  <si>
    <t>Joseph de Posa</t>
  </si>
  <si>
    <t>mismo Reyno y Administrador de todas rentas en el Padrón, á D. Joseph de Posa.dillo y Peñaredonda, Tesorero de rentas en la provincia de Toledo, y á D. Francisco González de Estéfani, Oficial de la Secretaría de la Real orden de Carlos III. En America. En e</t>
  </si>
  <si>
    <t>de Pote, Juan María</t>
  </si>
  <si>
    <t>Juan María de Pote</t>
  </si>
  <si>
    <t>Clonard; y en el de Reales Guardias W alonas a segundos Tenientes de granaderos á los de fusileros D. Juan Mana de Pote^, D. Alexandro de Coupigny, D. Agustín de Zurita y Adorno, gradi-do de Teniente Coronel, y I&gt;. Carlos Gravma. En el de infantería de Gr’-rnd 1 á m-imer Teniente al segundo de gran</t>
  </si>
  <si>
    <t>de Prado, Felipe</t>
  </si>
  <si>
    <t>Felipe de Prado</t>
  </si>
  <si>
    <t>ilva Berlanga y Tordesilías. También ha nombrado S. M. Teniente de las milicias urbanas de Tarifa á D. Felipe de Prado, Subteniente de las mismas; y ha concedido grados de Capitán de milicias provinciales á D. Joseph Rodrigo y D. Joseph Fita, destinados en calidad de Secretario y agregado á la Leg</t>
  </si>
  <si>
    <t>de Prados, Felipe</t>
  </si>
  <si>
    <t>Felipe de Prados</t>
  </si>
  <si>
    <t>i43 Ordenador D. Antonio Vázquez\ se advierte qué lo es D. Felipe de Prados, y el expresado Vázquez en cesación. Quien hubiese encontrado una carta de pago contra, la Tesorería general de una acción delKeal empréstito de 400 mil Iones á favor de D. Miguel</t>
  </si>
  <si>
    <t>de Prcux, Agustín</t>
  </si>
  <si>
    <t>Agustín de Prcux</t>
  </si>
  <si>
    <t>Ruperto Fer^ nandez Rádál; en el de Suifcos de Courteit a segundo Capitán ai teniente de granaderos D, Agustín de Prcux; a Tenientede granaderos al de -fusileros D. Joseph Jdachm Ferreyra; á Teniente de fusileros' al Subteniente de' ranaderos O, Joseph Inalbon; á Subteniente de granaderos al de fus</t>
  </si>
  <si>
    <t>de Preux, Antonio</t>
  </si>
  <si>
    <t>Antonio de Preux</t>
  </si>
  <si>
    <t>e Subteniente, D. Antonio Juárez : en el regimiento* süizo de Courten á Capitán secundo al Ayudante D. Antonio de Preux; á esta resulta al Teniente D. Carlos de Preux; á Teniente al Subteniente de granaderos D. Alexo de Bons/j á Subteniente de granaderos al de fusileros D. Luis Pignat, y á Subtenie</t>
  </si>
  <si>
    <t>de Preux, Carlos</t>
  </si>
  <si>
    <t>Carlos de Preux</t>
  </si>
  <si>
    <t>nto* süizo de Courten á Capitán secundo al Ayudante D. Antonio de Preux; á esta resulta al Teniente D. Carlos de Preux; á Teniente al Subteniente de granaderos D. Alexo de Bons/j á Subteniente de granaderos al de fusileros D. Luis Pignat, y á Subteniente de fusileros al Cadete D. Francisco Quarter</t>
  </si>
  <si>
    <t>de Prusia, Fernando (príncipe)</t>
  </si>
  <si>
    <t>Príncipe Fernando de Prusia</t>
  </si>
  <si>
    <t>pital, y emprenderá luego un viage por sus estados de Polonia y Silesia. El Príncipe Luis, hijo del Príncipe Fernando de Prusia, permanece todavía arrestado en el castillo de Magdeburgo. La causa de su castigo fué haber dexado su guarnición sin licencia del Rey para ir á Hamburgo, en donde se detuvo sin em</t>
  </si>
  <si>
    <t>s generales; y ha promovido á Sargento mayor del regimiento de Louich al Príncipe Augusto, hijo del Príncipe Fernando de Prusia, que, era Capitán en dicho cuerpo. Fueron en este año muy brillantes las revistas de Potsdam y de Berlín. En las de esta ciudad había 25 batallones y otros tantos esquadrones. Se</t>
  </si>
  <si>
    <t>de Prusia, Henrique (príncipe)</t>
  </si>
  <si>
    <t>Príncipe Henrique de Prusia</t>
  </si>
  <si>
    <t>Braiidenburgo, que se ha tenido en aquella ciudad, ha creado entre otros caballeros de. la orden al Príncipe Henrique de Prusia , hermano segundo del Rey, al Príncipe Luis de Hesse-Darmstadt, y al Príncipe Carlos de Meklemburgo-Schwerin. Procedió luego á elegir un. Coadjutor del Graa Maestre, y recayó la.</t>
  </si>
  <si>
    <t>de Prusia, Luis (príncipe)</t>
  </si>
  <si>
    <t>Príncipe Luis de Prusia</t>
  </si>
  <si>
    <t>o absolutamente, y baxo graves penas, destilar aguardiente de granos. Uamburgo 20 de Febrero. : E 1 Príncipe Luis de Prusia, que ha pasado parte del invierno en esta ciudad, en donde hacia mucho gasto, recibid el dia 18 una orden del Rey para que inmediatamente fuese á Magdeburgo. Traxo la orden un Cor</t>
  </si>
  <si>
    <t>nos emigrados en Curlandia, y otros muchos echados de aquel país. El Rey se opone al matrimonio del Príncipe Luis de Prusia con la hija del Duque de Curlandia; y ahora se asegura que la casarán con el Príncipe Luis de Rohan, emigrado francés. Un voraz incendio reduxo el día 20 á cenizas en Hohcnofen ,</t>
  </si>
  <si>
    <t>de Puga y Isabel de Almir, Alonso</t>
  </si>
  <si>
    <t>Alonso de Puga y Isabel de Almir</t>
  </si>
  <si>
    <t>te á la capellanía memoria de misas que en la iglesia parroquial de S Mieuel de esta corte fundáron D. Alonso de Puga y Doña Isabel de Almir, «ira ¿n la calle de S. Isidro , barrios de S. Francisco , num. 6 , manz. ni , que comprehende 379*! pies quadrados superficiales de sitio , y se compone de dos quartos bazos y un</t>
  </si>
  <si>
    <t>de Qu, Vicente</t>
  </si>
  <si>
    <t>Vicente de Qu</t>
  </si>
  <si>
    <t>eales Guardias Waíonas se ha servido promover el Rey á Alféreces á los Cadetes D. Joseph Salomony , D. Vicente de Qu esada, D. Fernando Hoscoso, D. Luis Genzaga Villena y D. Antonio Desmaisieres. En el de infantería de la Princesa á segundo Subteniente al Cadete D. Pedro Gramberg: en el de Hiberni</t>
  </si>
  <si>
    <t>de Quevedo Villegas, Francisco</t>
  </si>
  <si>
    <t>Francisco de Quevedo Villegas</t>
  </si>
  <si>
    <t>. Francisco Milizia; y traducida por D J. F. O. == Juguetes de la niñez y travesuras del ingenio de D. Francisco de Quevedo Villegas. = Historia y vida del Gran Tacaño, por el mismo: á 6 rs. en pergamino y 8 en pasta. Véndense en la librería de Castillo, frente á las gradas de S. Felipe el Real; en la de Cerro,</t>
  </si>
  <si>
    <t>z, carrera de S. Gerónimo, casa de Italianos, y en la de Campo, calle de Alcalá. Obras escogidas de D. Francisco de Quevedo Villegas, a.* edición. Creyendo que una colección de las obras en que se conoce mejor el genio y carácter de este autor no podía menos de ser agradable y útil al público, así por lo singul</t>
  </si>
  <si>
    <t>de Quijano y Cordero, Ventura</t>
  </si>
  <si>
    <t>Ventura de Quijano y Cordero</t>
  </si>
  <si>
    <t>istrador particular de la renta de aguardientes de la ciudad de Tunja, en el expresado Vireynato, á D. Ventura de Quijano y Cordero: para las administraciones de rentas de Hapa, Moncova y Xamiltepec , en el Reyno de Nueva España, á D. Alanuel de Orive, D. Tomas de Florez y D. Pedro Antonio Luzaeta y Zííñiga: p</t>
  </si>
  <si>
    <t>de Rarandiaran, Francisco Antonio</t>
  </si>
  <si>
    <t>Francisco Antonio de Rarandiaran</t>
  </si>
  <si>
    <t>a casa de D. Andrés Frayle; en Santander á la del Conde del Campo de Giro 5 en S. Sebastian á la de D. Francisco Antonio de Rarandiaran , y en Madrid á la de los Sres. Peña y Aramburu, calle Imperial. Quien quisiere hacer postura á una casa de la carrera de S. Francisco núm. 2, manzana 122 , tasada en 163,166 rs.,</t>
  </si>
  <si>
    <t>de Reitzenstein, Barón</t>
  </si>
  <si>
    <t>Barón de Reitzenstein</t>
  </si>
  <si>
    <t>cdenciales: ciud. Jenner , Ministro plenipotenciario actual de dicha República: Barón de Reitzenstein, Ministro plenipotenciario de Badén: ciud. Bocardi, Ministro plenipotenciario^ de la República liguriana : Mr. Manthey, Encargado de negocios, de Dinamarca: Mr. Kopp j Encargado de negocios</t>
  </si>
  <si>
    <t>de Rendon, Domingo Manuel</t>
  </si>
  <si>
    <t>Domingo Manuel de Rendon</t>
  </si>
  <si>
    <t>, en 181,612. Otra calle de la Botica , de id. en 300,373. Otra en la misma calle, del patronato de D. Domingo Manuel de Rendon , en 252,658. Otra calle de la Compañía, del patronato de D. Pedro de la Torre ,/en 304,948. Otra id. en 319.300. Otra en la plazuela de la nueva Catedral , del patronato de Doña</t>
  </si>
  <si>
    <t>de Répide, Juan</t>
  </si>
  <si>
    <t>Juan de Répide</t>
  </si>
  <si>
    <t>. Quien quisiere hacer postura acuda ante el mismo Sr. Juez por la escribanía del número á cargo de D. Juan de Répide, que st le admitirá siendo arreglada. Ante el Sr. Juez D. Pedro González Calderón, Teniente Corregidor de esta villa , y escribanía del número de D. Casimiro Antonio Gómez, se est</t>
  </si>
  <si>
    <t>de Repide, Juan</t>
  </si>
  <si>
    <t>Juan de Repide</t>
  </si>
  <si>
    <t>de la Espada, núm. 12, manz. gg , tasada en 67,894 rs., acuda á la escribanía del número que exerce D. Juan de Repide. Vida histórica de S. Fernando el III, Rey de Castilla y León, protector de la Real brigada de Carabineros; escrita por D. Alonso Nufiez de Castro , Coronista de S. M.: un tomo en</t>
  </si>
  <si>
    <t>tasado en 2003 rs.. 24 mrs. Quien quisiere hacer postura acuda á la escribanía de número que exerce D. Juan de Repide, que se le*, admitirá siendo arreglada. , Por providencias del Sr. D.. Pedro González Calderón se, subastan 4 casas en esta' corte : una-sita en la plazuela de Afligidos, y- vuelv</t>
  </si>
  <si>
    <t>r postura á las expresadas tierras ó á alguna de ellas acuda á Ja escribanía del numero que regenta D. Juan de Repide. &gt; A virtud de providencia del misma Sr. D. Juan Antonio se han mandado sacar á pública subasta tres casas: dos calle de Valverde ,'una señalada con el número 31, manz. 34(5, que</t>
  </si>
  <si>
    <t>45,404 rs. , y dan por ella la misma cantidad en vales Reales , acuda á la escríbanla del número de D. Juan de Repide } advirtiéndose que para su remate está señalado el dia 14 de este mes á las 12 en la audiencia del Sr. D. Pedro González Calderón , Teniente Corregidor de esta villa. Fincas enag</t>
  </si>
  <si>
    <t>" iií7, que comprehende pies, y está tasada en 65,484 rs. aci da á la esr.riirg.flia del número, de D. Juan dé Repide, que se le admitirá siendo arre.g'ada. J Iccionariq bíblico universal para inteligencia de la sagrada Escritura, y prinCÍp3Írúente para uso de la traducción castellana de la Bibli</t>
  </si>
  <si>
    <t>s, y está tasada en 419,951,rs. 30 mrs., acuda a i a escribanía de número de esta villa, que exerce D. Juan de Repide. Finías enagenables. Obispado de Tarazona. Alfaro: una heredad en el término. AnViejámila, de 10 fanegas de tierra, perteneciente á la capellanía colativa fundaacJa. por Doña Marí</t>
  </si>
  <si>
    <t>D. Juan Antonio Santa María, Teniente Corregidor de esta villa, y escribanía del número que exerce D. Juan de Repide, se están subastando diferentes tierras en término de los lugares de Ambroz y CcsJ&amp;da. Una en término de Ambroz junto al pozo de la nieve, de 3 fanegas, 9 celemines y 23 estadales</t>
  </si>
  <si>
    <t>de Resa, Francisco</t>
  </si>
  <si>
    <t>Francisco de Resa</t>
  </si>
  <si>
    <t>esos por los austríacos sin mas causa. r Valdeolivas, obispado de Cuenca, 13 de Julio. C ofiociendo D. Francisco de Resa, Canónigo que fué de ía catedral de Cuenca, ios buenos efectos que en dicha ciudad habían producido las escudas patrióticas que el zelo del limo. Sr.-D. Antonio de Palafox y Croy</t>
  </si>
  <si>
    <t>de Retóla, Agustín</t>
  </si>
  <si>
    <t>Agustín de Retóla</t>
  </si>
  <si>
    <t>ia de Setiembre último remitió D. Francisco de las Barreras, vecino y del comercio de esta corte, á D. Agustín de Retóla, Administrador de Temporalidades de Azpeytia, dos vales Reales de igo pesos, creación de ig de Setiembre, con endoso al referido D. Agustín de Retóla, números 178,22$ y 194,383, l</t>
  </si>
  <si>
    <t>de Reyes, Pedro</t>
  </si>
  <si>
    <t>Pedro de Reyes</t>
  </si>
  <si>
    <t>e de cazadores D. Joseph Feixoo: en el de Ronda la Tenencia y Subtenencia de granaderos al Teniente D. Pedro de Reyes y al Subteniente Don Francisco del Cozar: en el de Betanzos la Tenencia de granaderos al Teniente D. Benito de Castro*, en el de Pontevedra Tenencia al Subteniente D. Fernando de la</t>
  </si>
  <si>
    <t>Capitán de fusileros, graduado de Teniente Coronel, D. Fernando Espinosa; Compañía, de fusileros á D. Pedro de Reyes, Teniente de granaderos; esta resulta al Teniente de fusileros, graduado de infantería, D.,Nicolás Rendoro; Tenencias de fusileros al Subteniente de cazadores D. Christóbai Gonzál</t>
  </si>
  <si>
    <t>de Reyna, Francisco</t>
  </si>
  <si>
    <t>Francisco de Reyna</t>
  </si>
  <si>
    <t>Diego del Barco, Di Gabriel de Torres , D. Manuel Saenz Ramírez, D. Francisco de Hore é Iturralde, D. Francisco de Reyna, D. Manuel Domínguez y D. Félix Castillo. El Rey se ha servido promover á Ayudantes de Ingenieros de sus cxércitos, plazas y fronteras á D. Luis Veyán y D. Juan Azpiroz, segundo T</t>
  </si>
  <si>
    <t>de Rez, Alexandro</t>
  </si>
  <si>
    <t>Alexandro de Rez</t>
  </si>
  <si>
    <t>Comandantes accidentales de los Regimientos de infantería de León.y Toledo; al Ingeniero ordinario D. Alexandro de Rez, y al Teniente del de infantería de León D. Antonio Nuñez, que les sirva de castigo el arresto que han sufrido* - v</t>
  </si>
  <si>
    <t>de Rezustay Goicoechea, Joseph</t>
  </si>
  <si>
    <t>Joseph de Rezustay Goicoechea</t>
  </si>
  <si>
    <t>y Navarro , D. Joachín de Rivas y Lana, I&gt;. \ ictoruno García Valdés, D. Juan de Vedia y González, D. Joseph de Rezustay Goicoechea, D. Pascual del Cañizo y Pareja , D. Dionisio Capaz Renden , D. Christóbal de Torres y Venegas , D. Manuel de Cárdenas y Osorio, D. Manuel Diqz y Martínez, D. Joachín de Irías y A</t>
  </si>
  <si>
    <t>de Ribas, Antonio María</t>
  </si>
  <si>
    <t>Antonio María de Ribas</t>
  </si>
  <si>
    <t>e ha servido conferir la pinza de Contaoor de Cuentas de nueva creación del tribunal de Goatemuia a D. Antonio Mana de Ribas. . it»* ai - Habiendo dado á luz Joseph a López, muger de Manuel Ruiz Alonso, vecino de la villa de Poza, distante 8 leguas de la ciudau ce Lingos, un monstruo birorme en la t.rde</t>
  </si>
  <si>
    <t>de Ribas, Manuel</t>
  </si>
  <si>
    <t>Manuel de Ribas</t>
  </si>
  <si>
    <t>pestes, mi ni. 137$ , creación de 1$ de Julio, sobre canales y acequias del reyno, dado á favor de D. Manuel de Ribas, de aquella vecindad, y sin mas endoso. Quien supiere de él avisará á dicho interesado. Vida , milagros y doctrina de S. Vicente Ferrer, con la canonización, tras* elaciones de su</t>
  </si>
  <si>
    <t>de Richelieu, Duque</t>
  </si>
  <si>
    <t>Duque de Richelieu</t>
  </si>
  <si>
    <t>s satisfacciones que ha pedido. Han sido depuestos de sus empleos los Tenientes Generales Duque de Richelieu y Príncipe Meschitscherskoi, los Generales Schutz, Wvangel y Knorring, los Mayores generales Dolgouruckow y Juccate, y otros Generales y Coroneles. A todos se les permite usar el uniforme</t>
  </si>
  <si>
    <t>de Rico, Joseph Juan</t>
  </si>
  <si>
    <t>Joseph Juan de Rico</t>
  </si>
  <si>
    <t>Subteniente de granaderos al primer Subteniente Don Tomas Perez; y á primer Subteniente al segundo D. Joseph Juan de Rico: en el de la Princesa á Capitán al Ayudante D. Francisco Corrales; á Ayudante al primer Teniente D. Joseph Ximenez ; á primeros Tenientes á los segundos de granaderos D. Domingo Q</t>
  </si>
  <si>
    <t>de Ripa, Miguel</t>
  </si>
  <si>
    <t>Miguel de Ripa</t>
  </si>
  <si>
    <t>dra el 16 de Abril último, se repartieron en junta general de 18 del propio mes premios en dinero á D. Miguel de Ripa , D. Rafael Crespo, D. Vicente Royo, D. Francisco Rimont, D; Juan Antonio Ochotarena y D. Antonio Seta; y á D. Mariano Herrando un libro del Jardinero instruido, enquadernado en p</t>
  </si>
  <si>
    <t>de Rivacova, Joachín</t>
  </si>
  <si>
    <t>Joachín de Rivacova</t>
  </si>
  <si>
    <t>s á los ordinarios D. Manuel Feliu y D. Alexandro De-Retz; y á Ingeniero extraordinario al Ayudante D. Joachín de Rivacova. S. Al. se ha servido promover á Portaestandarte en el regimiento de carabineros de la Rey na María Luisa al Sargento D. Manuel de Mora: á segundo Teniente y á Alférez en el de ca</t>
  </si>
  <si>
    <t>de Rivas y Lana, Joachín</t>
  </si>
  <si>
    <t>Joachín de Rivas y Lana</t>
  </si>
  <si>
    <t>l, D. Juan Miguel Pareja y Mariscal, D. Ramón de Bustamante y V elez, D. Antonio García y Navarro , D. Joachín de Rivas y Lana, I&gt;. \ ictoruno García Valdés, D. Juan de Vedia y González, D. Joseph de Rezustay Goicoechea, D. Pascual del Cañizo y Pareja , D. Dionisio Capaz Renden , D. Christóbal de Torres y</t>
  </si>
  <si>
    <t>de Roa, Lucas Joseph</t>
  </si>
  <si>
    <t>Lucas Joseph de Roa</t>
  </si>
  <si>
    <t>lería; y para la Fiscalía del crimen de la misma Audiencia de Sevilla, vacante por fallecimiento de D. Lucas Joseph de Roa, al primer Teniente de Asistente de aquella ciudad D. Antonio Fernandez Soler, pasando á la de Jo civil D. Joseph Hevia y Noriega, que acababa de ser electo para la del crimen. As</t>
  </si>
  <si>
    <t>de Robledo, Joseph</t>
  </si>
  <si>
    <t>Joseph de Robledo</t>
  </si>
  <si>
    <t>al Sargento primero, graduado de Subteniente, D. Manuel\ico, y al Cadete de la compañía de Getares D. Joseph de Robledo: en el de Zaragoza á segundo Subteniente al Cadete D. Ramón de Cfuells: en el de ;Toledo á Capitán de granaderos al de fusileros I). Antonio Hermosilla: en el de Mallorca á segund</t>
  </si>
  <si>
    <t>de Rohan, Luis (príncipe)</t>
  </si>
  <si>
    <t>Príncipe Luis de Rohan</t>
  </si>
  <si>
    <t>ríncipe Luis de Prusia con la hija del Duque de Curlandia; y ahora se asegura que la casarán con el Príncipe Luis de Rohan, emigrado francés. Un voraz incendio reduxo el día 20 á cenizas en Hohcnofen , cerca de Neustadt, 24 casas, una iglesia, el colegio y otros establecimientos públicos. Augs burgo 3</t>
  </si>
  <si>
    <t>de Romree, Carlos</t>
  </si>
  <si>
    <t>Carlos de Romree</t>
  </si>
  <si>
    <t>mayor D.Ignacio de Ezterripa y al primer Teniente Je granaderos D. Carlos de Romree. En el de infantería del Rey á Ayudante al primer Teniente D. Miguel Zapiain ; á primer Teniente al segundo de granaderos D. Tomas Butler; á segundo Teniente de granaderos al de f</t>
  </si>
  <si>
    <t>de Roo, Joseph</t>
  </si>
  <si>
    <t>Joseph de Roo</t>
  </si>
  <si>
    <t>nta María de la ciudad de Ecija, arzobispado de Sevilla, vacante por muerte de D. Antonio García, á D. Joseph de Roo, con la obligación de precisa y personal residencia, conforme al plan beneficial que rige en aquel arzobispado. El Rey ha conferido el Corregimiento de la ciudad de Huesca, vacant</t>
  </si>
  <si>
    <t>de Rosemberg, Príncipe</t>
  </si>
  <si>
    <t>Príncipe de Rosemberg</t>
  </si>
  <si>
    <t>xefe el exército del Emperador, y baxo sus órdenes el Feld-Mariscal Lauer, Los Generales Príncipe de Rosemberg, Príncipe de Reuss, los dos Príncipes de Lorena, y Mrs. de NauendorfF, Klinglin, Lindenau, Bolza y Sporck se retiran de dicho exército; y altíreneral Starray l</t>
  </si>
  <si>
    <t>de Roxas, Fernando</t>
  </si>
  <si>
    <t>Fernando de Roxas</t>
  </si>
  <si>
    <t>Francisco de Paula Zapata; y en el de Reales Guardias Walonas á segundos Tenientes á los Alféreces D. Fernando de Roxas, Don Tayme Parella, D. Luis Vanausthoorn y D. Andrés ác Bassecourt, los dos ¿rimeros de granaderos. En el de infantería de Africa á Capitán al Ayudante D. Isidoro Gutiérrez Palaci</t>
  </si>
  <si>
    <t>de Roxas, Joseph</t>
  </si>
  <si>
    <t>Joseph de Roxas</t>
  </si>
  <si>
    <t>a, á D. Mariano de Aguilera. En atención á los. méritos y dilatados buenos servicios contraídos por D. Joseph dé Roxas en eJ gobierno' de las- minas del Almadén, ha venido el Rey en concederle plaza efectiva de capa y espada en. el supremo» Consejo de las Indias, con el sueldo de su dotación.</t>
  </si>
  <si>
    <t>de Roxas, Joseph María</t>
  </si>
  <si>
    <t>Joseph María de Roxas</t>
  </si>
  <si>
    <t>y á primeros Tenientes en el de voluntarios de España al segundo Teniente agregado al propio cuerpo D. Joseph María de Roxas, y al de la misma clase en él Don Ramón Queipo de Llano. Por fallecimiento de D. Juan Vicente Cuervo ha conferido el Rey la plaza de Fiscal del tribunal de la Contaduría mayor de</t>
  </si>
  <si>
    <t>de Roxas, Julián</t>
  </si>
  <si>
    <t>Julián de Roxas</t>
  </si>
  <si>
    <t>a el Arciprestazgo del valle de Valdegovia , en la diócesis de Burgos, vacante por fallecimiento de D. Julián de Roxas, á D. Tomas Magano. El Rey se ha servido promover á Teniente Coronel del regimiento de Reales Guardias Walonas al Teniente General D. Pedro Fort de St. Maurin, Sargento mayor del</t>
  </si>
  <si>
    <t>de Rozas y Negrete, Simón</t>
  </si>
  <si>
    <t>Simón de Rozas y Negrete</t>
  </si>
  <si>
    <t>os Sres. del Real Consejo de Hacienda en Sala de Justicia, por la escribanía de Cámara»del cargo de D. Simón de Rozas y Negrete , en el término de tres meses , con apercibimiento de que pasados sin haber comparecido les par-ará el perjuicio que haya lugar. Los hijos del dolor de María Santísima ocupados en</t>
  </si>
  <si>
    <t>de Rueda y León, Matías</t>
  </si>
  <si>
    <t>Matías de Rueda y León</t>
  </si>
  <si>
    <t>toria, y la cantidad de las sílabas: 2.0 los análisis de las gramáticas de Galmace y Chantreau: por D. Matías de Rueda y León, presbítero, y autor de la Gramática española para uso de los franceses, tan aplaudida en Francia. Esta obra encierra un nuevo plan de gramática general, el qual se desentrañará c</t>
  </si>
  <si>
    <t>a de exemplares que se le entregó de la Gramática española para uso de los franceses, compuesta por D. Matías de Rueda y León , presbítero, y anunciada en la gazeta de 6 de Diciembre último; y no pudiendo por consiguiente satisfacer á los muchos que han acudido á pedirla , avisa que se halla con otra par</t>
  </si>
  <si>
    <t>de Rújula, Juan Félix</t>
  </si>
  <si>
    <t>Juan Félix de Rújula</t>
  </si>
  <si>
    <t>perintendencia general de los archivos de las Ordenes de Santiago, Calatrava, Alcántara y Montesa á D. Juan Félix de Rújula, Cronista y Rey de Armas de número de S. M. S. M. se ha servido nombrar para la vara de Alcalde mayor del Gobierno de la villa y partido de Villanueva de la Serena, territorio de</t>
  </si>
  <si>
    <t>de Saavedra, Manuel María</t>
  </si>
  <si>
    <t>Manuel María de Saavedra</t>
  </si>
  <si>
    <t>roquia de Sta. Bárbara de la ciudad de Ecija, arzobispado de Sevilla, Don Buenaventura Barradas , á D. Manuel María de Saavedra; y para otro servidero de la de S. Boal de la ciudad de Salamanca, vacante por fallecimiento de D. Francisco López, á D. Pedro Paz, con obligación de residir-' lo por sí mismo. En</t>
  </si>
  <si>
    <t>de Salas, Juan</t>
  </si>
  <si>
    <t>Juan de Salas</t>
  </si>
  <si>
    <t>dignado el Rey promover á Teniente Coronel al Comandante del tercer batallón, graduado de Coronel, D. Juan de Salas; á Comandante del tercer batallan al Capitán de granaderos, graduado de Teniente Coronel, Don</t>
  </si>
  <si>
    <t>de Salas, Manuel</t>
  </si>
  <si>
    <t>Manuel de Salas</t>
  </si>
  <si>
    <t>ignado S. M. nombrar para el empleo de Visitador de la factoría de tabacos del partido de Gracias á D. Manuel de Salas: para el de Fiel de almacenes de la de los Llanos, Reyno de Goatemala, á D. Francisco Santiago López: para el de Oficial mayor de la contaduría de la factoría de la renta del taba</t>
  </si>
  <si>
    <t>de Salazar y Valle, Pedro</t>
  </si>
  <si>
    <t>Pedro de Salazar y Valle</t>
  </si>
  <si>
    <t>de Arizaga y Vázquez. En 2.a fecha. D. Horacio Publicóla y Santa Croce , D. Juan de Vera y Saurín, D. Pedro de Salazar y Valle, D. Felipe Esteiler y Febrer,D. Joseph del Viso y Roxas,D. Francisco Perez de Grandallana y Fontecha, D. Benito Gijon y Rósalas, D. Pedro Caamaño y Romero, D. Miguel de Valenzuela</t>
  </si>
  <si>
    <t>de Salignac de la Mote Fénelon, Francisco</t>
  </si>
  <si>
    <t>Francisco de Salignac de la Mote Fénelon</t>
  </si>
  <si>
    <t>manca en ca¿a de Alegría. Tratado de la educación de las hijas, escrito en francés por el Timo. Sr. D. Francisco de Salignac de la Mote Feneion , Arzobispo de Cambray; traducido por D. Remigio Asensio, presbítero. Se hallará en la librería de Dávila, calle de las Carretas , junto a la’imprenta’Real. Investigación, de la n</t>
  </si>
  <si>
    <t>de Sampelayo, Manuel</t>
  </si>
  <si>
    <t>Manuel de Sampelayo</t>
  </si>
  <si>
    <t>año , núm. $2,973. Quien supiese de ellos avisará en Málaga $ D, Christpfcai Crucet, y en Madrid á D. Manuel de Sampelayo, En la gazeta de 28 de Octubre dé 1796, mím. 87, se dió noticia de que Don Manuel Blanco habia fallecido en la ciudad de los Reyes del Perú, baxo el poder para testar que otorgó e</t>
  </si>
  <si>
    <t>dro Vincenti, D. Luis Fernandez Gonzalo del Rio, Caballero de la distinguida Orden de Carlos III, y D. Manuel de Sampelayo* Las personas que quisieren interesarse en esta rifa acudirán á recoger lo$ billetes á dicho precio de cinco reales en los puestos que se indicarán por los Aministradores de cada</t>
  </si>
  <si>
    <t>de San de y Mesa, Francisco</t>
  </si>
  <si>
    <t>Francisco de San de y Mesa</t>
  </si>
  <si>
    <t>dre, y luego sucedió en él D: Francisco de Sandi y Doña Ana de Mesa , y por muerte de estos su hijo D. Francisco de San de y Mesa: para que en el término de 15. dias acudan ante el Sr. D Juan Antonio Santa María, Caballero de la Real orden de Carlos III , del Consejo de S. M., Teniente Corregidor de esta vil</t>
  </si>
  <si>
    <t>de San Martín, Cárlos</t>
  </si>
  <si>
    <t>Cárlos de San Martín</t>
  </si>
  <si>
    <t>mbrar para la Dignidad de Maestrescuela de la metropolitana deChárcas, vacante por fallecimiento de Don Cárlos de San Martin, á D. Joseph Suero González: para la Canongía, que este dexa, al Racionero D. Francisco Antonio de Areta: para esta Ración al Medio-Racionero D. Alberto Illanes Camaño; y para la</t>
  </si>
  <si>
    <t>de San Martín, Joseph Ignacio</t>
  </si>
  <si>
    <t>Joseph Ignacio de San Martín</t>
  </si>
  <si>
    <t>á que esta hecha postura en 36,944 rs.:—Al patronato que fundó en la parroquial de S. Ilde-. fonso D. Joseph Ignacio de San Martin pertenecen una haza erj el sitio de las Casas, que renta 176 rs,.—,Una huerta en el sitio de los Tejares, renta; 220 rs.Otra en el Puente de Tablas, renta 264 rs._.Y un olivar en</t>
  </si>
  <si>
    <t>de San Pedro Ordoñcz, Manuel</t>
  </si>
  <si>
    <t>Manuel de San Pedro Ordoñcz</t>
  </si>
  <si>
    <t>elipe de la Bodega: para otra de la de Santander, vacante por fallecimiento de D. Felipe Collado, á D. Manuel de San Pedro Ordoñcz , Cura mas antiguo de la misma: para otra de la de Ciudad-Rodrigo, vacante por fallecimiento de D. Blas Rodríguez, á D. Manuel Criado: para otra de la colegial de Talayera de la R</t>
  </si>
  <si>
    <t>de San Pedro, Diego</t>
  </si>
  <si>
    <t>Diego de San Pedro</t>
  </si>
  <si>
    <t>urso respectivo. El primer premio de dibuxo se adjudicó á D. Manuel Martínez Marina, y el segundo á D. Diego de San Pedro. Los premios distribuidos en ámbos certámenes fueron para matemática, exemplares del Curso abreviado de D. Benito Bails y de Ja Aritmética del Clairaut con las ilustraciones de La</t>
  </si>
  <si>
    <t>de San Pedro, Pablo Nicolás</t>
  </si>
  <si>
    <t>Pablo Nicolás de San Pedro</t>
  </si>
  <si>
    <t>so Bernardo Rivero y Larrea: para una Canongía de la catedral de Orihucla, vacante por promoción de D. Pablo Nicolás de San Pedro á otra de Ja santa Iglesia de Toledo, á D. Juan Francisco Martínez de Ilervas: para otra de la misma catedral, vacante por fallecimiento de Don Joachín del Barco, á D. Antonio Mar</t>
  </si>
  <si>
    <t>de San, Tomás</t>
  </si>
  <si>
    <t>Tomás de San</t>
  </si>
  <si>
    <t>. Pedro González .Calderón, Teniente Corregidor (fe-esta villa, y .por da .escribanía del número de D Tomas de San» cha y Prado por término de 30 días. Habiéndose cumplido los 30 dias de la subasta del corral, casita y tierra contigua, propias del ¡Banco Nacipnarl de S.Cários, en el sitio de J</t>
  </si>
  <si>
    <t>de Sancha y Prado, Tomás</t>
  </si>
  <si>
    <t>Tomás de Sancha y Prado</t>
  </si>
  <si>
    <t>r la audiencia del Señor Teniente Corregidor D. Pedro González Calderón, y escribanía del número de D. Tomas de Sancha y Prado , se ha sacado á subasta una casa sita calle de S. Míreos , esquina á la de la Libertad de ésta corte, señalada con el mim. i.° de la manzana 30Ó , propia de las memorias de D. Ma</t>
  </si>
  <si>
    <t>II , del Consejo de S. M., Teniente Corregidor de esta villa , y escribanía de su número que exerce D, Tomas dé Sancha y Prado , á justificar su acción, y percibir el capital que se halla depositado. D. Vicente Mexía de Tovar, catedrático de primeras letras en la villa del Tomillos© ,. provincia de la Man</t>
  </si>
  <si>
    <t>onas que quieran hacer postura á ella acudan en el término de 20 dias á la escribanía del número de D. Tomas de Sancha y Prado. Relación de las tínicas fincas de raíz en Ciudad-Rodrigo, que pertenecen á los establecimientos píos que se expresan, con manifestación de las cantidades en que están tasadas y s</t>
  </si>
  <si>
    <t>arios. Quien quisiere hacer postura á ella acuda ante dicho Sr. Teniente y escribanía del número de D. Tomas de Sancha y Prado, A virtud de providencias del Sr. D. Pedro González Calderón se han mandado sacar á pública subasta dos casas: una en la calle de la Madalena alta, núm. 7, manz. 470, que contiene</t>
  </si>
  <si>
    <t>tado termino* Por la audiencia del mismo Sr. D. Juan Antonio Santa Mana, y escriban,* del número de D. Tomas de Sancha y Prado, se ha mandado subastar una casa fi voluntad del poseedor de cierto patronato á que corresponde , sita en los barrios de la plazuela de Antón Martin , calle de S. Juan , num. 1 ,</t>
  </si>
  <si>
    <t>a. ' Por la audiencia del propio Sr. D. Pedro González Calderón , y escribanía de número que exerce D. Tomas de Sancha y Prado, se ha sacado á subasta por término de 30 dias una casa sita calle de Toledo, núm. 6, manz. 144, perteneciente á la memoria de Juan Talavera} compone 1230 pies quadrados de sitio,</t>
  </si>
  <si>
    <t>á dicha escribanía. Por la audiencia del Sr. D. Pedro González Calderón, y escribanía del número de D. Tomas de Sancha y Prado, se ha sacado á subasta por término de 30 dias una casa sita calle déla Madera alta, núm. 3, manz. 4Ó3, perteneciente á la memoria de Doña María de Aguilar , tasada en 31,781 rs.</t>
  </si>
  <si>
    <t>orriente desde las doce á la una en la audiencia del Sr. D. Pedro González Calderón y escribanía de D. Tomas de Sancha y Prado. Diccionario histórico de ios mas ilustres profesores de las bellas artes en España , compuesto por D. Juan Agustin Cean Berniudez, y publicado por la Real, academia de S. Fernand</t>
  </si>
  <si>
    <t>ei Sr. D. Pedro. González Calderón , Teniente Corregidor de esta villa , y escribanía del número de D. Tomas de Sancha y Prado, se está subastando una casa tahona , sita calle del Mesón de Paredes, núm. 1 , niarz. c6 , perteneciente á las memorias que en el colegio de Esculapios del Avapies de erta corte</t>
  </si>
  <si>
    <t>io Santa María, Teniente primero de Corregidor de este villa, y escribanía de su número, que exerce D Tomas de Sancha y Prado, á acreditar y deducir su derecho jpius de lo contrario se substanciará en, los estrados de su audiencia.;</t>
  </si>
  <si>
    <t>la misma. Por la audiencia del Sr. Teniente D. Pedro,González Calderón, y escribanía del número de D. Tomas de Sancha y Prado, se subasta una casa sita calle del Desengaño, que da vuelta á las de Fuencarral y de la Flor, núm. 1, manz. 344, y comprehende su area 945.7J pies quadrados, superficiales^ propi</t>
  </si>
  <si>
    <t>de Sancha, Tomás</t>
  </si>
  <si>
    <t>Tomás de Sancha</t>
  </si>
  <si>
    <t>Juan Antonio Santa María , Teniente Corregidor de está villa , y escribanía del núme ro que exerce D. Tomas de Sancha -y Prado, se subastan dos casas pertenecientes al patronato que fundó D. Julián de Olivares, sítasela una en la calle de 1os Reyes que sale á la de S. Ignacio, núm. 3 , manzana ¿1</t>
  </si>
  <si>
    <t>de Sandoz-Rollin, Barón</t>
  </si>
  <si>
    <t>Barón de Sandoz-Rollin</t>
  </si>
  <si>
    <t>mente al primer Cónsul por este orden; D. Ignacio Muzquiz, Embaxador de España; Barón de SandozRollin, Ministro plenipotenciario de Prusia: ciud. Justiniani, Embaxador</t>
  </si>
  <si>
    <t>de Santa Cruz, Tomás (coronel)</t>
  </si>
  <si>
    <t>Coronel Tomás de Santa Cruz</t>
  </si>
  <si>
    <t>e D. Juan Alexo Puig: en el de América á Capitán de granaderos al de fusileros graduado de Teniente Coronel Don Tomas de Santa Cruz ; á Capitanes á los primeros Tenientes dé granaderos D» Francisco Witamberg y D. Isidro dél Carpió; á primeros Tenientes de granaderos á. los de fusileros D; Antonio- Uclés y D* A</t>
  </si>
  <si>
    <t>de Santa María, Juan Antonio</t>
  </si>
  <si>
    <t>Juan Antonio de Santa María</t>
  </si>
  <si>
    <t>anterior. Se hallará en el despacho de la Real imprenta: su precio un real. Por providencia del Sr. D. Juan Antonio de Santa María, y escribanía de D. Luis Pérez Pefíuelas , se ha sacado á pública subasta una casa en la calle cíe Alcalá, frente á la fonda de Malta, núm. 7, manzana 489 , propia de la Congregac</t>
  </si>
  <si>
    <t>que se hicieren en el preciso término de dias contados desde el 17 de este mes. Por mandado del Sr. D. Juan Antonio de Santa María, Teniente Corregidor de esta villa , se vende una casa , sita en la calle de Leganitos, que vuelve á Ja de i* Flor-baxa, núm. 18 , manzana gaa , tasada en 61,480 rs. Otra en la mi</t>
  </si>
  <si>
    <t>a Fe, establecida en Madrid, dado punto á sus negocios ante el Señor Teniente primero de Corregidor D. Juan Antonio de Santa María , y por la escribanía del número de D. Casimiro Antonio Gómez, ha pedido y se ha mandado celebrar junta de acreedores \ y en efecto se ha señalado para ella el dia 18 de Mayo á la</t>
  </si>
  <si>
    <t>de Santa María, Juán Antonio</t>
  </si>
  <si>
    <t>Juán Antonio de Santa María</t>
  </si>
  <si>
    <t>les abReal erario conforme á la ley a¿,tít. I4,lib. 9 de laRecopilacion de Indias. ; &lt; c por el Sr. D. Juán Antonio de Santa María, Teniente Corregidor de esta villa, y‘escribanía! de. D. Santiago de Estepar ,,se ha subastado unacasa en la calle del Pez eon fachadas á Jas del Rubio y Jesús deí Valle» atím. 5,</t>
  </si>
  <si>
    <t>de Santa María, Manuel</t>
  </si>
  <si>
    <t>Manuel de Santa María</t>
  </si>
  <si>
    <t>s y S. Carlos aí Teniente Coronel D. Antonio Mendivil, Capitán de la compañía fixa de Acapulco, y á Don Manuel de Santa María, Capitán de granaderos del regimiento de infantería de Nueva España. También ha promovido el Rey á Subteniente de bandera del regimiento de milicias disciplinadas de infantería de</t>
  </si>
  <si>
    <t>de Santo Domingo Solorzano, Francisco</t>
  </si>
  <si>
    <t>Francisco de Santo Domingo Solorzano</t>
  </si>
  <si>
    <t>consta de i3j&gt;a|- pies, y está en 71,856 rs* Otras dos correspondientes á las memorias fundadas por D. Francisco de Santo Domingo Solorzano, sitas una de ellas en la calle de Jacometrezo, núm. ir, manzana 366, consta su sitio de 3839 pies superficiales, tasada en 170,481 rs. 5 y la otra en la calle de S. Miguel, núm.</t>
  </si>
  <si>
    <t>de Santolalla, Juan NepOmuceno</t>
  </si>
  <si>
    <t>Juan NepOmuceno de Santolalla</t>
  </si>
  <si>
    <t>Tesorería al Canónigo D. Juan Anselmo del Moral Castillo de Altra: par4 esta Canongía al Racionero D. Juan NepOmuceno dé Santolalla y&gt; Peraltas y para esta Ración al Medio-Racionefo D. Joachín Pérez Martínez. Para utíáí Canongía de merced de la catedral de la Havana á D. Ambrosio dé las Citévas: para la Ración,</t>
  </si>
  <si>
    <t>de Saxonia, Alberto (duque)</t>
  </si>
  <si>
    <t>Duque Alberto de Saxonia</t>
  </si>
  <si>
    <t>ardará en llegar. El 30 entro en esta capital el Príncipe Cárlos. Salid á recibirle á S. Poelten el Duque Alberto de Saxonia: y el pueblo manifestó con aplausos y Víctores el gusto de ver al Archiduque. Acaba de prohibirse en Hungría que los protestantes envíen sus hijos ¿ estudiar á universidades extra</t>
  </si>
  <si>
    <t>de Saxonia-Teschen'le, Alberto (duque)</t>
  </si>
  <si>
    <t>Duque Alberto de Saxonia-Teschen'le</t>
  </si>
  <si>
    <t>Dícese que el nuevo Papa vendrá á esta capiral ántes de Pascua de Resurrección, y aun añaden que el Duque Alberto de Saxonia-Teschen'le ha ofrecido su palacio para que le sirva de alojamiento. Berlín 27 de Marzo. S in fundamento alguno se divulgó que los rusos volvian hacia el Rhin. A la verdad el exército ruso se</t>
  </si>
  <si>
    <t>de Schubart, Barón</t>
  </si>
  <si>
    <t>Barón de Schubart</t>
  </si>
  <si>
    <t>que se caso el día 9&gt; no tardara Cn sulir El*Príncipe de Reuss-Lowenstem, y el Barón de Schubart, Ministro del Rey de Dinamarca en el congreso de paz, han llegado á Str.isbiirgo. Se ha publicado un diario muy circunstanciado y dilatado de todo lo ocurrido en Malta durante el sitio de a</t>
  </si>
  <si>
    <t>de Segovia, Francisco</t>
  </si>
  <si>
    <t>Francisco de Segovia</t>
  </si>
  <si>
    <t>ircunstancias. prevenidas para ello por el fundador. Se solicita saber del paradero ó residencia de D. Francisco de Segovia , que en el afto de 1793 vivía en S. Sebastian de Vizcaya , para aclarar un cobro que hizo de 1444 rs. 44 mrs. que le debia D. Tomas de Frías, Teniente de granaderos que entonces</t>
  </si>
  <si>
    <t>de Seidel, Joseph Ramón</t>
  </si>
  <si>
    <t>Joseph Ramón de Seidel</t>
  </si>
  <si>
    <t>nientes á ios segundos de granaderos D. Pedro Mou-_ llart de Torcy, D. Francisco &amp;íenche Duvermeil, D. Joseph Ramón de Seidel y D. Carlos Quarré de la* Loy* . El Rey se ha dignado-nombrar- en los regimientos de caballería: á Alférez en; el dél Infante al Alférez Di Antonio Franeiay. Portaestandarte; á Ayudan</t>
  </si>
  <si>
    <t>de Semprum, Gabriel</t>
  </si>
  <si>
    <t>Gabriel de Semprum</t>
  </si>
  <si>
    <t>nca....... D. Manuel Salgado. En León................. D. Tomas Díaz Serrano. En Valíadalid........ D. Gabriel de Semprum. En Zamora........... D. Juan García Sexmilo. En Alicante........... D. Luis Pesceto. En Barcelona....... La Caxa de Descuento. En Bilbao............... D. Agustín Antonio de Lequ</t>
  </si>
  <si>
    <t>de Serra, Juan</t>
  </si>
  <si>
    <t>Juan de Serra</t>
  </si>
  <si>
    <t>ntes á los segundos D. Marcos Rodríguez, Don Antonio Xerez, D. Juan Carlos de Soto, D. Joseph Diaz, D. Juan de Serra y D. Domingo Navarro, y á segundo Subteniente al Sargento primero D. Mariano Araiz: en el de Zaragoza á Capitanes al Ayudante Don Joachín Machín, y al primer Teniente de granaderos D.</t>
  </si>
  <si>
    <t>de Sevilla Luis de Borbon, Arzobispo</t>
  </si>
  <si>
    <t>Arzobispo de Sevilla Luis de Borbon</t>
  </si>
  <si>
    <t>spado. Al mismo tiempo teniendo consideración á Lis ilustres circunstancias del Arzobispo de Sevilla Don Luis de Borbon, hijo del Infante D. Luis mi tío, le nombro para la dicha mitra : é igualmente per las mismas ilustres circunstancias, y .teniendo también en consideración que por el notorio zelo, cari</t>
  </si>
  <si>
    <t>de Sierra, Lorenzo</t>
  </si>
  <si>
    <t>Lorenzo de Sierra</t>
  </si>
  <si>
    <t>ante al primer Teniente de granaderos D. Juan Ungo: á primer Teniente de granaderos al de fusileros D. Lorenzo de Sierra: á primeros Tenientes á los segundos de granaderos D. Joachín Cito y D. Miguel Heredia: á segundos Tenientes de granaderos á los de fusileros D. Joachín de Tejada y D. Francisco d</t>
  </si>
  <si>
    <t>e del de América D. Ramón de Zaragoza : en él de Aragón á Ayudante al primer Teniente de granaderos D. Lorenzo de Sierra; á primer Teniente de granaderos al de fusileros D. Francisco Gutiérrez; á primer Teniente al segundo de granaderos D. Pedro Asensio; á segundo Teniente de granaderos al de fusile</t>
  </si>
  <si>
    <t>de Sierra, Martín</t>
  </si>
  <si>
    <t>Martín de Sierra</t>
  </si>
  <si>
    <t>y y D. Pedro Spraeckmans: en el de Aragón á segundos Subtenientes al Sargento primero de granaderos D. Martin de Sierra y al Cadete D. Juan Alexo Puig: en el de América á Capitán de granaderos al de fusileros graduado de Teniente Coronel Don Tomas de Santa Cruz ; á Capitanes á los primeros Tenientes</t>
  </si>
  <si>
    <t>de Silva, Pedro</t>
  </si>
  <si>
    <t>Pedro de Silva</t>
  </si>
  <si>
    <t>Infante D. Francisco de Paula Antonio. Condescendiendo el Rey con la súplica que le ha hecho el Sr. D. Pedro de Silva, Capellán mayor del convento de la Encarnación de Madrid, ha venido en admitirle la renuncia que ha hecho de esta Capellanía, conservándole, en atención á sus distinguidas circuns</t>
  </si>
  <si>
    <t>de Silva, Ramón</t>
  </si>
  <si>
    <t>Ramón de Silva</t>
  </si>
  <si>
    <t>cias al Teniente de las milicias urbanas y á los Cadetes de las disciplinadas D. Francisco Maneiro, Don Ramón de Silva, D. Ramón Perez y D. Francisco Aguado. Asimismo ha nombrado S. M. segundo Ayudante de las milicias disciplinadas de mía atería del Reyno de Goatemala al Subteniente D. Joseph Gran</t>
  </si>
  <si>
    <t>de Sire Dubassard, Francisco</t>
  </si>
  <si>
    <t>Francisco de Sire Dubassard</t>
  </si>
  <si>
    <t>és y Cárdenas. En el de Reales Guardias Walonas á Capitán de granaderos al de fusileros y Brigadier D. Francisco de Sire Dubassard. En eí de infantería de Saboya á Subteniente de granaderos al primer Subteniente 1). Joseph Martínez; á primer Subteniente al segundo D. Olaguer de León, y á segundo Subteniente a</t>
  </si>
  <si>
    <t>de Soraiz, Manuel Francisco</t>
  </si>
  <si>
    <t>Manuel Francisco de Soraiz</t>
  </si>
  <si>
    <t>o Antonio Echeverría, D. Joachín ele Garde, D. Francisco Ignacio Gaztelu, D. Vicente de Mendizaval, D. Manuel Francisco de Soraiz, y D. Ignacio</t>
  </si>
  <si>
    <t>de Soto Guzmak y Antonia Muñoz, Francisco</t>
  </si>
  <si>
    <t>Francisco de Soto Guzmak y Antonia Muñoz</t>
  </si>
  <si>
    <t>asta dos casas pertenecientes á las memorias fundadas en la colegiata' de la villa de Bribiesca por D. Francisco de Soto Guzmak y Doña Antonia Muñoz su muger, sitas en la calle de Jesús María , señaladas la una con el núm. 10, manz. 49, y la otra con el núm. ig, manz. 47; tasada la i.a en 307,113 rs., y la 2.a en 31,299 rs. 17</t>
  </si>
  <si>
    <t>de Soto y Guztnan y Defía Antonia Muño, Francisco</t>
  </si>
  <si>
    <t>Francisco de Soto y Guztnan y Defía Antonia Muño</t>
  </si>
  <si>
    <t>.esta corte pertenecen á las memorias que en la iglesia colegial de la villa de Bribiesca ‘fundáron D. Francisco de Soto y Guztnan y Defía Antonia Muño?, su muger, Marqueses de Torresoto: y son una en la calle de Jesús y María, barrio de la Merced, núm. 10 , manz. 49, que tiene §132} pies de sitio, valuada en 367,1.12-rs.: ,otra</t>
  </si>
  <si>
    <t>de Soto y Xibaxa, Felipe</t>
  </si>
  <si>
    <t>Felipe de Soto y Xibaxa</t>
  </si>
  <si>
    <t>chez Torres , aL Cadete de la misma D* Miguel de Benavides,.y al soldado distinguido de la. de Vera D. Felipe de Soto y Xibaxa. Asimismo ha nombrado S. M. Subteniente de la compañía de. infantería hxa de. la plaza, de Rosas al Cadete</t>
  </si>
  <si>
    <t>de Soto, Juan</t>
  </si>
  <si>
    <t>Juan de Soto</t>
  </si>
  <si>
    <t>con arreglo á ía Real orden circular de 13 de Octubre del ario último, con el mayor 6 primer premio D. Juan de Soto y D. Saturnino Perez; con el segundo D. Juan de Colmenera, D. Fernando Cacho, D. Santiago Cevallos y D. Antonio Proto Alvarez; y con el tercero D. Antonio Bustamante, D. Julián Diaz,</t>
  </si>
  <si>
    <t>de Soto, Juan Carlos</t>
  </si>
  <si>
    <t>Juan Carlos de Soto</t>
  </si>
  <si>
    <t>y D. Joseph Quirós; á primeros Subtenientes á los segundos D. Marcos Rodríguez, Don Antonio Xerez, D. Juan Carlos de Soto, D. Joseph Diaz, D. Juan de Serra y D. Domingo Navarro, y á segundo Subteniente al Sargento primero D. Mariano Araiz: en el de Zaragoza á Capitanes al Ayudante Don Joachín Machín,</t>
  </si>
  <si>
    <t>de Soto, Luis</t>
  </si>
  <si>
    <t>Luis de Soto</t>
  </si>
  <si>
    <t>eniente al segundo de granaderos D. Pedro Asensio; á segundo Teniente de granaderos al de fusileros D. Luis de Soto; á segundo Teniente al Subteniente de granaderos D. Félix Mijares; á Subteniente de granaderos al primer Subteniente D. Lorenzo Wullez; y á primer Subteniente al segundo D. Miguel</t>
  </si>
  <si>
    <t>de Sotomayor y Barranco, Juan</t>
  </si>
  <si>
    <t>Juan de Sotomayor y Barranco</t>
  </si>
  <si>
    <t>cisco del Solar y los Corrales, D. Manuel López de la Barrera y Cotarelo, D. Juan Patino y Acevedo, D. Juan de Sotomayor y Barranco, D. Joseph de Soubiran y Montealm, D. Fernando Muñoz y Abreu,D. Aii toni'o Tacón y Rosique, D. Salvador Spadafora,D. Ramón Caamaño, Don Isidoro Postigo y Bulnes, D. Joseph de Eche</t>
  </si>
  <si>
    <t>de Soubiran y Montealm, Joseph</t>
  </si>
  <si>
    <t>Joseph de Soubiran y Montealm</t>
  </si>
  <si>
    <t>. Manuel López de la Barrera y Cotarelo, D. Juan Patino y Acevedo, D. Juan de Sotomayor y Barranco, D. Joseph de Soubiran y Montealm, D. Fernando Muñoz y Abreu,D. Aii toni'o Tacón y Rosique, D. Salvador Spadafora,D. Ramón Caamaño, Don Isidoro Postigo y Bulnes, D. Joseph de Echeverría y Padilla’, D. Francisco To</t>
  </si>
  <si>
    <t>de Sucre, Francisco</t>
  </si>
  <si>
    <t>Francisco de Sucre</t>
  </si>
  <si>
    <t>Romana y D. Manuel Aldao. En el cuerpo veterano de infantería de Cumaná compañía al Ayudante mayor D. Francisco de Sucre ; la Ayudantía mayor al Teniente D. Francisco Moreno; Tenencia al Subteniente D. Pedro Sánchez ; Subtenencia al Cadete Don Domingo Sánchez, y agregación de Teniente veterano al re</t>
  </si>
  <si>
    <t>de Tá Torre, Joseph María</t>
  </si>
  <si>
    <t>Joseph María de Tá Torre</t>
  </si>
  <si>
    <t>o, D. Joseph Sánchez Griñan y D. Pedro Sánchez Griñan; á Subtenientes de fusileros á los dé bandera D. Joseph María de Tá Torre, D. Antonio Mancebo, D. Diego Olivares y D. Martin Florez Quixano, y á esta clase á Iqs Cadetes D.Juan Sánchez Grillan, D. Luis Trevejos, D. Pedro Branly, graduado de Subteniente,</t>
  </si>
  <si>
    <t>de Tapia, Joachín</t>
  </si>
  <si>
    <t>Joachín de Tapia</t>
  </si>
  <si>
    <t>ancisco Paula Velasco y Cabrera: en el de Salamanca Compañía de fusileros al Teniente -de cazadores D. Joachín de Tapia; esta resulta al Teniente de fusileros, graduado de infantería, D. Pedro López Ontiveros; Tenencias de fusileros á D. Juan Antonio Peñalosa y D. Pascual de Coca, Subtenientes de g</t>
  </si>
  <si>
    <t>de Te, Juan Manuel</t>
  </si>
  <si>
    <t>Juan Manuel de Te</t>
  </si>
  <si>
    <t>lón del regimiento de infantería de Mallorca. Atendiendo eí Rey á las reiteradas instancias del Sr. D. Juan Manuel de Te tibes y Acevedo, Auditor decano del tribunal de la Rota de la Nunciatura, por sus muchos achaques y avanzada edad; ha venido S. M. en concederle la jubilación que ha -solicitado d</t>
  </si>
  <si>
    <t>de Tejada, Félix</t>
  </si>
  <si>
    <t>Félix de Tejada</t>
  </si>
  <si>
    <t>31 de agosto de 1800</t>
  </si>
  <si>
    <t>l ministerio de la Guerra en junta de guerra presidida por el Capitán general de dicho departamento D, Félix de Tejada el año de 1797. La esquadra del mando del Teniente General D. Juan Joachin Moreno puso al instante en tierra 5 00 hombres de tropa, procurando al mismo tiempo situarse del modo mas</t>
  </si>
  <si>
    <t>de Tejada, Joachín</t>
  </si>
  <si>
    <t>Joachín de Tejada</t>
  </si>
  <si>
    <t>anaderos D. Joachín Cito y D. Miguel Heredia: á segundos Tenientes de granaderos á los de fusileros D. Joachín de Tejada y D. Francisco de Torres: á segundos Tenientes al primer Subteniente D. Antonio Arríete, y á los Subtenientes de granaderos D. Eusebio Campos y D. Mateo Lambea: á Subtenientes de gran</t>
  </si>
  <si>
    <t>de Tejada, Juan Manuel</t>
  </si>
  <si>
    <t>Juan Manuel de Tejada</t>
  </si>
  <si>
    <t>la continuación de sus estudios y enseñanza. Vanos Capitulares y Ministros les repartieron dinero ; D. Juan Manuel de Tejada cinco bandas, y el Síndico Personero D. Pedro de Mora hizo presente tenia en su poder para el mismo objeto 1® rs., que había entregado mi sugeto que quería ocultar su nombre, los</t>
  </si>
  <si>
    <t>de Tejada, Rafael</t>
  </si>
  <si>
    <t>Rafael de Tejada</t>
  </si>
  <si>
    <t>En las humanidades y retórica, baxo la dirección de su profesor D. Pedro Fuertes, los seminaristas D. Rafael de Tejada , D. Manuel de Lardizabal, D. Antoniq de Tavira, D. Miguel Pablo de ligarte y D. Antonio de Ugarte. En la re</t>
  </si>
  <si>
    <t>de Thugut, Barón</t>
  </si>
  <si>
    <t>Barón de Thugut</t>
  </si>
  <si>
    <t>Taverne á 9 de Setiembre. En ella se queja de que contra la promesa formal del Barón de Thugut, Ministro de la corte de Viena, y del Xord Murgrave, Comisario ingles, hiciesen ir las tropas rusas á Suiza antes que el Archiduque hubiera echado jáe aquel país á los enemigos. Acusa al Ge</t>
  </si>
  <si>
    <t>a que Bonaparte sigue correspondencia íntima y directa sobre este objeto con el Barón de Thugut, Ministro austríaco ; pero como se observa el mayor secreto en las negociaciones, no es fácil saber el estado en que se hallan, ni las proposiciones sobre que se versan.</t>
  </si>
  <si>
    <t>guntinas pagadas por Inglaterra. I r.incfori 26 de Abril. N, 'N o ha querido el Barón de Thugut, Ministro del Emperador, dar al Duque de Berri el pasaporte que le pedia para ir á Ñapóles ; y aun dicen que el mencionado Duque ha tenido que salir de Viena antes de lo que pensaba. El Gen</t>
  </si>
  <si>
    <t>ado en Viena por el Lord Mimo, Ministróle Inglaterra en aquella corte, y por el Barón de Thugut, Ministro del Emperador: ámbos competentemente autorizados para ello. Hallándose tan adelantadas las sesiones parlamentarias de este año, ha creído S. M. convenía no diferir comunicar al Pa</t>
  </si>
  <si>
    <t>de Tiscar y Pedrosa, Joseph</t>
  </si>
  <si>
    <t>Joseph de Tiscar y Pedrosa</t>
  </si>
  <si>
    <t>ndi, D. Juan Ordoñez y Martínez, D. Pedro de Varo Franco y Areco, D. Manuel Ponce de León y Torres, D. Joseph de Tiscar y Pedrosa, D. Saturnino Aguado y Payan, D. Joseph Bayo y García de Prado, D. Joseph de Arbizu y Alava, Don Antonio Vázquez de Velasco y Ontañon, D. Santiago Palacio y Santibañez, D. Juan de</t>
  </si>
  <si>
    <t>de Tiuigut, Barón</t>
  </si>
  <si>
    <t>Barón de Tiuigut</t>
  </si>
  <si>
    <t>Ancona, ha pedido á este Soberano vuelva su empleo al General Froelich., Con el Ministro Barón de Tiuigut tienen, freqüentes conferencias los, Embaxadore? de España é Inglaterra.. Ha llegado á esta capital el.Elector de. Colonia.. M:r. Schererprofesor de química, h</t>
  </si>
  <si>
    <t>de Toda, Félix</t>
  </si>
  <si>
    <t>Félix de Toda</t>
  </si>
  <si>
    <t>Uorca á Ayudante al primer Teniente D. Diego Hernández y G-'rdon; V á segundo Subteniente al Cadete D. Félix de Toda: en el secundo batallón de Voluntarios de Cataluña á seguiwo Teniente al primer Subteniente D. Manuel Pigrau; y en el regimiento Suizo de Courten á Subteniente al Cadete D. Joseph</t>
  </si>
  <si>
    <t>de Toledo y Parra, Joachín</t>
  </si>
  <si>
    <t>Joachín de Toledo y Parra</t>
  </si>
  <si>
    <t>ntonio Climent y García, D. Manuel de Cárdenas y Castillo de las Peñas, D. Juan Albornoz y Calafat, D. Joachín de Toledo y Parra, D. Joachín Leonés y Hernández Reyilo, D. Julián Leonés y Hernández Reyilo, D. Pedro Rato y Cisneros, D. Justo Salafranca y Matheus, D. Baltasar Cornelias y Rosiñol, D. Joseph Rod</t>
  </si>
  <si>
    <t>de Toledo, Antonio Ángel</t>
  </si>
  <si>
    <t>Antonio Ángel de Toledo</t>
  </si>
  <si>
    <t>al segundo de la Contaduría general de Alcabalas de Goatemala: á la de tercero, que este obtenía, á D. Antonio Angel de Toledo: á la de quarto de este al Escribiente primero D. Manuel Jacinto Gómez y Fuentes; y su resulta al meritorio de la misma Contaduría D. Francisco Prado de Prado. La junta de gobiern</t>
  </si>
  <si>
    <t>de Ton, Juan Manuel</t>
  </si>
  <si>
    <t>Juan Manuel de Ton</t>
  </si>
  <si>
    <t>ano que ha quedado del citado tribunal de la Rota de la Nunciatura, por jubilación del referido Sr. D. Juan Manuel de Ton bes y Acevedo. El Rey se ha servido nombrar para la Contaduría principal del exército de Galicia, vacante por ascenso de D. Vicente Frigola, á IX Luis Gome El dia 26 de Julio se c</t>
  </si>
  <si>
    <t>de Toro, Ángel</t>
  </si>
  <si>
    <t>Ángel de Toro</t>
  </si>
  <si>
    <t>D. Joseph Ignacio Romay: en el batallón de infantería de Campv che el empleo ae Capitán al Ayudante D. Angel de Toro; el que este dexa al Teniente D. Joseph Ignacio Barrero; Tenencias de fusileros á Don Joseph Maldonado y D. Joseph de la Roca, Subtenientes de granaderos y fusileros; Subtenencia</t>
  </si>
  <si>
    <t>de Torras, Sebastián</t>
  </si>
  <si>
    <t>Sebastián de Torras</t>
  </si>
  <si>
    <t>alumnos del 6.° curso de gramática castellariaque regenta D. GuillermoXara™ millo. Presidie) el Sr. D. Sebastian de Torras , del Consejo de S. M., Alcalde de su Real casa y corte, Juez privativo de este estudio. Los discípulos que se presentaron al certamen respondieron tanto a los exáminadores , como</t>
  </si>
  <si>
    <t>de Torrejon y Valdes, Gaspar</t>
  </si>
  <si>
    <t>Gaspar de Torrejon y Valdes</t>
  </si>
  <si>
    <t>y Subtenencia de fusileros á D. Francisco López Romero; y en el de Sevilla Subtenencia de bandera á D. Gaspar de Torrejon y Valdes. \ Correspondiendo el Consejo á los vivos deseos de S. M. ha acordado á</t>
  </si>
  <si>
    <t>de Torres Aybar, Joseph</t>
  </si>
  <si>
    <t>Joseph de Torres Aybar</t>
  </si>
  <si>
    <t>la de la colegial de Baeza, diócesis de Jaén, vacante por fallecimiento de D. Juan Joseph Valdes, á D. Joseph de Torres Aybar, Dignidad de Vicario de la misma colegial: para la Media-Ración afecta i voz de contralto de la catedral de Orihuela, vacante por fallecimiento de D. Andrés Reus, á D. Miguel de A</t>
  </si>
  <si>
    <t>de Torres y Araujo, Juan</t>
  </si>
  <si>
    <t>Juan de Torres y Araujo</t>
  </si>
  <si>
    <t>seph de Arbizu y Alava, Don Antonio Vázquez de Velasco y Ontañon, D. Santiago Palacio y Santibañez, D. Juan de Torres y Araujo, D. Juan Rubion y Gutiérrez de la Huerta,!). Joseph de Carracedo y Salgado, D. Fernando Ruiz y Villegas, Don Joseph González de la Riva y Vivanco, D. Francisco del Hoyo y Ortiz, D</t>
  </si>
  <si>
    <t>de Torres y Venegas, Christóbal</t>
  </si>
  <si>
    <t>Christóbal de Torres y Venegas</t>
  </si>
  <si>
    <t>ález, D. Joseph de Rezustay Goicoechea, D. Pascual del Cañizo y Pareja , D. Dionisio Capaz Renden , D. Christóbal de Torres y Venegas , D. Manuel de Cárdenas y Osorio, D. Manuel Diqz y Martínez, D. Joachín de Irías y Atolla y Don Juan: González ÍVmrio y Tamariz. ■■ . , c ín consideración á los servicios y mérito</t>
  </si>
  <si>
    <t>de Torres, Antonio</t>
  </si>
  <si>
    <t>Antonio de Torres</t>
  </si>
  <si>
    <t>de la misma compañía D. Francisco Mongay; y para esta resulta al Subteniente graduado de infantería D. Antonio de Torres, Sargento primero distinguido de la expresada compañía. También ha conferido S. M. el empleo de Contralor, con la Comisaría de entradas y dirección del hospital militar de la plaz</t>
  </si>
  <si>
    <t>de Torres, Benito</t>
  </si>
  <si>
    <t>Benito de Torres</t>
  </si>
  <si>
    <t>erde en la diócesis de Salamanca, vacantes uno y otro-* por fallecimiento de D. Francisco Milano, á D. Benito de Torres, con retención de la demas renta eclesiástica que obtiene, para que asista á la galera y casa de reservadas, en ios términos que lo hace ahora. Habiéndose el Rey servido aprobar l</t>
  </si>
  <si>
    <t>de Torres, Diego</t>
  </si>
  <si>
    <t>Diego de Torres</t>
  </si>
  <si>
    <t>es de S. M. y bien, genecaL de la Monarquía* __ Los discursos y justificaciones deberán dirigirse á D. Diego de Torres, Secretario de la Sociedad, en todo el corriente año;.y los autores de memorias y disertaciones enviarán en papeles cerrados sus nombres, los, quales no se descubrirán hasta la ad</t>
  </si>
  <si>
    <t>de Torres, Francisco</t>
  </si>
  <si>
    <t>Francisco de Torres</t>
  </si>
  <si>
    <t>; y la segunda Tenencia de la compañía de infantería fixa de Vera al primer Subteniente de la misma D, Francisco de Torres. A D. Juan Bautista Donton, Cadete de la compañía flamenca del Real cuerpo de Guardias de Corps, ha conferido el Rey el gobierno del castillo de Sta, Cruz de la Mota, vacante por</t>
  </si>
  <si>
    <t>de Torres, Joseph</t>
  </si>
  <si>
    <t>Joseph de Torres</t>
  </si>
  <si>
    <t>997 tandarte ál Cadete D. Joseph de Torres: én él de Santiago á Comandante de esquadron al de esta clase agregado al de España,graduado de Coronel, D. Veremundo Ramírez de Arellano; y en el de Dragones de Numancia á Tenien</t>
  </si>
  <si>
    <t>de Torres, Manuel</t>
  </si>
  <si>
    <t>Manuel de Torres</t>
  </si>
  <si>
    <t>Subteniente de la compañía de infantería fixa de Vera en la costa de Granada ai soldado distinguido D. Manuel de Torres : Teniente de las milicias urbanas de Alburquerque al Subteniente de las mismas D. Esteban del Pilar y Amaya; y ha concedido grar do de Teniente Coronel de milicias provinciales á</t>
  </si>
  <si>
    <t>de Torres, Miguel</t>
  </si>
  <si>
    <t>Miguel de Torres</t>
  </si>
  <si>
    <t>infantería del 'Príncipe: en el do dragones de !a Reyna á Capitán al Ayudante, graduado de Capitán, D. Miguel de Torres; y en el de Alman</t>
  </si>
  <si>
    <t>de Torres, Sebastián</t>
  </si>
  <si>
    <t>Sebastián de Torres</t>
  </si>
  <si>
    <t>hín Serra y Franch., D. Eustasio González, D. Juan Valle-Espinosa y D. Diego López. Presidió el Sr. D. Sebastian de Torres, dei Consejo de S. M., Alcalde de su Real casa y corte. El 19 de Marzo falleció en esta corte á los 67 añ-os y 8 meses de edad el Exc. Sr. D. Antonio Fernandez y Escalona, Tenient</t>
  </si>
  <si>
    <t>de Trespalacios, Felipe Joseph</t>
  </si>
  <si>
    <t>Felipe Joseph de Trespalacios</t>
  </si>
  <si>
    <t>dores á las piedades de S. M. A los 75 años cumplidos falleció el 16 de Octubre último el limo. Sr. D. Felipe Joseph de Trespalacios, primer Obispo de la Havana, después de haber servido de Provisor y Gobernador muchos años en el arzobispado de Sto. Domingo, de donde pasó á ocupar la silla episcopal de Puerto R</t>
  </si>
  <si>
    <t>de Trespalacios, Luis</t>
  </si>
  <si>
    <t>Luis de Trespalacios</t>
  </si>
  <si>
    <t>omingo Henrique de Puertas ,,Dignidad de Maestrescuela y Canónigo de la- catedral : 6. en Madrid- 2 D. Luis de Trespalacios,..Ayuda de Cámara del Rey Ntro.-Sr.., quienes les enterarán de las condiciones con que deben ser admitidos: en inteligencia de que la oposición se verificará. del io al 20 de Juli</t>
  </si>
  <si>
    <t>catedral: en Alies, capirai de dicho ▼alie, ai Justicia mayor, ó al Abad de Piecin ; y en Madrid á D. Luis de Trespalacios , Ayuda de cámara de S. M. Se abre subscripción al Compendio del Catecismo del Sarro Concilio de Tronío, dispuesto en castellano para la mas pronta instrucción de los fieles , a’i</t>
  </si>
  <si>
    <t>de Uceda, Ramón</t>
  </si>
  <si>
    <t>Ramón de Uceda</t>
  </si>
  <si>
    <t>n Moreno, y Subtenencia de fusileros á D, JuliTn Calongfc: en el de Badajoz Compañía de fusileros á D. Ramón de Uceda, Teniente de granaderos; sil resulta al Teniente de fusileros D. Manuel Gordillo; Tenencia de fusileros al .Subteniente de granaderos D. Joseph Villanueva; ésta resulta al Subteni</t>
  </si>
  <si>
    <t>de Ugarte, Antonio</t>
  </si>
  <si>
    <t>Antonio de Ugarte</t>
  </si>
  <si>
    <t>s D. Rafael de Tejada , D. Manuel de Lardizabal, D. Antoniq de Tavira, D. Miguel Pablo de ligarte y D. Antonio de Ugarte. En la re</t>
  </si>
  <si>
    <t>de Ugarte, Miguel</t>
  </si>
  <si>
    <t>Miguel de Ugarte</t>
  </si>
  <si>
    <t>' Señorío de Vizcaya. Villa de Bilbao: una casa, calle de la Sinturería, de la obra pia fundada per D. Miguel de Ugarte, tasada en 34,148 rs. 8 mrs. y renta 1320 Otra sita en Barrencalle , de dicha obra pia, tasada en 33,144 rs'. 3- mrs. y renta 1320. Un quarto de casa, en dicho sitio , d.i la cita</t>
  </si>
  <si>
    <t>de Ugaz, Joachín</t>
  </si>
  <si>
    <t>Joachín de Ugaz</t>
  </si>
  <si>
    <t>tasada en 65,877 rs. 8 mrs. y renta 2100. Dos casas , calle del Correo, de la obra pia fundada por D. Joachin de Ugaz, tasadas en 252,400 rs. 14-mrs. y.rentan 8400. Una casa con tres altos y tres tiendas, en la Carnicería vieja, de dicha obra pia, tasada en 41^850 rs. 25 mrs. y renta 2650. ncr'An</t>
  </si>
  <si>
    <t>de Üjedma, Andrés</t>
  </si>
  <si>
    <t>Andrés de Üjedma</t>
  </si>
  <si>
    <t>de Jaén D. Joseph Gómez , D.Fernando y D. Juan joseph de Aranda, hermanos,caballeros maestrantes, y D. Andrés de Üjedma, Coronel de exéreito, que dirige la expresada casa de labor , y demostró el mismo Secretario s;u anhelo por los felices progresos de este importante est. bi.eciroieato, para cuyo</t>
  </si>
  <si>
    <t>de Unzaga, Diego</t>
  </si>
  <si>
    <t>Diego de Unzaga</t>
  </si>
  <si>
    <t>. Ante-Iglesia de Galdecano: un monte de 47,463 estados , perteneciente á la capellanía fundada por D. Diego de Unzaga, tasado en 17,770 rs. 6 mrs., y renta 458 rs. 13 mrs. Otro monte de 44,146 estados, perteneciente á la ermita de Santa Marina de Ganguren, tasado en 33,094 rs. 17 mrs., y renta 56</t>
  </si>
  <si>
    <t>de Unzaga, Francisco</t>
  </si>
  <si>
    <t>Francisco de Unzaga</t>
  </si>
  <si>
    <t>D. Manuel Antonio de Hlzaurdi. En Cuenca........... D. Manuel Escolar y Noriega. En Granada........ D. Francisco de Unzaga. En Guadalaxara. D. Isidoro García Plaza. En Jaén.............. D. Pedro Esponera. En León............... D. Pedro Gil de Texada. En Málaga.......... D. Antonio Mariano. En Murcia</t>
  </si>
  <si>
    <t>de Urbina, Christóbal</t>
  </si>
  <si>
    <t>Christóbal de Urbina</t>
  </si>
  <si>
    <t>ilitares* Granada 12 de Junio. L a Real escuela pía de primeras letras de esta ciudad, dirigida por Don Christóbal de Urbina, tuvo exercicios públicos el 2 del corriente en las casas consistoriales, con la asistencia del Sr. D. Joseph María Puig de Samper, Presidente de esta Real Chancillería. Se dio pr</t>
  </si>
  <si>
    <t>de Urbína, Christóbal</t>
  </si>
  <si>
    <t>Christóbal de Urbína</t>
  </si>
  <si>
    <t>ebas de la utilidad y necesidad de observar el método con que se dirige la escuela pía del cargo de D. Christóbal de Urbína, empeñan ai gobierno de Granada á procurar que se extienda en bien general de la educación. T"&gt; Madrid 8 de Julio. ül sábado de la semana anterior se vistió la corte de gala con m</t>
  </si>
  <si>
    <t>de Urbina, Luís</t>
  </si>
  <si>
    <t>Luís de Urbina</t>
  </si>
  <si>
    <t>s de su profesión de ebanista. Leyó el socio P. Benito de S. Pedro un elogio histórico del Exc. Sr. D. Luís de Urbina, Director que fue de esta sociedad. El contador D. Manuel de Velasco pronunció un discurso exhortando á «todas las clases del vecindario de esta capital á unirse á la sociedad, y</t>
  </si>
  <si>
    <t>de Urbiztondo, Joseph Xavier</t>
  </si>
  <si>
    <t>Joseph Xavier de Urbiztondo</t>
  </si>
  <si>
    <t>de Ayuntamiento, ni ser concejante en 6 años, pagando la multa de 200 ducados. A Joseph Xavier de Urbiztondo, vecino de S. Sebastian, por sacrilego y traidor , que mediante hallarse prófugo fuera del Reyno , sea en estatua arrastrado, ahorcado y quemado en la plaza pública de dicha ciudad; y que</t>
  </si>
  <si>
    <t>de Urbiztondo, Sebastián</t>
  </si>
  <si>
    <t>Sebastián de Urbiztondo</t>
  </si>
  <si>
    <t>ahorcado y quemado en la plaza pública de dicha ciudad; y que todos sus bienes sean confiscados. A D. Sebastian de Urbiztondo, vecino también, que sufra 10 años de presidio, y la multa de 600 ducados. JD. Joachín de Amadeo, igualmente vecino, 6 meses de arresto en el castillo de Sta. Cruz de la Mota siem</t>
  </si>
  <si>
    <t>de Urquijo, Rafael</t>
  </si>
  <si>
    <t>Rafael de Urquijo</t>
  </si>
  <si>
    <t>dos de Capitán de milicias provinciales á D. V icente Durango, Oficial de la Fmbaxada en París, y á D. Rafael de Urquijo, agregado á la misma , y el de Teniente</t>
  </si>
  <si>
    <t>de Urraza, Juan Antonio</t>
  </si>
  <si>
    <t>Juan Antonio de Urraza</t>
  </si>
  <si>
    <t>Teniente Corregidor de esta villa. Quien quisiere ha’cer mejora acuda á la escribanía de número de D. Juan Antonio de Urraza hasta dicho dia. En la villa de Oñate, provincia de Guipúzcoa, hay una fundería de cortar hierro desde 3 líneas hasta 8 de grueso para fábrica de clavos y herrage de caballerías d</t>
  </si>
  <si>
    <t>e á una de la .tarde del mismo dia. Quien quisiere hacer mejora acuda á la escribanía del número de D. Juan Antonio de Urraza. D. Francisco Martínez de Vallejo, Marques del Castillo de S. Felipe, avisó en la gazeta de 9 de Abril del año anterior, que habiendo hace años encargado á D. Lorenzo de la Quinta</t>
  </si>
  <si>
    <t>todo en la cantidad de 423,907 rs. Quien quisiere hacer postura acuda á la escribanía del número de D. Juan Antonio de Urraza, dentro del término de 30 días. Todos los individuos que se hallaren con licencia temporal, absoluta, ó esten desertados, y hayan sido de la división de las fragatas Céres , Asunc</t>
  </si>
  <si>
    <t>audiencia, de dicho Señor Teniente: quien quisiere hacer mejora acuda á la escribanía de número de D. Juan Antonio de Urraza. Habiéndose rematado la casa mesón del lugar de Getafe, nombrada de la Herradura, sita en su calle Real, apreciada en 30,814 rs., en la cantidad de 18,750, se ha hecho mejora del</t>
  </si>
  <si>
    <t>ada en 61,507 rs. 17jnts. La persona que quisiere hacer postura acuda á la escribanía del número de Don Juan Antonio de Urraza , que se admitirán las que hicieren dentro del término de dias.=Por providencia del mismo Sr. Teniente Corregidor se ha mandado</t>
  </si>
  <si>
    <t>mez Hurtado, tasada en 163,166 rs. Quien quisiere hacer postura acuda á la escribanía del número de D. Juan Antonio de Urraza dentro del término de 30 días. Deseando la ciudad de Santiago proveer en persona benemérita una de las dos plazas de maestro de primeras letras que se halla vacante , y vale 400 duca</t>
  </si>
  <si>
    <t>D. Pedro González Calderón, Teniente Corregidor de esta villa , acuda á la escribanía de número de D. Juan Antonio de Urraza en el término de quince dias. . En virtud de Reales órdenes comunicadas, y á instancia del poseedor del vínculo , que en la villa de Casarubios del Monte fundó el Lie, Juan Bautista</t>
  </si>
  <si>
    <t>alle del Ave María, núm. 6 , manzana 39, tasada en 50,333 rs. , acuda á la escribanía del número de D. Juan Antonio de Urraza dentro del término de 30 dias. Razón de bienes raíces propios de la capellanía fundada en la santa Iglesia de Tarazona por D. Antonio Camargo, vendibles por el tribunal eclesiástico</t>
  </si>
  <si>
    <t>María, de doce á una de su mañana. Quien quisiere hacer mejora acuda á la escribanía del número de Don Juan Antonio de Urraza. Para el de otra casa sita en la calle del Ave-María, mím. 6, manz. 39 , tasada en £0,333 rs. , y dan por ella 40^ de la misma moneda en metálico, se ha señalado el 23 del propio</t>
  </si>
  <si>
    <t>rquitectura. Quien quisiere hacer postura á qualquiera de eiJas acuda á la escribanía del numero de D. Juan Antonio de Urraza =rrPara el remate de otra casa sita en la calle de S. Juan , señalada con Jos números 16 y 17, manzana 250 (y no 248 como** se anunció por equivocación), tasada en 144,120 rs , y</t>
  </si>
  <si>
    <t>el Sr. D. Pedro González Calderón. Quien quisiere hacer postura acuda á la escribanía del número de D. Juan Antonio de Urraza. En virtud de providencias de dicho Sr. Teniente se ha sacado á pública subasta por la propia escribanía otra casa sita en la calle del Angel , núm, 7 , manz. 114, tasada en ¿7.34</t>
  </si>
  <si>
    <t>45i , tasada en no,8g5 rs. Quien quisiere hacer postura acuda á la escribanía del número que exerce D. Juan Antonio de Urraza. Para el remate de una casa sita en la calle de la Cruz, mím. g, manz. 213, tasada en 188,g66 rs., y dan por ella la misma cantidad en vales Reales, se ha señalado el dia 9 del pr</t>
  </si>
  <si>
    <t>cia de los Sres. Tenientes de Corregidor de esta villa , y escribanía del número de ella que exerce D. Juan Antonio de Urraza, se están subastando las fincas siguientes: una casa sita en la calle de la Palma, núm. 4, manz. 454 , tasada en 96,037 rs. : otra en la calle de Quiñones, núm. g , manz. £i&lt;;, va</t>
  </si>
  <si>
    <t>, manz, 19 , tasada en 73,496 rs. Quien quisiere hacer postura acuda á la escribanía del numero de D. Juan Antonio de Urraza. En el término del lugar de Bernardos, sito en la jurisdicción de la ciudad de Segovia , se hallan para su venta dos molinos harineros correspondientes á la obra pia que fundó en</t>
  </si>
  <si>
    <t>del Sr. D. Pedro González Calderón,* Teniente Corregidor de esta villa, y escribanía del número de D. Juan Antonio de Urraza,se han mandado sacar á pública subasta , por término de 30 días, $.pasas pertenecientes i le</t>
  </si>
  <si>
    <t>de Urrieta y María Ignacia Sotomayor, Juan</t>
  </si>
  <si>
    <t>Juan de Urrieta y María Ignacia Sotomayor</t>
  </si>
  <si>
    <t>en 9 de Octubre de 1764..................... 400.000 En otra otorgada en 31 de Octubre de 1763 por D. Juan de Urrieta y Doña María Ignacia Sotomayor............................................ 200.000 El quarto lote en el resto de la escritura del Excrno. Sr. Marques de Uceda de 22 de Agosto de 1764............................</t>
  </si>
  <si>
    <t>de Urruchi, Ángel</t>
  </si>
  <si>
    <t>Ángel de Urruchi</t>
  </si>
  <si>
    <t>4 de 150 de la misma creación , nú fueros ®75&gt;I4I &gt; 337*999 &gt; 339,3*5 7 34»,459 » Mos en cabeza de D. Angel de Urruchi, endosados por este á D. Manuel Ponce de León; y otro también de 1 ¿o pesos, de la misma creación de Marzo, núm. 227,805 , en cabeza de D. Pedro López de Huerta. Quien supiere de</t>
  </si>
  <si>
    <t>de Urrucla, Juan Bautista</t>
  </si>
  <si>
    <t>Juan Bautista de Urrucla</t>
  </si>
  <si>
    <t>ntería de la Rey na á Coronel al Teniente Coronel del de infantería de Málaga, graduado de Coronel, D. Juan Bautista de Urrucla: en el de Saboya á segundo Teniente de granaderos al de fusileros D. Fernando Sanmillan; á segundo Teniente aí Subteniente de granaderos D. Gabriel Moreno; á Subteniente de granad</t>
  </si>
  <si>
    <t>de Urruti, Manuel Joseph</t>
  </si>
  <si>
    <t>Manuel Joseph de Urruti</t>
  </si>
  <si>
    <t>érito y servicios del Alcaide del crimen decano de lá Audiencia de México, Oidor honorario de ella, D. Manuel Joseph de Urruti.i, lia venido en conferirle la plaza de Oidor de aquel tribunal,' vacante por fallecí miento «de D. Rafael de Videri'quc/para la qual tenia ya declarada opcion; y para la de Alcal</t>
  </si>
  <si>
    <t>de Urrutia y de Madalena de Arpide, Antonio</t>
  </si>
  <si>
    <t>Antonio de Urrutia y de Madalena de Arpide</t>
  </si>
  <si>
    <t>capulco D. Ventura de Urrutia, natural de Vizcaya, casado .con Doña María Josepha Leorno, y hijo de D. Antonio de Urrutia y de Doña Madalena de Arpide ; que sus bienes consistieron en $£9 pesos 6 rs. y 6 granos, de los quales se hallan depositados en caxa 10,191 rs. 18 .mrs. Y que sin embargo de haberse fijado carteles en la ciu</t>
  </si>
  <si>
    <t>pulco D. Ventura de Urrutiá,natural de Vizcaya , casado con Dofia' María- Josepha Le orno , hijo de D. Antonio de Urrutia y de Doña Madalena de Arpide: que sus bienes consistieron en pesos, 6 rs. y 6 -granos, de los quales se hallan depositados en caxas 10,19a rs. 18 mrs.; y que sin embargo de haberse^ fizado carteles en Cádiz ,</t>
  </si>
  <si>
    <t>de Urrutia, Sebastián</t>
  </si>
  <si>
    <t>Sebastián de Urrutia</t>
  </si>
  <si>
    <t>Regidor D. Juan Joseph Cardón, el Jurado D. Joseph Antonio Lozano, y el Síndico: Procurador general D. Sebastian de Urrutia; los dos primeros que nunca puedan tener empleos de A juntamiento, ni ser concejantes, y el tercero Urrutia que solamente le sirva de castigo el arresto sufrido, respecto que opin</t>
  </si>
  <si>
    <t>de Urrutia, Ventura</t>
  </si>
  <si>
    <t>Ventura de Urrutia</t>
  </si>
  <si>
    <t>bienes de difuntos de México, en que consta falleció en la ciudad de los Reyes y puerto de Acapulco D. Ventura de Urrutia, natural de Vizcaya, casado .con Doña María Josepha Leorno, y hijo de D. Antonio de Urrutia y de Doña Madalena de Arpide ; que sus bienes consistieron en $£9 pesos 6 rs. y 6 grano</t>
  </si>
  <si>
    <t>de Urrutiá, Ventura</t>
  </si>
  <si>
    <t>Ventura de Urrutiá</t>
  </si>
  <si>
    <t>bienes de difuntos de México, en que consta falleció en la ciudad de los Reyes y puerto de Acapulco D. Ventura de Urrutiá,natural de Vizcaya , casado con Dofia' María- Josepha Le orno , hijo de D. Antonio de Urrutia y de Doña Madalena de Arpide: que sus bienes consistieron en pesos, 6 rs. y 6 -granos</t>
  </si>
  <si>
    <t>de Utraza, Juan Antonio</t>
  </si>
  <si>
    <t>Juan Antonio de Utraza</t>
  </si>
  <si>
    <t>señalado el día 11 en la citada audiencia. Quien quisiere hacer mejora acuda á dicha escribanía de D. Juan Antonio de Utraza. Ante el mismo Sr, D. Pedro González Caldero», y escribanía del número de D. Casimiro Antonio Gómez, se está subastando una casa perteneciente á las memorias de Doña Antonia Engra</t>
  </si>
  <si>
    <t>de UVraza, Juan Antonio</t>
  </si>
  <si>
    <t>Juan Antonio de UVraza</t>
  </si>
  <si>
    <t>asado judicialmente en 443,907 rs; Quien quisiere hacer postura acuda á la escribanía del número de Don Juan Antonio de UVraza dentro del término de 30 dias. = Por la misma escribanía y por la audiencia del Sr. D. Pedro González Calderón se está subastando una casa sita en la cade del Angel, núm. 7, maoz. 11</t>
  </si>
  <si>
    <t>de Uzin, Joseph</t>
  </si>
  <si>
    <t>Joseph de Uzin</t>
  </si>
  <si>
    <t>profesor de humanidades. El exámen abrazaba las primeras letras, y baxo la dirección de su maestro D. Joseph de Uzin fueron examinados D. Joseph María de Munive, D. Joseph de Gaytan, D. Fernando Adan y D. Fernando de las Casas. En rudimentos de latinidad, baxo la dirección de su maestro D. André</t>
  </si>
  <si>
    <t>de Valbusna, Manuel</t>
  </si>
  <si>
    <t>Manuel de Valbusna</t>
  </si>
  <si>
    <t>ntidad que la en que respectivamente están tasadas. Comentarios de Cayo Julio César, traducidos por D. Manuel de Valbusna, Catedrático de retórica de los Reales estudios de.esta corte, y del número de la ¡Real academia española : segunda impresión nuevamente corregida: lleva el t&lt;xto latino en mejor</t>
  </si>
  <si>
    <t>de Valdominos Cruzat, Juan</t>
  </si>
  <si>
    <t>Juan de Valdominos Cruzat</t>
  </si>
  <si>
    <t>e Francisco Alegre: una tierra en la Peña Corva, de ig fanegas, tasada en 9go rs. Patronato Real de D. Juan de Valdominos Cruzat: una tierra en el pago del Carrizal, de gf- fanegas, tasada en ggoo rs. Una tierra cañamar en el pago de la Pililla, de 3 fan. en gaoo. Preceptoría de María López Romero: un oliva</t>
  </si>
  <si>
    <t>de Valenzucla, Juan</t>
  </si>
  <si>
    <t>Juan de Valenzucla</t>
  </si>
  <si>
    <t>stín de Aragón, de granaderos, y D. Gerónimo Muñoz; á primer Teniente de granaderos al de fusileros D. Juan de Valenzucla; X primeros Tenientes á los segundos de granaderos D. Antonio Gallardo y D. Pablo Mediavilla , y X los de fusileros D. Rafael Muñoz y D. Eélix Gasol; á segundos Tenientes de grana</t>
  </si>
  <si>
    <t>de Valenzuela y Melgarejo, Miguel</t>
  </si>
  <si>
    <t>Miguel de Valenzuela y Melgarejo</t>
  </si>
  <si>
    <t>D. Francisco Perez de Grandallana y Fontecha, D. Benito Gijon y Rósalas, D. Pedro Caamaño y Romero, D. Miguel de Valenzuela y Melgarejo, D. Vicente Bermudez de Castro y Vivero, D. Bernabé de Mariaca y Ansótegui, D. Genaro de Aurea y Rho, D. Vicente Martin Vegue y Zayas, D. Gabriel Góngora y Palacio, D. Luis de Ben</t>
  </si>
  <si>
    <t>de Valenzuela y Prado, Fernando María</t>
  </si>
  <si>
    <t>Fernando María de Valenzuela y Prado</t>
  </si>
  <si>
    <t>os y especiales bienhechores, que lo son los individuos de esta sociedad, singularmente su Director D. Fernando María de Valenzuela y Prado, D. Joseph Martínez Mazas, Dean de esta santa iglesia, el Arcediano de Jaén D. Joseph Gómez , D.Fernando y D. Juan joseph de Aranda, hermanos,caballeros maestrantes, y D. Andrés d</t>
  </si>
  <si>
    <t>de Valladares, Pedro</t>
  </si>
  <si>
    <t>Pedro de Valladares</t>
  </si>
  <si>
    <t>da ante el Sr. Alcalde de casa y corte D. Joseph Navarro y Vidal, por la escribanía de provincia de D. Pedro de Valladares , que se admitirán las que $e hicieren, Están señalados los remates de dos casas, sitas la una en la carrera de S. Gerónimo, núm. 2, manzana 2ti , tasada en 202,624 rs., y dan por</t>
  </si>
  <si>
    <t>e D. Joseph Navarro y Vidal el dia 22 de Marzo á la hora de las 12 en la escribanía de provincia de D. Pedro de Valladares. Eí partido de Médico titular de Ja villa de Ajalvir , partido de la ciudad de Alcalá de Henares, distante de ella dos leguas , y de Madrid quatro, se halla vacante : vale al año</t>
  </si>
  <si>
    <t>de Valladáres, Pedro</t>
  </si>
  <si>
    <t>Pedro de Valladáres</t>
  </si>
  <si>
    <t>varro y Vidal, del Consejo de S. M. , su Alcalde de Casa y Corte, por la escribanía de Provincia de D. Pedro de Valladáres en el término de dias. Para el remate de una casa, sita en esta corte en la plazuela de Santiago, manzana 420, con dos tribunas , jardin , fuente y otras comodidades , valuada últim</t>
  </si>
  <si>
    <t>tura á todo en vales Reales ó en efectivo,‘acudirá al oficio y escribanía de provincia del cargo de D. Pedro d.e Valladáres. Arte de conservar la salud y prolongar la vida , ó tratado de higiene: escrito en francés por Mr. de Presavin, y traducido al castellano. Esta obra presenta á los profesores de m</t>
  </si>
  <si>
    <t>o de S. M. su Alcalde de casa y corte, i quien está .cometida dicha Real facultad , y escribanía de D. Pedro de Valladares, que se instruirá £ los postores de los aprecios y se admitirán las que se hicieren, no siendo manos muertas, ni en menos cantidad que la en que respectivamente están tasadas. Com</t>
  </si>
  <si>
    <t>de Vallejo, Joseph</t>
  </si>
  <si>
    <t>Joseph de Vallejo</t>
  </si>
  <si>
    <t>o compuesto de un exemplar de la Historia-de Mariana, de la edición de Cana con estampas, al alumno Don Joseph de Vallejo, en atención al t iento y particular aplicación de que dio claras pruebas en sus exercicios. Concluyóse el acto con la distribución de premios, quedando tan satisfechos el Sr. Pre</t>
  </si>
  <si>
    <t>de Várgas y Mexía, Juan</t>
  </si>
  <si>
    <t>Juan de Várgas y Mexía</t>
  </si>
  <si>
    <t>onzález de Castro, se venden varias tierras pertenecientes á- las memorias fundadas por el Exc. Sr, D. Juan de Várgas y Mexía en término de los lugares siguientes de esta jurisdicción. Villaverde: una en los Pradejones y Garcicuchilla, de una fanega, 2 celemines y 12 estadales, tasada en /H9g rs. Otra én G</t>
  </si>
  <si>
    <t>de Vargas, Ana</t>
  </si>
  <si>
    <t>Ana de Vargas</t>
  </si>
  <si>
    <t>una casa sita en la calle del León, núm. 18 , manzana ai8 , perteneciente á las memorias que fundó Doña Ana de Vargas, tasada judicialmente en 62,487 rs., y dsn por ella 70&amp;: y se ha señalado para su remate el 21 del corriente de doce á una de la tarde en la audiencia del Sr. D. Pe</t>
  </si>
  <si>
    <t>a casa sita en la calle de S. Antón, núm. 23 , manzana 316 ¿ perteneciente á las memorias que fundó Doña Ana de Vargas, tasada judicialmente en 32,029 rs. , y dan por ella y se ha señalado para su remate el dia 31 del corriente en la audiencia de dicho Sr., de doce á una de la .tarde del mismo dia</t>
  </si>
  <si>
    <t>de Vargas, Joseph</t>
  </si>
  <si>
    <t>Joseph de Vargas</t>
  </si>
  <si>
    <t>ecuenco; y para una Media-Ración de la metropolitana de Lima á D. Juan Marín. El Rey ha concedido á D. Joseph de Vargas, Cirujano del regimiento de infantería de Borbon, igual empleo en el fixo de Cartagena. En el batallón de milicias disciplinadas de Voluntarios blancos de Campeche ha promovido á</t>
  </si>
  <si>
    <t>gimiento de letras de Lacena, que este dexa, á D. Antonio de la Escalera; y para el de Chinchilla á.D. Joseph de Vargas. S. M. ha concedido á D. Vicente Menta y Albornoz, caballero Maestrante de la Real de Valencia, en atención á sus méritos y servicios, el título de Barón del Rey no, para sí, sus</t>
  </si>
  <si>
    <t>de Vargas, Vicente</t>
  </si>
  <si>
    <t>Vicente de Vargas</t>
  </si>
  <si>
    <t>anuel Casaus; á primer Subteniente al segundo D. Marcos Márquez ; y á segundo Subteniente al Cadete D. Vicente de Vargas: en el de Navarra á segundo Subteniente al Cadete del de las Ordenes Militares D. Juan Antonio López: en el de Hibernia á segundo Subteniente al Cadete del dé Sabóya D. Joseph Agu</t>
  </si>
  <si>
    <t>de Varo Franco y Areco, Pedro</t>
  </si>
  <si>
    <t>Pedro de Varo Franco y Areco</t>
  </si>
  <si>
    <t>y Betéluri, D. Antonio Riquehne y Corral, D. Joseph Vial y Cardigondi, D. Juan Ordoñez y Martínez, D. Pedro de Varo Franco y Areco, D. Manuel Ponce de León y Torres, D. Joseph de Tiscar y Pedrosa, D. Saturnino Aguado y Payan, D. Joseph Bayo y García de Prado, D. Joseph de Arbizu y Alava, Don Antonio Vázquez d</t>
  </si>
  <si>
    <t>de Vedia y González, Juan</t>
  </si>
  <si>
    <t>Juan de Vedia y González</t>
  </si>
  <si>
    <t>e y V elez, D. Antonio García y Navarro , D. Joachín de Rivas y Lana, I&gt;. \ ictoruno García Valdés, D. Juan de Vedia y González, D. Joseph de Rezustay Goicoechea, D. Pascual del Cañizo y Pareja , D. Dionisio Capaz Renden , D. Christóbal de Torres y Venegas , D. Manuel de Cárdenas y Osorio, D. Manuel Diqz y</t>
  </si>
  <si>
    <t>de Vega y Senmanat, Joseph</t>
  </si>
  <si>
    <t>Joseph de Vega y Senmanat</t>
  </si>
  <si>
    <t>emorias y noticia para, la historia de S. Félix mártir gerundense, llamado el Africano, que publica D. Joseph de Vega y Senmanat. El principal intento de estas memorias ha sido promover la celebridad y veneración de un Santo , que puede en algún modo decirse olvidado ó desconocido en estos tiempos, respecto</t>
  </si>
  <si>
    <t>de Vega, Diego</t>
  </si>
  <si>
    <t>Diego de Vega</t>
  </si>
  <si>
    <t>ariano Moreno, Don M irtin de Arambulo y D. Pablo Gaona y Jáuregui; y empleos de Portaestandartes á D. Diego de Vega, D. Pedro Merino, D. Urbano Sugasti y D. Bartolomé Estrada. A consulta del supremo Consejo de Castilla de io de este mes se ha 'dignado S. M. conceder facultad y licencia á la vil</t>
  </si>
  <si>
    <t>de Vela, Joseph</t>
  </si>
  <si>
    <t>Joseph de Vela</t>
  </si>
  <si>
    <t>eal convento de la Encarnación de Madrid por ascenso de D. Juan Sánchez á la de número, que obtenía D. Joseph de Vela, á D. Leandro Gonzalo, con obeion á da primera vacante, y con la consignación hasta entonces de 200 ducados de vn. al año: para otra titular del mismo convento, vacante por muerte</t>
  </si>
  <si>
    <t>de Velarde, Rafael (coronel)</t>
  </si>
  <si>
    <t>Coronel Rafael de Velarde</t>
  </si>
  <si>
    <t>id , y son el P. Prior del Rosario, el Coronel D. Vicente Galvez , Doña Josepha Benito, el Teniente Coronel Don Rafael de Velarde , Doña María Muñoz , ei Teniente Coronel D. Tomas Daquindehan, Doña Manuela Fernandez, D. Miguel Romero dorador, D. Vicente Ortiz de Salgousen, Doña Manuela Medina, Doña Ignacía S</t>
  </si>
  <si>
    <t>de Velasco, Joachín</t>
  </si>
  <si>
    <t>Joachín de Velasco</t>
  </si>
  <si>
    <t>del de Secretario de la Capitanía General de Andalucía, nombrando para que lo sirva en propiedad á D. Joachín de Velasco. En la Subdelegacíon general de bienes mostrencos, vacantes y abintestatos se halla una maleta con varias ropas y otras cosas de alguna consideración dentro de ella, que se perdió</t>
  </si>
  <si>
    <t>de Velasco, Julián</t>
  </si>
  <si>
    <t>Julián de Velasco</t>
  </si>
  <si>
    <t>niñez y de la juventud, tomada de las mejores obras del célebre Berquin, y puesta en castellano por D. Julián de Velasco. Esta obrita es de gran utilidad para cultivar el entendimiento y formar la razón de ia infancia en ámbos sexós por medio de excelentes modelos 'proporcionados á su edad: un tomo</t>
  </si>
  <si>
    <t>de Velasco, Manuel</t>
  </si>
  <si>
    <t>Manuel de Velasco</t>
  </si>
  <si>
    <t>y fundaciones de D. Juan Bautista Mas: dos por el censor Don Joseph Ribero: quatro por el contador D. Manuel de Velasco: «eis por</t>
  </si>
  <si>
    <t>un elogio histórico del Exc. Sr. D. Luís de Urbina, Director que fue de esta sociedad. El contador D. Manuel de Velasco pronunció un discurso exhortando á «todas las clases del vecindario de esta capital á unirse á la sociedad, y trabajar en los objetos de su instituto. El socio D, Joachin de la Cr</t>
  </si>
  <si>
    <t>D. Antonio Zuazo: habiendo nombrado Teniente del Real cuerpo de artillería al Subteniente del mismo D. Manuel de Velasco. , _ ' _ _ . En atención á los servicios y méritos de D. Alexo Koxo lamanz, Achministrador general de la Real imprenta, se ha servido S. M. concederle honores de Comisario de Guer</t>
  </si>
  <si>
    <t>encia de los bosques de este Reyno, y medios de evitarla, de asegurar su permanencia &amp;c___ El socio D. Manuel de Velasco ofrece un premio de 50 ducados para dotar úna hija, habilitar un hijo, ó emplear en aperos de labor 6 beneficio de su hacienda, al labrador que dentro de dos años contados desde l</t>
  </si>
  <si>
    <t>o todas las operaciones baxo sus órdenes y dirección desde el hilado hasta su conclusión___El socio D. Manuel de Velasco ofrece dos onzas de oro, ó dos medallas de peso equivalente, al Alcalde de barrio de esta ciudad y sus arrabales, que en desempeño de su obligación justifique haber puesto en apre</t>
  </si>
  <si>
    <t>de Ver, Jacinto</t>
  </si>
  <si>
    <t>Jacinto de Ver</t>
  </si>
  <si>
    <t>usileros en ei de Sevilla al primer Teniente de granaderos D. Joseph Bravo de A riza y al Ayud tito D. Jacinto de Ver,:; Ayudantía al primer Teniente D. Mi truel del Castillo j primera Tenencia, de. granaderos al de fúsilefos Don Rpduiíb Conde;primeras Tenencias de fusileros á los segundos Tenien</t>
  </si>
  <si>
    <t>de Vera de Aragón, Vicente Xavier</t>
  </si>
  <si>
    <t>Vicente Xavier de Vera de Aragón</t>
  </si>
  <si>
    <t>a. El dia 5 dé Noviembre último falleció en esta corte 'á los 47 años cumplidos de edad él Exc. Sr. D. Vicente Xavier de Vera de Aragón, Ladrón de Guevara, Conde de ReqiicñG Grande de España, Caballero profeso de la orden de Santiago, Administrador de Galizuela en la de Alcántara, Gentilhombre de C ámara de S. M.</t>
  </si>
  <si>
    <t>de Vera y Saurín, Juan</t>
  </si>
  <si>
    <t>Juan de Vera y Saurín</t>
  </si>
  <si>
    <t>Allendelagua y D. Vicente de Arizaga y Vázquez. En 2.a fecha. D. Horacio Publicóla y Santa Croce , D. Juan de Vera y Saurín, D. Pedro de Salazar y Valle, D. Felipe Esteiler y Febrer,D. Joseph del Viso y Roxas,D. Francisco Perez de Grandallana y Fontecha, D. Benito Gijon y Rósalas, D. Pedro Caamaño y Ro</t>
  </si>
  <si>
    <t>de Vera, Domingo</t>
  </si>
  <si>
    <t>Domingo de Vera</t>
  </si>
  <si>
    <t>Rosuelas, del patronato de........ tasado en 26,088 rs. Otro llamado de las Navas, del patronato de D. Domingo de Vera, en 60,072. Gobierno de Cádiz. Isla de León : una casa calle Real, núm. 10, de la cofradía de Ntra. Sra. del Rosario, tasada en 91,224 rs. Otra calle del Pozo, núm. 43, en 29,633.</t>
  </si>
  <si>
    <t>de Vera, Ignacio</t>
  </si>
  <si>
    <t>Ignacio de Vera</t>
  </si>
  <si>
    <t>laza de Cádiz, que sirve. En la Real brigada de Carabineros ha nombrado el Rey para dos Compañías á D. Ignacio de Vera, Capitán del regimiento de dragones de Lusitania, y á D. Manuel Ladrón de Guevara, Ayudante mayor del mismo Real cuerpo: para está resulta aí Ayudante segundo D. Antonio Bucareli:</t>
  </si>
  <si>
    <t>de Verneda, Francisco</t>
  </si>
  <si>
    <t>Francisco de Verneda</t>
  </si>
  <si>
    <t>o llegado á su destino, quien sepa su paradero avisará en Palma'al referido Billón-, en Barcelona á Don Francisco de Verneda y compañía, y en Madrid al citado Lobera, calle de las Fuentes, núm. 6, quarto 2.0 1 Por el Sr. D. Juan Antonio Santa María, caballero de la Real y distinguida orden española de Cár</t>
  </si>
  <si>
    <t>de Vial, Ramón</t>
  </si>
  <si>
    <t>Ramón de Vial</t>
  </si>
  <si>
    <t>ndable á los sabios su memoria, y muy sensible su pérdida. El 10 de Marzo se remitieron de Madrid á D. Ramón de Vial , del1 comercio de Santander, dos vales de 600 pesos , creación de i-¿ de Setiembre , cuyos números se ignoran , endosados el 9 de Marzo por D. Luis Lafosse á favor de D. Bernardo</t>
  </si>
  <si>
    <t>de Viana, Ramón</t>
  </si>
  <si>
    <t>Ramón de Viana</t>
  </si>
  <si>
    <t>asuntos que la interesan, acudirá á la calle de Sta. Polonia, núm. ai, quarto segundo, en que vive D. Ramón de Viana, por quien preguntará. Los-subscriptores al mapa topográfico de la ciudad de Granada, dado á lúa por D. Francisco Dalmau, acudirán á recoger sus exemplares en Madrid en la librerí</t>
  </si>
  <si>
    <t>de Videri'quc, Rafael</t>
  </si>
  <si>
    <t>Rafael de Videri'quc</t>
  </si>
  <si>
    <t>ti.i, lia venido en conferirle la plaza de Oidor de aquel tribunal,' vacante por fallecí miento «de D. Rafael de Videri'quc/para la qual tenia ya declarada opcion; y para la de Alcalde del crimen, que resulta vacante, ha' nombrado el .Rey al supernumerario D. Joseph Arias de Viiiafañe. ! En cumplimient</t>
  </si>
  <si>
    <t>de Vidondo, Ramón</t>
  </si>
  <si>
    <t>Ramón de Vidondo</t>
  </si>
  <si>
    <t>el y 2&gt;. Francisco de Coniferas; á primeros Subtenientes á los segundos D. Antonio Martínez Orosa , D. Ramón de Vidondo , D. Juan Osorno, D. Manuel Teresa Vázquez, D. Vicente Moreno y D. Salvador Melgar, y á sey u. remando Arraga' ríos de Aragón á segundo Ayudante al primer Teniente D. Mariano Barr</t>
  </si>
  <si>
    <t>de Viegas, Simón</t>
  </si>
  <si>
    <t>Simón de Viegas</t>
  </si>
  <si>
    <t>Paz. Discurso Filosófico-legal sobre el Foro : 2.0 tomo de los opúsculos que ha empezado á publicar D. Simón de Viegas. Se hallará con el tomo i.° , que trata de lógica , en las librerías de Tieso , calle de las Carretas,de Fuente en la de la Almudena, junto á los Consejos, y de Herrera, calle deS</t>
  </si>
  <si>
    <t>de Vilches, Gerónimo</t>
  </si>
  <si>
    <t>Gerónimo de Vilches</t>
  </si>
  <si>
    <t>s de la sagrada comunión , y pueden servir para la comunión espiritual: escritas por el M. R. P. M. D. Gerónimo de Vilches, del orden de S. Basilio : á que van añadidos dos actos de amor y esperanza en Jesus sacramentado , y una exhortación piadosa á la freqliente comunión &amp;c.: un tocino en 8,° de bue</t>
  </si>
  <si>
    <t>de Vilialonga, Ramón</t>
  </si>
  <si>
    <t>Ramón de Vilialonga</t>
  </si>
  <si>
    <t>llería; á primer Subteniente al segundo D. Antonio María Sánchez, y á segundó Subteniente al Cadete D. Ramón de Vilialonga: en el de cazadores voluntarios de la Corona á Subteniente al segundo Subteniente dél de infantería' de León D. Miguel Cortes: en el segundo batallón dé voluntarios der Aragón á C</t>
  </si>
  <si>
    <t>de Villaíba, Joachín</t>
  </si>
  <si>
    <t>Joachín de Villaíba</t>
  </si>
  <si>
    <t>111 9 Colon, protector dé este establecimiento. Los profesores D.Francisco González y D. Joachin de Villaíba , á cuyo cargo estuvieron estas cátedras, dixéron cada uno respectivamente en su dia una oración alusiva á las mate-' rias del examen ; y d.es pues de haber explicado los alumnos</t>
  </si>
  <si>
    <t>de Villanueva y Barradas, Manuel</t>
  </si>
  <si>
    <t>Manuel de Villanueva y Barradas</t>
  </si>
  <si>
    <t>ros .al primer Subteniertte D. Antonio Anguita : en el de lá Corona á segundo Subteniente al Cadete D. Manuel de Villanueva y Barradas: en el de Zamora á primer Teniente de.gra</t>
  </si>
  <si>
    <t>de Villanueva, Joachín</t>
  </si>
  <si>
    <t>Joachín de Villanueva</t>
  </si>
  <si>
    <t>por el mismo con el texto latino é igual número de estampas , á 72 rs.: y otros de la traducción de D. Joachín de Villanueva , adornados con 30 de las mismas estampas , á 62 rs. Habiéndose despachado en pocos dias en la librería de Barco, carrera de San Gerónimo, la i.a partida de exemplares que se le e</t>
  </si>
  <si>
    <t>de Villanueva, Joachín Lorenzo</t>
  </si>
  <si>
    <t>Joachín Lorenzo de Villanueva</t>
  </si>
  <si>
    <t>algunps exémpíare?de Jas traducciones 4el oficio..d*.la,Semana santa,.publicadas anteriormente por D. Joachin Lorenzo de Villanueva y D. Joseph B igual y.-:adornados ahora nuevamente .con 38,vó,mas ^estampa* cadai^a^ cntrcsácadás de la aprectófile colección de I4 Biblia española , y acomodadas al tamaño'de. dichas</t>
  </si>
  <si>
    <t>de Villar, Joseph Joachín</t>
  </si>
  <si>
    <t>Joseph Joachín de Villar</t>
  </si>
  <si>
    <t>lsa: para Oficial mayor de dicha contaduría á D. Benito Ib. arrendó: para Oficial segundo de ella á D. Joseph Joachín de Villar; y para Oficial tercero de la misma á D. Joseph Mariáno Recacoechea: para Visitador del resguardo de la factoría de Guadalaxara á D. Carlos Pozo: para Teniente Visitador de ella á</t>
  </si>
  <si>
    <t>de Villena, Joachín</t>
  </si>
  <si>
    <t>Joachín de Villena</t>
  </si>
  <si>
    <t>e aí Subteniente de granaderos D. Gabriel Moreno; á Subteniente de granaderos al primer Subteniente D. Joachin de Villena; á primer Subteniente al segundo D. Joseph Serra; y á segundos Subtenientes al Sargento primero de granaderos, graduado de Subteniente, D. Francisco Olivencía, y al Cadete del pri</t>
  </si>
  <si>
    <t>de Wedel, Conde</t>
  </si>
  <si>
    <t>Conde de Wedel</t>
  </si>
  <si>
    <t>Glukstadt para Copenhague el Chambeland Blucher, desp ichado de Londres por el Conde de Wedel, Ministro de Dinamarca en Inglaterra. Lleva pliegos y la declaración que ha hecho el Capitán de la fragata dinamarquesa apresada por hs ingleses. El dia 3 salió de aquí el caballero Huerta</t>
  </si>
  <si>
    <t>de Woronzow, Conde</t>
  </si>
  <si>
    <t>Conde de Woronzow</t>
  </si>
  <si>
    <t>que,se idqscontáron algún tiempo á 3^ por 100, pierden ahora 50 ;por, 100. &gt;E1 Conde de Woronzow, Ministro de Rusia en .esta porte - ha-recibido el nombramiento de Comandante en xefe ele todas, las tropas rusas pagadas por la Gran Bretaña. Créese que no árá á ponerse á sufrqnte, y que</t>
  </si>
  <si>
    <t>os demas Principes franceses que se hallan en Londres comieron ayer en casa del Conde de Woronzow , Ministro de Rusia. Expresan los últimos avisos de la India que los portugueses han consentido se entregue á las fuerzas británicas, mandadas por el General Clarck, 3a factoría de Goa y sus</t>
  </si>
  <si>
    <t>obierno que en adelante tenga francas todas sus cartas. Londres 26 de Jimio* íl Conde de Woronzow , Ministro plenipotenciario de. Rusia, saldrá de aquí? el din r.° de Julio para Petersburgo. Dexa alquilada la casa que habita. Han llegado á las Dunas muchas cañoneras y mayor numero de bar</t>
  </si>
  <si>
    <t>y fundada contra la unión de aquel Xeyno con el de Inglaterra. Ha suspendido el Conde de Woronzow, Ministro ruso en esta corte* el viage que iba á emprender; pues acaba de recibir dos gracias que había pedido al Emperador su amo, v son la dimisión de su empleo* y i la libertad de residi</t>
  </si>
  <si>
    <t>de Wurtemberg, Alejandro (príncipe)</t>
  </si>
  <si>
    <t>Príncipe Alejandro de Wurtemberg</t>
  </si>
  <si>
    <t>Egipto se habia renovado la guerra. Lo reemplaza el Director de Marina. Petersburgo 1 de Junio. E 1 Príncipe Alejandro de Wurtemberg, Teniente General de los exérci.tos del Emperador de romanos, entró el 7 de Mayo con el mismo grado á servir al de Rusia, y ha sido nombrado xefe del regimiento de corazas de Mull</t>
  </si>
  <si>
    <t>nte General Swetschin está nombrado General de infantería y Gobernador militar de esta ciudad; y el Príncipe Alejandro de Wurtemberg ha sido promovido á General de caballería. Copenhague 21 de Setiembre. E 1 día 17 fué bautizado el Príncipe recien nacido de Augustenburgo, asistiendo á aquel acto el Rey, el Prín</t>
  </si>
  <si>
    <t>de Wurtemberg, Alexandro (príncipe)</t>
  </si>
  <si>
    <t>Príncipe Alexandro de Wurtemberg</t>
  </si>
  <si>
    <t>astadores, y 16 regimientos de cosacos. Baxo las órdenes del Conde de Pahlen mandarán los Generales Príncipe Alexandro de Wurtemberg, Príncipe Cárlos de Mecklemburgo, Gervais, Barón de Gersdorf, Barón de Drechhsel &amp;c.; y baxo las dei General Kutusow los Generales Bowr, Essen, los Condes Witgenstein» Sprengtport</t>
  </si>
  <si>
    <t>de Wurtemberg, Fernando (príncipe)</t>
  </si>
  <si>
    <t>Príncipe Fernando de Wurtemberg</t>
  </si>
  <si>
    <t>nsejo de guerra celebrado en Viena para juzgar al General Froelich (el qual estaba presidido por el Príncipe Fernando de Wurtemberg) ha absuelto unánimemente á dicho General de los cargos que le habían intentado. « Un cuerpo de tropas austríacas con algunas de Baviera y Wurtemberg se ha puesto en marcha de las</t>
  </si>
  <si>
    <t>de Wurtemberg, Luis (príncipe)</t>
  </si>
  <si>
    <t>Príncipe Luis de Wurtemberg</t>
  </si>
  <si>
    <t>ersey y Guernsey no se restituyan este año á Rusia, como tienen orden de hacerlo. Ha dado el Rey al Príncipe Luis de Wurtemberg su retiro del empleo de Gobernador de Anspach y Bareuth. No habiendo podido cortarse el incendio de las minas de Goslar, se tapiaron todas sus entradas y aberturas; pero enrarecid</t>
  </si>
  <si>
    <t>de X-ariz, Ignacio</t>
  </si>
  <si>
    <t>Ignacio de X-ariz</t>
  </si>
  <si>
    <t>no'de i^o pesos, Creación de Marzo, núm. 332,313: todos endosados por el mismo Mendiburu á favor de D. Ignacio de X-ariz, de S. Sebastian; y respecto de qtíe no han’llegado á poder de dicho Barandiaran , quien supiere de éllos avisará en Madrid á D. Joseph Domingo de Barandiaran , en Cádiz á dicho M</t>
  </si>
  <si>
    <t>de Yebra, Francisco</t>
  </si>
  <si>
    <t>Francisco de Yebra</t>
  </si>
  <si>
    <t>de un nuevo sistema de pesos y medidas, fundado en la naturaleza, que pronunció el maestro director Don Francisco de Yebra. Y después en las diferentes sesiones que se siguiéron sin interrupción , fueron examinados en aritmética D. Joseph Villapol, Don Damaso Aldao , D. Agustín Mollon, Cadete de carab</t>
  </si>
  <si>
    <t>de Yiegas, Simón</t>
  </si>
  <si>
    <t>Simón de Yiegas</t>
  </si>
  <si>
    <t>rza, puerta del Sol. La Lógica, ó él orden' natüral del raciocinio: primer tomo de los opúsculos de D. Simón d,e Yiegas. ,§e hallará en las librerías de Tieso, calle de las Carretas , y dé Fiienteycdlle dé la Almudena, junto á los Consejos , á 10 rs. en rústica, y Í4 en • CompebflUoictiooQlógico de</t>
  </si>
  <si>
    <t>de Yun y Barbia, Joachín</t>
  </si>
  <si>
    <t>Joachín de Yun y Barbia</t>
  </si>
  <si>
    <t>, . , A los Oficiales urbanos que sin otro cargo ó destino se ausentaron de la plaza; los Capitanes D. Joachín de Yun y Barbia , D. Diego Echagiie, JD. Bernardo Joachín Gainza, D. Francisco Xavier Larreandi, D. Francisco Ignacio Iturzaeta, D. Francisco Cardaveras, D. Ignacio Larrañaga, y D. Miguel Juan de</t>
  </si>
  <si>
    <t>de Zaldivar, Martín</t>
  </si>
  <si>
    <t>Martín de Zaldivar</t>
  </si>
  <si>
    <t>Walonas se ha servido promover el Rey á Alféreces de granaderos á los de fusileros Barón de Garro y Don Martin de Zaldivar : en el de infantería de Soria á primer Teniente al.jsegundo de granaderos D. León Molero; á segundo Teniente de granaderos al de fusileros P. Tadeo Aldea; á segundos Tenientes á</t>
  </si>
  <si>
    <t>de Zaragoza, Ramón</t>
  </si>
  <si>
    <t>Ramón de Zaragoza</t>
  </si>
  <si>
    <t>á los segundos D. Pedro Onis y D. Miguel Peirson; y á segundo Subteniente al Cadete del de América D. Ramón de Zaragoza : en él de Aragón á Ayudante al primer Teniente de granaderos D. Lorenzo de Sierra; á primer Teniente de granaderos al de fusileros D. Francisco Gutiérrez; á primer Teniente al se</t>
  </si>
  <si>
    <t>de Zarandona, Juan</t>
  </si>
  <si>
    <t>Juan de Zarandona</t>
  </si>
  <si>
    <t>e Di Francisco Varona; y La Prestamera del Horcajo de las Torres; que1 lo está por fallecimiento de D. Juan de Zarandona; todos tres en la diócesis de Avila, á D. Ignacio Garci Marti y la Lastra. - En el regimiento de' Reales Guardias Walonas'-se ha servido promover el Rey á primeros Tcrtiient^ ’á l</t>
  </si>
  <si>
    <t>de Zavala, Joseph Ramón</t>
  </si>
  <si>
    <t>Joseph Ramón de Zavala</t>
  </si>
  <si>
    <t>cio Larrañaga, y D. Miguel Juan de Barcaiztegui; los primeros Tenientes D. Joseph Xavier de Lozano, D. Joseph Ramón de Zavala, D. Pedro Joseph de Baldenain y D. Juan Joseph de Lubelza; los segundos Tenientes D. Joseph María de Zoroa, D. Máximo de Goycoechea, D. Juan Ignacio de Casares , D. Angel Ignacio</t>
  </si>
  <si>
    <t>de Zavas, Felipe</t>
  </si>
  <si>
    <t>Felipe de Zavas</t>
  </si>
  <si>
    <t>la , D. Mariano Spadafora,D. Antonio de Arcens y Faleons, D. Tuan Bustamante y González del Rivero, D. Felipe de Zavas v LaudaD. Toseph Buitragoy Granados, D. Francisco Agraz y Fernandez, D. Antonio Gandarillas y Quixano , D. Juan de Ordaz Y -tizón, D. Fernando del Piélago y Arguedas, D. Juan Igna</t>
  </si>
  <si>
    <t>de Zayas, Joseph</t>
  </si>
  <si>
    <t>Joseph de Zayas</t>
  </si>
  <si>
    <t>r del Rey D. Miguel Planes y el Cadete D. Ramón Pardo; y heridos los primeros Tenientes de Asturias D. Joseph de Zayas y D. Andrés Ortiz ; el Comandante del tercer batallón del Rey Don Rodulfo Gautier y el Subteniente de granaderos de Guadalaxara D. Teodoro San Martin. De Jos elogios con que finaliza</t>
  </si>
  <si>
    <t>de Zea, Joachín</t>
  </si>
  <si>
    <t>Joachín de Zea</t>
  </si>
  <si>
    <t>uan de Jvivas, Teniente de la brigada; y ha nombrado segundos Ayudantes á los Tenientes de la misma D. Joachin de Zea y D. Joseph Escovcdo , y Teni ntes á los Alféreces de ella D. Joseph Carrillo, D. Pedro Iturraldcn, D. Pedro de Iriberri y D. Antonio Zea, Teniente del regimiento de dragones de la Re</t>
  </si>
  <si>
    <t>de Zoroa, Joseph María</t>
  </si>
  <si>
    <t>Joseph María de Zoroa</t>
  </si>
  <si>
    <t>h Ramón de Zavala, D. Pedro Joseph de Baldenain y D. Juan Joseph de Lubelza; los segundos Tenientes D. Joseph María de Zoroa, D. Máximo de Goycoechea, D. Juan Ignacio de Casares , D. Angel Ignacio de Alcain, D. Joachín Luis de Bermingham, D. Joseph Joachin de Atalay, D. Francisco Borja Larreandi . D. Be</t>
  </si>
  <si>
    <t>de Zurita y Adorno, Agustín</t>
  </si>
  <si>
    <t>Agustín de Zurita y Adorno</t>
  </si>
  <si>
    <t>egundos Tenientes de granaderos á los de fusileros D. Juan Mana de Pote^, D. Alexandro de Coupigny, D. Agustín de Zurita y Adorno, gradi-do de Teniente Coronel, y I&gt;. Carlos Gravma. En el de infantería de Gr’-rnd 1 á m-imer Teniente al segundo de granaderos D. Joseph Fernandez y ásebndo Teniente al Subtenien</t>
  </si>
  <si>
    <t>De, Almirante</t>
  </si>
  <si>
    <t>Almirante De</t>
  </si>
  <si>
    <t>ragatas; y así se espera que antes de 3 meses constará la esquadra bátava de 30 naves de guerra. El Almirante De w ínter mandará en xefe todas las fuerzas marítimas de la República. * Se ha pubíicado de oficio que el Teniente General Krayenhoff alcanzó en sus negociaciones con el Almirante D</t>
  </si>
  <si>
    <t>Dean</t>
  </si>
  <si>
    <t>ro instruido, enquadernado en pasta, costeando estos premios la generosidad del presidente Dean de esta santa Iglesia, que arengó á los alumnos, y manifestó la gratitud del cuerpo al catedrático Dr. D. Serapio Sinués por su exacto desempeño y acertada direcció</t>
  </si>
  <si>
    <t>Debernardi</t>
  </si>
  <si>
    <t>DebilJy, General</t>
  </si>
  <si>
    <t>General DebilJy</t>
  </si>
  <si>
    <t>nes de Legrand y Souliam; pero esti última los acometió por retaguardia, al paso que la brigada del General DebilJy atravesó el Danubio y atacó por el flanco al cuerpo que hacia frente á la primera de dichas divisiones. Dos regimientos de caballería y un cuerpo de granaderos atacaron también el</t>
  </si>
  <si>
    <t>Debox, Andrés</t>
  </si>
  <si>
    <t>Andrés Debox</t>
  </si>
  <si>
    <t>ero de granaderos D. Agustin Poncerot: en el de TJltonia á Capitán al primer Teniente de gr.msderos D. Andrés Debox; á primer Teniente de granaderos al de fusileros D. Juan Macdonell; á primeros Tenientes á los segundos de granaderos D. Juan Fitz-Gerald y D. Jacobo Troche; á segundos Temen-, te</t>
  </si>
  <si>
    <t>Decaen, General</t>
  </si>
  <si>
    <t>General Decaen</t>
  </si>
  <si>
    <t>ntz en Babenhausen, y se adelantó para sostener e! cuerpo de Grenier ,'al paso que la’ división del General Decaen se replegaba de Oberhausem á Bobenhimsen.Ei dia 5. se extendía nuestro exército desde- el Iller al Lech, conservando1 un cuerpo en la izquierda del primero de-estos rios.- Presumi</t>
  </si>
  <si>
    <t>ior había hecho prisioneros 60 soldados de caballería, se ha adelantado hacia Bretenthal , y la del General Decaen se ha apostado en Krumbach , donde se sentará esta tarde el quartel general. El resultado de esta acción consiste en unos 500 ó 600 prisioneros, y en 400 heridos también austríaco</t>
  </si>
  <si>
    <t>misticio les hubiera dado tiempo para establecerse en Baviera. Sucedió lo que yo había prvvbto ; el General Decaen, que al frente de su división iba á marchas forzadas-á Munich, entro esta mañana en aquella ciudad. Firmado: Morcan.” ,, Carta del General de división Des sol¡es, xefe de ¡a plana</t>
  </si>
  <si>
    <t>ército siguiese el mismo camino. El General Lecourbe salid de Friedberg el dia 30 para Landshut. El General Decaen y que atravesó el Iser, se ha apoderado de la famosa altura de Gaststeigberg, á la derecha de aquel rio; y quizá marchará contra Inspruck. El cuerpo austríaco del General Meerfeld s</t>
  </si>
  <si>
    <t>Déclóuet, Luis</t>
  </si>
  <si>
    <t>Luis Déclóuet</t>
  </si>
  <si>
    <t>el de voluntarios de milicias del Misisipí en la Luisrana, con el grado de Capitán de infantería; á D. Luis Déclóuet, Teniente del regimiento fixo de aquella provincia. En la extracción de la Real lotería executada el Junes ra del corriente; salieron los números 71,62, 43, 8 y 46; y con ellos,ha</t>
  </si>
  <si>
    <t>Dedowitsch, General</t>
  </si>
  <si>
    <t>General Dedowitsch</t>
  </si>
  <si>
    <t>de Italia se ha establecido por los Grisones, y por los parajes que ocupa el cuerpo mandado por el General Dedowitsch, que está en Belíizona y Ghiavena. Francfort 22 de Febrero. T odo el exército ruso ha pasado ya las fronteras de Bohemia para volver á Polonia. Por lo tocante al embarco que se di</t>
  </si>
  <si>
    <t>Deerfeld, General</t>
  </si>
  <si>
    <t>General Deerfeld</t>
  </si>
  <si>
    <t>las tropas de su nación, después de quedar prisionero el General Hermann. Temiendo igual suerte el General Deerfeld, comandante de la caballería del exército de Suwarow, ha pedido su retiro. Londres i de Enero de 1S00. L os Reyes y la Real familia, que han pasado aquí las fiestas de Navb* dad ,</t>
  </si>
  <si>
    <t>Degruis, Juan Bautista</t>
  </si>
  <si>
    <t>Juan Bautista Degruis</t>
  </si>
  <si>
    <t>^ Jes de infantería de Alemanes en la referida provincia, Tenencia de granaderos al primer Teniente D. Juan Bautista Degruis; primera Tenencia al segundo Teniente D. Alexandro la Branche ; segunda Tenencia al Subteniente D. Luis Verret, y Subtenencias á los Cadetes D. Miguel Andry y D. Lorenzo Sigqr: '</t>
  </si>
  <si>
    <t>Dehnas, General</t>
  </si>
  <si>
    <t>General Dehnas</t>
  </si>
  <si>
    <t>iguiente ocupase á Mindelheiní. Por su parte el cuerpo dé; reserva se apoyo por. la izquierda,-y el General Dehnas atravesó el Guntz en Babenhausen, y se adelantó para sostener e! cuerpo de Grenier ,'al paso que la’ división del General Decaen se replegaba de Oberhausem á Bobenhimsen.Ei dia 5.</t>
  </si>
  <si>
    <t>Dehuerne, Andrés</t>
  </si>
  <si>
    <t>Andrés Dehuerne</t>
  </si>
  <si>
    <t>do y D. Manuel Angulo: en el de Reales Guardias Walonas á segundo Teniente al Alférez de granaderos D. Andrés Dehuerne, y á Alférez de granaderos al de fusileros D. Jayme Parella. En América. El Rey se ha servido conferir el empleo de Factor de Tabacos de la factoría de !a provincia de S. Salvador</t>
  </si>
  <si>
    <t>Dejean</t>
  </si>
  <si>
    <t>io); y la tercera del 4 al ó ^Messidor (del 23 al 25 de Junio). 12. N\ N. y los ciudadanos Dejean, Consejero de Estado, y Daru, Inspector de revistas, están nombrados para dirigir en calidad de comisarios el cumplimiento del presente convenio en todas sus p</t>
  </si>
  <si>
    <t>n rastros de destrucción por donde pasan. No tardará en llegar á esta ciudad el ciud. Dejean, xefe de división y Consejero de Estado de Francia , encargado por el primer Cónsul de arreglar un gobierno interino,el qual se compondrá de una junta executiv</t>
  </si>
  <si>
    <t>del Barco, Diego</t>
  </si>
  <si>
    <t>Diego del Barco</t>
  </si>
  <si>
    <t>de Irazabal, D. Francisco González, D, Fulgencio Cevallos , D. Benito Sandoval, D. Antonio Galindo, D. Diego del Barco, Di Gabriel de Torres , D. Manuel Saenz Ramírez, D. Francisco de Hore é Iturralde, D. Francisco de Reyna, D. Manuel Domínguez y D. Félix Castillo. El Rey se ha servido promover á</t>
  </si>
  <si>
    <t>del Barco, Joachín</t>
  </si>
  <si>
    <t>Joachín del Barco</t>
  </si>
  <si>
    <t>D. Juan Francisco Martínez de Ilervas: para otra de la misma catedral, vacante por fallecimiento de Don Joachín del Barco, á D. Antonio Martin Cortes: para otra de la colegiata de Alicante, diócesis de Orihuela, vacante por muerte de D. Juan Bautista Marco, á D. Joseph Gervasio Gozalvez: para otra de</t>
  </si>
  <si>
    <t>del Barrio y Valle, Joseph</t>
  </si>
  <si>
    <t>Joseph del Barrio y Valle</t>
  </si>
  <si>
    <t>se ha dignado conferir el Corregimiento del partido de Chimaltenango , en el Reyno de Goatemala , á D. Joseph del Barrio y Valle : la Alcaldía mayor de Sonsonate, en el mismo Reyno, á D. Matías Alborsj y una plaza de Agente de numero de Indias á D. Joseph Ximenez Sarmiento. El dia 3 del corriente salieron d</t>
  </si>
  <si>
    <t>del Camino, Joachín Antonio</t>
  </si>
  <si>
    <t>Joachín Antonio del Camino</t>
  </si>
  <si>
    <t>postuma, dividida en dos partes , traducida é ilustrada con notas por el Dr. D. Joachin Antonio del Camino, presbítero, catedrático que fué de Concilios generales y nacionales por S. M. de la universidad de Sancti-Spiriíus de 051 te , Canónigo de la Catedral de Lugo. Se hallarán en la librería de</t>
  </si>
  <si>
    <t>del Campillo, Joachín</t>
  </si>
  <si>
    <t>Joachín del Campillo</t>
  </si>
  <si>
    <t>r Teniente al segundo de tiradores D. Amonio Ponce; á segundo Teniente de tiradores al de cazadores D. Joachin del Campillo; á segundo Teniente al Subteniente de gastadores D. Diego Baladre; y á esta resulta al Subteniente D. Domingo Brandis: en ei de Ñipóles á primer Subteniente al segundo D. Jayme de</t>
  </si>
  <si>
    <t>del Campillo, Juan</t>
  </si>
  <si>
    <t>Juan del Campillo</t>
  </si>
  <si>
    <t>ió el Juez de bienes jde difuntos de la Real Audiencia de Guadalaxara testimonio del abintestato de D. Juan del Campillo, del qual consta que falleció en el Real de la Esperanza sin haber hecho disposición alguna testamentaria ; que sus bienes consistieron $n 12 pesos y 6 rs., de los quales existen</t>
  </si>
  <si>
    <t>del Campo Ribera, Agustín</t>
  </si>
  <si>
    <t>Agustín del Campo Ribera</t>
  </si>
  <si>
    <t>Beneficio simple de Enguídanos, en ladiocesis.de Cuenca, que resultará vacante por la promoción de Don Agustín del Campo Ribera al Arcedianato de Lorcu, Dignid id de la catedral de Cartagena,á D. Eulogio de Priego; y para la Capellanía mayor del convento de Santa Isabel de Madrid , que se halla vacante por</t>
  </si>
  <si>
    <t>del Campo Rivera, Agustín</t>
  </si>
  <si>
    <t>Agustín del Campo Rivera</t>
  </si>
  <si>
    <t>quiz al Arcedianato de Alcaraz, dignidad de la santa iglesia de Toledo, y á una Canongía de ella, á D. Agustín del Campo Rivera, juez de la Real capilla , con la obligación de residirlo, y pensionando dicha dignidad en 6$ rs. á favor de la expresada Real capilla: para la Canongía que obtenia en la Catedral</t>
  </si>
  <si>
    <t>del Campo, Agustín</t>
  </si>
  <si>
    <t>Agustín del Campo</t>
  </si>
  <si>
    <t>ón. El Rey ha nombrado Sub-Brigadier de la compañía Italiana del Real cuerpo de Guardias de Corps á D. Agustín del Campo, Cadete de la misma compañía. En América. S. M. se ha servido conceder á D. Joachin Maestre, Ayudante de órdenes del Virey de Buenos-A yres, grado de Capitán de dragones* Por Real</t>
  </si>
  <si>
    <t>del Campo, Bernardo</t>
  </si>
  <si>
    <t>Bernardo del Campo</t>
  </si>
  <si>
    <t>4 de Marzo próximo pasado falleció en esta corte de edad de 71 años y 7 meses cumplidos el Exc. Sr. D. Bernardo del Campo, Marques del Campo , Caballero Gran Cruz de la Real distinguida Orden de Carlos III, y Consejero de Estado. Principió su carrera política baxo la dirección del- Plenipotenciario e</t>
  </si>
  <si>
    <t>del Campo, Buenaventura</t>
  </si>
  <si>
    <t>Buenaventura del Campo</t>
  </si>
  <si>
    <t>Ma5'9 dan: i primeros Tenientes al segundo de granaderos D. Joseph Delahanty y al secundo Ayudante D. Buenaventura del Campo ; i segundo Teniente de granaderos al de fusileros D. Juan Sánchez; á segundo Ayudante al segundo Teniente D. Joseph Dugi; á segundos Temantes al Subteniente de granaderos D. Juan</t>
  </si>
  <si>
    <t>del Campo, Joseph Julián</t>
  </si>
  <si>
    <t>Joseph Julián del Campo</t>
  </si>
  <si>
    <t>ste empleo al Subteniente de granaderos D. Pablo Mundicia: sus resultas al Subteniente de fusileros D. Joseph Julián del Campo; y la vacante, que este dexa, al Cadete D. Domingo Rodriguez Plaza. En la extracción de la Real lotería executada el lunes 13 del corriente, salieron los números 33, 26, 49, 70 y</t>
  </si>
  <si>
    <t>del Carmen Andino, María</t>
  </si>
  <si>
    <t>María del Carmen Andino</t>
  </si>
  <si>
    <t>orre ,/en 304,948. Otra id. en 319.300. Otra en la plazuela de la nueva Catedral , del patronato de Doña María del Carmen Andino , en 37,469. Otra calle de S. Martin, de id. en 391,240. Otra en el arco de la Rosa , de id. en 281,150. Otra plazuela de la "Vireyna , de id. en 604,891. Otra calle del Empedrado</t>
  </si>
  <si>
    <t>del Castillo y Bustamante, Joachín</t>
  </si>
  <si>
    <t>Joachín del Castillo y Bustamante</t>
  </si>
  <si>
    <t>n de Teniente Coronel al regimiento provincial de las Tres ViHas, en-el Reyno de Nue-r ya-España, á D. Joachín del Castillo y Bustamante. Habiéndose estampado equivocadamente en la Guia de forasteros que . el Tesorero de Exército de Mallorca, en actual exereicio, es el Comisario</t>
  </si>
  <si>
    <t>del Castillo y Garay, Juan Bautista</t>
  </si>
  <si>
    <t>Juan Bautista del Castillo y Garay</t>
  </si>
  <si>
    <t>r Manzanares. . El 13 de Febrero remitiéron los Sres. Varanda é hijo, del comercio de esta corte, á D. Juan Bautista del Castillo y Garay, presbítero Beneficiado de Miofío, inmediato i Castro-Urdiales, con endoso i favor de este , un vale Real de 300 pesos, de i.° del mismo Febrero, núm. 114,865; y no habiendo llega</t>
  </si>
  <si>
    <t>del Castillo, Juan</t>
  </si>
  <si>
    <t>Juan del Castillo</t>
  </si>
  <si>
    <t>hazas de la memoria de X). Carlos Beíiavides, en 339. Una casa calle de Recogidas, del patronato de D. Juan del Castillo , en 32,782. Otra contigua de id. , en 28,700. Otra contigua de id., en «19,400.=:Lugar de Dudar: una casa de la hermandad del Santísimo, tasada en 17,614 rs. :=Villa de Montefrio</t>
  </si>
  <si>
    <t>del Castillo, Juan Joseph</t>
  </si>
  <si>
    <t>Juan Joseph del Castillo</t>
  </si>
  <si>
    <t>l Rey se ha di "nado nombrar Cirujano de! tercer batallen del regimiento de infantería Se Ultonia á D. Juan Joseph del Castillo: de! tercero del de Navarra á D. Este'ban Teixido: del primero del de Aragón a Don Juan Casdamon; y del primevo del del Rey á D. Joseph de Ayala. En América. 5. M. se ha servido c</t>
  </si>
  <si>
    <t>del Castillo, Manuel</t>
  </si>
  <si>
    <t>Manuel del Castillo</t>
  </si>
  <si>
    <t>ufrió esta joven, ele ed:.d ue 1 r años, un riguroso examen publico el 11 de este mes, f residiendo D. Manuel del Castillo, de los Reales estudios de S. Isidro el Red de Madrid, y al qual asistieron los cuerpos civil y eclesiástico. Respondió completamente á quanto se la preguntó, vertiendo con mucho</t>
  </si>
  <si>
    <t>del Castillo, Mateo</t>
  </si>
  <si>
    <t>Mateo del Castillo</t>
  </si>
  <si>
    <t>r las dos Tesorerías de Exército de Andalucía, vacantes por fallecimiento de los que las servían, á D. Mateo del Castillo y D. .Francisco Tamariz y Ribera. . Asimismo Ira tenido S. M. á bien conceder.honores de Comisario ordenador de sos Reales exércitos á D Leandro Iriberri, Administrador general de-ren</t>
  </si>
  <si>
    <t>del Castillo, Pedro</t>
  </si>
  <si>
    <t>Pedro del Castillo</t>
  </si>
  <si>
    <t>stóbal Fernandez ; mer Teniente al segundo D. Juan Montero; á segundo Teniente ai primerSubteniente D. Pedro del Castillo; á Subteniente de granaderos al primer Subteniente D. Francisco Gallano; á primeros Subtenientes á los segandps D. Joseph de Luna y D. Vicente Martínez,, y á segundos Subtenientes</t>
  </si>
  <si>
    <t>del Corral, Bernardo</t>
  </si>
  <si>
    <t>Bernardo del Corral</t>
  </si>
  <si>
    <t>primér Teniente de gastadores D. Agustín Moriaiio ; á primer Teniente de gastadores al de cazadores D. Bernardo del Corral; á primer Teniente al segundo de gastadores D. Juan Toledo; á segundos Tenientes de tiradores y gastadores á los de cazadores D. Joseph Moriano y D. Juan Rancourt; á segundos Teni</t>
  </si>
  <si>
    <t>del Corral, Manuel Isidoro</t>
  </si>
  <si>
    <t>Manuel Isidoro del Corral</t>
  </si>
  <si>
    <t>l de 300 pesos, de i.° de Julio , mím. 3 1,370, endosado por el Se fior Tesorero general á favor de D. Manuel Isidoro del Corral, con firma en blanco de este. Quien* le tenga le entregará al dicho Corral, ó á D. Antonio Garriga, que vive calle de Jacometrezo, mím. 14, quarto principal¿ frente al cestero del</t>
  </si>
  <si>
    <t>del Cozar, Francisco</t>
  </si>
  <si>
    <t>Francisco del Cozar</t>
  </si>
  <si>
    <t>el de Ronda la Tenencia y Subtenencia de granaderos al Teniente D. Pedro de Reyes y al Subteniente Don Francisco del Cozar: en el de Betanzos la Tenencia de granaderos al Teniente D. Benito de Castro*, en el de Pontevedra Tenencia al Subteniente D. Fernando de la Fuente, y las Subtenencias de bandera</t>
  </si>
  <si>
    <t>del Fierro, Juan</t>
  </si>
  <si>
    <t>Juan del Fierro</t>
  </si>
  <si>
    <t>usileros D. Manuel Benitcz y D. Lúeas Fernandez ; á primeros Tenientes X los segundos de granaderos D. Juan del Fierro, D. Joseph Perez, graduado de Capitán, y D. Joseph Antonio Cebollino; a segundos Tenientes de granaderos X los de fusileros D. Domingo Nares , D. Antonio Martin Perez y D. Félix.</t>
  </si>
  <si>
    <t>del Fierro, Vicente</t>
  </si>
  <si>
    <t>Vicente del Fierro</t>
  </si>
  <si>
    <t>eros Subtenientes D. Joseph Benitez Campon y D. Gaspar Gómez ; primera» Subtenencias á los segundos D, Vicente del Fierro % D. Manuel Muñoz y* IX- Tomas Verdes de la Vega ; y segundas Subtenencias a los Sargentos primeros de granaderos D. Fernando Capacete y D. Joseph López» y á los Cadetes D. Joseph</t>
  </si>
  <si>
    <t>del Hoyo y Ortiz, Francisco</t>
  </si>
  <si>
    <t>Francisco del Hoyo y Ortiz</t>
  </si>
  <si>
    <t>seph de Carracedo y Salgado, D. Fernando Ruiz y Villegas, Don Joseph González de la Riva y Vivanco, D. Francisco del Hoyo y Ortiz, D. Francisco del Solar y los Corrales, D. Manuel López de la Barrera y Cotarelo, D. Juan Patino y Acevedo, D. Juan de Sotomayor y Barranco, D. Joseph de Soubiran y Montealm, D. F</t>
  </si>
  <si>
    <t>del Hoyo, Manuel</t>
  </si>
  <si>
    <t>Manuel del Hoyo</t>
  </si>
  <si>
    <t>ior de la Colegial de Baza, diócesis de Guadix, vacante por muerte de D. Márcos Antonio Espinosa, á D. Manuel del Hoyo: para la Canongía de la Catedral de Badajoz, que este obtiene, y resultará vacante, á D. Francisco Romero de Castilla: para otra de la Colegial de S. Hipólito de Córdoba, vacante</t>
  </si>
  <si>
    <t>del Olmo, Juan</t>
  </si>
  <si>
    <t>Juan del Olmo</t>
  </si>
  <si>
    <t>.' $89 olivos ,en distintos sitios, una fan. 9 cel. de alcacer y una era, del patronato fundado por D. Juan del Olmo, en 41,884. Doce id. y 30 olivos, de la memoria de Animas de Santorcaz, en 2997. &amp;etenta id. 8 cel. 49 olivos, una era y dos casas, de la capellanía de Animas de la misma villa, e</t>
  </si>
  <si>
    <t>del Olmo, Juan Joseph</t>
  </si>
  <si>
    <t>Juan Joseph del Olmo</t>
  </si>
  <si>
    <t>ra de.Oaxaca á D. Joseph Polero y Toledo; y yara una Média-Racioii dé la metropolitana de Sta. Fe á D. Juan Joseph del Olmo, Racionero efecto que fué ae la de Sto. Domingo, S. M. ha nombrado Subteniente de bandera d;el regimiento de milicia disciplinadas de infantería de la Hávana á D. Ramón Meyreles,</t>
  </si>
  <si>
    <t>del Olmo, Manuel</t>
  </si>
  <si>
    <t>Manuel del Olmo</t>
  </si>
  <si>
    <t>nzo Mackeon: para otra de la colegial deUbeda, en la diócesis de Jaén, vacante por fallecimiento de D. Manuel del Olmo, á D. Andrés de Anaya y Rivas: para la Ración de la santa iglesia de Tuy, vacante por fallecimiento de D. Diego Alvarez, á D. Manuel Rodriguez Carrillo, Cura que fue de S. Juan de</t>
  </si>
  <si>
    <t>del Piélago y Arguedas, Fernando</t>
  </si>
  <si>
    <t>Fernando del Piélago y Arguedas</t>
  </si>
  <si>
    <t>ados, D. Francisco Agraz y Fernandez, D. Antonio Gandarillas y Quixano , D. Juan de Ordaz Y -tizón, D. Fernando del Piélago y Arguedas, D. Juan Ignacio Pareja y Mariscal, D. Juan Miguel Pareja y Mariscal, D. Ramón de Bustamante y V elez, D. Antonio García y Navarro , D. Joachín de Rivas y Lana, I&gt;. \ ictoruno Gar</t>
  </si>
  <si>
    <t>del Pilar y Amaya, Esteban</t>
  </si>
  <si>
    <t>Esteban del Pilar y Amaya</t>
  </si>
  <si>
    <t>D. Manuel de Torres : Teniente de las milicias urbanas de Alburquerque al Subteniente de las mismas D. Esteban del Pilar y Amaya; y ha concedido grar do de Teniente Coronel de milicias provinciales á D. Antonio Albuerne, Capitán retirado de correos marítimos. Hallándose vacante por fallecimiento de 0. Manue</t>
  </si>
  <si>
    <t>del Pozo, Francisco</t>
  </si>
  <si>
    <t>Francisco del Pozo</t>
  </si>
  <si>
    <t>e granaderos al de fusileros D. Joseph Chiva; á segundos Tenientes á los Subtenientes de granaderos D. Francisco del Pozo y D. Julián Navajas, este graduado de Teniente; á Subtenientes de granaderos á los primeros Subtenientes D. Joseph Castaño y-D. Antonio Ruiz; á primíeros Subtenientes á los sc°undo$ D</t>
  </si>
  <si>
    <t>del Pozo, Sebastián</t>
  </si>
  <si>
    <t>Sebastián del Pozo</t>
  </si>
  <si>
    <t>su cabida fanegas, tasada en 46) rs. y rema 120. De la memoria que en esta villa tunco el Contador D. Sebastian del Pozo; dos cercas unidas que se nombran Tejada , cenadas de pared de piedra , para pasto, dé 36 fanegas , en venta 32$ rs. y t -, renta 1120. Otra llamada de la Pola, para labor, con pa</t>
  </si>
  <si>
    <t>del Pulgar y Varo, Joseph</t>
  </si>
  <si>
    <t>Joseph del Pulgar y Varo</t>
  </si>
  <si>
    <t>Rónda Subtenencias de bandera al Cadete D. Francisco Bueno, D. Manuel Natalio Colmenares y Modoya, D. Joseph del Pulgar y Varo y D. Francisco de Silva Berlanga y Tordesilías. También ha nombrado S. M. Teniente de las milicias urbanas de Tarifa á D. Felipe de Prado, Subteniente de las mismas; y ha concedido gr</t>
  </si>
  <si>
    <t>del Rincón, Antonio</t>
  </si>
  <si>
    <t>Antonio del Rincón</t>
  </si>
  <si>
    <t>na haza y huerta en el barranco de las Varillas y Vada Lerid, renta 132 rs., ambas del patronato de D. Antonio del Rincón.__ Un olivar en el sitio de Ja fuente Buen-hora, renta 150 rs-----Otro en el Llano, renta 121 rs___ Una haza en el sitio de Valdeparaíso, renta 154 rs.__ Otra en la cuesta del Val</t>
  </si>
  <si>
    <t>del Rio y Corral, Antonio</t>
  </si>
  <si>
    <t>Antonio del Rio y Corral</t>
  </si>
  <si>
    <t>neficio simple de Santa María de Nebra, en el arzobispado de Santiago, vacante por fallecimiento de Don Antonio del Rio y Corral. En el regimiento de caballería de la Revna se ha servido S. M. promover á primer Teniente al segundo D. Francisco Coello: en el de Alcántara á segundo Teniente al Alférez D. Luis</t>
  </si>
  <si>
    <t>del Rio, Antonio</t>
  </si>
  <si>
    <t>Antonio del Rio</t>
  </si>
  <si>
    <t>rlo. = Asimismo remitió el Juez detienes de difuntos de México un testimonio,^ del qual resulta que D. Antonio del Rio Do*minguez falleció en Atotonilco, jurisdicción de Tulantcingo, que se dreia originario de la ciudad de Xerez; que sus bienes consistieron en 277 pesos 7 rs. , de ios quales se halla</t>
  </si>
  <si>
    <t>del Rio, Jorge</t>
  </si>
  <si>
    <t>Jorge del Rio</t>
  </si>
  <si>
    <t>costumbres, y dando en nombre de Ja sociedad las mas debidas gracias al curador único de la escuela D. Jorge del Rio, dignidad de Chantre, predicador de S. M., socio bibliotecario, á cuya actividad y acertadas disposiciones se detxa los adelantamientos de este establecimiento y su ventajosa educ</t>
  </si>
  <si>
    <t>del Rio, Joseph</t>
  </si>
  <si>
    <t>Joseph del Rio</t>
  </si>
  <si>
    <t>Manuel Rodríguez, los tres primeros de granaderos; á SubtenieBtes.de granaderos á los de fusileros D. Joseph del Rio, D. Joseph Sánchez Griñan y D. Pedro Sánchez Griñan; á Subtenientes de fusileros á los dé bandera D. Joseph María de Tá Torre, D. Antonio Mancebo, D. Diego Olivares y D. Martin Fl</t>
  </si>
  <si>
    <t>del Solar de Celis, Christóbal</t>
  </si>
  <si>
    <t>Christóbal del Solar de Celis</t>
  </si>
  <si>
    <t>á D. Rafael Fernandez de Córdoba: Compañía de fusileros en el de Truxillo al Teniente de cazadores D. Christóbal del Solar de Celis: en el de Sigiíenza la Subtenencia d.e granaderos al Subteniente de fusileros D. Joseph de Ariza y Taboa</t>
  </si>
  <si>
    <t>del Solar y los Corrales, Francisco</t>
  </si>
  <si>
    <t>Francisco del Solar y los Corrales</t>
  </si>
  <si>
    <t>Fernando Ruiz y Villegas, Don Joseph González de la Riva y Vivanco, D. Francisco del Hoyo y Ortiz, D. Francisco del Solar y los Corrales, D. Manuel López de la Barrera y Cotarelo, D. Juan Patino y Acevedo, D. Juan de Sotomayor y Barranco, D. Joseph de Soubiran y Montealm, D. Fernando Muñoz y Abreu,D. Aii toni'o Tac</t>
  </si>
  <si>
    <t>del Val, Joseph</t>
  </si>
  <si>
    <t>Joseph del Val</t>
  </si>
  <si>
    <t>nores del Consejo de Hacienda.. El Rey se ha dignado conceder los honores de Contador d© exércíto á D. Joseph del Val, Contador de. las Realeyfábricas y minas de azogue de Almadén. ¡ - • • - 1 - En América,. En el regimiento de infantería de Puebla se ha servido eí . Rey promover á. Teniente, al</t>
  </si>
  <si>
    <t>del Valle, Joseph</t>
  </si>
  <si>
    <t>Joseph del Valle</t>
  </si>
  <si>
    <t>6? estaba vacante, al Teniente de granaderos D. Juan del Valie, y al de fusileros D. Joseph del Valle: para la Tenencia de granaderos al Teniente D. Blas de Castro: para Tenientes ai Subteniente de granaderos D. Francisco Mendieta, y al de fusileros D. Miguel Santos: para Subtenie</t>
  </si>
  <si>
    <t>del Valle, Juan</t>
  </si>
  <si>
    <t>Juan del Valle</t>
  </si>
  <si>
    <t>6? estaba vacante, al Teniente de granaderos D. Juan del Valie, y al de fusileros D. Joseph del Valle: para la Tenencia de granaderos al Teniente D. Blas de Castro: para Tenientes ai Subteniente de granaderos D. Francisco Mendieta, y al de fu</t>
  </si>
  <si>
    <t>del Viso y Roxas, Joseph</t>
  </si>
  <si>
    <t>Joseph del Viso y Roxas</t>
  </si>
  <si>
    <t>y Santa Croce , D. Juan de Vera y Saurín, D. Pedro de Salazar y Valle, D. Felipe Esteiler y Febrer,D. Joseph del Viso y Roxas,D. Francisco Perez de Grandallana y Fontecha, D. Benito Gijon y Rósalas, D. Pedro Caamaño y Romero, D. Miguel de Valenzuela y Melgarejo, D. Vicente Bermudez de Castro y Vivero, D.</t>
  </si>
  <si>
    <t>Delagardette</t>
  </si>
  <si>
    <t>e estas operaciones : escrito en francés por Mr. Si— monin, profesor de matemáticas: dado á luz por Mr. Delagardette , arquitecto pensionado de S. M. Christianísima : traducido al español en un libro en folio con 49 láminas de medio pliego. Se vende en las librerías de Tieso, calle de las Carret</t>
  </si>
  <si>
    <t>Delahanty, Joseph</t>
  </si>
  <si>
    <t>Joseph Delahanty</t>
  </si>
  <si>
    <t>de granaderos al de fusileros D. Santiago Ma5'9 dan: i primeros Tenientes al segundo de granaderos D. Joseph Delahanty y al secundo Ayudante D. Buenaventura del Campo ; i segundo Teniente de granaderos al de fusileros D. Juan Sánchez; á segundo Ayudante al segundo Teniente D. Joseph Dugi; á segundos</t>
  </si>
  <si>
    <t>Delgado y Arias, Francisco</t>
  </si>
  <si>
    <t>Francisco Delgado y Arias</t>
  </si>
  <si>
    <t>de Monleras, en la diócesis de Salamanca, Vacante por fallecimiento de D. Manuel García Galiano, á D. Francisco Delgado y Arias, Capellán del regimiento de infantería de Guadalaxara, con la obligación de precisa y personal residencia. Desde el 6 al 17 de Enero de este año se extravió un vale Real de igo pe</t>
  </si>
  <si>
    <t>Delgado, Antonio</t>
  </si>
  <si>
    <t>Antonio Delgado</t>
  </si>
  <si>
    <t>á Subteniente de granaderos al primer Subteniente D. Diego Becerra; á primer Subteniente al segundo D. Antonio Delgado; y á segundo Subteniente al Cadete D. Diego Sande: en el segundo batallón de Voluntarios de Aragón á Capitán primero al segundo, graduado de Teniente Coronel - Don Francisco Xavie</t>
  </si>
  <si>
    <t>Delgado, Manuel Joseph</t>
  </si>
  <si>
    <t>Manuel Joseph Delgado</t>
  </si>
  <si>
    <t>de la villa de Alams, en el arzobispado de Sev.na, vac.mte por fallecimiento de D. Mateo Chofi» , a D. Manuel Joseph Delgado; v para otro simple servidero del lugar de Fcrmoselle, en k diócesis de Zamora, vacante por muerte de D- Pedro Manuel de loa, a D. oscra En ei regimiento de infantería de Mallorca</t>
  </si>
  <si>
    <t>Delgado, María</t>
  </si>
  <si>
    <t>María Delgado</t>
  </si>
  <si>
    <t>723 morías de Doña María Delgado, sitas, una en la plazuela de la Cebada, núm. i9 manzana 85 , que comprehende 447^ pies, y está tasada en 286,640 rs. Otra en la calle de Toledo, mim. 3 , manzana i6g , que contie</t>
  </si>
  <si>
    <t>Delmas, General</t>
  </si>
  <si>
    <t>General Delmas</t>
  </si>
  <si>
    <t>exército del General en xefe atravesó el Rhin por Basilea el 27. Su primera división, al mando del General Dclmas, marchó por la derecha del Rhin , y el 29 sostuvo un reñido combate para forzar el paso de los montes de Alb, en donde se habian atrincherado los enemigos. Cogió 200 prisioneros y</t>
  </si>
  <si>
    <t>movimiento para cubrir la derecha de aquellas divisiones, y apoyar las operaciones de Saint-Cyr. £1 General Delmas con 4 batallones forzó el 29 el puesto fuertemente atrincherado de los enemigos á la falda del Alb, y les cogió 2 cañones y 200 prisioneros. Fué tan vivo el ataque y tan rápido el</t>
  </si>
  <si>
    <t>trarios, que los rechazaron tres veces. Dirigían particularmente sus esfuerzos contra el cuerpo del General Delmas; pero ios inutilizaron el talento y valor de este xefe y de sus tropas. Duraba aun la acción quando llegó al campo de batalla la división del General Richepanse. Sostenidas nuestr</t>
  </si>
  <si>
    <t>Delmas, Teniente General</t>
  </si>
  <si>
    <t>Teniente General Delmas</t>
  </si>
  <si>
    <t>va consta de 73 cañones, y aun es mayor la del centro, en la qual hay empleados 2600 caballos. / El Teniente General Delmas manda la vanguardia, que consta de 12© hombres: el General Moncey el ala izquierda, el General Dupont la derecha, Suchet el centro, y Michaud el cuerpo de reserva. , Turin 2 $ de</t>
  </si>
  <si>
    <t>Delmotte, Conde</t>
  </si>
  <si>
    <t>Conde Delmotte</t>
  </si>
  <si>
    <t>aga 6" de Abril’. H oy mismo se espera en esta ciudad al Archiduque Carlos. Su Ayudante general, el Conde Delmotte, llegó ántes de ayer. Berlín 4 de Abril. L a Princesa Federica Augusta, hija del Rey, que nació el dia 14 de Octubre del año último, ha muerto de resultas de una tos muy violenta,</t>
  </si>
  <si>
    <t>Delpech</t>
  </si>
  <si>
    <t>vanguardia; y una media brigada con un batallón de 500 hombres , mandado por el ciud. Delpech , acudió por la derecha, mientras que el General Herbin con 3 compañías de carabineros atacó vigorosamente la izquierda enemiga. Se adelantaron otras dos media</t>
  </si>
  <si>
    <t>Demingo Herirjque de Puertas</t>
  </si>
  <si>
    <t>n el que se comenzará sin fólta. Los que quieran oponerse podrán remitir sus memoriales en Oviedo á D. Demingo Herirjque de Puertas, Dignidad y Canónigo de la catedral: en Alies, capirai de dicho ▼alie, ai Justicia mayor, ó al Abad de Piecin ; y en Madrid á D. Luis de Trespalacios , Ayuda de cámara de S. M. Se</t>
  </si>
  <si>
    <t>Demont</t>
  </si>
  <si>
    <t>Dempstéa, Alexandro (capitán)</t>
  </si>
  <si>
    <t>Capitán Alexandro Dempstéa</t>
  </si>
  <si>
    <t>oviembre á ias 2 de la tarde fondearon en esta bahía los ber* gantinss ingleses eL Atlas-Soole , su Capitán Alexandro Dempstéa •, y el nombrado la Bretaña , Capitán Tomas Hussey, cargados de arenques y otros efectos, procedentes de Falmouth, con destino á Venecia, los que fueron apresados el dia 29 por el</t>
  </si>
  <si>
    <t>Deonés, Martín</t>
  </si>
  <si>
    <t>Martín Deonés</t>
  </si>
  <si>
    <t>murió en Cartagena , ocurrirán dentro de un afio ,á la Real Chancillería de Granada y sala del Sr. D. Martin Deonés , y por la escribanía de D. .Antonio María de Entrala y Aífaro , á deducir el derecho que tengan á los .bienes que quedáron por muerte de Ja referida Doña María Antonia , los qual</t>
  </si>
  <si>
    <t>Derfelden, General</t>
  </si>
  <si>
    <t>General Derfelden</t>
  </si>
  <si>
    <t>as tropas * advirtiendo que las colunas &gt;asarán por Augsburgo, la primera el dia 23, mandada por el General DerÍ elden, y se dirige por Brounau, Li^zy Moravia: la segunda, al mando del Mariscal Suwarow, baxará por las márgenes del Iller hasta el Danubio, y de allí atravesará la Bohemia: su qua</t>
  </si>
  <si>
    <t>las dos Galitzias, en dos colunas, una de ellas dirigida por el General Rosenberg, y la otra por el General Derfelden. La primera división de la primer coluna ha llegado á Praga, y las demás tardarán pocos dias en llegar. El Conde Felipe de KollowratKrakowski, nombrado comisario del gobierno para</t>
  </si>
  <si>
    <t>á en aquella ciudad algunos dias, y seguirá luego su camino á Petersburgo. La coluna mandada por el General Derfelden, que consta de 25® hombres, es la que transita por las inmediaciones de Cracovia. Dicho General lo ha comunicado así al Magistrado de la misma ciudad. De Lemberg escriben que las</t>
  </si>
  <si>
    <t>Desabe, General</t>
  </si>
  <si>
    <t>General Desabe</t>
  </si>
  <si>
    <t>l‘ad^ Generaí'LaTnts á seguir el mismo movimiento. El primer Cónsul'^nformado de que la reserva del General Desabe no estaba aún pronta, oisó 4 la dWision de Lannes para contener el movimiento de retirada que Cda Em e tanto avanzaban los enemigos. Mando el prime Cónsul vaHacia, untre w ,. b •</t>
  </si>
  <si>
    <t>Desaix, General</t>
  </si>
  <si>
    <t>General Desaix</t>
  </si>
  <si>
    <t>i*4 Quartel general del Cayro 2 r de Setiembre. El 8 de Agosto supo él General Desaix que el Bey Amurátcs, después de salir del desierto por mas arriba de Sitit, volvió á subir hasta El-Ganaym, é inmediatamente, destacó á su alcance al xefe de brigada Morand, que n</t>
  </si>
  <si>
    <t>del Alto Egipto, y no volvía al pais cultivado sino para recoger víveres y tomar algún descanso. El General Desaix, que procuraba á toda costa desembarazarse de este infatigable enemigo, formó 2 colunas movibles compuestas de infantería montada en dromedarios, de caballería y artillería. Salie</t>
  </si>
  <si>
    <t>a de artillería. Apénas me avisáron de estas disposiciones de ataque, despaché el 2 de Noviembre al General Desaix á Damieta, con 2 batallones y al pie de 150 dragones. Con este refuerzo podía estar yo descuidado en quanto á aquel punto» y el suceso probó que hubiera podido estarlo ántes, pues</t>
  </si>
  <si>
    <t>imen en el Cayro. En uno de ellos se lee una carta escrita el 19 de Agosto por el General. Dugua al General Desaix, la: qual dice así: „El Bey Amurátes fue sorprehendido el dia. 12 cerca de. Sarnanhut por el Xefe de brigada Morand, y todo lo perdió desde sus babuchas hasta su casco. Cogimos 40</t>
  </si>
  <si>
    <t>lla moría alguna gente cada semana en Alexandría y otras plazas. Finalmente, el 21 de Diciembre, el General Desaix y el ciud. Poussielgue, á quienes nombré por plenipotenciarios, empezaron en el navio Tigre las conferencias con Mr. Sidney-Smith, á quien el Gran Visir había dado plenipotencias para</t>
  </si>
  <si>
    <t>que cedería á los enemigos. Los genoveses pelean con valor.----Han llegado al lazareto de Toion el General Desaix, el ciud. Poussielgue, y i&lt;;o oficiales del exército de Egipto.” A solicitud del instituto nacional ha encargado el primer Cónsul al Ministro de Marina mande alistar en el Havre d</t>
  </si>
  <si>
    <t>asistieron ios xefes del exercito nacional y del español. Desde el lazareto de Tolon ha escrito el General Desaix al Ministro de Guerra diciendo que el 3 de Marzo habia salido de Egipto, acompañándole el General de brigada Davoust, varios oficiales de plana mayor y otras personas. El 31 fué d</t>
  </si>
  <si>
    <t>Pero la pérdida mas vivamente sentida, y que se sentirá igualmente en toda la República, es la del General Desaix , que había vuelto de Egipto, y hacia solamente dos días que se hallaba en el quartel general. En el ataque que dio su división le alcanzó una bala, y murió sin poder proferir mas</t>
  </si>
  <si>
    <t>que el enemigo se adelantase hasta tiro de fusil de la aldea de S. Julián, en donde la división del General Desaix se hallaba formada en batalla con 8 piezas de artillería ligera por delante, y en sus alas dos batallones en coluna cerrada: todos los que huían volvieron á reunirse á la espalda.</t>
  </si>
  <si>
    <t>a publicada: únicamente añade ): „Quando en medio del conflicto supo el primer Cónsul la muerte del General Desaix, no dixo mas que estas palabras: „¡Que no pueda yo llorar!----El cadáver de dicho General se llevó en posta á Milán para embalsamarlo.” Así en el Consejo de Estado como en el Trib</t>
  </si>
  <si>
    <t>rmos, entre ellos 600 convalecientes, ya prontos á aumentar su exército; y el cuerpo mandado por el General Desaix se apostó mas allá de PonteCurone. El mismo dia marchó el exército hacia S* Julián, de donde se retiró la vanguardia enemiga para apostarse en Marengo. Allí la atacó la división d</t>
  </si>
  <si>
    <t>ba conteniendo. Llegó el exército á la llanura de S'art Julián, en. donde la reserva mandada por el General Desaix estaba formada en . dos líneas flanqueadas en su derecha por 12 piezas de artillería al mando del General Marmont, y sostenidas en su izquierda por la caballería del General Kellerm</t>
  </si>
  <si>
    <t>nne pase el Rhin. Parts J.° de Julio. H an acordado los Cónsules de la República que el cadáver del General Desaix se lleve al convento del monte grande de S. Bernardo, y que allí se le erija un sepulcro; y que los nombres de las medias brigadas, de los regimientos de caballería y artillería,</t>
  </si>
  <si>
    <t>os enemigos. Este era el instante decisivo. La división de Boudet, que formaba parte del cuerpo del General Desaix, se habia dirigido de Ponte-Curone hacia Rivalta; pero teniendo orden de acudir al exército, llegó á este tiempo delante de S. Julián mediante una marcha acelerada. El General Des</t>
  </si>
  <si>
    <t>todos los x-efes-y muchos ciudadanos. El Cbculípr. Ghinard le pidió licencia de hacer el busto deL General Desaix ea</t>
  </si>
  <si>
    <t>xando 200 hombres prisioneros en nuestro poder.” El dia 5 se celebró en el tribunado la memoria del General Desaix, y se leyó una noticia de su vida. Este malogrado oficial tenia poco mas de 31 años y medio. En la misma sesión se presentó una petición de los habitantes de Saint-Cloud , que pro</t>
  </si>
  <si>
    <t>allos también heridos 683. La pérdida de los enemigos ha sido considerable en heridos y muerto". El General Desaix quedó en el campo de batalla, y varios Generales t. rabien franceses están heridos. Por nuestra parte hicimos 2600 prisioneros. La noche del 14 al 15 pasáron á la derecha del Borm</t>
  </si>
  <si>
    <t>que se han acuñado para colocar baso la primer piedra de la col una nacional, hay una en honor del General Desaix, y otra para perpetuar la memoria, de la victoria de Marengo. En Dijon se han reunido ya io© soldados de los que han de formar el nuevo exército de reserva, que quando se complete</t>
  </si>
  <si>
    <t>a gran revo-. kicíon en Jos anales del mundo. Pero volviendo al gabinete ingles, las car-) tas deí .General Desaix y del ciud. Poussielgue al primer Cónsul j prueban que el Conmódoro Smith había-recibido órdenes para que «o permitiese se retirase nuestro exército: que el Almirante Keíth tuvo iguales</t>
  </si>
  <si>
    <t>decreto de ó de este mes que se erija en Taris un monumento á la memoria de los Generales Desaix y Kleber, que murieron el mismo dia, y en un mismo quarto de hora : el uno después de la batalla de Marengo, con la qual las armas de la República reconquistaron L Ir l</t>
  </si>
  <si>
    <t>Desarix, General</t>
  </si>
  <si>
    <t>General Desarix</t>
  </si>
  <si>
    <t>las deSuIly, Colbert,Montesquieu, del Canciller l’Hopital, y del Almirante holandés Ruyter. , : El General Desarix-, que ha llegado ;á Tolon con otros: individuos del exército de Egipto , estúyo algún tiempo detenido por los ingleses en Liorna; pero al fin le dexáron venir,.sin duda por haber l</t>
  </si>
  <si>
    <t>Desbureaux, General</t>
  </si>
  <si>
    <t>General Desbureaux</t>
  </si>
  <si>
    <t>enemigos atacaron y barrieron la playa con sus cañoneras, y desembarcáron de 600 á 700 hombres. El General Desbureaux mandó adelantar las tropas que habia en Auray, y dio orden ál Ayudante general Romieux para que marchase con las delinea, que se hallaban en Puerto-libertad , á los contornos de P</t>
  </si>
  <si>
    <t>Deschamps</t>
  </si>
  <si>
    <t>concedáis el grado de Teniente de navio, el de Alférez agregado á su segundo el ciud. Deschamps, y un mes de prest pagado desde luego en efectivo para gratificar á la tripulación.” Quando se recibió aquí la noticia dé la victoria conseguida por los españo</t>
  </si>
  <si>
    <t>Deselles, General</t>
  </si>
  <si>
    <t>General Deselles</t>
  </si>
  <si>
    <t>s acantonados á orillas del Necker han recibido orden de disponerse á anar-char al primer aviso. El General Deselles, que manda interinamente el exército del Rhin, ha llegado á Munich. Un destacamento francés entro el dia 12 en Obertzell, en la izquierda del Mein , á'media legua de la .cindadela</t>
  </si>
  <si>
    <t>Desfontaines</t>
  </si>
  <si>
    <t>fia. Observaciones sobre el peder de la imaginación y las antipatías. Viage del ciud. Desfontaines por las regencias de Argel y Túnez,t con la,flora del monte Atlas. Observaciones sobre las propiedades litera? lias y y el. robo que se comete con las impresio</t>
  </si>
  <si>
    <t>horrible de la revolución se destruían todos los edificios Reales, deseando el ciud. Desfontaines, profesor en el museo de historia natural, librar de igual suerte las cenizas de este gran General, tuvo la feliz ocurrencia de pedirlo sopretexto de colocarlo</t>
  </si>
  <si>
    <t>Desforgues</t>
  </si>
  <si>
    <t>iales al Directorio ejecutivo , introduciéndole en la audiencia su antecesor el ciud. Desforgues. Este Ministro interino salió de aquí ayer noche. El Encargado de Negocios prusiano ha pedido permiso de extraer para Prusia cierta cantidad de paja , heno y a</t>
  </si>
  <si>
    <t>Desjardins, General</t>
  </si>
  <si>
    <t>General Desjardins</t>
  </si>
  <si>
    <t>9i6 De Holanda escriben que los ingleses hicieron una tentativa de desembarco en Zelanda, y que el General Desjardins los rechazo. Según avisos de Viena el Ministro ingles Minto despachó un extraordinario á su corte con la ratificación del tratado de 20 de Junio, cuyo can-' ge experimentó alguna difi</t>
  </si>
  <si>
    <t>Desjardios, General</t>
  </si>
  <si>
    <t>General Desjardios</t>
  </si>
  <si>
    <t>ivo y premio de sus buenos servicios. ■ ... Ha ido de aquí á París el General Kellerman, y queda el General Desjardios con el mando interino del exército francés y .bátavo. Varias casas de comercio de Amsterdam han recibido cartas de sus corresponsales de Londres con noticia de que el gobierno ing</t>
  </si>
  <si>
    <t>Desnoyers, General</t>
  </si>
  <si>
    <t>General Desnoyers</t>
  </si>
  <si>
    <t>.pero al fin ha hecho un convenio particular con el oficial que manda dicho destacamento. _ . ’ El General Desnoyers ha ocupado todo el Brisgaw— Parts 2 de Agosta, Elxefe de brigada Lauriston, Ayudante del primer CoW,ha vuelto de un viage que hizo á Belle-isle. Aquella pta?a se halla abundanteme</t>
  </si>
  <si>
    <t>Desolles, General</t>
  </si>
  <si>
    <t>General Desolles</t>
  </si>
  <si>
    <t>se de ella vendieron sus repuestos de víveres, v sacaron mas de ioo®-florines---- Hallase en Ulm el General Desolles, xcfs de la plana mayor, á cuyo cargo está la operación de arrasar las obras de defensa cié la mencionada ciudad. Francfort s&gt; de Octubre. T&lt; oda la guarnición de Viena se ha pues</t>
  </si>
  <si>
    <t>ra al General Moreau, que pasa también á dicha capital. Durante tu ausencia manda en el exército el General Desolles. Y} León 28 de Setiembre, A or decreto del dia 22 destinó el ciud. Verninac, Prefecto de este dejartamento, á la construcción de un muelle sumamente útil á esta ciudad, Íos caudal</t>
  </si>
  <si>
    <t>emolerse las fortificaciones do Ulm, y aun parece que no se demolerán tan pronto: pues dicen que él General Desolles ha dado orden para que se coloque, en ellas mucha artillería en lugar de la que han sacado los austríacos.—Mr. dé Petrasch, comandante^di Uím, oficiaí bien conceptuado, ha sido de</t>
  </si>
  <si>
    <t>00© hombres, y de ellos, según dichas gazetas, podrá disponer el gabinete austríaco. Se dice que el General Desolles, comandante interino del exército del Rhin, ha concluido en Augsburgo una prolongación de la tregua con Mr. Weirotter, Ayudante general del Archiduque Juan, el mismo que acompañó</t>
  </si>
  <si>
    <t>: en una palabra, todos sus preparativos eran ya anuncio de que no tardaría en seguir la guerra. El General Desolles ha dado orden para que todos los oficiales austríacos , bávaros y de otras naciones que todavía están en guerra con Francia, salgan en el término dé 2 días de los países que ocupa</t>
  </si>
  <si>
    <t>rnición de Stuttgard. ÁI mismo país se envía mucha artillería y municiones. Los Generales Desolles, Grenier y Montrichard han avisado á los austríacos que el dia 28 se renovarán las hostilidades. No es el Barón de Dohm el que va al congreso de Luneville como</t>
  </si>
  <si>
    <t>Desportes</t>
  </si>
  <si>
    <t>retario general del despacho der lo Interior durante la ausencia del mencionado ciud. Desportes. EfrprfhíéHDón&amp;uL acompañado del ciud. Lebrun tercer Cónsul, del Consejero de estado Benezech, del general Murat y de otras varias personas, pasó óm-oc -nror o</t>
  </si>
  <si>
    <t>Désportes, Félix</t>
  </si>
  <si>
    <t>Félix Désportes</t>
  </si>
  <si>
    <t>Dessolies, General</t>
  </si>
  <si>
    <t>General Dessolies</t>
  </si>
  <si>
    <t>as de Ahouat y Hedic, y parece se disponen á sitiar á Belie- isle. Con fecha del .14 ha remitido el General Dessolies al Ministrode Guerra una relación desde el quarrel general de Babenhaussen , dándole cuenta de los movimientos del exército del Rhin desde la batalla del 5 ; y extractada dice así</t>
  </si>
  <si>
    <t>Dessolles, General</t>
  </si>
  <si>
    <t>General Dessolles</t>
  </si>
  <si>
    <t>ea yo? de Julio., I Lf Genera! Moreau llego? e! dia 24. á Augsburgo, en donde- también se. halla el General Dessolles. £1 Land grave do Hesse-Cásse! lia intimado á, las tropas maguntinas existentes en el Condadd de Hanau,.que: se retiren de su territorio, y que de lo contrario la* obligará á ello</t>
  </si>
  <si>
    <t>Devoize</t>
  </si>
  <si>
    <t>no interino que la Regencia de Florencia estableció aquí al ausentarse ¿kc.” El ciud. Devoize, Comisario general de Relaciones mercantiles, y Encargado de Negocios de la República francesa en Túnez, á quien el gobierno habia dirigido instrucciones para</t>
  </si>
  <si>
    <t>5 de la Egíra. Firmado: Hamonda-Baxá.----Devoize.” Al mismo tiempo consiguió el ciud. Devoize la libertad de todos los franceses que habia en los estados dei Bey: 185 de ellos., la mayor parte marineros, se embarcaron en un buque raguseo, y han llegado á T</t>
  </si>
  <si>
    <t>Devrigny</t>
  </si>
  <si>
    <t>Dew'inter, Almirante</t>
  </si>
  <si>
    <t>Almirante Dew'inter</t>
  </si>
  <si>
    <t>juntado casi todos los marineros que se necesitan para tripularla; y se asegura que la inandará el Almirante Dew'inter. Antes de ayer llegó aquí el Capitán Bussiere, individuo de la plana mayor del General Augereau, con pliegos muy importantes para este gobierno y para el Ministro francés. No tard</t>
  </si>
  <si>
    <t>Dewinter, Almirante</t>
  </si>
  <si>
    <t>Almirante Dewinter</t>
  </si>
  <si>
    <t>fragatas y otros varios buques de guerra. Estas fuerzas navales se repartirán en dos divisiones. El Almirante Dewinter mandará la principal. Berna 12 de Mayo. E n Zurich se esperaban el dia 6 de este mes 4© prisioneros austriaco* y 400 suizos de los emigrados que paga la Grart-Bretaña. El ala izqu</t>
  </si>
  <si>
    <t>n géneros ingleses. ilaya 24 de Agosto. D urante la ausencia del Embaxador bátavo en París queda el Almirante Dewinter encargado de los negocios de esta República en Francia. Tres navios de guerra ingleses de los que cruzan á la entrada del Mosa, despacharon el dia 18 al amanecer 3 lanchas para atac</t>
  </si>
  <si>
    <t>Deyeux</t>
  </si>
  <si>
    <t>entos que Mr. Achard ha hecho en Berlín para sacar azúcar de las remolachas. El ciud. Deyeux, uno de los individuos de dicha junta, ha dado ya cuenta de sus experiencias, y resulta que efectivamente se puede conseguir azúcar de la mejor calidad á unos</t>
  </si>
  <si>
    <t>Di Ventura Alonso</t>
  </si>
  <si>
    <t>de i &lt;¡o , pesos , creación de 15 de Marzo1 de 99 , núm. 304,120, endosado ,por Di Ventura Alonso , vecino de ,Aranjuez , á .favor de D. Francisco Gómez, comerciante de maderas en el corralón de PP. Agonizantes de la calle de Atocha.- Quien lo hubiese encontrado lo entregará al expresa</t>
  </si>
  <si>
    <t>Dia, Juan Antonio</t>
  </si>
  <si>
    <t>Juan Antonio Dia</t>
  </si>
  <si>
    <t>hacer postura á ellas, juntas ó separadas, Luda ante dicho Sr Alcalde y escribanía de provincia de D. Juan Antonio Dia* Nonega , que se le admitirán las que hiciere siendo arregladas E*, virtud de Real facultad de S. M. y Sres. de su Real y Supremo Consejo de la Camara 4® Casilla se venden las fin</t>
  </si>
  <si>
    <t>Díaz de Espada, Joseph</t>
  </si>
  <si>
    <t>Joseph Díaz de Espada</t>
  </si>
  <si>
    <t>e Coronel D. Ramón Gaizer. En América. El Rey se ha servido nombrar para el obispado de la Havana á D. Joseph Díaz de Espada. Igualmente ha nombrado S. M. para la dignidad de Dean de la catedral de Caracas á D. Joseph Carballo y Banguemert: para el Arcedianato, que este dexa, al Chantre D. Pedro Miguel</t>
  </si>
  <si>
    <t>Díaz de la Guerra, Juan</t>
  </si>
  <si>
    <t>Juan Díaz de la Guerra</t>
  </si>
  <si>
    <t>este arzobispado : para la Iglesia y Obispado de Sigiienza, vacante por fallecimiento del limo. Sr. D. Juan Diaz de la Guerra , al limo. Sr. D. Pedro Inocencio Vejarano, Obispo de Euenos-Ayres; para el Obispado de Albarracin, vacante por haber sido nombrado p, ra i* Abadía de Alcalá la Real D, Fr. Manuel</t>
  </si>
  <si>
    <t>Díaz de Parga, Francisco</t>
  </si>
  <si>
    <t>Francisco Díaz de Parga</t>
  </si>
  <si>
    <t>ientes de bandera en los-de Betanzós, Alcázar de-S* Juan, Avila, Chinchilla, Valladolid y Toledo, á D. Francisco Díaz de Parga, D. Juan Domingo Lozano, Don Trifon Antonio de Ibarrola Layse.ca, D. Antonio López del Castillo, Don Francisco María. González Ares y Ron,, D. Juan Joseph Marina y D.'.Jc)^' iejii</t>
  </si>
  <si>
    <t>Díaz de Ribera, Pedro</t>
  </si>
  <si>
    <t>Pedro Díaz de Ribera</t>
  </si>
  <si>
    <t>o Suarez, segundo Teniente del de Míircía: D. Luis Valanzati ídem del de Navarra: D. Nazareo Eguia, D. Pedro Díaz de Ribera, D. Benito Irazabal y D. Isidoro García de Montejo, Cadetes del de Extremadura, Voluntarios de Castilla, Príncipe j Granada: D. Joseph Velarde, segundo Subteniente del primer bata</t>
  </si>
  <si>
    <t>Díaz de Valdés, Pedro</t>
  </si>
  <si>
    <t>Pedro Díaz de Valdés</t>
  </si>
  <si>
    <t>a de Ectherling. Mis angustias y mis consuelos: sermón que en su santa iglesia predicó el limo. Sr. D. Pedro Díaz de Valdés , deí Consejo de S. M, y Obispo de Barcelona, en la dominica de Sexagésima el dia 16 de Febrero de este año. Se hüilará en la librería de Barco , carrera de S. Gerónimo, y en Barc</t>
  </si>
  <si>
    <t>Díaz Galazo, Francisco</t>
  </si>
  <si>
    <t>Francisco Díaz Galazo</t>
  </si>
  <si>
    <t>eros Tenientes á los segundos de granaderos y fusileros D. Juan de Laniáta, graduado de. Capitán, y D. Francisco Diaz Galazo; á segundo Teniente de granaderos al de fusileros D. Joseph Chiva; á segundos Tenientes á los Subtenientes de granaderos D. Francisco del Pozo y D. Julián Navajas, este graduado d</t>
  </si>
  <si>
    <t>Díaz Moreno, Vicente</t>
  </si>
  <si>
    <t>Vicente Díaz Moreno</t>
  </si>
  <si>
    <t>e Calatrava , partido de Almagro , se halla vacante la cátedra de latinidad que fundó el presbítero D. Vicente Díaz Moreno , con la carga de enseñar de balde á los hijos de vecinos de dicha villa , a cuyo fin la dotó con diez rs. y medio diarios, que se pagan por tercios: y habiéndose de proveer por o</t>
  </si>
  <si>
    <t>Díaz Noriega, Juan Antonio</t>
  </si>
  <si>
    <t>Juan Antonio Díaz Noriega</t>
  </si>
  <si>
    <t>^ Ante el Sr. Alcalde de casa y corte D. Luis Melendez y Bruna, y por la escribanía de provincia de D. Juan Antonio Diaz Noriega, está mandado sacar á publica subasta, por término de 30 días, una casa sita en la calle de Cabestreros mím. 8, manz, 66, perteneciente á las memorias que fundó ID. Alonso López d</t>
  </si>
  <si>
    <t>Ante el Sr. Alcalde de casa y corte B. Luis Melendez y Bruna f y por la eseribánía de provincia de D. Juan Antonio Diaz Noriega , está mandado sacar £ publica subasta , por término de 30 dias, una casa sita en la calle de S. Oñofre, núm. ai, manz. 346 , perteneciente á las memorias que fundó JDófía María ¡</t>
  </si>
  <si>
    <t>rso de Don Francisco y D. Sebastian Nevares de Santoyo, se ha mandado finar edictos refrendados por D. Juan Antonio Diaz Noriega, Escribano de provincia y de la comisión de él: citando y emplazando á todos los acreedores que lo sean por razón de legítimas de los susodichos y otros; y también á las de escrib</t>
  </si>
  <si>
    <t>por i«* dias mas ; acuda ante el Sr. Alcalde D. Luis Mélendez y Bruna y escribanía de provincia de D. Juan Antonio Díaz Noriega. Se desea saber el paradero de D. Joseph González de Bustamonte, presbítero, Magistral de la colegiata de Santillana, que se ausentó hace unos 40 dias , y se sospecha que está dem</t>
  </si>
  <si>
    <t>Díaz Perera, Joseph</t>
  </si>
  <si>
    <t>Joseph Díaz Perera</t>
  </si>
  <si>
    <t>ariano Merchante. gg ha servido conferir la Contraloria del hospitíd militar os la plaza de Palma á D. Joseph Díaz Perera , Contralor pensionado de los hospitales de campaña. • En América. S. M. se ha dignado nombrar para una plaza de Oidor de k Audiencia de Guadalaxara, vacante por jubilación de D.</t>
  </si>
  <si>
    <t>Díaz Poblet, Joseph</t>
  </si>
  <si>
    <t>Joseph Díaz Poblet</t>
  </si>
  <si>
    <t>anzas é instrucción de visitadores que gobiernan la facultad de Farmacia , se vende en la botica de D. Joseph Diaz Poblet , calle Imperial. El 19 de Abril remitió Benigno de la Torre, de Madrid, dos vales Reales de 150 pesos, creación de 15 de Marzo, números 299,601. y 357,090, endosados á favor de D</t>
  </si>
  <si>
    <t>Díaz Salgado, Juan</t>
  </si>
  <si>
    <t>Juan Díaz Salgado</t>
  </si>
  <si>
    <t>8.° Esta obra la escribió de órden de la Real y suprema junta de Sanidad establecida en esta corte D. Juan Díaz Salgado; y el Real y supremo Consejo ha acordado su impresión dentro .de un breve término, conociendo su utilidad en las circunstancias presentes. Reúne en sí lo mas precioso que se ha es</t>
  </si>
  <si>
    <t>Díaz Sánchez, Vicente</t>
  </si>
  <si>
    <t>Vicente Díaz Sánchez</t>
  </si>
  <si>
    <t>primer Teniente de fusileros Don Francisco Antonio Tirado; y á Alféreces de fusileros á los Cadetes D. Vicente Díaz Sánchez, D. Joseph Francisco Fernandez Munida, D. Juan I asaña, D. Antonio Quartas de Castro, D. Francisco Fernandez Rábago, D. Pedro Perez Tagle, D. Dionisio María Mazuelo, D. Pedro Agus</t>
  </si>
  <si>
    <t>Díaz Serrano, Tomás</t>
  </si>
  <si>
    <t>Tomás Díaz Serrano</t>
  </si>
  <si>
    <t>........... D. Manuel de la Fuente. En Salamanca....... D. Manuel Salgado. En León................. D. Tomas Díaz Serrano. En Valíadalid........ D. Gabriel de Semprum. En Zamora........... D. Juan García Sexmilo. En Alicante........... D. Luis Pesceto. En Barcelona....... La Caxa de Descuento. En Bil</t>
  </si>
  <si>
    <t>Díaz, Antonio</t>
  </si>
  <si>
    <t>Antonio Díaz</t>
  </si>
  <si>
    <t>e Talavera , en la diócesis de Toledo, vacante por fallecimiento de D. Agustín Domínguez de León, á D. Antonio Diaz. En el regimiento de infantería de Irlanda se ha servido promover el Rey a Capitán de granaderos al de fusileros D. Ignacio ILussey ; á Capitán al primer Teniente de granaderos D.</t>
  </si>
  <si>
    <t>Díaz, Antonio Tadeo</t>
  </si>
  <si>
    <t>Antonio Tadeo Díaz</t>
  </si>
  <si>
    <t>D. Joseph Antonio Gómez é hijo, ó en Madrid á D. Eugenio de Aparicio. En 23 de Julio último remitió D. Antonio Tadeo Díaz ,de Sevilla, dos vales Reales , el uno de 300 pesos , de 10 de Abril , núm. 460,570 , y el otro de 150 pesos , de 1$ de Marzo, núm. 333,161 , endosados á favor de I). Antonio Fran</t>
  </si>
  <si>
    <t>Díaz, Joseph</t>
  </si>
  <si>
    <t>Joseph Díaz</t>
  </si>
  <si>
    <t>su profesor el segundo Piloto de la Real Armada D. Cayetano Fernandez Villamil, los alumnos el Lie. D. Joseph Díaz, D. Manuel Menendez JoVe, D. Manuel González Villarmil, D. Vicente María Ezcurdia, D. Luis Mornard, D. Toribio Cifuentes, D. Claudio Fernandez, D. Felipe Fernandez San Miguel, D.</t>
  </si>
  <si>
    <t>l Capitán de fusileros D. Pedro Celestino Calvo: en el de Murcia compañía al Teniente de granaderos D. Joseph Diaz; y Tenencias al Subteniente de cazadores D. Joseph Montenegro, y al de fusileros D. Pedro Belmar: en el de Santiago compañía al Teniente de cazadores D. Manuel Calviño , y Tenenci</t>
  </si>
  <si>
    <t>rimeros Subtenientes á los segundos D. Marcos Rodríguez, Don Antonio Xerez, D. Juan Carlos de Soto, D. Joseph Diaz, D. Juan de Serra y D. Domingo Navarro, y á segundo Subteniente al Sargento primero D. Mariano Araiz: en el de Zaragoza á Capitanes al Ayudante Don Joachín Machín, y al primer Ten</t>
  </si>
  <si>
    <t>Díaz, Julián</t>
  </si>
  <si>
    <t>Julián Díaz</t>
  </si>
  <si>
    <t>ndo Cacho, D. Santiago Cevallos y D. Antonio Proto Alvarez; y con el tercero D. Antonio Bustamante, D. Julián Diaz, D. Julián Cartabuenaj</t>
  </si>
  <si>
    <t>Díaz, Manuel</t>
  </si>
  <si>
    <t>Manuel Díaz</t>
  </si>
  <si>
    <t>onunció un breve discurso en alabanza de tan virtuoso ciudadano , y exhortando á imitar su exemplo* Don Manuel Díaz: López, Relator de esta Real Chancillería, leyó otro discurso,, en que alabó- la heroicidad de Narria con mas extensión; y se concluyó la junta con una composición, en verso endec</t>
  </si>
  <si>
    <t>Díaz, Ramón</t>
  </si>
  <si>
    <t>Ramón Díaz</t>
  </si>
  <si>
    <t>n6o rías D. Ramón Diaz. Igualmente ha conferido S. M. el empleo de Teniente Coronel del de Ñapóles X D. Joseph Ragazini, Comandante del tercer batallón del mismo cuerpo: Subtenencia de granaderos en el</t>
  </si>
  <si>
    <t>DiCgo Benigno González</t>
  </si>
  <si>
    <t>y está tasada en 188.064 rs. Quien quiera hacer postura á ella, acuda á&gt; la esenhanía de número de D. DiCgo Benigno González. Los subscriptores á la edición de la Historia de D. Quixote de la Mancha, que con notas, y viñetas y en 12.0 publica D. Juan Antonio. Peüicer , Bibliotecario de S. M., acudirán p</t>
  </si>
  <si>
    <t>Dicksoíi, Almirante</t>
  </si>
  <si>
    <t>Almirante Dicksoíi</t>
  </si>
  <si>
    <t>o de 10 cañones,/tomado también al aboridage por un corsario francés, pertenecían á la esqüadra del Almirante Dicksoíi. No obstante la prolongación dd, armisticio; se envían* desde esta República tropas al exereito galo-bátavo que está en Alemania., ■</t>
  </si>
  <si>
    <t>Dickson, Almirante</t>
  </si>
  <si>
    <t>Almirante Dickson</t>
  </si>
  <si>
    <t>sotero de la marina.' Para mandar la esquadra del Norte en lugar del Lord Duncan, está tiombrado el Almirante Dickson. Dicese que los 3 Príncipes de la casa de Orleans han salido de esta ciudad para el Mediterráneo. Según las últimas noticias de la India se ha hallado un gran tesoro en las ruinas</t>
  </si>
  <si>
    <t>esentó una fragata delante de Yarmouth, disparó 4 cañonazos, y entonces dió la vela la tsquadra del Almirante Dickson, para incorporarse con el convoy destinado á la expedición secreta. Créese que dicha esquadra va hácia el Norte , para sostener y apoyar el encargo que el Lord Withworth lleva á C</t>
  </si>
  <si>
    <t>ecer y defenderlas herrerías ,de Elseneur y la fundición de Frederickswerk. La esquadra inglesa del Almirante Dickson, compuesta de. 6 ú 8 navios de línea, varias fragatas y otros barcos menores, que en todo componen mas dé 20 velas, estuvo cruzando á la altura de Gothemburgo. Dícese que trae tro</t>
  </si>
  <si>
    <t>horas; y poco después volvió á salir Mr. DuvaLc©» la respuesta al Lord Withworth, y cartas para el Almirante Dickson. Algunas gazetas inglesas aseguran que este Almirante lleva órdenes de apoderarse del castillo de Cronburgo (que domina la entradá del Sund) e» caso que la corte de Dinamarca se o</t>
  </si>
  <si>
    <t>usentarse de Constantinopla, y vendrá á Ratisbona. b n Copenhague 0.3 de Agosto. I. Ua esquadra del Almirante Dickson , que cruzaba en el mar del Norte, consiguió paso para entrar en la rada de Elseneur, donde ancló el- 20 al anochecer. Inclusos los otros buques que entraron allí poco antes, se c</t>
  </si>
  <si>
    <t>el castillo de Cvonburgo que domina al Sund cerca de Elsenéur: y en caso de negarla se apoderará el Almirante Dickson de dicho castillo. —¿¡.Añadeíl lós propios avisos que ya: se recibió ta respuesta de la corte dé Rusii j y :que el 29 de Agosto debía dar la suya el Ministerio dinamarqués al Embaxad</t>
  </si>
  <si>
    <t>re. Las últimas noticias de Copenhague son de 23 del mes último, y contíe-* nen que la esquadra del Almirante Dickson permanecía surta cerca de la fortaleza de Cronburgo: cada buque británico hace frente á otro dinamarqués; y por ámbas partes están todos dispuestos para pelear. Entre tanto sé vis</t>
  </si>
  <si>
    <t>arado guerra á la Gran Bretaña. .. Hoy llegó el Capitán Popham con pliegos del Lord Withworth y d^t Almirante Dickson , y copia de un convenio firmado por el Enviado ingles y el Ministro de Dinamarca.-Según el tenor de este ajuste se han.arreglado á satisfacción de ambas potencias los puntos que</t>
  </si>
  <si>
    <t>hasta ahora no ha sido presentado á S. M. Blseneitr l de Setiembre. L a esquadra inglesa del Contra-Almirante Dickson está todavía aquí; pero allanadas ya las diticnítades recien movidas entre las dos cortes, no tardará en restituirse á Inglaterra. Para los puertos del mismo Rey no han salido de es</t>
  </si>
  <si>
    <t>dice, tomar parte alguna en este negocio. El dia 5 llegó otra esquadra inglesa al Categat. Ayer el Almirante Dickson salió del Sund$ y hoy las dos esquadras dieron á un mismo tiempo la vela para el mar del Norte, quedando únicamente en el Sund una fragata y un bergantín ingles. El Lord Withworth</t>
  </si>
  <si>
    <t>de Maguncia se compone en el dia casi toda de tropas holandesas. Londres 20 de Setiembre. E I Vice-Almirante Dickson se halla con su esquadra en Yarmouth de Yuelta de la expedición á Dinamarca. Por cartas de Constantinoola de mediados del mes último se sabe que la esquadra rusa del Almirante Kot</t>
  </si>
  <si>
    <t>erset. En la Cámara de los Comunes rilé Mr. J. Wrottesley quien propuso dicha respuesta, y le apoyo Mr. Dickinsoa, en cuyo sentir es un problema s» conviene y debe desearse la paz con Francia. De que el Emperador engañado por malos consejos, ó cediendo á la fuerza de las circunstancias haya e</t>
  </si>
  <si>
    <t>Diego Alonso</t>
  </si>
  <si>
    <t>es, que la lleva el mismo Asenjo, oe caber 6 fan. y i-| cel. en 3062 rs. 17 mrs. y renta 91 28 mrs. Don Diego Alonso : una casa calle de Santiago, frente de Recoletos, que habita el Conde de Estaurio , con 7161 pies, tasada en 4c© rs. y renta 1203. Maestro D. Miguel Rodríguez : una casa calis Ma</t>
  </si>
  <si>
    <t>Diego-de Peñalosa</t>
  </si>
  <si>
    <t>. Una casa en el callejón del Cebollino, perteneciente a la obra pia que fundó el Mariscal de Campo D. Diego-de Peñalosa, tasada en 19,829 rs v 2 mrs., y renta anualmente 900. Otra en el.callejón de los Remedios, de , dicha obra pia,.en 21,287 rs. y 2 mrs., reata 678. Otra calle Real de la Almu-;</t>
  </si>
  <si>
    <t>Diez, Francisco</t>
  </si>
  <si>
    <t>Francisco Diez</t>
  </si>
  <si>
    <t>de fusileros D. Andrés Vicario; y á Teniente deí regimiento de infantería pro?■vinCjiai de Celaya á D. Francisco Diez, Barroso, Subteniente deí mismo cuerpo, &gt; Asimismo se ha dignado S. M. nombrar para el empleo de Visitador de la factoría de tabacos del partido de Gracias á D. Manuel de Salas: p</t>
  </si>
  <si>
    <t>Dikson, Almirante</t>
  </si>
  <si>
    <t>Almirante Dikson</t>
  </si>
  <si>
    <t>* Se ha pubíicado de oficio que el Teniente General Krayenhoff alcanzó en sus negociaciones con el Almirante Dikson la restitución de todos los barcos que dos ingleses habían cogido en ei Lemmer y en el Zuyderzea, y los devolverán con sus cargamentos. Se ha decretado finalmente en los Consejos el</t>
  </si>
  <si>
    <t>embarcaciones para la de ballena. Todos ellos han; vuelto i entrar, porque la división inglesa del1 Almirante Dikson np les dexó seguir sil navegación. Envió inmediatamente este gobierno ua parlamentario á Londres con representaciones; el qual volvió y traxo por respuesta queda libertad de íá pe</t>
  </si>
  <si>
    <t>Dilíinger, General</t>
  </si>
  <si>
    <t>General Dilíinger</t>
  </si>
  <si>
    <t>ia, y otros á varias partes de Alemania. Los dos comandantes del castillo de Hohentwiel, que son el General Dilíinger y el Teniente Coronel Wolf, llegaron á esta ciudad , y poco después un Ayudante les intimó la orden de que estaban presos: recogió sus espadas, y dexó dos granaderos á la puerta de su</t>
  </si>
  <si>
    <t>Dimas de Echaurrcn, Gregorio</t>
  </si>
  <si>
    <t>Gregorio Dimas de Echaurrcn</t>
  </si>
  <si>
    <t>s de Cochabamba, hasta, que entre en plaza de número ; y para esta resulta se lia dignado nombrar á D. Gregorio Dimas de Echaurrcn. Eli los Reales estudios de esta corte tuvieron el 15 de este mes ejercicio público de matemáticas puras y mixtas D. Francisco Martínez de la Escalera, Teniente de brulote graduad</t>
  </si>
  <si>
    <t>Diqz y Martínez, Manuel</t>
  </si>
  <si>
    <t>Manuel Diqz y Martínez</t>
  </si>
  <si>
    <t>ja , D. Dionisio Capaz Renden , D. Christóbal de Torres y Venegas , D. Manuel de Cárdenas y Osorio, D. Manuel Diqz y Martínez, D. Joachín de Irías y Atolla y Don Juan: González ÍVmrio y Tamariz. ■■ . , c ín consideración á los servicios y mérito de D. Gerardo Joseph de Sousa, Cónsul general en Trípoli de</t>
  </si>
  <si>
    <t>Director, Príncipe</t>
  </si>
  <si>
    <t>Príncipe Director</t>
  </si>
  <si>
    <t>aun másda benevolencia del gobierno francés, el primer Cónsul ha mirado ia neutralidad concedida al Príncipe Director del colegio de los Condes de Vete?avia como una disposición que debe ser común á todos los individuos de dicho colegio ; y esta extensión positiva habrá autorizado al General Augereau</t>
  </si>
  <si>
    <t>Disnirdal, General</t>
  </si>
  <si>
    <t>General Disnirdal</t>
  </si>
  <si>
    <t>la dimisión que ha hecho repetidas veces el ciad. Pynmann, Ministro de Guerra. .Se na dado orden al General Disnirdal, comandante que ha sido de JLmsterdam, para que se transfiera inmediatamente al exército del Ocst. Esta mañana comunicó el Directorio al Cuerpo legislativo que la suma que falta p</t>
  </si>
  <si>
    <t>do Boqligni, Dionisio</t>
  </si>
  <si>
    <t>Dionisio do Boqligni</t>
  </si>
  <si>
    <t>Guardias Walonas'-se ha servido promover el Rey á primeros Tcrtiient^ ’á los segundos de granaderos D. Dionisio do Boqligni, Dv Felipa de Bojohs y D; Juan- María de Pótéstá; y á segundo Ayudante mayor ai Segundo Té Óten te D. Miguel de Cuzey : en el aé infantería del Príncipe á primer Subteniente al se</t>
  </si>
  <si>
    <t>do Curlandia, Carlos (príncipe)</t>
  </si>
  <si>
    <t>Príncipe Carlos do Curlandia</t>
  </si>
  <si>
    <t>ciales de graduación á quienes este Soberano acaba de despedir del servicio, es el hijo del difunto Príncipe Carlos do Curlandia. Hállase ya en dominios rusos todo el exército de Suwarow, y no se duda de que en breve llegarán también las tropas que están en las islas do Inglaterra. Entonces quedarán solamen</t>
  </si>
  <si>
    <t>Dolder</t>
  </si>
  <si>
    <t>tivos hayan hecho nuevas elecciones, se confiere el poder executivo á los solos ciudadanos Dolder y Savary (que eran 2 de los Directores). 4.0 Se les encarga baxo su responsabilidad tomen las medidas necesarias para la seguridad de los representantes nacionales, y p</t>
  </si>
  <si>
    <t>Dolgouruckow</t>
  </si>
  <si>
    <t>ríncipe Meschitscherskoi, los Generales Schutz, Wvangel y Knorring, los Mayores generales Dolgouruckow y Juccate, y otros Generales y Coroneles. A todos se les permite usar el uniforme de su respectivo grado. Norkoping $ de Abril. R eyna la mayor intimidad entre los vocal</t>
  </si>
  <si>
    <t>Doliany, Francisco</t>
  </si>
  <si>
    <t>Francisco Doliany</t>
  </si>
  <si>
    <t>rlanda á segundos Subtenientes á los Sargentos primeros y soldado distinguido D. Christóbal García, D. Francisco Doliany y D. Miguel Bray, al Cadete del de infantería dé Granada D. Juan Vázquez, y al Sargento primero del de Málaga D. Nicolás Gamarra: en el de Asturias á segundo Teniente al Subteniente d</t>
  </si>
  <si>
    <t>Domedel, Ana</t>
  </si>
  <si>
    <t>Ana Domedel</t>
  </si>
  <si>
    <t>abriela de Quesada.__ Una haza en el sitio de S. Roque, que renta 468 rs. , del patronato grande de Doña Ana Domedel.__ Otra del mismo patronato en el sitio de la Vega, gana 248 rs___Una huerta en el sitio de la fuente del Cubo de dicho patronato, que renta 550 rs.__ Una haza en el sitio huerta</t>
  </si>
  <si>
    <t>Domencch, Ramón</t>
  </si>
  <si>
    <t>Ramón Domencch</t>
  </si>
  <si>
    <t>legio de Hidalguía, para sí, sus hijos y descendientes. Igualmente se ha servido el Rey conceder al Dr. Ramón Domencch, vecino de la villa de Vinebre, en Cataluña, en consideración á sus méritos y servicios privilegio de Caballero del mismo Principado, para .sí, susv hijos y descendientes por. lín</t>
  </si>
  <si>
    <t>Domeñé, Francisco</t>
  </si>
  <si>
    <t>Francisco Domeñé</t>
  </si>
  <si>
    <t>promover á Ayudante al primer Teniente D. Manuel Davan; á primer Teniente al segundo de granaderos D. Francisco Domeñé; á segundo Teniente de granaderos al de fusileros D. Francisco Priego; á segundo Teniente al Subteniente de granaderos D. Manuel Seco ; á Subteniente de granaderos al primer Subte</t>
  </si>
  <si>
    <t>Domeneeh, Manuel Ignacio</t>
  </si>
  <si>
    <t>Manuel Ignacio Domeneeh</t>
  </si>
  <si>
    <t>iranda; la Tenencia de granaderos al Teniente D. Joseph Yañez; Tenencia de fusileros al Subteniente D. Manuel Ignacio Domeneeh , y las Subtenencias de granaderos y cazadores \á los Subtenientes D. Roque González de Fuga y D. Francisco Casal y Morado: en el de Bujalance compañía de fusileros al Teniente de</t>
  </si>
  <si>
    <t>Domingo Andrés</t>
  </si>
  <si>
    <t>ucados de vn. al año: para otra titular del mismo convento, vacante por muerte de D. Múreos Sanz, á Don Domingo Andrés, Capellán de altar, músico de voz Contralto de la propia capilla ; y para una Capellanía del Real convento de Carmelitas descalzas de Santa Teresa de Madrid, que ha vacado por ren</t>
  </si>
  <si>
    <t>Domingo Salvador</t>
  </si>
  <si>
    <t>é infantería de Guadalaxara á D. Claudio Erraiz y D. Lorenzo Pradel; y del tercero del de Ñapóles á D. Domingo Salvador. En América. El Rey se ha servido conferir compañía en el batallón veterano de infantería de Caracas á D. Rafael Manleon, Ayudante mayor de dicho batallón; esta resulta al Tenient</t>
  </si>
  <si>
    <t>Dominguez de León, Agustín</t>
  </si>
  <si>
    <t>Agustín Dominguez de León</t>
  </si>
  <si>
    <t>Capellanía mayor del convento de Santa Isabel de Madrid , que se halla vacante por fallecimiento de D. Agustín Dominguez de León, á D. Nicolás Vicente de Esterripa, Capellán de honor de S. M.</t>
  </si>
  <si>
    <t>Domínguez de León, Agustín</t>
  </si>
  <si>
    <t>Agustín Domínguez de León</t>
  </si>
  <si>
    <t>roquia de Santiago de la villa de Talavera , en la diócesis de Toledo, vacante por fallecimiento de D. Agustín Domínguez de León, á D. Antonio Diaz. En el regimiento de infantería de Irlanda se ha servido promover el Rey a Capitán de granaderos al de fusileros D. Ignacio ILussey ; á Capitán al primer Tenien</t>
  </si>
  <si>
    <t>Domínguez Roso, Nicolás</t>
  </si>
  <si>
    <t>Nicolás Domínguez Roso</t>
  </si>
  <si>
    <t>teniente graduado de infantería D. Pedro Vicente Xareño: en el de Badajoz Subtenencias de bandera á D. Nicolás Domínguez Roso y á D. Fernando de la Vera y Campos; y en los de Salamanca, Orense, Toro, Córdoba y Granada Subtenencias de bandera á D. Manuel Calvo de Trapacete y Agudo, D. Benito Lobora, D. Lino</t>
  </si>
  <si>
    <t>Domínguez, Cipriano</t>
  </si>
  <si>
    <t>Cipriano Domínguez</t>
  </si>
  <si>
    <t>Juan Riberiego y D. Joseph Isasy: en el de Sevilla á segundo Teniente de granaderos ál de fusileros D. Cipriano Domínguez; á segundo Teniente al primer Subteniente D. Domingo Figueroa; y á segundos Subtenientes al Sargento primero, graduado de Subteniente, D. Manuel\ico, y al Cadete de la compañía de</t>
  </si>
  <si>
    <t>Domínguez, Lorenzo</t>
  </si>
  <si>
    <t>Lorenzo Domínguez</t>
  </si>
  <si>
    <t>en pasta cada tomo. Se venden también en Santiago en la sacristía de S. Martin, en Tuy .en casa de D. Lorenzo Domínguez, en Burgos en Ja librería de Revilla, en Oviedo en la de Acero, | 14 rs. cada tomo á la rústica, y £13 y rnedio en Valladolid én la librería de Cermeño, y en Salamanca en la de Ma</t>
  </si>
  <si>
    <t>de Martínez, calle de las Carretas; en Santiago en la sacristía de S. Mar—’ tin , en Tuy en casa de D Lorenzo Domínguez , en Burgos en la librería de Revilla, en Oviedo en la de Acero, en Valladolid en la de Cermeño, y en Salamanca en la de Manriquez. Tratado y modo fácil de coger y conservar ruise</t>
  </si>
  <si>
    <t>Domínguez, Manuel</t>
  </si>
  <si>
    <t>Manuel Domínguez</t>
  </si>
  <si>
    <t>briel de Torres , D. Manuel Saenz Ramírez, D. Francisco de Hore é Iturralde, D. Francisco de Reyna, D. Manuel Domínguez y D. Félix Castillo. El Rey se ha servido promover á Ayudantes de Ingenieros de sus cxércitos, plazas y fronteras á D. Luis Veyán y D. Juan Azpiroz, segundo Teniente y primer Subtenie</t>
  </si>
  <si>
    <t>Dominici, Joseph</t>
  </si>
  <si>
    <t>Joseph Dominici</t>
  </si>
  <si>
    <t>ias de los cruceros enemigos, y de explorar aquellos mares. Al mismo tiempo que el Alférez de Navio Don Joseph Dominici, comandante del expresado buque, me dio cuenta de su comisión, supe también haber salido de Mahon todas las fuerzas enemigas cinglando al O con un convoy; y aunque me quedaba el r</t>
  </si>
  <si>
    <t>Dónate, Gregorio</t>
  </si>
  <si>
    <t>Gregorio Dónate</t>
  </si>
  <si>
    <t>s a los Cadetes D. Agustín Ximene? de Lasarte y D. Joseph Bermudez de Castro, y al Sargento primero Don Gregorio Dónate : en el de Mallorca á Capitán al Ayudante graduado deTeniente Coronel D. Santiago Texero; y á primer Subteniente al segundo D Blas Gómez : en el de Asturias á segundos Tenientes a</t>
  </si>
  <si>
    <t>Donato Ccbrian</t>
  </si>
  <si>
    <t>os serondos D. Francisco de Paula Mirafccte y 1). Bonifacio Martínez ; á Alférez al Portaestandarte D. Donato Ccbrian , y á Portaestandarte al Cadete D. Joseph Bacna : en el de España á Alférez ai Portaestandarte D. Pedro Casasola; y á esta resulta al Sargento D. Miguel Navarro: en el de Adgarbe</t>
  </si>
  <si>
    <t>Donienchina, Bernardo</t>
  </si>
  <si>
    <t>Bernardo Donienchina</t>
  </si>
  <si>
    <t>553, 378,937 y 412,998- Los sagétos en cayo poder obren estos vales ¡os presenrarán en esta corte á D. Bernardo Donienchina, que vive en la calle de Hortaleza , núm. 9 , quarto principal D. Francisco Martínez de Hoz remitió el 29 de Agosjto desde la villa de Poza, en la Rioja, á esta corte á D. Anselmo</t>
  </si>
  <si>
    <t>Donton, Juan Bautista</t>
  </si>
  <si>
    <t>Juan Bautista Donton</t>
  </si>
  <si>
    <t>la compañía de infantería fixa de Vera al primer Subteniente de la misma D, Francisco de Torres. A D. Juan Bautista Donton, Cadete de la compañía flamenca del Real cuerpo de Guardias de Corps, ha conferido el Rey el gobierno del castillo de Sta, Cruz de la Mota, vacante por deposición de D. Mateo Jose</t>
  </si>
  <si>
    <t>Doormom</t>
  </si>
  <si>
    <t>recibido orden en Airona de ir inmediatamente á su destino. Hace 8 dias salió de aquí para Francia Mr. Doormom, síndico de este Senado, y encargado del despacho-de negocios extrangeros-en Hamburgo. Se le comisionó para este viage luego que se supo la victoria de los franceses en Marengo. D</t>
  </si>
  <si>
    <t>Doral, Juan</t>
  </si>
  <si>
    <t>Juan Doral</t>
  </si>
  <si>
    <t>l D.Ventura Montero; y á Cartaboix la tro-j^ , Vv r •’ * pa de los batallones de Marina mandada/por D. Juan Doral en esta situación se pasó la noche. i6 sa Tuvimos los muertos y heridos que manifiesta el siguiente tado en ámbas acciones de las alturas de la Grana. •••v .. OFICIALES. TROPA. J c</t>
  </si>
  <si>
    <t>Doria, Príncipe</t>
  </si>
  <si>
    <t>Príncipe Doria</t>
  </si>
  <si>
    <t>na escolta de tropas austríacas. a Ha llegado á Roma el Rey de Cárdena, y se ha alojado en casa del Príncipe Doria, qué como esposo de una Princesa de Carinan, tiene paren-' íesco con S. M. Parece que luego que vea al Sumo Pontífice éxará su resi-1 dencia en Frascati para vivir cón mas liberta</t>
  </si>
  <si>
    <t>Dororo, Pedro</t>
  </si>
  <si>
    <t>Pedro Dororo</t>
  </si>
  <si>
    <t>rta con árboles frutales y hortalizas en 38© rs. pertenecientes al patronato de legos del Bachiller D. Pedro Dororo, y propias de la cofradía del Santísimo ; unas cercas baxo de un cerco, en 12,750 rs. y 12 fanegas de tierra de pan sembrar, valuadas en 7,900 rs. Badajoz 3 de Febrero de itfoo. E</t>
  </si>
  <si>
    <t>Dougías</t>
  </si>
  <si>
    <t>os de toda edad, de ambos sexos y de todos estados. La orquestra se componía de mas de 500 músicos. Mr. Dougías, Obispo titular de Londres, cantó la misa , y el Doctor Oleari dixo la oración fúnebre. Haya 8 de Diciembre. ios voluntarios que lian sobresalido en las varias acciones contra los</t>
  </si>
  <si>
    <t>Douglas, Coronel</t>
  </si>
  <si>
    <t>Coronel Douglas</t>
  </si>
  <si>
    <t>estaban ya á bordo. Antes de ayer tarde llegaron al Almirantazgo el Capitán Maitland y el Teniente Coronel Douglas, oficiales del navio Tigre, que manda Mr. Sidney-Smith, de quien traen pliegos con la noticia de la capitulación del exército francés de Egipto.—-Por cartas del Lord Nelson, qüe e</t>
  </si>
  <si>
    <t>Doyle, Henrique</t>
  </si>
  <si>
    <t>Henrique Doyle</t>
  </si>
  <si>
    <t>us estados en aumento de sus rentas , pueblos y vasallo*; todo sobre la práctica mas auténtica; por D. Henrique Doyle. Véndese en la librería de Castillo., frente á las gradas de S. Felipe. Teatro español , por D. Vicente García de la Huerta. Esta obra , justamente deseada hace mucho tiempo , es</t>
  </si>
  <si>
    <t>Drake</t>
  </si>
  <si>
    <t>o Siinbschen con sus Ayudantes, y siguió su viage á Bohemia. —El mismo dia transitó por esta ciudad Mr. Drake, Ministro de Inglaterra en Munich. ; Nuremberg 8 de Junio. U na carta de Viena del dia 2 reitere que al cabo de una dilatada con-’ fereneia, á que asistieron los principales Minis</t>
  </si>
  <si>
    <t>Dronda, Juan Joseph</t>
  </si>
  <si>
    <t>Juan Joseph Dronda</t>
  </si>
  <si>
    <t>a y caballería del exército. Se hallarán en el despacho de la imprenta Real. El 48 de Junio remitió D. Juan Joseph Dronda , del comercio de Zaragoza, á I). Juan Pablo Catalina , vecino de Calatayud , dos vales Reales de 1 $0 pesos, creación de ig de Marzo, números 499,580 y 447,106 , ambos endosados</t>
  </si>
  <si>
    <t>Drummond</t>
  </si>
  <si>
    <t>s oficiales de de S. M. la fragata de su nación apresada por la inglesa Nemes,s. — El LordWithwor&amp;y Mr. Drummond se embarcaron el día 4 en la fragata Andrómeda para Conptihioiif' p h! escritoadonde van para el Duque de tratar Yorckdealeste asunto. de G.braltar Gobernador ... , encargándole i</t>
  </si>
  <si>
    <t>lmente el Lord Withwortn para el mismo puerto, desde ci qual.se restituirá á Inglaterra. Queda aquí Mr. Drunmond como Encargado de Negocios del ministerio ingles. . ; ' Para reformar y mejorar las leyes criminales ha nombrado S. M'v una junta, que por ahora se compone de Mrs. Moltke, Chambel</t>
  </si>
  <si>
    <t>Du-Marsais</t>
  </si>
  <si>
    <t>ar, aprisionado y esclavizado «¡n las escuelas. Para mayor instrucción lleva traducida la lógica de Mr. Du-Marsais, con otras .materias útiles para los médicos jóvenes, y las sabias notas de Frank. Des tomos en 4.0 Se hallarán en las librerías de Castillo, frente á S. Felipe , y de Cerro, red</t>
  </si>
  <si>
    <t>Duarte, Sebastián</t>
  </si>
  <si>
    <t>Sebastián Duarte</t>
  </si>
  <si>
    <t>el de Murcia á segundos Subtenientes al Cadete Don Tadeo Abellan y al Sargento primero distinguido D. Sebastian Duarte: en el de León á segundo Subteniente a! Cadete D. Joseph Rodríguez: en el de Burgos á primer Teniente ai segundo de granaderos D. Antonio Marinelerena: en el de Asturias á segundo</t>
  </si>
  <si>
    <t>Duaso, Joseph</t>
  </si>
  <si>
    <t>Joseph Duaso</t>
  </si>
  <si>
    <t>iario, y censor segundo de la sociedad, D. Serapio Sinués, D. Tomas López, D. Juan Polo y Catalina, D. Joseph Duaso y D. Pedro Gregorio de Echeandía, catedrático de botánica, en calidad de examinadores, á presen</t>
  </si>
  <si>
    <t>ico colegialD. Francisco Otano, Catedrático de chímica ; el Be- D. Juan Polo y Catalina , y el Lie. D. Joseph Duaso, Presbítero, todos individuos de la sociedad ; y asistieron á estos actos otros varios socios y personas dé distinción, que manifestaron su complacencia por el desempeño de los al</t>
  </si>
  <si>
    <t>Dubois-Crancé</t>
  </si>
  <si>
    <t>varios fusiles y municiones. Por nuestra parte muriéron algunos soldados; y el ciud. Dubois-Crancé, xefe de brigada del 4.0 regimiento de cazadores, perdió la vida á la frente de su cuerpo. El General Saint-Cyr, que pasó el Rhin por Brisack, halló poca resis</t>
  </si>
  <si>
    <t>Dubois-Thaín</t>
  </si>
  <si>
    <t>z. París j de Setiembre. S e ha publicado de oficio el artículo siguiente: „ El ciud. Dubois-Thaín-* ■ville, enviado á Argel por el primer Cónsul par* negociar un ajuste, firmó el 20 de Julio un convenio que dice así: ,, Armisticio ilimitado concluido entre S</t>
  </si>
  <si>
    <t>Dubois-Thainvi</t>
  </si>
  <si>
    <t>gual medida , y di^se libertad a los franceses que se hallan en sus estados. El ciud. Dubois-Thainvi lie consiguió al mismo tiempo la libertad de unos 2 50* militares republicanos, que formaban parte de la guarnición de Corfú, y al retirarse de aquella isla á</t>
  </si>
  <si>
    <t>Dubois-Thainville</t>
  </si>
  <si>
    <t>Después del armisticio ajustado el 18 de Agosto con la Regencia de Argel por el ciud. Dubois-Thainville, se ha concluido un tratado de paz definitiva,cuyas principales basas son las siguientes: „Las relaciones políticas y comerciales de la República francesa se r</t>
  </si>
  <si>
    <t>Dubois-Thainville, Carlos Francisco</t>
  </si>
  <si>
    <t>Carlos Francisco Dubois-Thainville</t>
  </si>
  <si>
    <t>: ,, Armisticio ilimitado concluido entre S. E.Mustafá Baxá, Dey de Argel* y el ciud. Carlos Francisco Dubois-Thainville, Comisario general de relaciones mercantiles, autorizado por el primer Cónsul de la República francesa para ajustar la paz con dicha Regencia.---- Articulo i.°</t>
  </si>
  <si>
    <t>Duboisgny</t>
  </si>
  <si>
    <t>a de exterminar á los bandidos, cuyas fuerzas eran muy crecidas. Las mandaba su xefe Duboisgny, y sostuvieren el fuego media hora en una especie de campo atrincherado; pero los nuestros atacaron con bayoneta calada y ctabrié</t>
  </si>
  <si>
    <t>las armas muchos de los que los xefes rebeldes habian obligado á armarse; y el caudillo Duboisgny se ha retirado á Bretaña con muy pocos partidarios.’* Génova 20 de Enero. A yer se publicó una ley mandando se restituyan á esta ciudad todos los ex-noblcs que</t>
  </si>
  <si>
    <t>Duboy, Luis</t>
  </si>
  <si>
    <t>Luis Duboy</t>
  </si>
  <si>
    <t>ente al Cadete D. Juan Lafuente; y en el de Nápoles á segundo Teniente al Subteniente de granaderos D. LuisDuboy,</t>
  </si>
  <si>
    <t>Duca, General</t>
  </si>
  <si>
    <t>General Duca</t>
  </si>
  <si>
    <t>omo mediadores para el mejor ajuste de la paz entre Austria y Francia. Augsburgo 28 de Octubre. E 1 General Duca, que de 5 á 6 meses á esta parte se hallaba en Viena, ha salido para Praga llamado por el Archiduque Carlos. Los exércitos rusos que han de formarse en las fronteras de Lithuania</t>
  </si>
  <si>
    <t>Duckworth, Almirante</t>
  </si>
  <si>
    <t>Almirante Duckworth</t>
  </si>
  <si>
    <t>.fragata de 44 cañones se encontró en el Mediterráneo con el navio ingles Leviathan, mandado por el Almirante Duckworth, el qual avisó al Capitán de la fragata dinamarquesa que enviaba una lancha para reconocer las embarcaciones que iban baxo su escolta. Le respondió el Capitán que se defendería: y</t>
  </si>
  <si>
    <t>Ducrós, Antonio</t>
  </si>
  <si>
    <t>Antonio Ducrós</t>
  </si>
  <si>
    <t>a Alcaydía de la puerta del mar de Cádiz, vacante por fallecimiento de D. Manuel Borgoña, al Chitan D. Antonio Ducrós, primer Teniente que fue del regimiento de Ultonia, y actualmente agregado ai de infantería de la Corona. En atención á los méritos y servicios de IX Jos&lt;?ph Romeu, vecino de la v</t>
  </si>
  <si>
    <t>Dueñas y Rafael González, Pedro</t>
  </si>
  <si>
    <t>Pedro Dueñas y Rafael González</t>
  </si>
  <si>
    <t>adron ; á Alférez ai agregado D. Manuel Perez Narezo, y á Portaestandartes á los Sargentos primeros D. Pedro Dueñas y Don Rafael González: en el batallón de milicias disciplinadas de infantería de Españoles de Lima á Subteniente al agregado D. Rafael Tienda, y á Subteniente de bandera al Cadete D. Joseph Vázquez de</t>
  </si>
  <si>
    <t>Dufe, General</t>
  </si>
  <si>
    <t>General Dufe</t>
  </si>
  <si>
    <t>uso el Lord Castlereagh un discurso de gracias ai Rey ; y al cabo se aprobó casi unánimemente. t El General Dufe ha mandado á todoslos habitantes del Condado de Limench pongan en las puertas de sus casas una lista con los nombres de las personas que las habitan; y asimismo les intima que bax</t>
  </si>
  <si>
    <t>Dufeois-Thainville</t>
  </si>
  <si>
    <t>e corsarios de esta Regencia para que respeten la bandera francesa, así como el ciud. Dufeois-Thainville se obliga á conseguir que su gobierno prohiba á todos ios corsarios de la "República molesten á los argelinos. 3.0 Toda embarcación apresada por unos ú otros d</t>
  </si>
  <si>
    <t>Dugi, Francisco</t>
  </si>
  <si>
    <t>Francisco Dugi</t>
  </si>
  <si>
    <t>Carta, a Subteniente de granaderos al de fusileros D. Juan Granados, y a Subtenientes a los Cadetes D. Francisco Dugi y D. Rafael del Campo. El Rey se ha servido nombrar para el Corregimiento de letras de los Pedroches de Córdoba, vacante por fallecimiento de D. Nicolás Antonio Mella y Carvajal, i D.</t>
  </si>
  <si>
    <t>Dugi, Joseph</t>
  </si>
  <si>
    <t>Joseph Dugi</t>
  </si>
  <si>
    <t>undo Teniente de granaderos al de fusileros D. Juan Sánchez; á segundo Ayudante al segundo Teniente D. Joseph Dugi; á segundos Temantes al Subteniente de granaderos D. Juan Perdomo y al Subteniente D. Carlos Carta, a Subteniente de granaderos al de fusileros D. Juan Granados, y a Subtenientes</t>
  </si>
  <si>
    <t>Dugua, General</t>
  </si>
  <si>
    <t>General Dugua</t>
  </si>
  <si>
    <t>les. Dícese que contienen cartas confidenciales para el antiguo Directorio, particularmente una del General Dugua al ex-Director Barras, con noticias políticas de la mayor utilidad é ínteres para los enemigos de Francia. Se ha recibido asimismo y publicado una carta de un oficial empleado en</t>
  </si>
  <si>
    <t>Duhesme, General</t>
  </si>
  <si>
    <t>General Duhesme</t>
  </si>
  <si>
    <t>enfermos austriacos asciende á 1®._—El General Lechi ha ido á Cassano con la legión cisalpina; y el General Duhesme con el cuerpo de su mando sigue á Lodi. La marcha de los franceses hacia Milán fue tan rápida , que el pueblo de esta ciudad no supo que estaban en Italia hasta 24 horas antes de</t>
  </si>
  <si>
    <t>8© fusiles, 2© barriles de pólvora, un millón de cartuchos y unos almacenes inmensos. El cuerpo del General Duhesme se dirige hoy (dia 3) hacia Lodi, y va echando á los enemigos al otro lado del Adda. El General Moneey ha llegado á Bellinzona; y la legión cisalpina está bloqueando la ciudadela</t>
  </si>
  <si>
    <t>dos.” ,y Milán 5 de Junio. El General Berthier ha mandado que se ocupe á Cremo, y que el cuerpo del General Duhesme forme el cerco de Pizzighitone.__ Él primer Cónsul ha convocado á los Obispos y Párrocos, y les ha manifestado su intento de restablecer todo lo relativo á Ja religión conforme y</t>
  </si>
  <si>
    <t>tos austriacos, los hospitales &amp;c.; y 2© prisioneros franceses, que han recobrado su libertad. » El General Duhesme, que ocupó á Cremona, encontró también allí almacenes considerables que estaban todavía intactos. Se ha interceptado un correo que iba de Mantua á Turin, y por sus pliegos hémos s</t>
  </si>
  <si>
    <t>Duhesne, General</t>
  </si>
  <si>
    <t>General Duhesne</t>
  </si>
  <si>
    <t>esde luego marchó hácia el Tesino. La legión itálica se dirigió á Romagnano enfrente de Sesto; y el General Duhesne con las divisiones de su mando se apostó á orillas del Tesino. El primer Cónsul llegó el 31 por la mañana á la margen de aquel rio, en cuyo lado izquierdo se mostraban los enemigo</t>
  </si>
  <si>
    <t>ella, é hizo 200 prisioneros. Perdieron ademas los austríacos mas de 300 hombres de caballería. Ei General Duhesne envió á Buffalara algunas compañías de carabineros..... Seguimos pasando con toda priesa el Tesino. El General Murat se halla con la vanguardia en Corbetto, á 3 leguas de Milán.” „M</t>
  </si>
  <si>
    <t>Dumas, General</t>
  </si>
  <si>
    <t>General Dumas</t>
  </si>
  <si>
    <t>l, y han enviado una crecida cantidad de municiones de Coira á Ragatz. lía llegado de París aquí el General Dumas. El General en xefe Macdonald, aunque enteramente restablecido, permanece en esta ciudad, de la qual se dice no saldrá hasta saberse si habrá paz ó seguirá la guerra: pues añaden</t>
  </si>
  <si>
    <t>Dumas, Mateo (general)</t>
  </si>
  <si>
    <t>General Mateo Dumas</t>
  </si>
  <si>
    <t>al que lo dirige.* Basilea jo de Setiembre. E 1 General en xefe Macdonald ha vuelto á Zurich con el General Mateo Dumas, xefe de la plana mayor de sü exército, y pasará el otoño en aquella ciudad. En el cantón de Leman y en algunos bayliages italianos rey na mucha fermentación: en estos á causa de</t>
  </si>
  <si>
    <t>Dumcurier, General</t>
  </si>
  <si>
    <t>General Dumcurier</t>
  </si>
  <si>
    <t>ber sacrificado sus tropas. ' También se asegura que el Soberano ruso acaba de llamar á su corté al General Dumcurier , á quien decía en la carta que 1c escribió, que deseaba yerle. Aquel General francés se puso en camino para Petersbtirgo, haciendo su viage por Curlandia y pasando por Mittau, en</t>
  </si>
  <si>
    <t>Dummond</t>
  </si>
  <si>
    <t>encionado Lord Withworth ha tenido ya conferencias con el Secretario de Estado Conde de Bernstorff. Mr. Dummond, que ha venido con él, reemplazará á Mr. Merri, como Encargado de negocios de S. M. Británica en esta corte. Acompañan al Lord Withworth un hermano suyo, que es Coronel, y el Secr</t>
  </si>
  <si>
    <t>Dumoimer, General</t>
  </si>
  <si>
    <t>General Dumoimer</t>
  </si>
  <si>
    <t>llegó de Berlín á Al tona, y continua $» viage á Cuxhaven , en donde se embarcará para Londres. El General Dumoimer ha llegado de Rusia á la Saxonia-Inferior. Según cartas de Italia se daba por cierto qúe los comandantes de buques ingleses habían recibido orden de detener á las embarcaciones pr</t>
  </si>
  <si>
    <t>Dumont, Andrés</t>
  </si>
  <si>
    <t>Andrés Dumont</t>
  </si>
  <si>
    <t>uan Bautista de Beccard; y á Alféreces de fusileros á los Cadetes D. Francisco Bryas de Molanghien, D. Andrés Dumont, D. Baltasar Francisco de Pultz, Marques de Monteil, D. Luis Antonio de Eraso y D. Carlos de Liot. También ha nombrado S, M. Capellán del tercer batallón del regimiento de infante</t>
  </si>
  <si>
    <t>Dumoulin, General</t>
  </si>
  <si>
    <t>General Dumoulin</t>
  </si>
  <si>
    <t>n bosque y la obscuridad de la noche, no se hubiera librado uno___.En segunda carta me da cuenta el General Dumoulin de que de resultas de la acción del 24 han dexado nuestras tropas libres de enemigos el bosque de Fougeres; y el 25 continuaron molestando á los chouanes, é hirieron á gran número de</t>
  </si>
  <si>
    <t>Dumourier, General</t>
  </si>
  <si>
    <t>General Dumourier</t>
  </si>
  <si>
    <t>, y no de otro, usan los labradores y la tropa. Hamburgo 1 I de Marzo, H a llegado á Petersburgo el General Dumourier, y después de recobrarte de una e’squinancia que padeció, fue presentado al Emperador por el Vice-Canciller Conde de Paninv El Soberano le recibió con mucha benignidad, y le ha em</t>
  </si>
  <si>
    <t>omenil, emigrado francés, mandará la primera división del exército ruso pagado por los ingleses, el General Dumourier la segunda, y el Príncipe de Nassau-Siegen la tercera. Estas 3 divisiones formarán un total de 45® hombres, contando las tropas rusas que están en Inglaterra. En Viena se permite de</t>
  </si>
  <si>
    <t>víen sus hijos ¿ estudiar á universidades extrangeras. Ratisbona 29 de Marzo. S egun unos avisos el General Dumourier, nombrado Teniente General de los exércitos rusos, mandará en xefe las tropas de aquella nación destinadas contra Francia; pero las cartas de Petersburgo refieren que aunque dicho</t>
  </si>
  <si>
    <t>l mismo parage á fines de Julio, para lo qual se ha expedido ya una- convocatoria. Espérase aquí al General Dumourier r que salió de Petersburgo el 23 de JVÍarzo y pasa por Mittau. Durante los dos meses que estuvo en la capital de Rusia mereció alguna confianza al Emperador , á quien presentó var</t>
  </si>
  <si>
    <t>Copenhague hasta que el Rey de Dinamarca nombre un Ministro para residir en París. Ya llegó aquí el General Dumourier: y ahora aseguran Sus amigos que mandará una división del exército Real; pero entre tanto ha tomado casa por 6 meses. Se dice que entre los proyectos que este General presentó al</t>
  </si>
  <si>
    <t>" ■ Han ponderado mucho las gazetas de Alemania quanto han dicho en orden á la buena acogida que el General Dumourier halló en esta corte, pues lo cierto es que solamente al cabo ,de 3 semanas logró ver al Emperador en Ja parada : y aunque S. M. I. le saludó con afabilidad, no recibió proyecto ni</t>
  </si>
  <si>
    <t>n las aguas de Alexandría. Hamburgo 1$ de Setiembre. A ntes de ayer salió secretamente de Altona el General Dumourier. Se asegura que va á Inglaterra á tomar el mando de un cuerpo de tropas. Mr. de Morawiew, Ministro de Rusia en esta ciudad, ha salido para Petersburgo, en donde, según se dice, va</t>
  </si>
  <si>
    <t>Duncan, Lord</t>
  </si>
  <si>
    <t>Lord Duncan</t>
  </si>
  <si>
    <t>el mando de dicha esquadra, en el qual le reemplaza interinamente el Almirante Gardner. Asimismo el Lord Duncan ha dexado el mando de la esquadra que cruza en el mar del Norte. Mr. de Viomenil, que estaba nombrado por el Emperador de Rusia para mandar el cuerpo de tropas de aquella nación q</t>
  </si>
  <si>
    <t>ha renunciadod que tenia de Tesotero de la marina.' Para mandar la esquadra del Norte en lugar del Lord Duncan, está tiombrado el Almirante Dickson. Dicese que los 3 Príncipes de la casa de Orleans han salido de esta ciudad para el Mediterráneo. Según las últimas noticias de la India se ha</t>
  </si>
  <si>
    <t>Dundas</t>
  </si>
  <si>
    <t>Mr. Pitt sea verdadera; sino política. Unos sospechan que espera lá llegada del Ministro Dundas (que está ausente y enfermo), para que le sostenga y apoye; y otros juzgan que aun no tiene seguridad de tener-á síi ¡favor el mayor numero de votos sobré habe</t>
  </si>
  <si>
    <t>ones propuestas por el gobierno francés. Asistió á la sesión de este dia Mr. Fox, Pidió desde luego Mr. Dundas se hiciese una respuesta á S. M. aprobando dicha correspondencia. Apoyóle Mr. Ganing, y se opusieron á ello Mrs. Whitbread y Erskine. Tomó la palabra Mr. Pitt á favor de la respue</t>
  </si>
  <si>
    <t>ros miembros apoyaron las razones de Mr. Fox, se aprobó al fin la propuesta del Ministro Dundas, y por consiguiente la respuesta del Lord Grenville al Ministro francés. .7 ■ • , . - c * . Haya 8 de Febrero,, , A ntes de ayer ¿panana, llego aquí un correo</t>
  </si>
  <si>
    <t>exámí-: nasen en la misma Cámara las causas del desgraciado fin de la expedido» de Holanda. Replicó Mr. Dundas que dicha expedición, en vez de haber ¿sido desgraciada, fue completamente ventajosa, supuesto que con ella ganó Inglaterra toda la esquadra holandesa. Le contestaron otros vocale</t>
  </si>
  <si>
    <t>Mr. Dundas. Entre varios regalos que trac de su país, hay un puñal tenido con sangre de la que corrió en las murallas de Seringapatnam durante ia acción en que fue muerto Saíb. En Yarmouth s</t>
  </si>
  <si>
    <t>cará de los derechos de entrada y salida que pagan las mercancías y los frutos. El ciiu 25 presentó Mr. Dundas, Ministro de las Indias, el budjet 6 estado de rentas de los establecimientos ingleses en el Asia ; comprehende solamente los años de 97 y 98, por no haber aun recibido -las cuent</t>
  </si>
  <si>
    <t>eder la isla de Malta al Emperador de Alemania ó al de Rusia. Se asegura que el Ministro Dundas desaprueba públicamente que Mr* Sidney-Sinlth haya firmado el convenio para la evacuación de Egipto. Ocho dias antes de haberse ajustado aquel convenio, apresó el</t>
  </si>
  <si>
    <t>penda por ahora la salida de los transportes de tropas, y que se desembarquen estas y los caballos. Mr. Dundas ha aceptado el empleo de Guarda sello privado de Escocia, que vale 2.7® libras esterlinas, y ha renunciadod que tenia de Tesotero de la marina.' Para mandar la esquadra del Norte</t>
  </si>
  <si>
    <t>xcepto el caso en que estos llevasen ar-mas, ó hiciesen señales de comunicación: nos ha participado Mr. Dundas la intención de S. M. de que se revoquen por ahora las ordenes que se habían dado á los comandantes de sus baxeles para que se apoderasen de los pescadores franceses y holandeses y d</t>
  </si>
  <si>
    <t>gran número de ylumpitddings: ademas de 3 vacas, 16 carneros y 25 corderos. El Ministro Dundas escribió luego al Marques de Salisburi una carta de gracias en nombre de S. M. -, Haya 26 de Junio. I Ll ministerio ingles ha declarado libre la pesca en el mar</t>
  </si>
  <si>
    <t>ral Kleber como una infracción á nuestro tratado con la Puerta otomana; pero el Ministro Dundas replicó que la Gran Bretaña no había sido parte en el convenio de El-Arisch : que en todos tiempos ha observado sus empeños con sobrada buena fe;.y que el ínte</t>
  </si>
  <si>
    <t>Spencer Smith, Ministro entonces en Constantinopla, á Air. Sidney y á otros comandantes. Respondió Mr. Dundas que en buena política no podían comunicarse dichos documentos, y declaró que quando ei gobierno envió estas instrucciones al Lord Keith, sabia que efectivamente se trataba de ajus</t>
  </si>
  <si>
    <t>l los negocios públicos, y consiguiente á este principio intentaba atarles las manos; „pero (añadió Mr. Dundas) no es mi ánimo convencer á semejantes hombres, sino á la mayoría de la Cámara: y así pregunto si esta juzga conveniente mezclarse en los asuntos del ministerio, y tomar una resol</t>
  </si>
  <si>
    <t>escasez; y al concluir pidió que se omitiese la última •frase del discurso de gracias. Le respondió Mr. Dundas; y al fin se aprobó casi unánimemente dicha respuesta sin alteración. Basilea jp de Noviembre* E n fuerza de una orden del General Macdonaid se han puesto en marcha las tropas fra</t>
  </si>
  <si>
    <t>Mr. Grenville la correspondencia seguida entre Inglaterra y Francia sobre el armisticio marítimo; y Mr. Dundas la comunicó el mismo dia á lá Cámara baxa.__ .Tratándose él 14 en la dé los Pares sobre las causas de la actual escasez, observó el Lord Holland que aunque los Ministros hubiari aseg</t>
  </si>
  <si>
    <t>Dundas, General</t>
  </si>
  <si>
    <t>General Dundas</t>
  </si>
  <si>
    <t>han fabricado mas de 27©. Del Cabo de Buena-Esperanza escriben con fecha del 13 de Setiembre que el General Dundas, al frente de muchas tropas, se había internado en aquel país para reprimir los alborotos movidos entre los holandeses y los cafres, que causaban ya mucha inquietud al gobierno in</t>
  </si>
  <si>
    <t>Dupac, Juan</t>
  </si>
  <si>
    <t>Juan Dupac</t>
  </si>
  <si>
    <t>lano; á Ayudante al primer Teniente D. Miguel de Nueros; á esti resulta al primer Teniente agregado D. Juan Dupac , y á segundo Teniente .al Alférez D. Melchor Rengel: en el del Infante á primer Tenien^ te al segundo graduado de Capitán D. Pedro Revenga: en el de Borbon á Alférez al Portaesta</t>
  </si>
  <si>
    <t>sta resulta al Sargento D. Francisco Xavier Rico: en el del Príncipe á Capitanes al primer Teniente D. Juan Dupac y al Ayudante D. Miguel de Nueros; á Ayudante al primer Teniente D. Ignacio Coutoy; á primeros Tenientes á los segundos D. Felipe Cadroy , graduado de Capitán, D. Joachín de Alba y</t>
  </si>
  <si>
    <t>Dupont, General</t>
  </si>
  <si>
    <t>General Dupont</t>
  </si>
  <si>
    <t>o á los franceses el dia 24 á las 4 de la madrugada. El General de -brigada Kellerman ha escrito al General Dupont, xefe de la plana mayor, una carta con fecha del 22, en la qual después de ase-r gurárle qué los franceses entrarán en Génova el mencionado dia, añade que el General austríaco tuv</t>
  </si>
  <si>
    <t>ya en movimiento. El General Moncey, comandante del ala izquierda, tiene sw quartel en Brescia; el General Dupont, que manda el centro, ha sentado el suyo en Cremona, y el del General Suchet, que manda el ala derecha, está en Módetia. El General en xefe Bruñe saldrá á visitar el exército, y s</t>
  </si>
  <si>
    <t>aís de Bolonia, quando el General Bruñe tenia reconcentradas sus fuerzas en la izquierda del Po. El General Dupont salió de Bolonia con tina división, desbarató dicho armamento del pueblo, é intimó al comandante Sommariva * que si el paisanage armado no se retiraba á sus casas, entraría en Tos</t>
  </si>
  <si>
    <t>de su salida. El General Sonnnariva llevo todos ios caudales publicos.” Ei dia 17 escribió el mismo General Dupont á Bruñe otra carta concebida en estos términos: „ Así que el Sargento mayor austríaco despachado á Milán volvió á Florencia, el General Soinmariva hizo todos sus esfuerzos para mo</t>
  </si>
  <si>
    <t>sino unos 300, que se retiráron á la ciüdudela, .y luego se entregáron á discreción. " ; :: ■■ ; El General Dupont ha ido á Liorna con los oficiales de su plana máyor. _ Dices e que los franceses hallaron en aquel puerto por mas dei$</t>
  </si>
  <si>
    <t>nto del armisticio, supuesto que nada le impedía dirigirse contra Brescia ó Bolonia miéntras que el General Dupont estaba en Toscana. El armamento del pueblo oprimía de tal modo á aquel país, que las personas mas adictas al Gran Duque vieron con gusto la llegada de los franceses, cuya conducta h</t>
  </si>
  <si>
    <t>Düpont, General</t>
  </si>
  <si>
    <t>General Düpont</t>
  </si>
  <si>
    <t>ros ¿jhe no sé tratar de otro modo. £1 Sr. General Sommariva me conoce. Fir~ ma'dóx Cle’ment.” ; El General Düpont ha dado orden para que todos los habitantes dd Toscana entregúen stfs' armas en él término de 3 dias, sopeña de ser juzgad 8ds militarmerité^ybastigadoseom© cómplices de los revol</t>
  </si>
  <si>
    <t>os los actos, públicos se expiden en nombre del Gran Duque. , ' Por orden del dia ^19 ha mandado el General Dupont que sigan pagándose como hasta ahora los derechos de tránsito: que no puedan extraerse géneros de Toscana sin pasaporte: que se envíen á Florencia las armas ganadas y quitadas, á</t>
  </si>
  <si>
    <t>rvador, al Tribunado y á los .Cónsules, dándoles parte de sú Instalación. ^ JFin de la relación del General Dupont. 9&gt;E1 dia 1 y de Octubre siguiéron las tropas adelantándose hacia Floren</t>
  </si>
  <si>
    <t>egado á Florencia el General de división Miollis, que actualmente manda en Toscana como sucesor del General Dupont. Muchos habitantes de este pais, que al acercarse los franceses habían huido de sus hogares, vuelven ahora á ellos, muy confiados en el procedimiento de los republicanos. De Ancon</t>
  </si>
  <si>
    <t>neral Delmas manda la vanguardia, que consta de 12© hombres: el General Moncey el ala izquierda, el General Dupont la derecha, Suchet el centro, y Michaud el cuerpo de reserva. , Turin 2 $ de Noviembre. E 1 Ministro francés Petiet se ha restituido de Toscana á esta ciudad. El quartel general del exé</t>
  </si>
  <si>
    <t>Dupont, Teniente General</t>
  </si>
  <si>
    <t>Teniente General Dupont</t>
  </si>
  <si>
    <t>hacia la Polpsina de , Ferrara. En el dia están libres las comunicaciones entre Rimini y Pesaro. El Teniente General Dupont., comandante del ala derecha del exércitp de Italia^, escribió la siguiente carta al Mayor general Conde de Erigido,</t>
  </si>
  <si>
    <t>rsiguió dos dias, matándoles mucha gente---- ^Hállase ya aquí dé vuelta uti cuerpo de tropas que e! Teniente General Dupont había despachado al camino entre Móde-' ®a y Lúea.” Milán 2p de Setiembre. H asta saberse las resultas del armjsticio sé acantonará el exército de Italia. Por orden del General Br</t>
  </si>
  <si>
    <t>en los exércitos. Ha llegado aquí el General Lecourbe, restablecido enteramente de sus achaques. El Teniente General Dupont remitió aí General Bruñe con fecha de 25 de Setiembre la siguiente relación sobre las operaciones del ala derecha del exército de Italia : „ Habiendo el cuerpo de tropas que manda</t>
  </si>
  <si>
    <t>e no perdieron la vida , se ocultaron én los desfiladeros do los montes.” Siguen los elogios ; y el Teniente General Dupont añade que ha regalado 6'piezas de artillería á la guardia nacional de Bolonia en premio de su firmeza y valor, y de haber formado una colana para obrar con las tropas francesas y</t>
  </si>
  <si>
    <t>eses, los quales observaron la mejor disciplina.” Desde el quartel general de Florencia escribió el Teniente General Dupont al General en xefe Bruñe la siguiente carta con fecha de 15 de Octubre. „Os informo sin perder tiempo que acabo de entrar en Florencia, El exército de los insurgentes de Toscana ,</t>
  </si>
  <si>
    <t>a la bandera toscana en estas murallas, lo qual contribuye á la entrada de dichas embarcaciones. El Teniente General Dupont luego que llegó aquí visitó la plaza y el puerto; y el dia 22 fué á bordo de la fragata dinamarquesa nombrada la Kay ade á pagar la visita que el Comandante de la esquadra de aque</t>
  </si>
  <si>
    <t>rcaciones: efecto de los muchos naufragios que ha habido. Se ha publicado la siguiente relación del Teniente General Dupont, comandante del ala derecha dél exército dé Italia,; dirigida al General en xefe sobre su entrada en Tóscana. „Liorna 26de Octubre. El dia 8 recibí en Bolonia vuestra carta del 6</t>
  </si>
  <si>
    <t>nteriores puestos. Bolonia 4 de Noviembre. A ntes de ayer vino aquí la media brigada mím. 28 con el Teniente General Dupont, y toda la plana mayor del ala derecha ; y ayer la media brigada ligera, que formaba parte de esta guarnición, se puso en marcha por el camino de Cento. El xefe de ingenieros Houd</t>
  </si>
  <si>
    <t>ado y Presidente de la consulta legislativa cisalpina. Igualmente se ha restituido á esta ciudad el Teniente General Dupont, que estuvo ausente algunos dias, y trac consigo al General Gobert, xefe de la plana mayor. La venida de estos xefes infunde sospechas de que se trata de hacer mudanzas en Toscana</t>
  </si>
  <si>
    <t>ferenciayy concluida despacho, dicho General un correo- á Florencia*, desde donde llego-ayer aquícl Teniente General Dupont, y al instante pasó á la junta de sanidad con el .General Clement. También ha venido de Florencia el General Miollis, y se espera al Ministro Petiet y al General Marmont. ^ r Tien</t>
  </si>
  <si>
    <t>Dupor, Teniente General</t>
  </si>
  <si>
    <t>Teniente General Dupor</t>
  </si>
  <si>
    <t>armase, al paisanage que se había armado; y que habiéndose aquel comandante negado á elío, entró el Teniente General Dupor.t en Florencia el dia 15, y el General de brigada Clement en Liorna e! 16. 1 oda la Toscana está ocupada por el exército francés. Mas de 2 5$ hombres del armamento del pueblo han</t>
  </si>
  <si>
    <t>Duque de la Cruz, Manuel</t>
  </si>
  <si>
    <t>Manuel Duque de la Cruz</t>
  </si>
  <si>
    <t>, D. Joachín Moreno y Mancha , D. Antonio Quiroga y Arias, D. Benito Bermudez de Castro y Vivero , D. Manuel Duque de la Cruz , D. Antonio Piñeyro y Maceda, Don Rafael de Mesa y Montero , D. Francisco Troncoso de Lira y Garza, Don Manuel Bachoni y Padilla, D. Alonso Martin Vegue y Zayas, D. Joseph</t>
  </si>
  <si>
    <t>Duque de Richclieu, Teniente General</t>
  </si>
  <si>
    <t>Teniente General Duque de Richclieu</t>
  </si>
  <si>
    <t>rnición; y ha nombrado en su lugar al Teniente General Essen. Asimismo.ha dado S. M. su dimisión al Teniente General Duque de Richclieu, xefe de los coraceros de la Guardia de corps; pero le concede permiso de traer uniforme de General de caballería. Las tropas que debían reunirse en los contornos de Brzesch han t</t>
  </si>
  <si>
    <t>Duque de Sotomayor, Príncipe</t>
  </si>
  <si>
    <t>Príncipe Duque de Sotomayor</t>
  </si>
  <si>
    <t>mero de granaderos D. Santiago Ochoa: en el de Toledo á Teniente Coronel al Coronel agregado al del Príncipe Duque de Sotomayor ; y á segundos Subtenientes á los Cadetes D. Alberto Urbina y D. Claudio Eguia: en el de Burgos á Ayudante al primer Teniente Don Joseph García: en el de Murcia á segundo Teniente</t>
  </si>
  <si>
    <t>Duque y del Xabon, Conde</t>
  </si>
  <si>
    <t>Conde Duque y del Xabon</t>
  </si>
  <si>
    <t>s en esta' corte : una-sita en la plazuela de Afligidos, y- vuelve formando ángulo á las calles del Conde Duque y del Xabon , num.-i , manz. 538, comprt-henae 10,087 pies quadrados de sitio y está tasada en ¿42,010^ is. Otra en la calle de las Fuentes, con accesorias á la de los Tintes,, núm. 7,-manz.</t>
  </si>
  <si>
    <t>Dür, General</t>
  </si>
  <si>
    <t>General Dür</t>
  </si>
  <si>
    <t>uellos 20® revoltosos cometían todos los excesos, y no respetaban ningún convenio._ Miéntras que el General Dür poní mandaba cañonear y tomar por asalto la ciudad de Arezzo , lis tropas austríacas no podían tomar ni tomaron parte alguna en la acción. El Genesral Sommariva obtuvo licencia pa</t>
  </si>
  <si>
    <t>Duran, Bernardo</t>
  </si>
  <si>
    <t>Bernardo Duran</t>
  </si>
  <si>
    <t>l de fusileros, graduado de Teniente Coronel, D. Joseph Perez ; á Capitán al Teniente de granaderos Don Bernardo Duran ; á Teniente de granaderos al de fusileros D. Sebastian Planchón;á Teniente al Subteniente de granaderos D. Antonio Vianguet; á Subteniente de granaderos al de fusileros D. Franci</t>
  </si>
  <si>
    <t>Duran, Fernando</t>
  </si>
  <si>
    <t>Fernando Duran</t>
  </si>
  <si>
    <t>ferido S. M. compañía en el cuerpo de milicias urbanas de Alburquerque al Teniente del mismo cuerpo D. Fernando Duran: ha nombrado Teniente de la compañía de infantería fixa de Motril en la costa de Granada á D. Juan Fernando de Palacio ; y ha concedido grados de Capitán de milicias provinciales</t>
  </si>
  <si>
    <t>Duran, Luis</t>
  </si>
  <si>
    <t>Luis Duran</t>
  </si>
  <si>
    <t>á Sargento mayor veterano al Ayudante D. Ignacio Muñoz de Cedenilla: á Capitanes á los Subtenientes D. Luis Duran y D. Joseph Zapata: á Subteniente de granaderos al de fusileros D. Ramón Cosgalla: á Subteniente de fusileros al Cadete D. Francisco de la Cámara, y á Subtenientes de bandera á los Ca</t>
  </si>
  <si>
    <t>Duran, Nicolás</t>
  </si>
  <si>
    <t>Nicolás Duran</t>
  </si>
  <si>
    <t>n el regimiento de infantería de Saboya se ha servido promover el Rey á Ayudante al primer Teniente D. Nicolás Duran; á primer Teniente al segundo de granaderos, graduado de Capitán, D. Feliciano Gual; á.segundo Teniente de granaderos al de fusileros Di Vicente González Moreno; á segundo Tenient</t>
  </si>
  <si>
    <t>Durango, Francisco</t>
  </si>
  <si>
    <t>Francisco Durango</t>
  </si>
  <si>
    <t>..... D. Joseph Ligero. En Valencia......... D. Francisco Peyrolon y compañía. En Valíadalid....... D. Francisco Durango é hijo mayor. En Zamora.......... D. Vicente Perez de Texada. En Zaragoza........ D. Tomas de la Madrid. A consulta de la Comisión gubernativa de Consolidación de Vales y Caxas de</t>
  </si>
  <si>
    <t>... I). Joseph Ligero. En Valencia.......... D. Francisco Peyrolon y compañía. En Valladolid....... D. Francisco Durango é hijo mayor. En Zamora......... . D. Vicente Perez de Texada. En Zaragoza........ D. Tomas de la Madrid. A consulta de la Comisión gubernativa de Consolidación de Vales y Caxas d</t>
  </si>
  <si>
    <t>Durnbey, Lord</t>
  </si>
  <si>
    <t>Lord Durnbey</t>
  </si>
  <si>
    <t>zobispo de Cantorberi propuso se fixase la cantidad de pan que podía darse á cada persona ; pero el Lord Durnbey observó que semejante medida alarmarla al pueblo, y que la necesidad no era un grande que precisase á recurrir á tan extremados expedientes. Opinó contra esto el Lord Liverpoold d</t>
  </si>
  <si>
    <t>Duro, Andrés</t>
  </si>
  <si>
    <t>Andrés Duro</t>
  </si>
  <si>
    <t>'ella á D. Francisco de Paula González, en atención á su mérito; y para la plaza de Oficial mayor á D. Andrés Duro. Un consideración á lo crecida y numerosa que es la renovación de los vales Reales de 150 y de 600 pesos de 15 de Marzo, en que está entendiendo la oficina de este ramo: que no lo</t>
  </si>
  <si>
    <t>Duroc</t>
  </si>
  <si>
    <t>s que se han hecho sobre el encargo ó comisión política que traxo de Francia el ciud. Duroc, se ha divulgado ahora que el Cónsul Bonaparte deseaba empeñar á este Soberano á que extendiese hasta el Mein la. línea de demarcación, á fin de que por este m</t>
  </si>
  <si>
    <t>se alega la cortedad de las rentas de la República, ha causado descontento. El ciud. Duroc, primer Ayudante de Bonaparte, ha estado algunos dias en el quartel general del Archiduque Carlos, en el qual fue muy bien recibido. Volv ió aquí, y dio cuenta</t>
  </si>
  <si>
    <t>tacamento, de caballería fue escoltandp hasta Kell al General SaintJulieri y al ciudadano Puroc,,. .qué ¡le acompaña .á'-.Viena.- .. r El General Sainte-Stizanne: ha dado órdep á las tropaS.de; su mandp: pa-I ra qué’ seacantoríeñ en los bayliages del obis</t>
  </si>
  <si>
    <t>s. Augsburgo 11 de Agosto. E 1 día 4 llego al quartel general de Alt-Oetting el ciud. Duroc, primer Ayudante del Cónsul Bonaparte, con una comisión para el Feld-Mariscal Kray; y como este había ido á Salzburgo, se le despachó un oficial avisándole que</t>
  </si>
  <si>
    <t>y el Conde de S. Julián, y se ratificáron por los Cónsules 24 horas después. El ciud. Duroc los llevaba á Viena: pero las intrigas de la facción enemiga de la paz, que al parecer goza aun algún crédito, induxéron al Emperador á no ratificarlos, sin mas ca</t>
  </si>
  <si>
    <t>Durrwel, Gaspar</t>
  </si>
  <si>
    <t>Gaspar Durrwel</t>
  </si>
  <si>
    <t>Francisco Scrrallach y D. Joseph Castellar, primer Subteniente y Cadete del primero de Barcelona : D. Gaspar Durrwel, Teniente del regimiento Suizo de Betschart: D. Juan Sociats, Cadete de la compañía fixa de Rosas: D. Simón Trevilla, Cadete del de Voluntarios de caballería: D. Fernanda de Norza</t>
  </si>
  <si>
    <t>DuvaLc</t>
  </si>
  <si>
    <t>, el Lord Grenville, Mr. Pi'tt y Mr. Dundas. Duró el consejo 5 horas; y poco después volvió á salir Mr. DuvaLc©» la respuesta al Lord Withworth, y cartas para el Almirante Dickson. Algunas gazetas inglesas aseguran que este Almirante lleva órdenes de apoderarse del castillo de Cronburgo (q</t>
  </si>
  <si>
    <t>Duvernon, Pablo</t>
  </si>
  <si>
    <t>Pablo Duvernon</t>
  </si>
  <si>
    <t>^ pitan de granaderos al de fusileros D. Juan Raiberti ; a Capitán al primer Teniente de granaderos D. Pablo Duvernon ; a primer Teniente de grana-&gt; deros al de fusileros D. Vicente de Juan ; á primer Teniente al segundo; de granaderos D. Miguel Rafael Chelil á segundo Teniente de granaderos r al</t>
  </si>
  <si>
    <t>Duvigneau, General</t>
  </si>
  <si>
    <t>General Duvigneau</t>
  </si>
  <si>
    <t>n apoyaba la izquierda del General Víctor, y este envió sus órdenes á la brigada de caballería de1! General Duvigneau,, el qual habia dexado el mando, de su brigada sin autoridad. para ello:, esto retardó la execucionde las operaciones* Se déstináron 200 hombres de dicho cuerpo, para subir por la</t>
  </si>
  <si>
    <t>Duvigneauy, General</t>
  </si>
  <si>
    <t>General Duvigneauy</t>
  </si>
  <si>
    <t>quartel general de Tor.tona se publico .el día 18 la siguiente or—&gt; den comunicada al exército: El .General Duvigneauy.qué no se halló al trente de/ su brigada de caballería en la batalla del dia 14» queda despedí-^ do deí exército de reserva, y se presentará al Ministro de Guerra para recibir SUS</t>
  </si>
  <si>
    <t>D’Aprea, Ramón</t>
  </si>
  <si>
    <t>Ramón D’Aprea</t>
  </si>
  <si>
    <t>te de fusileros al Subteniente de granaderos D. Gabriel O Rian; á este empleo al primer Subteniente D. Ramón D’Aprea; á primeros Subtenientes á los segundos D. Lorenzo Cotarelo y D. xAlexandro Arroyo, y á segundos Subtenientes á los Cadetes D. Fernando Baliñani y D. Pablo de los Senderos: en el</t>
  </si>
  <si>
    <t>E I General Jourdan</t>
  </si>
  <si>
    <t>si desde luego no se toman providencias para precaverlas. Titriit 4 de Octubre. E I General Jourdan, Ministro extraordinario del gobierno francés en Píamonte, ha recibido instrucciones del General en xefe Bruñe sobre las mudanzas que deben hacerse así en la forma de este gobierno interino</t>
  </si>
  <si>
    <t>E I Lord Minto</t>
  </si>
  <si>
    <t>neo botanicorum principia amici et discipuli IJ9 8. Viena i.° de Enero de 1800. E I Lord Minto, Ministro de Inglaterra en esta corte, y el Teniente General Conde de Bellegarde, han salido de esta ciudad para Praga, á fin de conferenciar con el Conde Suwarow sobre asuntos importantes.</t>
  </si>
  <si>
    <t>Eagar, Alexandro</t>
  </si>
  <si>
    <t>Alexandro Eagar</t>
  </si>
  <si>
    <t>pitán de granaderos al de fusileros D. Ignacio ILussey ; á Capitán al primer Teniente de granaderos D. Alexandro Eagar; á primer Teniente de granaderos al de fusileros D. Jayme Gunning; á primer Teniente al segundo de granaderos D. Joseph Rossy; á segundos Tenientes de granaderos á los de fusilero</t>
  </si>
  <si>
    <t>Easauca, Andrés</t>
  </si>
  <si>
    <t>Andrés Easauca</t>
  </si>
  <si>
    <t>rar para Ja Regencia del Principado de Asturias, vacante po fallecimiento de D. Vicente Vizcaíno, á D. Andrés Easauca: para la plaza de Oidor de la Audiencia de Aragón, que este obtenía , á D. Pedro María Ric, Alcalde del Crimen de ella ; y para esta resulta á D. Juan Garrido López. Asimismo ha c</t>
  </si>
  <si>
    <t>Echagiie, Diego</t>
  </si>
  <si>
    <t>Diego Echagiie</t>
  </si>
  <si>
    <t>que sin otro cargo ó destino se ausentaron de la plaza; los Capitanes D. Joachín de Yun y Barbia , D. Diego Echagiie, JD. Bernardo Joachín Gainza, D. Francisco Xavier Larreandi, D. Francisco Ignacio Iturzaeta, D. Francisco Cardaveras, D. Ignacio Larrañaga, y D. Miguel Juan de Barcaiztegui; los p</t>
  </si>
  <si>
    <t>Echeverria, Bernardo</t>
  </si>
  <si>
    <t>Bernardo Echeverria</t>
  </si>
  <si>
    <t>s Cebrian y Vallterra y D. Joseph¡JPauíagiu. y Cantero: las Tenencias á los Tementes' de fusi 1eros D. Bernardo Echeverria y D. Nicolás Llopis : las Subteneneij^ 4 los Subtenientes- dg fusileros</t>
  </si>
  <si>
    <t>Echeverría, Francisco Antonio</t>
  </si>
  <si>
    <t>Francisco Antonio Echeverría</t>
  </si>
  <si>
    <t>on ía rendición y entrega de la plaza, y la Diputación al Gobernador, D. Joseph Joachín de Larburu, D. Francisco Antonio Echeverría, D. Joachín ele Garde, D. Francisco Ignacio Gaztelu, D. Vicente de Mendizaval, D. Manuel Francisco de Soraiz, y D. Ignacio</t>
  </si>
  <si>
    <t>Edeícrantz</t>
  </si>
  <si>
    <t>a que se padece no menos aquí tjue en Gothemburgo, Norkoping y otras ciudades. Baxo lq dirección de Mr. Edeícrantz, Consejero de la Chancillería, se han colocado telégrafos entre Gothemburgo y Marstrand. El gobierno dinamarqués ha enviado un arquitecto para que levante el pian de dichos telégr</t>
  </si>
  <si>
    <t>Eduardo Pellew</t>
  </si>
  <si>
    <t>Francia una división compuesta del navio Impetuoso de 78 cañones, 4 fragatas; y un^cü%er. La manda Mr. Eduardo Pellew. Ha despachado el Almirantazgo extraordinarios á Portsmouth, Plimouth</t>
  </si>
  <si>
    <t>comarcas septentrionales de la Tartaria china. Ya haorá salido de Plimouth el armamento mandado por Mr. Eduardo Pellew. Aunque la voz pública es que se dirige contra las costas de Francia, hay motivos para creer que lleva otro destino. Han llegado á varios puertos ingleses órdenes del gobierno par</t>
  </si>
  <si>
    <t>Edwards, Capitán</t>
  </si>
  <si>
    <t>Capitán Edwards</t>
  </si>
  <si>
    <t>tempestad acaecida el i.° de Noviembre naufragó en la bahía de Tabla el navio Cetro de 64 cañones, Capitán Edwards, ahogándose 61 hombres de su tripulación. Entre los demas buques que perecieron se cuentan uno de guerra dinamarqués también de 64, y uno americano de grueso porte, que habia sali</t>
  </si>
  <si>
    <t>Eeaver, Capitán</t>
  </si>
  <si>
    <t>Capitán Eeaver</t>
  </si>
  <si>
    <t>Irlanda, se presentará uno de estos dias al Rey pava que lo sancione. Ha llegado al Almirantazgo el Capitán Eeaver con pliegos del Lord Keith y la capitulación de Genova. Casi al mismo tiempo se ha sabido por Francia que aquella ciudad ha vuelto al poder de los franceses. En la Cámara de tos C</t>
  </si>
  <si>
    <t>Eeray, Capitán</t>
  </si>
  <si>
    <t>Capitán Eeray</t>
  </si>
  <si>
    <t>lería y fusilería fue' aquella mañana mucho mas vivo que hasta entonces. El comandante dió orden al Capitán Eeray de que hiciese una salida con los granaderos, á fin de arrojar á los turcos de su primer ramal ; pero no quisiéron salir,y el Capitán,á quien solo siguieron 3 de ellos, se vió en la</t>
  </si>
  <si>
    <t>Eernadotte</t>
  </si>
  <si>
    <t>el Ministro ae lo Interior. £1 Ayudante general Romieu ha escrito al General en xefe Eernadotte desde el quartel de Vannes con fecha de 29 del mes último que una división inglesa de 4 buqués de guerra y 6 barcos ligeros dio Caza todo el dta 26 ¿ un convoy pr</t>
  </si>
  <si>
    <t>Eerrandiz, Joachín</t>
  </si>
  <si>
    <t>Joachín Eerrandiz</t>
  </si>
  <si>
    <t>spañola del Real cuerpo de Guardias de Corps lia nombrado el Rey Exento de número al supernumerario D. Joachín Eerrandiz: por Exento supernumerario al Cadete D. Joseph de los Ríos: para el empleo de Cadete de número al supernumerario D. Antonio León, y por Cadete supernumerario al Guardia D. Juan Te</t>
  </si>
  <si>
    <t>Eguia, Félix</t>
  </si>
  <si>
    <t>Félix Eguia</t>
  </si>
  <si>
    <t>nas notas donde parece conveniente para la mayor inteligencia: por el Doctor D. Félix Eguia, presbítero: un tomo en 8.° Se hallará en la librería de Baylo, calle de las Carretas. Modo de enseñar las lenguas y ciencias que convienen á un noble .bien educado, ó plan de estudios con el</t>
  </si>
  <si>
    <t>mología de cada medicamento, y explicación de su modo de obrar en nuestra naturaleza : por el mismo D. Félix Eguia. = Formulario ó recetario quirúrgico, aprobado por el Real Protomedicato , y mandado observar en los Reales hospitales, traducido del latin por el mismo : a tomos en 8.° , á io rs</t>
  </si>
  <si>
    <t>Eguia, Francisco</t>
  </si>
  <si>
    <t>Francisco Eguia</t>
  </si>
  <si>
    <t>fox: para Guipúzcoa al Mariscal de Campo Marques de la Solana; y para., Aragón al de la misma clase D. Francisco Eguia, Gobernador de la plaza de Jaca. Para las islas de Mallorca y Canarias había nombrado ya S. M. á los Mariscales de-Campo D. Francisco Vallejo y Marques de Casa Cagi—</t>
  </si>
  <si>
    <t>Eguia, Nazareo</t>
  </si>
  <si>
    <t>Nazareo Eguia</t>
  </si>
  <si>
    <t>villa: D. Francisco Suarez, segundo Teniente del de Míircía: D. Luis Valanzati ídem del de Navarra: D. Nazareo Eguia, D. Pedro Díaz de Ribera, D. Benito Irazabal y D. Isidoro García de Montejo, Cadetes del de Extremadura, Voluntarios de Castilla, Príncipe j Granada: D. Joseph Velarde, segundo Su</t>
  </si>
  <si>
    <t>Eguiluz, Joseph</t>
  </si>
  <si>
    <t>Joseph Eguiluz</t>
  </si>
  <si>
    <t>Tomas O-Donojii: para el Corregimiento político de la ciudad de Córdoba, vacante por jubilación de D. Joseph Eguiluz, á D. Gregorio Guazo Gutiérrez: para el de la de Alcalá la Real, que este dexa* á D. Joachín Bernad y Vargas; y para el de la de Ronda á D. Juan Agustín de Mendoza : para el de Le</t>
  </si>
  <si>
    <t>Eguizabal, Joseph</t>
  </si>
  <si>
    <t>Joseph Eguizabal</t>
  </si>
  <si>
    <t>Don Juan Miguel de Eguizabal y D. Juan de Echevarría: empleos de Alféreces á D. Manuel 4,e Fuentes, D. Joseph Eguizabal, D. Manuel Huete, Don Hilario Pó'nce,"D. Manuel Caballero, D. Buenaventura Sanz, D. Juan Moreno, D. Joseph Perochena, D. Joseph Saenz, D. Mariano Moreno, Don M irtin de Arambulo y</t>
  </si>
  <si>
    <t>Ehrenstroem</t>
  </si>
  <si>
    <t>s fragatas rusas que vinieron aquí con Cadetes de aquella marina imperial. Ha restablecido S. M.. á Mr. Ehrenstroem, Secretarlo que fué de gabinete, en el nombre de su familia, en su título de caballero, y en la dignidad de noble. Hamburgo 14 de Agosto. E n menos de 8 dias han llegado de Inglat</t>
  </si>
  <si>
    <t>EHsworth</t>
  </si>
  <si>
    <t>lenipotenciarios de los Estados-Unidos, ha tocado de arribada en Portsmouth; y uno de ellos, que es Mr. EHsworth, ha venido á Londres, porque el mal estado de su salud no le permite continuar su viage durante el invierno. Ayer llegaron de Viena aquí dos correos ingleses y uno del Emperador.</t>
  </si>
  <si>
    <t>Ei Barón de Ott</t>
  </si>
  <si>
    <t>e en el puente de Cornigliano á 16 de Prairial ( 5 de Junio) año 8.°__ Firmado: Ei Barón de Ott, Teniente General. Keith, Vice-Almirante-----Concuerda con su original. Massena, General en xefe del exército de Italia.” Por el mismo correo se recibió el aviso siguiente de la batalla gan</t>
  </si>
  <si>
    <t>Eickemeyer, General</t>
  </si>
  <si>
    <t>General Eickemeyer</t>
  </si>
  <si>
    <t>uchos austríacos y húngaros) se exercitan $ horas cada dia en maniobras y evoluciones militares. El General Eickemeyer tiene á su cargo la formación de este nuevo cuerpo. Parts r3 de Abril. H a resuelto el Tribunado que hasta que el Cuerpo legislativo vuelva á abrir sus sesiones no celebrará las s</t>
  </si>
  <si>
    <t>Eikemeyer, General</t>
  </si>
  <si>
    <t>General Eikemeyer</t>
  </si>
  <si>
    <t>dvierte la mayor actividad en todos los preparativos de guerra. Espérase en Maguncia y Aquisgran al General Eikemeyer, nombrado para arreglar y mandar la legión franca del norte, que va á formarse en los 4 departamentos de la izquierda del Rhin, y cuyo quartel general se sentará en la segunda de</t>
  </si>
  <si>
    <t>Eikenmayer, General</t>
  </si>
  <si>
    <t>General Eikenmayer</t>
  </si>
  <si>
    <t>*94 dará en completarse, se retiñirá con dicho exército de Maguncia.'Mandil á 0sta legión el General Eikenmayer. • Las tropas franeesasc, que estaban en la derecha del Rhin cerca de Kell, se lian adelantado por varios puntos: el ala derecha ha ocupado á Ettenheim y el Ahr: el centro á Genge</t>
  </si>
  <si>
    <t>El Barón Carlos Dahtberg</t>
  </si>
  <si>
    <t>ella del modo de atender á los: gastos que exige el armamento de los paisanos. El Barón Carlos Dahtberg, Canónigo y Coadjutor de Maguncia, sucede al Obispo de Constanza en aquella mitra. Munic h 2 j de Enero. L a noticia de ía marcha retrógrada de los rusos recibida ayer aquí por Ratisbona, s</t>
  </si>
  <si>
    <t>El Barón de Deden</t>
  </si>
  <si>
    <t>para el castillo c(e los Dardanelos; lleva encargo de repararlo y fortificarlo. El Barón de Deden, Ministro que fué de Holanda, se embarcó en ¡un paquebot ruso para Varna, y de allí irá á Víena, en donde se hallará tam; bien el Sr. Bouligni, que vuelve á España pasando por Francia. La p</t>
  </si>
  <si>
    <t>El Barón de Krudner</t>
  </si>
  <si>
    <t>n las revistas de Potsdam; y el día 15 saldrá S. M. ¿para la Prusia meridional. El Barón de Krudner, Ministro de Rusia, dio un banquete el día que tüvo su audiencia del Rey, y no convidó al Enviado de Alemania ni al de Inglaterra. Se asegura que la esposa del Conde de Provenza ha salido d</t>
  </si>
  <si>
    <t>El Conde de Bernstoríf</t>
  </si>
  <si>
    <t>sta ciudad el Coronel de artillería Necklembourg para el castillo de Cronburgo. El Conde de Bernstoríf, Secretario de Estado, ha tenido conferencias con el Encargado de negocios de Rusia y con el de Inglaterra. Ayer pasaron por aquí 22 transportes rusos escoltados con 5 buques de guerra que vi</t>
  </si>
  <si>
    <t>El Conde de BernstoríF</t>
  </si>
  <si>
    <t>ica, se hiciéron los acostumbrados regalos á los respectivos plenipotenciarios. El Conde de BernstoríF, Secretario de Estado, recibió de parte del Rey de Inglaterra una caxa de oro ricamente guarnecida de brillantes con el retrato de S. M. Hamburgo jo de Setiembre. R efíeren las cartas de Pete</t>
  </si>
  <si>
    <t>El Conde de Buhler</t>
  </si>
  <si>
    <t>uella capital , de la que él Elector de Baviera salid poco antes para Schoenach—El Conde de Buhler, Ministro de Rusia en Baviera, llegó aquí de Munich antes de ayer. También han venido i esta ciudad las religiosas de Geisenfend y gran numero de personas que huyen de varios pueblos. Se gs</t>
  </si>
  <si>
    <t>El Conde de Cobentzel</t>
  </si>
  <si>
    <t>e Pió VII no se trasladará á Roma hasta que quede resuelta la suerte de Italia. El Conde de Cobentzel, Ministro del Emperador de Alemania, y el Conde "de Furstemberg, su Enviado extraordinario , se retiran de esta capital poco Satisfechos de nuestro ministerio. El primero dice que ha recibi</t>
  </si>
  <si>
    <t>El Conde de Hohenzóllern</t>
  </si>
  <si>
    <t>ione el 20 del mismo mes un armisticio formal, cuyo contexto etf como sigue: ,, El Conde de Hohenzóllern, Teniente General de los exér—' citos de S. M. él Emperador, por una parte, y por otra el ciud. Marmont, Consejero de Estado y General de división, Comandante en xefe de lá ar-f tillerfa de</t>
  </si>
  <si>
    <t>El Conde de Lehrbach</t>
  </si>
  <si>
    <t>quarteles de invierno en parage en que no puedan desertar las tropas rusas. - . El Conde de Lehrbach, Ministro del Emperador en el exército del Archiduque, recibió un correo de su corte con orden de que inmediatamente pasase á Viena; y en efecto salió al instante para aquella capital con M</t>
  </si>
  <si>
    <t>El Conde de Staekelberg</t>
  </si>
  <si>
    <t>de observar que las últimas cartas de Praga no hablan todavía de esta novedad. El Conde de Staekelberg, Ministro de Rusia que estaba, en Augsburgo,, ha salido de allí para Praga. Francfort JO de Enero. L os franceses, en número de 5$ hombres, se adelantaron el’ día 27 por la parte de Cássel,</t>
  </si>
  <si>
    <t>El Conde de Woronzow</t>
  </si>
  <si>
    <t>no cupieren en ellos se enviarán en otros al Báltico á costa de este gobierno. El Conde de Woronzow, Ministro de Rusia, pasa al continente á recobrar su salud; y queda en calidad de Encargado de negocios de Petersburgo Mr. Lizakewitz, Secretario de Embaxada. Mr. Pitt propuso el dia 26 en</t>
  </si>
  <si>
    <t>El General Souchet</t>
  </si>
  <si>
    <t>domésticas, ni otra recompensa que la esperanza de vivir en vuestra memoria.'’ El General Souchet, Teniente del General en xefe del exército de Italia, ' ha escrito la siguiente carta al General Bonaparte, primer Cónsul de la República: „Quartelgeneral de Melogno 16de AbriL Mi General.</t>
  </si>
  <si>
    <t>El Príncipe Luis</t>
  </si>
  <si>
    <t>esta capital, y emprenderá luego un viage por sus estados de Polonia y Silesia. El Príncipe Luis, hijo del Príncipe Fernando de Prusia, permanece todavía arrestado en el castillo de Magdeburgo. La causa de su castigo fué haber dexado su guarnición sin licencia del Rey para ir á Ham</t>
  </si>
  <si>
    <t>El Teniente Harris</t>
  </si>
  <si>
    <t>i88 El Teniente Harris, hijo del General del mismo nombre que manda en nuestras posesiones en la India, presento el dia 22 al Rey las banderas ganadas por nuestras tropas en Seringapatnam. Antes dé ayer salió</t>
  </si>
  <si>
    <t>Elgin, Lord</t>
  </si>
  <si>
    <t>Lord Elgin</t>
  </si>
  <si>
    <t>ramania haciendo aguada y proveyéndose de leña. — Sábese también que ha llegado á Constantinopla el Lord Elgin, que va á reemplazar á Mr. Spenccr-Smith, como Enviado extraordinario y Ministro plenipotenciario ingles cerca de la Puerta otomana. En la última pesca hecha en la isla de Ceylan</t>
  </si>
  <si>
    <t>rrespondencia relativa al abasto de víveres y municiones de la esquadra del Almirante Utschakow. El Lord Elgin ha tenido su audiencia del Sultán en calidad de Embaxador de la Gran Bretaña. La fragata inglesa Faetón, Capitán Morris, que lo conduxo á esta capital, ha vuelto á salir de aquí.</t>
  </si>
  <si>
    <t>os despachados de Constantinopla , uno por el Barón de Herbert, Internuncio imperial, y otro por-el Lord Elgin, Embaxador ingles, llegaron á esta ciudad el 9 y el 10 del corriente. Traen pliegos de 17 y 18 de Febrero, que contienen, según dicen, la confirmación de que los franceses abandon</t>
  </si>
  <si>
    <t>l Vice-Almirante Lord Seymour. El 24 por la noche se despachó un extraordinario con pliegos para ei Lord Elgin, Embajador ingles en Constantinopla; y otro el dia 28. En Irlanda ha ofrecido el gobierno 100 libras esterlinas de recompensa á quien descubra los autores de ios atentados cometid</t>
  </si>
  <si>
    <t>epublicano y el Gran Visir-, desde entonces se ocupó en impedir su ajuste, y envió instrucciones al Lord Elgin, Ernbaxador británico en Constantinopla, y al Almirante Keith, con orden de que se opusieran á que ios franceses saliesen libres de Egipto; pero estas prevenciones llegaron muy ta</t>
  </si>
  <si>
    <t>uerzos para que el gabinete británico desís^ tiese de semejante idea; pero las órdenes que tenia el Lord Elgin, y las que se habían enviado al Lord ICeith , no dexaban lugar á ninguna representación. No tardó el General Kleber en saber de oficio esta novedad: y los ingleses, conforme á las</t>
  </si>
  <si>
    <t>Mr. Sidney-Smith (publicada en la gazeta del 19 de Setiembre) se hace mención de un secretario del Lord Elgin y de las astucias de guerra que había aconsejado. Una gazeta de Londres contiene sobre esto algunas particularidades* que aunque no sean enteramente ciertas, pueden servir para explicar aq</t>
  </si>
  <si>
    <t>Elias Cantalapiedra</t>
  </si>
  <si>
    <t>ablo Sánchez. S. M. se ha dignado promover á Portaestandarte en el regimiento de Farnesio al Cadete D. Elias Cantalapiedra: á Alférez en el de España al Portaestandarte D. Tomas Amaya; y á Ayudante en el de Santiago al primer Teniente D. Joachin Garay. El dia 5 de Abril á las nueve y tres quartos de í</t>
  </si>
  <si>
    <t>Elias de Courten, Joseph</t>
  </si>
  <si>
    <t>Joseph Elias de Courten</t>
  </si>
  <si>
    <t>y D. Francisco Scheer; y en el Suizo de Courten Tenencia de fusileros al Subteniente de granaderos D. Joseph Elias de Courten; y esta resulta al Subteniente de fusileros D. Joseph ínalbon. El Rey se ha servido conferir en los regimientos de Milicias,provinciales de la península la Sargentía mayor del de</t>
  </si>
  <si>
    <t>Elias Mariategui</t>
  </si>
  <si>
    <t>io, el Lie. D. Mariano Beaumont y Bretón, Abogado de los Reales Consejos, D. Telesforo de Ibarrola, D. Elias Mariategui, D. Francisco Palacip Velarde, D. Isidro López Alban,D. Joseph Hernández San,u Cruz, Don Manuel González Villamil, D. Joseph Rinconada , D. Paulo de Norieí?a, D. Joachín Serra y F</t>
  </si>
  <si>
    <t>Elias Ruiz de Gaena, Joseph</t>
  </si>
  <si>
    <t>Joseph Elias Ruiz de Gaena</t>
  </si>
  <si>
    <t>qUeEVia7PdeVEnero último falleció en la ciudad de Barcelona á los 64 años cumplidos de edad el Sr. D. Joseph Elias Ruiz de Gaena, Varona y Rozas, Conde de Valdeparaiso, Marques de Añavete y de Villaitre, Gentnhombie</t>
  </si>
  <si>
    <t>Elias Xavier de Lanza y Siles</t>
  </si>
  <si>
    <t>de Utrera, arzobispado de Sevilla, vacante por fallecimiento de D. Romualdo Antonio de Aguilar , á D, Elias Xavier de Lanza y Siles. En los cuerpos provinciales se ha servido el Rey conferir los empleos siguientes: el de Ayudante del regimiento provincial de Valladolid á Don Cayetano Martínez, Ayudante del de</t>
  </si>
  <si>
    <t>Elias, Pablo</t>
  </si>
  <si>
    <t>Pablo Elias</t>
  </si>
  <si>
    <t>quel á este j y no habiendo llegado á su destino, quien-supiere de él avisará á dichos sugetos, ó á D. Pablo Elias en Madrid, puerta del Sol. Se ha extraviado otfo vale de i¡jo pesos, creación de 15 de Marzo, número 372,042, endosado en 10 de Noviembre por Doña Clara Sánchez á favor de Don Euscb</t>
  </si>
  <si>
    <t>Elliot</t>
  </si>
  <si>
    <t>fus atacado á un quarto de legua de aquella ciudad por. varias personas que le quitáron la balija. Mr. Elliot, Ministro británico, se quejó al instante de este suceso á aquel ministerio. Augsburgo 5 de Setiembre. H a vuelto aquí el ciud. Strolst, Ayudante dei General Moreau, que había ido</t>
  </si>
  <si>
    <t>Ellsworth</t>
  </si>
  <si>
    <t>s americanos se despidieron del primer Cónsul, presentándolos el Ministro de Relaciones exteriores. Mr. Ellsworth en nombre de sus compañeros dixo que esperaba que el convenio firmado el dia i«° sirviese de basa á una amistad perpetua entre Francia y América; y Mr. Murray añadió que los Ministr</t>
  </si>
  <si>
    <t>Elnitz, General</t>
  </si>
  <si>
    <t>General Elnitz</t>
  </si>
  <si>
    <t>, después de apoderarse del Col! de Tenda, marchaba contra N iza al frente de 10© hombres; y que el General Elnitz con otro cuerpo se dirigía contra Oneilla, Incluye la propia gazeta otra carta de Milán del dia 14 en que se habla de una gran victoria alcanzada por los austríacos entre Carosio</t>
  </si>
  <si>
    <t>Eloy de Careno</t>
  </si>
  <si>
    <t>aro. • En nombre del Rey de España ha escrito el Caballero de Urquijo, su • Secretario de Estado, á Mr. Eloy de Careno, médico en esta capital, manifestándole su satisfacción por la traducción latina que ha hecho y remitido á S. M. Católica de la obra inglesa de Jenner, intitulada Investigaciones</t>
  </si>
  <si>
    <t>Elsnitz, General</t>
  </si>
  <si>
    <t>General Elsnitz</t>
  </si>
  <si>
    <t>unicado el General Melas algunas nuevas circunstancias sobre el ataque dado en Santiago , quando el General Elsnitz rechazó á los enemigos, cuya pérdida filé muy considerable: pues los prisioneros, en número de 200 soldados con varios oficiales, declararon que solo en la coluna del centro hubo</t>
  </si>
  <si>
    <t>e sigan él sitio;-y ‘con‘otros1 28 batallones ha salido pará Saíitiago-,-á fin :dé. reunirse con el General Elsnitz,y atacar al resto del exército francés iiiandado por Suchet. Han hecho los franceses uña salida del castillo de Gavi, y entrando en la villa del ínismo nombre recogieron algunos v</t>
  </si>
  <si>
    <t>elto á ir a Piamonte,- en donde ¿e, hallará á igual distancia de los puntos á que de Ve Atender. El General Elsnitz mandaba las tropas apostadas á orillas d¿l Var. - s En la gazeta de la corte se ha insertado hoy la capitulación de dicha ciudadela de Savona, íirmada el 15 de Mayo entre él Gener</t>
  </si>
  <si>
    <t>podía defender mas .tiempo el col de Tenda, y ademas quedaba por aquella parte cortado el camino á Mr. Elsnitz, dexó Melas al cuerpo de este General libertad para entrar en los llanos de Piamonte por el parage que juzgase mas conveniente : y entre tanto nada podía emprender Mr. Melas. Por</t>
  </si>
  <si>
    <t>o que se halla en Turin, aumentado con la llegada próxima de los cuerpos de los Generales Elsnitz y Ott, tienen que sacar todos sus víveres de Alexandría; pero por la falta de buenas disposiciones, uno y otro padecerán total escasez: y si los enemigos atraviesan</t>
  </si>
  <si>
    <t>eros. Envié luego tropas contra Pigna , y mandé atacar por 3 partes el col de Tenda. El exército de Mr. Elsnitz está enteramente derrotado. Se</t>
  </si>
  <si>
    <t>Generales Kaim y Haddick debían llegar el 11 de Junio á Alexandría (en donde se hallaba ya el .del General Elsnitz) para efectuar la reunión de todo el exército— Según otra relación del Teniente-Feld-Mariscal Wucka&amp;sov^ich, fecha en Castellazip á* 17 de Junio, e.l X^niente Coronel. Barón de Ba</t>
  </si>
  <si>
    <t>Emms, General</t>
  </si>
  <si>
    <t>General Emms</t>
  </si>
  <si>
    <t>de Albini se ha trasladado á Offenbach. ; -x c,/ .Londres 30 de Eneró. H a salido de aquí el Mayor General Emms para Weymouth , en donde</t>
  </si>
  <si>
    <t>Emperador Ka-hing</t>
  </si>
  <si>
    <t>unas cartas de la China del 21 de Marzo refieren que el primer uso que el nuevo Emperador Ka-hing, hijo y sucesor de Kien-long, hizo de su poder fué degradar y mandar prender al primer Ministro de su padre, llamado Ho-chung-taung, que por miras particulares impidió tuviese la embaxa</t>
  </si>
  <si>
    <t>en xefe Augereau, General</t>
  </si>
  <si>
    <t>General en xefe Augereau</t>
  </si>
  <si>
    <t>Entre Maestrich y Ere da se forma un campamento de io0 hombres del exército bátavo, y al mando del General en xefe Augereau se trasladará al Baxo-Rhin, ó á qualquier punto de las costas de Elándes ú Holanda, en que pueda necesitarse. Basilea 7 de Mayo. H an transitado por Lausana muchas tropas francesa</t>
  </si>
  <si>
    <t>ampamento en Eindhoven, consta de cerca de 12® hombres, y se adelantará hácia el Rhin luego que; el General en xefe Augereau le haya pasado revista. Berna 2$ de Mayo. P ara transportar la artillería por el monte de S. Bernardo, en el qual ¡amas se había visto un cañón, se valió Bonaparte de un medio seg</t>
  </si>
  <si>
    <t>a de Aschaffenbitrgo del 14 de Setiembre. „EI armisticio espiraba el dia 10 á las 6 de la tarde. El General en xefe Augereau manió al instante ocupar esta ciudad por una división. Otras tropas hicieron movimientos adelantándose mas allá de Hanau. En dos dias llegó el exército cerca del Sinn. Las tropas</t>
  </si>
  <si>
    <t>las dudas sobre la continuación de la. guerra, ó la prolongación del armisticio. Se aíségura que el General en xefe Augereau ha avisad!} al General austríaco Simbschén (qjue manda en la derecha del Mein) que el</t>
  </si>
  <si>
    <t>Francfort 22 de Noviembre. D, el quartel general del exército del Rhin ha llegado un correo al del General en xefe Augereau con pliegos, que según se asegura contienen la orden de que se suspenda la renovación de hostilidades en las margenes del Mein hasta que se reciban nuevos avisos de París. La situ</t>
  </si>
  <si>
    <t>en xefe Barón de Melas, General</t>
  </si>
  <si>
    <t>General en xefe Barón de Melas</t>
  </si>
  <si>
    <t>pagarse en 15 dias &amp;c.” Ferrara 2.6 de Junio. L a Regencia de esta ciudad ha recibido una carta del General en xefe Barón de Melas, en la que asegura que así este pueblo como todo su territorio están comprehendidos en la línea establecida por el convenio ajustado entre los dos exércítos. Se han dispuesto aquí</t>
  </si>
  <si>
    <t>en xefe Berthier, General</t>
  </si>
  <si>
    <t>General en xefe Berthier</t>
  </si>
  <si>
    <t>24 de Mayo. E 1 General Lannes, comandante de la vanguardia del exército de reserva, ha escrito al General en xefe Berthier la siguiente carta: artel general de Aost 16 de Mayo. Hoy á las 11 de la mañana hemos llegado á Aost con 1.a 6.a media brigada ligera y la 22 do batalla. .Hallamos á ios enemigos en</t>
  </si>
  <si>
    <t>de dragones se han cubierto de gloria. Los Generales Boudet, Champeaux y Mainoni estan heridos. El General en xefe Berthier salió con sus vestidos acribillados de balas, y muchos de sus Ayudantes quedaron sin caballos. Pero la pérdida mas vivamente sentida, y que se sentirá igualmente en toda la Repúbl</t>
  </si>
  <si>
    <t>en xefe Bruna, General</t>
  </si>
  <si>
    <t>General en xefe Bruna</t>
  </si>
  <si>
    <t>la de su respectivo país, excepto los de potencias que están en guerra con Francia. Por decreto del General en xefe Bruna, dado á tenor de órdenes del primer Cónsul, se han conferido á los ciudadanos Sommariva, Visconti y Rugga las facultades de la Junta de gobierno. Los otros 5 vocales que había en</t>
  </si>
  <si>
    <t>en xefe Brune, General</t>
  </si>
  <si>
    <t>General en xefe Brune</t>
  </si>
  <si>
    <t>xarcia y géneros, fué apresado por el corsario de Burdeos nombrado Éolo. Desde Angers ha escrito el General en xefe Bruñe al Ministro de Guerra, que el'General Hedouville acaba de pacificar el Vendée ; y añade que aunque Hedouville mandaba el exercito del Oest, ha consentido en servir baxo sus órdene</t>
  </si>
  <si>
    <t>?io cuenta al Ministro de Guerra de lo» sucesos con los chouanes dice así : „Anger$ j8 de Enero. El General en xefe Bruñe me h-a encargado despache mi edecán Paultre para informaros que ayer aceptaron con agradecimiento la paz en Montfaucon todos los xefes de los insurgentes del Vendée, y después ado</t>
  </si>
  <si>
    <t>la Secretaría de Guerra se ha publicado el siguiente aviso: tel general de Vannes 14 de Febrero. El General en xefe Bruñe informa al Ministro de Guerra que los departamentos de las costas del Norte, del Morbihan y del Finesterre admitieron difinitivamente ayer las cláusulas para la pazí Los cuerpos d</t>
  </si>
  <si>
    <t>en xefe Eernadotte, General</t>
  </si>
  <si>
    <t>General en xefe Eernadotte</t>
  </si>
  <si>
    <t>ombres de los tres Cónsules y del Ministro ae lo Interior. £1 Ayudante general Romieu ha escrito al General en xefe Eernadotte desde el quartel de Vannes con fecha de 29 del mes último que una división inglesa de 4 buqués de guerra y 6 barcos ligeros dio Caza todo el dta 26 ¿ un convoy procedente de Burdeos,</t>
  </si>
  <si>
    <t>en xefe Kleber, General</t>
  </si>
  <si>
    <t>General en xefe Kleber</t>
  </si>
  <si>
    <t>pérdida que la de un hombre y un camello. Los enemigos tuviéron 20 muertos y muchísimos heridos. El General en xefe Kleber promovió á Subteniente á dicho sargento.” ,• Roma 28 de Diciembre de ij$9* L os enfermos franceses que habían quedado aquí., han: recobrado su salud , y saLido para Civitavechía,</t>
  </si>
  <si>
    <t>en xefe Macdonald, General</t>
  </si>
  <si>
    <t>General en xefe Macdonald</t>
  </si>
  <si>
    <t>res, sigue acercándose á Suiza. Parte de sus tropas marcha hacia Lausana, y parte hacia Ivernun. El General en xefe Macdonald se halla ya en Berna. Parece que en Francia se formará otro exército de reserva, que será el 3.0 en ménos de un año. Se trata de crear un cuerpo numeroso de tropas helvéticas para</t>
  </si>
  <si>
    <t>ida comida á los Generales franceses del exército de reserva, que sigue entrando en Suiza; y hoy el General en xefe Macdonald cumplimentó á la esposa de dicho Ministro con motivo de la victoria conseguida por los españoles con-* tra los ingleses en el Ferrol. El General Lecourbe, que se halla ya mandando</t>
  </si>
  <si>
    <t>al consta de 8® hombres) han pasado por esta ciudad y sus contornos, dirigiéndose al Vorarlberg. El General en xefe Macdonald ha revistado todas las tropas de estas dos divisiones. El ciud. Lorrison, Ayudante del primer Cónsul, ha llegado al quartel de dicho General, el qual se trasladó el dia 16 á Zuric</t>
  </si>
  <si>
    <t>os ingleses destruyeron el telégrafo, y maltrataron al que lo dirige.* Basilea jo de Setiembre. E 1 General en xefe Macdonald ha vuelto á Zurich con el General Mateo Dumas, xefe de la plana mayor de sü exército, y pasará el otoño en aquella ciudad. En el cantón de Leman y en algunos bayliages italianos r</t>
  </si>
  <si>
    <t>na crecida cantidad de municiones de Coira á Ragatz. lía llegado de París aquí el General Dumas. El General en xefe Macdonald, aunque enteramente restablecido, permanece en esta ciudad, de la qual se dice no saldrá hasta saberse si habrá paz ó seguirá la guerra: pues añaden que en este último caso se sup</t>
  </si>
  <si>
    <t>1221 -'» Berna i $ de "Noviembre, I Í'l General en xefe Macdonald ha salido de Zurich para Rheinek._.Ef General Montehoisí, que manda las tropas francesas en Suiza, ha comunicado de oficio al gobierno helvético, que ya se ha intimado el fin del</t>
  </si>
  <si>
    <t>en xefe Moreau, General</t>
  </si>
  <si>
    <t>General en xefe Moreau</t>
  </si>
  <si>
    <t>lier hasta Sargans y Constanza. Strasbutgo zo' de Diciembre. S e sabe que ha llegado ya á 'Suiza el General en xefe Moreau. Apenas tuvo noticia el exército austríaco de que las tropas francesas habían entrado en qu arte les de invierno, resolvió acantonarse también, y fo</t>
  </si>
  <si>
    <t>Bastad, en Soleure; y la 7.a, por el General Muller, en Berna. Quizá tomará nuevas disposiciones el General en xefe Moreau, que llegó aquf antes de ayer___ El General Thureau , Comandante de la segunda división , pasa al exército de Italia á solicitud del General Massena. strasburgo 3 de Enero de 1800</t>
  </si>
  <si>
    <t>el exército principal, no puede menos de Terse en el mayor riesgo. Augsburgo II de Julio. A caba el General en xefe Moreau de pedir al Círculo de Suabia 6 millones de francos. En el año de 95 le habían pedido 8 millones. La distribución de los que ahora se exigen se hará por la junta de los estados de Su</t>
  </si>
  <si>
    <t>o,no han querido admitir su nombramiento. Strasbwrgo íg de Agosto. H a llegado aquí un Ayudante del General en xefe Moreau con pliego» para el General Saintc-Suzanne, y ha declarado que en aquel exército se espera en breve la noticia de la paz. Se asegura que desde fines de Junio ofreció el Rey de Pru</t>
  </si>
  <si>
    <t>os contornos, tienen orden de retirarse también. Augsburgo 2,8 de Agosto. A.yer noche llegó aquí el General en xefe Moreau, y al instante expidió correos á varias partes. Avisan de Braunau que en la derecha del Inn se lia juntado gran numero de tropas alemanas, y diariamente se aumentan con otros cuer</t>
  </si>
  <si>
    <t>los dominios del Emperador se muestra el pueblo muy deseoso de la paz. Ratisbona de Setiembre, E 1 General en xefe Moreau llego aquí ántes de ayer, y comió en casa del Teniente General Grenier con los oficiales de plana mayor y varios Ministros extrangeros de las potencias neutrales. Los Magistrados</t>
  </si>
  <si>
    <t>neral francés, comandante en las orillas del Mein, que hahia licenciado sus milicias. Ha mandado el General en xefe Moreau que en adelante no se conviertan en hospitales ó cárceles militares los edificios de esta ciudad pertenecientes á colegios ó escuelas, á fin de que la educación pública no padezca</t>
  </si>
  <si>
    <t>pará sus anteriores acantonamientos, excepto la caballería, que marcha á las orjllas de) Necker. El General en xefe Moreau sentará su quartel en Stuttgardt,</t>
  </si>
  <si>
    <t>quadrada en los estados seculares, y solamente 2© en los eclesiásticos. Ratisbona 6 de Octubre. E I General en xefe Moreau llegó aquí ayer con el General Macdonald: y sin embargo de ser las diez de la noche quando hizo su entrada, fué recibido con varias salvas de artillería. Aunque la ciudad le había</t>
  </si>
  <si>
    <t>urgo 22 de Octubre. E n el quartel general de Augsburgo se publicó el dia 13 la siguiente orden del General en xefe Moreau: ,,Considerando que la demolición de las fortificaciones de las plazas de Ulm, Ingolstadt y Philipsburgo es importante para el exército, así con relación al actual estado en que s</t>
  </si>
  <si>
    <t>ticio, ni puede saberse qual es serán las resultas de las conferencias de Luneville, ha remitido el General en xefe Moreau órdenes á los Generales de su exército para que envíen tropas á la línea militar señalada en el convenio de Hoheniinden. » Luneville re de Noviembre. I J 7 por la tarde los comand</t>
  </si>
  <si>
    <t>nstanza. El General de división Desolles notificó el día i.° á los estados de .Suabia una orden del General en xefe Moreau , la qual decía : „ Atendiendo á que la primera contribución que se impuso á los países conquistados alcanzó apénas para pagar el sueldo atrasado del exército, y que importa asegu</t>
  </si>
  <si>
    <t>cree qúfe todas entrarán en Italia por Piamonte. Strasburgo 4 de Diciembre. H a llegado á Munich el General en xefe Moreau con el General de artillería Ebli: rompió desde luego las negociaciones con el Archiduque Juan, y se disponía á abrir quanto antes la campaña. Aquel Príncipe austríaco querría ret</t>
  </si>
  <si>
    <t>en xefe Moteau, General</t>
  </si>
  <si>
    <t>General en xefe Moteau</t>
  </si>
  <si>
    <t>lado de allá del Inn , y sobre todo en las cercanías de Brannau. Antes de ayer noche llegó aquí el General en xefe Moteau. Parece que irá á París, desde donde no tardará en restituirse al exército. Vino directamente de Nymphenburgo, cerca de Munich. Dos horas después llegó también el Ayudante Duroc,</t>
  </si>
  <si>
    <t>Enrique de Atayde y Portugal</t>
  </si>
  <si>
    <t>e Gómez, calle de las Carretas: su precio ao rs. Seis quartetos de dos v ¡chines , viola y baxo por D. Enrique de Atayde y Portugal: obra 1.* Véndese en la librería de Mafeo. EN LA IMPRENTA REAL.</t>
  </si>
  <si>
    <t>Enrique Doyie</t>
  </si>
  <si>
    <t>estados con aumento de sus rentas * pueblos y vasallos : todo sobre la práctica mas auténtica : por D. Enrique Doyie. Véndese en la librería de Castillo, frente á las gradas de S. Felipe. Tratado de la cria de palomos : modo de poblar un palomar, de elegir las palomas, de gobernar las nuevas y l</t>
  </si>
  <si>
    <t>Ensebio</t>
  </si>
  <si>
    <t>ciudad de Náxera, adonde se le dirigió en 5 de Diciembre. Quien lo haya bailado lo remitirá á dicho D. Ensebio en Náxera, ó. en Madrid en la librería de Villareal, calle de las Carretas, junto al correo. En uno de los pabellones de la ciudadela de Barcelona se echó de menos la noche del 25 d</t>
  </si>
  <si>
    <t>Eodnguez Caínlío, Juan</t>
  </si>
  <si>
    <t>Juan Eodnguez Caínlío</t>
  </si>
  <si>
    <t>s podían tener de un remedio que les era desconooiao. Esta primera operación, que ido al cuidado de D. Juan Eodnguez Caínlío titular de Cazorla, produjo el acostumbrado feliz efecto; y convencidos con él varios de los vecinos de dicha villa no dudaron entregar sas hijos á D. Manuel Gallego para que la e</t>
  </si>
  <si>
    <t>Eranpsco Gómez</t>
  </si>
  <si>
    <t>e de número al supernumerario D. Antonio Galvez, y ha nombrado por Cadete supernumerario al Guardia D. Eranpsco Gómez. El Rey se ha servido mandar comunicar al Virey de Navarra la Real orden que sigue : „ Enterado el Rey del proceso formado en Li plaza de Pamplona acercó de la rendición de la de</t>
  </si>
  <si>
    <t>Eraso, Joseph</t>
  </si>
  <si>
    <t>Joseph Eraso</t>
  </si>
  <si>
    <t>l regimiento de Reales Guardias Españolas se ha servido promover Capitán al pr niente de granaderos D. Joseph Eraso; á primer Teniente de granaderos ai de fusileros D. Ramón García; á primer Teniente ?,1 segundo.de granaderos D. J oseph Costa; á segundo Teniente de granaderos al de fusileros Do</t>
  </si>
  <si>
    <t>Eroelich, General</t>
  </si>
  <si>
    <t>General Eroelich</t>
  </si>
  <si>
    <t>al ruso Miloradowitsch ha ido á Viena para asistir al Consejo de guerra en que ha de ser juzgado el General Eroelich. • Dícese que el Feld-Mariscal Suwarow, poco después de salir de Cracovia, recibió orden de no entrar en aquella capital, y de retirarse á sus haciendas. Atribuyen esta desgracia</t>
  </si>
  <si>
    <t>Erown, Juan</t>
  </si>
  <si>
    <t>Juan Erown</t>
  </si>
  <si>
    <t>en Castilla. Tercer opúsculo ó reflexiones de Cayetano Strambio sobre los elementos de medicina del Dr. Juan Erown , traducidas por D. Vicente Mitjavi/a y Fisonell, Doctor en Medicina , -Médico honorario de la Real familia, y socio residente de la Real academia médico-práctica de Barcelona. Se</t>
  </si>
  <si>
    <t>Erraiz, Claudio</t>
  </si>
  <si>
    <t>Claudio Erraiz</t>
  </si>
  <si>
    <t>y ha nombrado Cirujanos del primero y tercer batallón del regimiento dé infantería de Guadalaxara á D. Claudio Erraiz y D. Lorenzo Pradel; y del tercero del de Ñapóles á D. Domingo Salvador. En América. El Rey se ha servido conferir compañía en el batallón veterano de infantería de Caracas á D. Rafae</t>
  </si>
  <si>
    <t>Es, Juan Joseph</t>
  </si>
  <si>
    <t>Juan Joseph Es</t>
  </si>
  <si>
    <t>os de Teniente á- los Alféreces de ella D. Jos§ph Angulo y Marques de S'aii Martin ; de Alférecés^i D. Juan Joseph Es-* pinosa y D, Matías Luengo y Álderetc, Carabineros de distinción de la mis^ma, á 4 Antonio, de,la Cuesta,,Sargento de ella, y á D-.Dionisio Picado y Angulo y B. Paulino Vicente, A</t>
  </si>
  <si>
    <t>Escobar, Pedro</t>
  </si>
  <si>
    <t>Pedro Escobar</t>
  </si>
  <si>
    <t>ncias de fusileros al Subteniente de granaderos D. Fermín Grdoñez de S. Pedro, y á los de fusileros D. Pedro Escobar, D. Manuel lísqnivel y Sotomayor y D. Atanasio Davales; y .una Subtenencia de bandera al Sargento primero del provincial de Toro D. Pedro de la Cámara: en el de Málaga( Tenencia a</t>
  </si>
  <si>
    <t>Escolaos, Pedro</t>
  </si>
  <si>
    <t>Pedro Escolaos</t>
  </si>
  <si>
    <t>dia se perdió un vale Real de 300 pesos , núm. 95,990 , creación de Febrero, renovado en nombre de D. Pedro Escolaos, y Coá su firma en blanco. Quien lo hubiere hallado lo entregará á D. Pedro Berbería tienda en la entrada de la calle de la Montera. En el juzgado del Gobernador de Ja Havana se h</t>
  </si>
  <si>
    <t>Escolar y Noriega, Manuel</t>
  </si>
  <si>
    <t>Manuel Escolar y Noriega</t>
  </si>
  <si>
    <t>fé é^iíjéí CT T En la Cortina.......' D. Manuel 'Antonio'd¡fe Elzaiírdi. * ■&gt; En Cuenca............ D. Manuel Escolar y Noriega. En Germinada.?__ _ Q. Franciscode Unzaga. En G&amp;adafydaraí !}*•Isidoro ^García Plaza* ’ • - xJ .&lt; *. h ,t\ En Jaén...........I... D. Pedro Esponera. En Leon...ty....... D. Pedro G</t>
  </si>
  <si>
    <t>Sres. Barcia, padre é hijo. En la Corana....... D. Manuel Antonio de Hlzaurdi. En Cuenca........... D. Manuel Escolar y Noriega. En Granada........ D. Francisco de Unzaga. En Guadalaxara. D. Isidoro García Plaza. En Jaén.............. D. Pedro Esponera. En León............... D. Pedro Gil de Texada. En Mál</t>
  </si>
  <si>
    <t>res. Barcia, padre é hijo. En la Cotuña......./D. Manuel Antonio de Elzaurdr. En Cuenca............ D. Manuel Escolar y Noriega» En Granada.*,.... D. Francisco deUnzaga.</t>
  </si>
  <si>
    <t>Escolar, Juan Antonio</t>
  </si>
  <si>
    <t>Juan Antonio Escolar</t>
  </si>
  <si>
    <t>uado de Subteniente, D. Antonio Martin. Atendiendo el Rey á los méritos y particulares servicios de D. Juan Antonio Escolar, se ha servido concederle la Escribanía mayor de rentas. En América. El Rey se ha dignado conferir los empleos de Gobernador, Capitán general del Rey no de Chile y Presidente de a</t>
  </si>
  <si>
    <t>Escovar, Joseph</t>
  </si>
  <si>
    <t>Joseph Escovar</t>
  </si>
  <si>
    <t>antería de Voluntarios de Panamá, al Capitán de milicias D. Celedonio Villareal, á D. Mateo Urania, D. Joseph Escovar y D. Joseph Videte, Sargentos primeros de distintos cuerpos. Ultimamente, otras dos Ayudantías de la plana mayor veterana, agregada al batallón de Pardos libres de infantería de Volun</t>
  </si>
  <si>
    <t>Escribano, Francisco</t>
  </si>
  <si>
    <t>Francisco Escribano</t>
  </si>
  <si>
    <t>14, en 15,370. Otra en Já calle del Cármen , núm. 3, casa que sirve de fonda , en 72,663. Por la de D. Francisco Escribano una casa en la calle del Oso , núm. 26 , manzana 66, tasada en 61,gao. rs. Por la de Don Eusebio Saenz de Arellano una casa en la calle de D. Pedro, barrios de S. Francisco , núm,</t>
  </si>
  <si>
    <t>Escudar, Agustín</t>
  </si>
  <si>
    <t>Agustín Escudar</t>
  </si>
  <si>
    <t>gado en esta clase D. Agustín de Hortelani y al Teniente efectivo D. Salvador Catalá; á Tenientes á D. Agustín Escudar y D. Tomas Querol, Subtenientes del mismo, y á Subtenientes de bandera á D. Manuel Llistar de Alegría y á D. Pedro Cifre y García: en el de Alicante y Orihuela á Capitanes á D. Fernan</t>
  </si>
  <si>
    <t>Escudero, Juan Manuel</t>
  </si>
  <si>
    <t>Juan Manuel Escudero</t>
  </si>
  <si>
    <t>y para una Capellanía de la parroquial de S. Salvador de la villa de Requena, diócesis ae Cuenca, á D. Juan Manuel Escudero. En el regimiento de Reales Guardias Walonas se ha servido promover el Rey á Alféreces de granaderos á los de fusileros Barón de Garro y Don Martin de Zaldivar : en el de infanter</t>
  </si>
  <si>
    <t>Eseovar, Joseph</t>
  </si>
  <si>
    <t>Joseph Eseovar</t>
  </si>
  <si>
    <t>over á Capitanes á los Tenientes D. Joseph Esquiaqui, D. Joachin Fernandez, Don Francisco Agustini, D. Joseph Eseovar, D. Joseph Berganza, D. Remigio Ibañez y D. Antonio Ibarra, graduado de Capitán. S. M. ha conferido el empleo de Cirujano mayor de la Armada, vacante por fallecimiento de D. Domin</t>
  </si>
  <si>
    <t>Eseovar, Rafael</t>
  </si>
  <si>
    <t>Rafael Eseovar</t>
  </si>
  <si>
    <t>iente al segundo de granaderos D/fcseph Sch-wager; á segundo Teniente de granaderos al de fusileros D. Rafael Eseovar; á segundo Teniente al Subteniente de granaderos D. Manuel Romeo; á Subteniente de granaderos ai primer Subteniente i), joachin Arizaga; á primer Subteniente al segundo D. Manuel</t>
  </si>
  <si>
    <t>Eskales</t>
  </si>
  <si>
    <t>qual &amp;c. Hecho en Copenhague á 29 de Agosto de i8oo.”: Ham burgo 2/ de Setiembre. H a llegado aquí Mr. Eskales, cambista de la corte de Viena, á recibir los subsidios destinados j&gt;or la Inglaterra al Emperador de Alemania. El Barón de Krudner, Erabaxador de Rusia en Berlín, ha escrito al C</t>
  </si>
  <si>
    <t>Espadero, Pedro Joseph</t>
  </si>
  <si>
    <t>Pedro Joseph Espadero</t>
  </si>
  <si>
    <t>ey, Santiago, Mondoñedo y Plascncia á los Subtenientes, de granaderos y cazadores los dos primeros, D. Pedro Joseph Espadero, Don Francisco Casal y Marado, D. Antonio Pándelo, D. Antonio .María Moscoso y D. Miguel Zancada; y Subtenencias de bandera en los de Toledo y Laredo á D. Juan Manuel Iglesias y D</t>
  </si>
  <si>
    <t>Espejo y Ramírez, Francisco</t>
  </si>
  <si>
    <t>Francisco Espejo y Ramírez</t>
  </si>
  <si>
    <t>eniente de granaderos ab primer Subteniente D. Christóbal Saldivar; á primer Subteniente al segundo Don Francisco Espejo y Ramírez, y á segundo Subteniente al Cadete D. Manuel Pasqual Ballester: habiendo también nombrado S. M. Capellán del primer batallón del de infantería de Burgos al Presbítero D. Diego Mar</t>
  </si>
  <si>
    <t>Espeleta, Juan Bautista</t>
  </si>
  <si>
    <t>Juan Bautista Espeleta</t>
  </si>
  <si>
    <t>quial de Santo Domingo de Silos, en el lugar de Corpa, diócesis de Toledo, vacante por promoción de D. Juan Bautista Espeleta al Préstamo de Velalcázar é Hinojosa, á D. Rafael Fal'omir. En el‘regimiento de Reales Guardias Waíonas se ha servido promover el Rey á Alféreces á los Cadetes D. Joseph Salomony</t>
  </si>
  <si>
    <t>Espinosa, Fernando</t>
  </si>
  <si>
    <t>Fernando Espinosa</t>
  </si>
  <si>
    <t>s : en el de Ronda la Compañía de granaderos al Capitán de fusileros, graduado de Teniente Coronel, D. Fernando Espinosa; Compañía, de fusileros á D. Pedro de Reyes, Teniente de granaderos; esta resulta al Teniente de fusileros, graduado de infantería, D.,Nicolás Rendoro; Tenencias de fusileros al S</t>
  </si>
  <si>
    <t>Espinosa, Gregorio</t>
  </si>
  <si>
    <t>Gregorio Espinosa</t>
  </si>
  <si>
    <t>a; á primeros Subtenientes á los segundos Don Joachín Aguilera, D. Agustin Amanda, D. Joseph Lariz, D. Gregorio Espinosa, D. Francisco Piadas, D. Vicente Amat y D. Gregorio Di.iz; y á segundos Subtenientes á los Cadetes D. Pedro Miguel de l¡z, D. Pascual Tomas Maupoey y D. Ildefonso Periche, este de</t>
  </si>
  <si>
    <t>Espinosa, Ignacio</t>
  </si>
  <si>
    <t>Ignacio Espinosa</t>
  </si>
  <si>
    <t>segundo de granaderos D. Francisco Bartolomé; á segundos Tenientes de granaderos á los de fusileros D. Ignacio Espinosa y D. Joseph Fortun y Mendoza; á segundos Tenientes á los Subtenientes de granaderos D. Clemente Lanza, D. Atanasio Revuelta y D. Julián Zurita; á Subtenientes de granaderos á los prim</t>
  </si>
  <si>
    <t>Espinosa, Márcos Antonio</t>
  </si>
  <si>
    <t>Márcos Antonio Espinosa</t>
  </si>
  <si>
    <t>Cuenca: para la dignidad de Prior de la Colegial de Baza, diócesis de Guadix, vacante por muerte de D. Márcos Antonio Espinosa, á D. Manuel del Hoyo: para la Canongía de la Catedral de Badajoz, que este obtiene, y resultará vacante, á D. Francisco Romero de Castilla: para otra de la Colegial de S. Hipólit</t>
  </si>
  <si>
    <t>Espinosa, Rafael</t>
  </si>
  <si>
    <t>Rafael Espinosa</t>
  </si>
  <si>
    <t>ubteniente, y D. Domingo Acevedo. En el de Granada á segundo Teniente de granaderos al de fusileros D. Rafael Espinosa; y a Subteniente de granaderos al primer Subteniente D. Miguel Menoy. En el de Mallorca á'segundo Teniente de granaderos al de fusileros D. Antonio Lasala. En el de Aragón á segun</t>
  </si>
  <si>
    <t>Esponera, Pedro</t>
  </si>
  <si>
    <t>Pedro Esponera</t>
  </si>
  <si>
    <t>Campos hermanos y compañía. En S. Ildefonso..... Señores Avecia y Sánchez. En Jaén................. D. Pedro Esponera. En S. Lorenzo....... D. Valentin de Velasco. En Malaga............ D. Antonio Mariano. En Sevilla........ ...... La Caxa de Descuento. En Toledo............... D. Pedro Velez Sal</t>
  </si>
  <si>
    <t>code Unzaga. En G&amp;adafydaraí !}*•Isidoro ^García Plaza* ’ • - xJ .&lt; *. h ,t\ En Jaén...........I... D. Pedro Esponera. En Leon...ty....... D. Pedro Gil de Texaia. En MáÜféa¿í.L.'¿íD. AtttanióVMariand;! .J* l ?.a&gt;IV;:.UT J fpj. En Murcia........... Sres. Moreda y Ladalid. En Patencia......... D. N</t>
  </si>
  <si>
    <t>nada........ D. Francisco de Unzaga. En Guadalaxara. D. Isidoro García Plaza. En Jaén.............. D. Pedro Esponera. En León............... D. Pedro Gil de Texada. En Málaga.......... D. Antonio Mariano. En Murcia........... Sres. Moreda y Ladalid. En Palenda......... D. Nicolás Calonge. En Pal</t>
  </si>
  <si>
    <t>to£o En Gnadalaxara. D&lt; Isidoro García Plaza. En Jaén................ D. Pedro Esponera. En León............... D. Pedro Gil de Texada. 1 En Malaga........... D. Antonio Mariano. En Murcia........... Sres. Moreda y Ladalid. En Falencia.......... D. Nicolás Calonge. E</t>
  </si>
  <si>
    <t>Esquiaqui, Joseph</t>
  </si>
  <si>
    <t>Joseph Esquiaqui</t>
  </si>
  <si>
    <t>Princesa. En el Real cuerpo de Artillería se ha servido S. M. promover á Capitanes á los Tenientes D. Joseph Esquiaqui, D. Joachin Fernandez, Don Francisco Agustini, D. Joseph Eseovar, D. Joseph Berganza, D. Remigio Ibañez y D. Antonio Ibarra, graduado de Capitán. S. M. ha conferido el empleo de C</t>
  </si>
  <si>
    <t>Essen, Teniente General</t>
  </si>
  <si>
    <t>Teniente General Essen</t>
  </si>
  <si>
    <t>Wiborg, Inspector de Finlandia, y xefe de un regimiento de guarnición; y ha nombrado en su lugar al Teniente General Essen. Asimismo.ha dado S. M. su dimisión al Teniente General Duque de Richclieu, xefe de los coraceros de la Guardia de corps; pero le concede permiso de traer uniforme de General de c</t>
  </si>
  <si>
    <t>Estala, Pedro</t>
  </si>
  <si>
    <t>Pedro Estala</t>
  </si>
  <si>
    <t>agero universa!, ó noticia del mando antiguo y nuevo ; obra recopilada der los mejores Viageros por D. Pedro Estala , presbítero. Quaderno 84, con que concluye.el.-tomo a8, y contiene la continuación de la Rusia. Véndese á 4 rs. en Ja librería de Castillo , frente á las gradas de S. Felipe ; en</t>
  </si>
  <si>
    <t>-iagero universal, ó noticia del mundo ántiguo y nuevo; obra recopilada de los mejores viageros por D. Pedro Estala, presbítero: quaderno 8g y que contiene Ja continuación de la Rusia. Véndese á 4 rs. en la librería de Castillo, frente á las gradas de S. Felipe, en la de Cerro* Red de S. Luis,</t>
  </si>
  <si>
    <t>iagero universal ó noticia del mundo antiguo y nuevo , obra recopiladas de los mejores viageros por D. Pedro Estala , presbítero. Quaderno 85, que contiene la continuación del viage á Rusia. Véndese á 4 rs. en la librería de Castillo , frente á las gradas de S. Felipe; en la de Cerro, red de S.</t>
  </si>
  <si>
    <t>Viagero universal ó noticia del mundo antiguo y nuevo , obra recopilada de los mejores viageros por D. Pedro Estala , presbítero. Quaderno 87 , con él qual concluye el tomo a.°, y contiene la continuación del viage por el Imperio de la Rusia. Véndese á 4 rs. en la librería dé Castillo , frente</t>
  </si>
  <si>
    <t>Viagero universal ó noticia del mundo antiguo y nuevo, obra recopilada de los mejores,viageros por D. Pedro Estala, presbítero. Quaderno 88 , en que se continúa la descripción del Imperio de Rusia. Véndese á 4 rs. en la librería de Castillo, frente á las gradas de S. Felipe, en la de Cerro, re</t>
  </si>
  <si>
    <t>iagero universal, ó noticia del mundo antiguo y nuevo : obra recopilada de los mejores viageros por D. Pedro Estala, presbítero. Quaderno 89 , que contiene la continuación de las provincias y naciones del imperio de la Rusia. Véndese á 4 rs. en la librería de Castillo, frente á las gradas de S.</t>
  </si>
  <si>
    <t>iagero universal, ó noticia del mundo antiguo y nuevo : obra recopilada de los mejores viageros por D. Pedro Estala, presbítero. Quaderno po , con el qual concluye el tomo 30 , y contiene el fin del viage de la Rusia. Véndese á 4 rs. en la libería de Castillo, frente á las gradas de S. Felipe,</t>
  </si>
  <si>
    <t>iagero universal, 6 noticia del mundo antiguo y nuevo : obra recopilada de los mejores viageros por D. Pedro Estala, presbítero: quaderno 91 en que empieza el viage á Dinamarca. Véndese á 4 rs. en la librería de Castillo, frente á las gradas de S. Felipe, &lt;en la de Cerro, red de S. Luis, en su</t>
  </si>
  <si>
    <t>iagero universal, ó noticia del mundo antiguo y nuevo ; obra recopilada de los mejores viageros por D. Pedro Estala / presbítero. Quaderno 93 , con ei qual concluye el tomo 31, y contiene la continuación de Suecia. Véndese á 4 es. en la librería de Castillo , frente á Jas gradas de S. Felipe, e</t>
  </si>
  <si>
    <t>iagero universal, ó noticia del mundo antiguo y nuevo ; obra recopilada de los mejores viageros por D. Pedro Estala, presbítero. Quaderno 94 , que contiene la Polonia y el principio del viage á.Alemania. Véndese á 4 rs. en la librería de Castillo, frente á las gradas de S. Felipe , en la de Cer</t>
  </si>
  <si>
    <t>Viagero universal, ó noticia del mundo antiguo y nuevo: obra recopilada de los mejores viageros por D. Pedro Estala , presbítero. Quaderno pg, que contiene el viage á la Austria. Véndese á 4 rs. en ia librería de Castillo, frente á las gradas de S. Felipe j en la de Cerro, red de S. Luis , y en</t>
  </si>
  <si>
    <t>Viagero universal, ó noticia del mundo antiguo y nuevo: obra recopilada de les mejores viageros por D. Pedro Estala, presbítero. Quaderno 915, con que concluye el tomo 31 , y contiene la continuación de los estados hereditarios dula casa de Austria. Véndese á 4 rs. en la librería de Castillo, f</t>
  </si>
  <si>
    <t>el Sr. -Presidente y Ce nsores D. Jcachón Traggia , Antiquario de la Real Academia de la Historia y D. Pedro Estala, Bibliotecario de los Reales estudios de S.Isi.dro, los tres premios ofrecidos á los tres alumnos que mas sobresaliesen en el examen,</t>
  </si>
  <si>
    <t>Viagero universal, ó noticia del mundo antiguo y nuevo; obra recopilada de los mejores viageros por D. Pedro Estala , presbítero. Quaderno 97 , que contiene ía Baviera , la Hungría'*y otros países hereditarios de la casa de Austria. Véndese á 4 rs. en la librería de Castillo, frente á las grada</t>
  </si>
  <si>
    <t>iagero universal, ó noticia del mundo antiguo y nuevo : obra recopilada de los mejores viageros por D. Pedro Estala , presbítero. Quaderno 98 , que contiene el Círculo de la Alta-Saxonia. Véndese á 4 rs. en la librería de Castillo, frente á las gradas de S. Felipe, en la de Cerro , red de S. Lu</t>
  </si>
  <si>
    <t>agero universal, ó noticia del mundo antiguo y nuevo ; obra recopilada, de los mejores viageros por D. Pedro Estala , presbítero. Quaderno 99 , con el qual concluye el tomo 33 , y contiene la Prusia y otros países del Imperio germánico. Véndese á 4 rs. en la librería de Castillo , frente á las</t>
  </si>
  <si>
    <t>Viagero universal, ó noticia del mundo antiguo y nuevo^ obra recopilada de los mejores viageros por D. Pedro Estala, presbítero. Quaderno 100, que contiene los Círculos de Suabia y del Rhin Superior é Inferior. Véndese á 4 rs; en la librería de Castillo, frente á las gradas de S. Felipe, en la</t>
  </si>
  <si>
    <t>Viagcro universal, ó noticia del mundo antiguo y nuevo; obra recopilada de los mejores viageros por D. Pedro Estala^ presbítero'. Quadetaó iox , que contiene la conclusión de la Alemania y él viage á la Bélgica. V&amp;ndesé á 4 en la librería de Castillo, frente á las gradas de S. Felipe, en laftié</t>
  </si>
  <si>
    <t>Viagero universal, ó noticia del mundo antiguo y nuevo; obra recopilada de los mejores viageros por D. Pedro Estala, presbítero: quaderno 102 , con el qual concluye el tomo 34, y contiene el viage á Holanda y principio del de Inglaterra. Véndese á 4 rs. en la librería de Castillo, frente á las</t>
  </si>
  <si>
    <t>Viagsro universal, ó noticia del mundo antiguo y nuevo: obra recopilada de los mejores viageros por D. Pedro Estala , presbítero: quaderno 103 que contiene la continuación de la Inglaterra. Véndese á 4rs^en la librería de Castillo, frente á las gradas de S. Felipe, en la de Cerro , red de S. Lu</t>
  </si>
  <si>
    <t>Viagero universal, ó noticia del mundo antiguo y nuevo: obra recopilada de los mejores viageros por D. Pedro Estala, presbítero : quaderno 104 que contiene la continuación de la Inglaterra. Véndese á 4 rs. en la librería de Castillo, frente á las gradas de S. Felipe, en la de Cerro , red de S.</t>
  </si>
  <si>
    <t>iagero universal, ó noticia del mundo antiguo y nuevo; obra recopilada' de los mejores yiageros por D. Pedro Estala, presbítero. Quaderno iog , con eL que concluye el tomo 3¿, y contiene la continuación de la Inglaterra. Véndese á 4 rs. en la librería de Castillo, frente á las gradas de S. Feli</t>
  </si>
  <si>
    <t>iagero universal, ó noticia del mundo antiguo y nuevo 4 obra recopilada de los mejores viageros por D. Pedro Estala, presbítero. Quaderno io(5, que contiene la conclusión del viage á Inglaterra y el principio dei de ia Suiza. Véndese á 4 rs. en la librería de Castillo, frente á las gradas de S.</t>
  </si>
  <si>
    <t>Viagero universal, ó noticia del mundo antiguo y nuevo; obra recopilada de los mejores viageros por D. Pedro Estala, presbítero. Quaderno 107, que contiene la continuación de la Suiza. Véndese á 4 rs. en la líbrcrja d ? Castillo, frente á ias gradas de ¡S. Felipe; en la de la viuda de Cerro, re</t>
  </si>
  <si>
    <t>Estanislao Fernández Gaseo</t>
  </si>
  <si>
    <t>colás: una tierra en térmico de dicha villa, linde otra de Joseph Villa, y otra de la capellanía de Don Estanislao Fernandez Gaseo, de a fanegas, tasada en 1300 rs. Otra á la Bimbrada, de cel. en 500. Otra en el mismo pago, de 6 cel. en $00. Otra al camino que va á A uñón , de una fan. en 950. Otra en el Btrr</t>
  </si>
  <si>
    <t>Estanislao Tenajas</t>
  </si>
  <si>
    <t>de fusileros: D. Alonso Santos y D. Esteban Pastor; la de cazadores del de Sigüenza al Subteniente D. Estanislao Tenajas; y Subtenencias de bandera en los de Laredo, Plasencia y S. Felipe á D. Joaehín. María de Casuzo, D. Juan Bishc y Arnau, D. Joseph Ignacio Sempcrei y D. Ensebio Doiiat, estos dos</t>
  </si>
  <si>
    <t>Este'ban Teixido</t>
  </si>
  <si>
    <t>del regimiento de infantería Se Ultonia á D. Juan Joseph del Castillo: de! tercero del de Navarra á D. Este'ban Teixido: del primero del de Aragón a Don Juan Casdamon; y del primevo del del Rey á D. Joseph de Ayala. En América. 5. M. se ha servido conferir la pinza de Contaoor de Cuentas de nueva c</t>
  </si>
  <si>
    <t>Esté, Juan Antonio</t>
  </si>
  <si>
    <t>Juan Antonio Esté</t>
  </si>
  <si>
    <t>do de Subteniente, D. Francisco Olivencía, y al Cadete del primer batallón de Voluntarios de Aragón D. Juan Antonio Esté</t>
  </si>
  <si>
    <t>Estefanía, Manuel</t>
  </si>
  <si>
    <t>Manuel Estefanía</t>
  </si>
  <si>
    <t>D. Francisco Fernandez Verano; y por Cadete supernumerario de la misma compañía al Guardia de ella D. Manuel Estefanía. El Rey se ha servido promover á primer Teniente en el regimiento de caíiállería del Infante al segundo D. Joseph Correa: ha tenido á bien conferir las Tenencias Coronelas de los</t>
  </si>
  <si>
    <t>Esteiler y Febrer, Felipe</t>
  </si>
  <si>
    <t>Felipe Esteiler y Febrer</t>
  </si>
  <si>
    <t>fecha. D. Horacio Publicóla y Santa Croce , D. Juan de Vera y Saurín, D. Pedro de Salazar y Valle, D. Felipe Esteiler y Febrer,D. Joseph del Viso y Roxas,D. Francisco Perez de Grandallana y Fontecha, D. Benito Gijon y Rósalas, D. Pedro Caamaño y Romero, D. Miguel de Valenzuela y Melgarejo, D. Vicente Berm</t>
  </si>
  <si>
    <t>Estéoan TourteUe</t>
  </si>
  <si>
    <t>hombre, y medios de conservar la salud ¡ escrita en francés el año 1797-por. el ciud. Estéoan TourteUe, profesor de iá escuela de. sanidad' de- Strasbourg , traducida con netas por B. I.uis fiaría iV.«e— xía , profesor et&gt;. esta corte , dividida eru a tomos en 8</t>
  </si>
  <si>
    <t>Esteve, Rafael</t>
  </si>
  <si>
    <t>Rafael Esteve</t>
  </si>
  <si>
    <t>artidas en los respectivos tomos; y la portada de este primero es una bella composición grabada por D. Rafael Esteve, alusiva al antiguo y, nuevo Testamento. La impresión és del tamaño de los tomos de la traducción castellana de la Biblia impresa, en Madrid.d Véndese este Diccionario en la libre</t>
  </si>
  <si>
    <t>Estévez, Christóbal</t>
  </si>
  <si>
    <t>Christóbal Estévez</t>
  </si>
  <si>
    <t>. Manuel López; :t primeros Subtenientes á Jos segundos D. Joseph de Miranda, D. Mariano Villanova, D. Christóbal Estévez, D. Vicente Cabrera y D. Ignacio Cavero; y á segundos Subtenientes á los Sargentos primeros D. Gines García, de granaderos, y Don Matías Melero, y á los. Cadetes D. Alberto Falcó</t>
  </si>
  <si>
    <t>Estevez, Domingo</t>
  </si>
  <si>
    <t>Domingo Estevez</t>
  </si>
  <si>
    <t>ronc : para esta resulta al Cadete D. V Ícente Bustamante : para Cadete de número al supernumerario D. Domingo Estevez ; y para Cadete supernumerario- al Guardia D. Rafael Pascual. Asimismo se ha servido S. M. promover en el regimiento de infantería ¡az y a primer Matemente. at segunao li. .manano</t>
  </si>
  <si>
    <t>Estove, Francisco</t>
  </si>
  <si>
    <t>Francisco Estove</t>
  </si>
  <si>
    <t>la costa de Granada, graduado de Teniente Corone], Don Fermín Mexía, y á primer Teniente al segundo D. Francisco Estove: en el de Santiago á segundo Teniente al Alférez D. Tomas Usen : en el de carabineros de la Reyna María Luisa á Ayudante al primer Teniente D. Ramón García’de Segovia: en el de Vo</t>
  </si>
  <si>
    <t>Eugenia Fernández</t>
  </si>
  <si>
    <t>misma archicofradía, como las anteriores, tasada en »100. Otra casa perteneciente á la obra pia de Doña Eugenia Fernandez, con fachadas á la plazuela ríe l*&gt;s Dolores y del Gallo, tasada en 79,200. Otra de la esclavitud del Santo Christo del Perdón, en 1a calle nueva de Infantes, tasada en 1389. JEN</t>
  </si>
  <si>
    <t>Eugenio de Ap</t>
  </si>
  <si>
    <t>extraviaron 17 vales Reales de á veo pesos , creación de 10 de Abril, endolados en dicho dia 11 por D. Eugenio de Ap;ritió á Jes Sres. Doña Teresa y D. Andrés ñiagrans , con les'mimar oí siguientes-: 510^303,</t>
  </si>
  <si>
    <t>Eugenio de Aparicio</t>
  </si>
  <si>
    <t>en Barcelona á dichos Plandolit é hijo, en Sevilla á D. Joseph Antonio Gómez é hijo, ó en Madrid á D. Eugenio de Aparicio. En 23 de Julio último remitió D. Antonio Tadeo Díaz ,de Sevilla, dos vales Reales , el uno de 300 pesos , de 10 de Abril , núm. 460,570 , y el otro de 150 pesos , de 1$ de Marzo,</t>
  </si>
  <si>
    <t>úmeros 45,041, 47,323, 54,606, 6r,io5 y 69,171. Quien los hubiese hallado ó sepa de ellos avisará á D. Eugenio de Aparicio , puerta del Sol ¿ acera de la Soledad , quarto 1.9 Sigue la razón de las fincas de obras pias fundadas en pueblos de la Intendencia de Madrid, para cuya venta está comisionado I)</t>
  </si>
  <si>
    <t>Eugenio de Larruga</t>
  </si>
  <si>
    <t>nta 410. Otra dicha calle , Venancio Arroyo , con 2803 pies, en ao3, y renta doo. Otra calle Mayor, D. Eugenio de Larruga, con 3331 pies, en 40^, y renta 1200. Otra dicha calle, D. Manuel Valencia, con 1130 pies, en 200, y renta doo. Otra calle de S. Isidro, Juan Martínez , con 1278 pies, en 4010, y</t>
  </si>
  <si>
    <t>Eugenio de Saboya, Príncipe</t>
  </si>
  <si>
    <t>Príncipe Eugenio de Saboya</t>
  </si>
  <si>
    <t>e todos los exércitos austríacos: dignidad que no se ha conferido á ningún General desde el célebre Príncipe Eugenio de Saboya. Augs burgo 22 de Octubre. E 1 dia 19 se comunicó al exército la orden relativa á la demolición de las 3 plazas de Ingolstad, Ulm y Philipsburgo. Se han pedido al Círculo de Suabi</t>
  </si>
  <si>
    <t>Eugenio de Teran</t>
  </si>
  <si>
    <t>reces D. Joseph Herrera y D. Joseph Angel Nieto: á Alféreces á los Portaguiones D. Manuel Rosales , D. Eugenio de Teran y D. Tomas Sánchez ; y á Portaguiones á D. Agustin Ruiz de la Peña, D. Miguel Rosales y D. Manuel López. El Rey ha nombrado Teniente Veterano , con funciones de Ayudante de la plana m</t>
  </si>
  <si>
    <t>Eugenio Gallego</t>
  </si>
  <si>
    <t>italiana del Real cuerpo de Guardias de Corps ha nombrado el Rey Cadete de número al supernumerario D. Eugenio Gallego, y por Cadete supernumerario al Guardia de&gt; la misma compañía D. Luis Coqui. , . . En el regimiento de,Reales Guardias 'Españolas se ha servido S. M. promover á Comandantes de gra</t>
  </si>
  <si>
    <t>Eugenio Gómez Altaro</t>
  </si>
  <si>
    <t>litana de Burgos, vacante por promoción ae D. Joseph Figueyra á la dignidad de Tesorero de Cádiz, á D. Eugenio Gómez Altaro: para otra de la catedral de León, vacante por fallecimiento de D. Tomas Angel Gutiérrez, á D. Toribio Ximenez : para otra de la de Tarazona, vacante por fallecimiento de D. Anton</t>
  </si>
  <si>
    <t>Eugenio Iglesias</t>
  </si>
  <si>
    <t>eniente al segundo de granaderos DonDiego'Lorenzo; á segundo Teniente de granaderos al de fusileros D. Eugenio Iglesias; á segundo Teniente al Subteniente de granaderos D. Antonio Valladares; á Subteniente de granaderos al primer Subteniente Don Tomas Perez; y á primer Subteniente al segundo D. Jos</t>
  </si>
  <si>
    <t>Eugenio Iraurgui</t>
  </si>
  <si>
    <t>r Teniente de granaderos D. Jiian Francisco Goyena: en el de Zamora á primer Subteniente al segundo D. Eugenio Iraurgui: en el de España á segundo Subteniente al Cadete D. Josepn Saenz de Juano: en el de Mallorca á segundo Teniente al Subteniente de granaderos D. Felipe Villalobos; y á primer Subte</t>
  </si>
  <si>
    <t>Eugenio Narbona</t>
  </si>
  <si>
    <t>omercio de sedas, #a e! portal de Guadalaxara. Doctrina política civil, escrita ea aforismos per e1 Dr. Eugenio Narbona , natural de Toledo.El Consejo y consejeros del Príncipe, por Fadriqye Ceriol, natural de Valencia. Estas dos obras, que se hallan unidas en un tomo en 8.a ha* merecido en todos t</t>
  </si>
  <si>
    <t>Eugenio Recuenco</t>
  </si>
  <si>
    <t>caso se le había señalado sobre esta Mitra: para la dignidad de Maestrescuela de la de Comayagua á Don Eugenio Recuenco; y para una Media-Ración de la metropolitana de Lima á D. Juan Marín. El Rey ha concedido á D. Joseph de Vargas, Cirujano del regimiento de infantería de Borbon, igual empleo en e</t>
  </si>
  <si>
    <t>Eugenio, Príncipe</t>
  </si>
  <si>
    <t>Príncipe Eugenio</t>
  </si>
  <si>
    <t>n, Bruto, Cicerón, Catón, César, Gustavo Adolfo, Turena, el Gran Conde, Duguay-Trouin, Marlborough, Príncipe Eugenio, Mariscal de Saxonia, Washington, Federico el Grande, Mirabeau , Dugommier, Dampierre, Marceau y Joubert. Milán 20 de Enero. L as cartas de Venecia del 16 aseguran que nada estaba</t>
  </si>
  <si>
    <t>Eulogio de Priego</t>
  </si>
  <si>
    <t>ón de Don Agustín del Campo Ribera al Arcedianato de Lorcu, Dignid id de la catedral de Cartagena,á D. Eulogio de Priego; y para la Capellanía mayor del convento de Santa Isabel de Madrid , que se halla vacante por fallecimiento de D. Agustín Dominguez de León, á D. Nicolás Vicente de Esterripa, Cap</t>
  </si>
  <si>
    <t>Euscbio Medrano</t>
  </si>
  <si>
    <t>ación de 15 de Marzo, número 372,042, endosado en 10 de Noviembre por Doña Clara Sánchez á favor de Don Euscbio Medrano , Capitán de infantería, y vecino de Ja ciudad de Náxera, adonde se le dirigió en 5 de Diciembre. Quien lo haya bailado lo remitirá á dicho D. Ensebio en Náxera, ó. en Madrid en l</t>
  </si>
  <si>
    <t>Eusebio Campos</t>
  </si>
  <si>
    <t>: á segundos Tenientes al primer Subteniente D. Antonio Arríete, y á los Subtenientes de granaderos D. Eusebio Campos y D. Mateo Lambea: á Subtenientes de granaderos á los primeros Subtenientes D. Félix Mijares</t>
  </si>
  <si>
    <t>Eusebio Pérez de Huelva, Juan</t>
  </si>
  <si>
    <t>Juan Eusebio Pérez de Huelva</t>
  </si>
  <si>
    <t>Juan Alonso Gorjon: para otra de la colegial del Salvador de Sevilla, vacante por fallecimiento de D. Juan Eusebio Perez de Huelva, á D. Diego Ramos, Administador del hospital de Inocentes de aquella ciudad, dexando á beneficio de la expresada casa el salario que disfruta: para otra de la de Valpuesta, en el</t>
  </si>
  <si>
    <t>Eusebio Ramírez de Árellano</t>
  </si>
  <si>
    <t>de la catedral de Popayan , vacante por fallecimiento de D. Manuel Sánchez Ramírez de Arellano , á D. Eusebio Ramírez de Árellano , Cura de Guasca, en el arzobispado de Sta. Fe. Nota. En la gazeta próxima anterior, en el capítulo de Cádiz y su última línea, se olvidó involuntariamente hacer mérito de la bril</t>
  </si>
  <si>
    <t>Eusebio Sáenz de Arellano</t>
  </si>
  <si>
    <t>isco Escribano una casa en la calle del Oso , núm. 26 , manzana 66, tasada en 61,gao. rs. Por la de Don Eusebio Saenz de Arellano una casa en la calle de D. Pedro, barrios de S. Francisco , núm, 8 , manzana 121, tasada en 57,g6o rs. Otra en la calle de Peregrinos, núm. 1 , manzana 384, en 88,93g. Por la de D</t>
  </si>
  <si>
    <t>Eusebio Vicente de Guesalaga</t>
  </si>
  <si>
    <t>ciudad de Vitoria, en la diócesis de Calahorra, vacante por muerte de D. jo cph Joaclun de Abaxo, á D. Eusebio Vicente de Guesalaga: para el Beneficio servidero del castillo de Bayuela, en el obispado de Avila, vacante por fallecimiento de D. Pió Antonio Martínez, á D. Francisco Sánchez de Gaspar, con la oblig</t>
  </si>
  <si>
    <t>Eustaquio de Gamez, Diego</t>
  </si>
  <si>
    <t>Diego Eustaquio de Gamez</t>
  </si>
  <si>
    <t>Larrea, á D. Juan Gallego y Alarcon;■ para una Canongía de la de Jaén, vacante por fallecimiento de D. Diego Eustaquio de Gamez, á D. Juan Antonio Cornel: para otra de la deTuy, vacánte por muerte de D. Ignacio Gómez Pereyra, á D.JuanCárlos Vales Vaamonde.: para otra de la colegial de Santiílana, en la dió</t>
  </si>
  <si>
    <t>Eustaquio Yerro de Olavarria</t>
  </si>
  <si>
    <t>Anda; á primer Subteniente al segundo D. Luis Martínez Toledano, y á segundo Subteniente al Cadete D. Eustaquio Yerro de Olavarria: en el de Córdoba á Ayudante al primer Teniente D. Juan de la Mata; á primeros Tenientes á los segundos de granaderos D. Manuel Amatria , D. Joseph Chiva y D. Rafael Escovar; á se</t>
  </si>
  <si>
    <t>Eustasio González</t>
  </si>
  <si>
    <t>n Manuel González Villamil, D. Joseph Rinconada , D. Paulo de Norieí?a, D. Joachín Serra y Franch., D. Eustasio González, D. Juan Valle-Espinosa y D. Diego López. Presidió el Sr. D. Sebastian de Torres, dei Consejo de S. M., Alcalde de su Real casa y corte. El 19 de Marzo falleció en esta corte á lo</t>
  </si>
  <si>
    <t>Evaristo de Luna</t>
  </si>
  <si>
    <t>sileros D. T rancho lvaauan; a segundo Teniente al Subteniente de granaderos, graduado de relíente, Don Evaristo de Luna; á Subtenientes de granaderos a los primeros oubrementes D Toan Garzón y D. Fernando Sangenis; á primeros Subtenientes a los secundes D. Bartolomé Alcázar y D. Pedro Gutiérrez; y</t>
  </si>
  <si>
    <t>Evaristo Linares Montefriopy</t>
  </si>
  <si>
    <t>Teniente de Fragata Dá Melchor Gastón: Ja Administración de las mismas Rentas del Real del Parral á D. Evaristo Linares Montefriopy lá Contaduría de la aduana de Vailadolid de Mechonean ai Teniente retirado D. Gnoíre Carrio. Continuando el. Consejo con sus providencias dirigidas á Heñir la confianza que ha mer</t>
  </si>
  <si>
    <t>Evaristo Ortiz</t>
  </si>
  <si>
    <t>n de Barcaízteguí. En Soria................. D. Andrés Martínez de Aparicio. En Valencia........... D. Evaristo Ortiz. En Vitoria.............. D. Fausto María x\steasu. En Zaragoza......... D. Joseph Mariano Torres y Arboles. En Badajoz.,»...... D. Manuel de la Peña. En Cddiz................ D.</t>
  </si>
  <si>
    <t>Eximeno, Antonio</t>
  </si>
  <si>
    <t>Antonio Eximeno</t>
  </si>
  <si>
    <t>alle de Alcalá, y en Salamanca en casa de Alegría. Espíritu de Maquiavelo, esto es , Reflexiones de D. Antonio Eximeno sobre el elogio de Nicolás Maquiavelo, dicho en la academia Florentina por el Sr. Juan Bautista Baldelli año de 1794: traducidas del italiano por el mismo Eximeno, é ilustradas co</t>
  </si>
  <si>
    <t>Ezcurdia, Vicente María</t>
  </si>
  <si>
    <t>Vicente María Ezcurdia</t>
  </si>
  <si>
    <t>illamil, los alumnos el Lie. D. Joseph Díaz, D. Manuel Menendez JoVe, D. Manuel González Villarmil, D. Vicente María Ezcurdia, D. Luis Mornard, D. Toribio Cifuentes, D. Claudio Fernandez, D. Felipe Fernandez San Miguel, D. Joseph López del Vallado y D. Agustín Sánchez Cifuentes, En las quatro primeras ci</t>
  </si>
  <si>
    <t>F-rancas, Felipe</t>
  </si>
  <si>
    <t>Felipe F-rancas</t>
  </si>
  <si>
    <t>Fscála, Corregimiento de Gerona..................................... . 49. 13. Felipe F-rancas , hijo de Benito y Margarita, natural de Figols , Corregimiento de Manresa.................................. 55. 30. Pablo Esc.msa, hijo de Juan y Rosá, natural de Miñána, Cotregimiento</t>
  </si>
  <si>
    <t>Fabian López Sagastizaval</t>
  </si>
  <si>
    <t>n en la escuela de matemática y de hidrografía que costea este Real consulado. Presididlos su Prior D. Fabian López Sagastizaval, dando principio á ellos con una disertación alusiva al objeto, y al de un nuevo sistema de pesos y medidas, fundado en la naturaleza, que pronunció el maestro director Don Franci</t>
  </si>
  <si>
    <t>Fabian Rubie</t>
  </si>
  <si>
    <t>or concurrencia y prosperidad; y en el Jugar de Peáaflor hizo repartir 320 rs. por mano de su socio D. Fabian Rubie11a, Cura párroco de aquel pueblo, que los distribuyó en las dos escuelas de niños y niñas, á proporción de su aprovechamiento, dando también una buena gratificación al maestro de</t>
  </si>
  <si>
    <t>Fabio Pascual del Povil</t>
  </si>
  <si>
    <t>eros y cazadores del regimiento provincial de Alicante y Orihuela á los Capitanes del mismo .cuerpo D. Fabio Pascual del Povil y D. Joseph Roque Maseres: las Tenencias á los Tenientes de fusileros D. Antonio Ferrandiz y D. Juan de A «milar ; y las Subtenencias á D. Joseph Alted y D. Joseph Sánchez Cebada: las</t>
  </si>
  <si>
    <t>Fabregues, Pedro</t>
  </si>
  <si>
    <t>Pedro Fabregues</t>
  </si>
  <si>
    <t>undo Subteniente de la misma D, Félix Cortés: Subtenencia de bandera en el provincial de Mallorca á D. Pedro Fabregues; y la segunda Tenencia de la compañía de infantería fixa de Vera al primer Subteniente de la misma D, Francisco de Torres. A D. Juan Bautista Donton, Cadete de la compañía flamenc</t>
  </si>
  <si>
    <t>Facundo Alarcon</t>
  </si>
  <si>
    <t>Subtenientes A los Cadetes D. Antonio María Berard y D. Joachin María Fuster, y al Sargento primero D. Facundo Alarcon: en el de Burgos á Capitaa al Ayudante D. Miguel Aloy; á esta resulta al primer Teniente D. Manuel Fernandez de Ciarte; á primeros Tenientes ¿ los segúnáds de granaderos D; Jacobo</t>
  </si>
  <si>
    <t>Fadriqye Ceriol</t>
  </si>
  <si>
    <t>. Eugenio Narbona , natural de Toledo.El Consejo y consejeros del Príncipe, por Fadriqye Ceriol, natural de Valencia. Estas dos obras, que se hallan unidas en un tomo en 8.a ha* merecido en todos tiempos el aprecio de los sabios, por estar tratadas sus materias con sumo pulso é inter</t>
  </si>
  <si>
    <t>Faitx, Juan</t>
  </si>
  <si>
    <t>Juan Faitx</t>
  </si>
  <si>
    <t>• 35 5' tíago Saíz, D. Juan Faitx, D. Antonio Albert yD. Bernardo Gómez del Toral. También ha concedido S* M. los honores de Comisario Ordenador de sus ejércitos á D. Vicente Jaudencs, Administrador general de tod</t>
  </si>
  <si>
    <t>Fal'omir, Rafael</t>
  </si>
  <si>
    <t>Rafael Fal'omir</t>
  </si>
  <si>
    <t>Toledo, vacante por promoción de D. Juan Bautista Espeleta al Préstamo de Velalcázar é Hinojosa, á D. Rafael Fal'omir. En el‘regimiento de Reales Guardias Waíonas se ha servido promover el Rey á Alféreces á los Cadetes D. Joseph Salomony , D. Vicente de Qu esada, D. Fernando Hoscoso, D. Luis Genz</t>
  </si>
  <si>
    <t>Falces, Antonio</t>
  </si>
  <si>
    <t>Antonio Falces</t>
  </si>
  <si>
    <t>pública de la aplicación que tienen acreditada, celebrando su examen baxo la dirección del Teniente D. Antonio Falces, en casa del Exc. Sr. Capitán general de esta costa y Rey no, á presencia de los Sres. Generales, Xefes, Oficiales y Cadetes de li guarnición, cuerpos y sugetos distinguidos del p</t>
  </si>
  <si>
    <t>Falcó y Álvarez, Alberto</t>
  </si>
  <si>
    <t>Alberto Falcó y Álvarez</t>
  </si>
  <si>
    <t>ntes á los Sargentos primeros D. Gines García, de granaderos, y Don Matías Melero, y á los. Cadetes D. Alberto Falcó y Alvarez, D. Joseph de Misa y D. Pedro Guerrero; en el de España á Capitanes á los primeros Tenientes D. Agustín de Aragón, de granaderos, y D. Gerónimo Muñoz; á primer Teniente de granade</t>
  </si>
  <si>
    <t>Falcon</t>
  </si>
  <si>
    <t>lo la fragata Carolina llegó aquí con dos barcos menores el 31 del mes último, y de ella desembarcó Mr. Falcon, Cónsul británico, que hace 3 meses pidió la libertad de unos 2.70 esclavos malteses, napolitanos y de otras naciones, cogidos por argelinos sin embargo de que tenían pasaportes d</t>
  </si>
  <si>
    <t>Falcon, Antonio</t>
  </si>
  <si>
    <t>Antonio Falcon</t>
  </si>
  <si>
    <t>egundo Subteniente al Cadete D. Antonio Narvaez: eñ el de Extremadura á Ayudante al primer Teniente D. Antonio Falcon : en el de Málaga á segundo Subteniente al Cadete D. Antonio Pacheco : en el de Voluntario* de Castilla á Ayudante al primer Teniente de granaderos D. Juan Xi</t>
  </si>
  <si>
    <t>Falomir, Rafael</t>
  </si>
  <si>
    <t>Rafael Falomir</t>
  </si>
  <si>
    <t>tro titulado Portería menor, en la catedral de Urgel, vacante por fallecimiento de D. Gil Verges, á D. Rafael Falomir: para otro Beneficio simple servidero de la parroquia de Sta. María y S. Pedro de la villa de Ita, en la diócesis de Toledo , vacante por fallecimiento de D. Francisco Folgas, á D</t>
  </si>
  <si>
    <t>Farre, Antonio</t>
  </si>
  <si>
    <t>Antonio Farre</t>
  </si>
  <si>
    <t>ra de Cataluña á primer Subteniente al segundo D. Juan Cansy , y á esta resulta al Sargento primero D. Antonio Farre; á primer Subteniente en el segundo batallón de Cataluña al segundo D. Gerónimo Miró: en el regimiento de infantería de Nápoles á Capitán de granaderos al de fusileros D. Antonio</t>
  </si>
  <si>
    <t>Fasnacht, Juan</t>
  </si>
  <si>
    <t>Juan Fasnacht</t>
  </si>
  <si>
    <t>onel D. Antonio de Lavalle; y en el de Suizos de Rutiman á Subteniente de ganaderos al de fusileros D. Juan Fasnacht. También ha nombrado S. M. para la Tenencia y Subtenencia de la compañía de artilleros provinciales de Guipúzcoa á D. Joseph Ibarroht y D. Isi dro Jorge, Teniente y Subteniente de</t>
  </si>
  <si>
    <t>Fauconet, General</t>
  </si>
  <si>
    <t>General Fauconet</t>
  </si>
  <si>
    <t>enia* que maniobrar en una llanura, y por esto la iba sosteniendo un cuerpo dé reserva al mando del General Fauconet. Los enemigos, cuyas fuerzas-’consistian en 5 batallones , 10 esquadrones y '6 piezas de artillería, fuérph en todas partes rechazados, y perdieron 200 hombres entre heridos’y mue</t>
  </si>
  <si>
    <t>Faujas</t>
  </si>
  <si>
    <t>erdan un brazo. A solicitud del Ministro de Marina lia hecho investigaciones el ciud. Faujas, profesor en el museo de historia natural, para hallar alguna tierra con que puedan hacerse ladrillos que echados en el agua sobrenaden, y cuyo uso seria de la</t>
  </si>
  <si>
    <t>Faustino González, Pedro</t>
  </si>
  <si>
    <t>Pedro Faustino González</t>
  </si>
  <si>
    <t>tarios de Estado á primer Teniente al segundo D. Pedro Pascale, y á segundo Teniente al Subteniente Don Pedro Faustino González: en el de Ñapóles á primer Subteniente al segundo D. Pablo Baliñani, y á segundo Subteniente al Sargento primero'Don Felipe Aíarcenaro: en el de Suizos de Reding á Sargento Mayor</t>
  </si>
  <si>
    <t>Fausto Bustamante</t>
  </si>
  <si>
    <t>jida y Doña María Ventura su hermana, por 998 rs. 33! mrs. , de la acción núm. 36. Los herederos de D. Fausto Bustamante , por 998 rs. 33Í mrs. , de la acción núm&gt; 67. Mr. de la Troche Dupiase , vecino de Laray en Char— lois, en Francia, por 499 rs. 17 mrs., de quatro partes en dos acciones números</t>
  </si>
  <si>
    <t>Fausto de Castro y Correa</t>
  </si>
  <si>
    <t>á D. Ramón Abadía: el de Oficial primero de la Administración principal de aguardientes de Mbmpox á D. Fausto de Castro y Correa: el ¿«Administrador particular de las Rentas de tabaco y pólvora de Pamplona i 1&gt;. Juan Francisco Silvestre: el de Contador de la Aduana dé la capital del Nuevo Reyno de Granada á</t>
  </si>
  <si>
    <t>Fausto María</t>
  </si>
  <si>
    <t>D. Andrés Martínez de Aparicio. En Valencia........... D. Evaristo Ortiz. En Vitoria.............. D. Fausto María x\steasu. En Zaragoza......... D. Joseph Mariano Torres y Arboles. En Badajoz.,»...... D. Manuel de la Peña. En Cddiz................ D. Josef María Vincenti y O-Rian. En Ciudad R</t>
  </si>
  <si>
    <t>Fausto María de Asteasu</t>
  </si>
  <si>
    <t>bo de intereses de otro vale de 600 pesos de la creación de i.° de Octubre, núm. 13,832, £ favor de D. Fausto María de Asteasu. Y habiéndose extraviado, quien sepa de ellos avisará al referido D. Joseph María de Aizpitarte, ó en Madrid al citado Don Juan Bautista de Meaye: vive calle del Lobo , casas de S</t>
  </si>
  <si>
    <t>Fausto Sana</t>
  </si>
  <si>
    <t>ño se extravió un vale Real de igo pesos , creación de ig de Setiembre , núm. 212,136, endosado por D. Fausto Sana á favor de D. Juan Menendez Rodríguez. Quien supiere de él avisará á dicho D. Juan Menendez Rodríguez , en Madrid , postigo de S. Martin , nüm. ag , quarto principal. María Juana</t>
  </si>
  <si>
    <t>Faviers, Mateo</t>
  </si>
  <si>
    <t>Mateo Faviers</t>
  </si>
  <si>
    <t>alado y en los términos que había propuesto. j’ Strasburgo 2$ de Setiembre. ILl ciud. Mateo Faviers, Comisario general en el exército del Rhin, ha</t>
  </si>
  <si>
    <t>Fcr, Cayetano</t>
  </si>
  <si>
    <t>Cayetano Fcr</t>
  </si>
  <si>
    <t>encias de bandera en los de Guadix, Bujalance, Sevilla y Mondoñedo, á los Cadetes ©.Gaspar de Coca, D. Cayetano Fcr</t>
  </si>
  <si>
    <t>Fcrmin de Claesens</t>
  </si>
  <si>
    <t>antes que con empleo de Oficiales en las compañías Urbanas acordaron la referida acta y diputación, D. Fcrmin de Claesens, D. Antonio Joachín Lozano, y D. Juan Joseph Ibañez de Zavala, que en ningún tiempo puedan tener empleos de Ayuntamiento, ni ser conceiantes los dos primeros, y el tercero Zavala</t>
  </si>
  <si>
    <t>Febrer, Bernardo</t>
  </si>
  <si>
    <t>Bernardo Febrer</t>
  </si>
  <si>
    <t>s Señores D. Benito Puente y D. Juan de Morales Guzman y Tobar, Ministros del Supremo Consejo Real; D. Bernardo Febrer y D. Manuel Sixto Espinosa , del de Hacienda; D. Esteban Antonio de Orellana, Alcalde de su Real Casa y Corte; D. Manuel García Herreros, Procurador general de los Reynos; y los tres</t>
  </si>
  <si>
    <t>Federica Augusta, Princesa</t>
  </si>
  <si>
    <t>Princesa Federica Augusta</t>
  </si>
  <si>
    <t>hiduque Carlos. Su Ayudante general, el Conde Delmotte, llegó ántes de ayer. Berlín 4 de Abril. L a Princesa Federica Augusta, hija del Rey, que nació el dia 14 de Octubre del año último, ha muerto de resultas de una tos muy violenta, que le sobrevino después de la inoculación. Acaba este gobierno de pro</t>
  </si>
  <si>
    <t>Federico Fritze, Juan</t>
  </si>
  <si>
    <t>Juan Federico Fritze</t>
  </si>
  <si>
    <t>en 8.° de marca con láminas, á ¿1 rs. en pergamino, y 60 én pasta. = Enfermedades venéreas ; por el Dr. Juan Federico Fritze: un tomo en 4.0 á 14 rs. en pergamino, y 16 en pasta. s=:Farmacoiogia chinírgica, ó ciencia de medicamentos externos é internos; por Joseph Jacobo Píenle ; un tomo en 4.0, á 30 rs</t>
  </si>
  <si>
    <t>Federico JMoretti</t>
  </si>
  <si>
    <t>o al castellano. D. Máximo Merlo tiene dispuesta la 4.a entrega de las obras de música del Ca pitan D. Federico JMoretti, Alférez de Reales Guardias Walonas , autor de los Principios para la guitarra. Esta entrega contiene las obras siguientes: tema a.° con variaciones para guitarra sola, un- rondó</t>
  </si>
  <si>
    <t>Federico Morctti</t>
  </si>
  <si>
    <t>vende por piezas sueltas: asimismo se hallan para dicho instrumento las 6 entregas por el Caballero D. Federico Morctti. EN LA IMPRENTA REAL.</t>
  </si>
  <si>
    <t>Federico Moreti</t>
  </si>
  <si>
    <t>librería de Campo, pile de Alcalá, se haU» 1» música siguiente: U|l gracioso dúo para guitarra por D. Federico Moreti: un divertimiento para Jiautg sola . compuesto de a graciosos rondóes, a minuetes , 2 alerpndas y una pateca del Sr. Fíala: 6 minuete? con trio? pra baylar á dps violines, del -Sr</t>
  </si>
  <si>
    <t>Federico Moretti</t>
  </si>
  <si>
    <t>erlo tiene ya dispuestas las entregas g.a y 6.a de las obras de música para guitarra compuestas por D. Federico Moretti , Alférez de Reales Guardias Walonas, y consta la g.a para cantar , de tres seguidillas boleras, las dos á dúo, la cabacina ob cándida, pace ! é instrumental el tema 3.0 con varia</t>
  </si>
  <si>
    <t>Federico'y Repulsa, Príncipe</t>
  </si>
  <si>
    <t>Príncipe Federico'y Repulsa</t>
  </si>
  <si>
    <t>Namur de 90, Ayax y Gibraltar de 80, Márte, Capitán, Edgard; Warrior, Renoin y Desconfianza de 74, Príncipe Federico'y Repulsa de 64. No tardará esta esquadra en volver al mar; y como se asegura que las de Brest hacen disposiciones para salir del puerto, tiene toda la de la Mancha orden de zarpar también qua</t>
  </si>
  <si>
    <t>Federico, Príncipe</t>
  </si>
  <si>
    <t>Príncipe Federico</t>
  </si>
  <si>
    <t>tropas para su destino. Ayer salió también para el referido castillo de Cronburgo el regimiento del Príncipe Federico. Finalmente los granaderos y el regimiento del Príncipe Real tienen orden de marchar inmediatamente á Elseneur. El Consejo privado de Dinamarca acaba de mandar á los Magistrados d</t>
  </si>
  <si>
    <t>ingleses han fondeado en Cronbnrgo. Acaban de llegar a esta ciudad los regimientos de Zeeland y del Príncipe Federico con un destacamento de artillería. Otros dos regimientos estan en marcha hacia Frederickswerk y las costas inmediatas. Cerca de esta ciudad está campado un esquadron de húsares, y</t>
  </si>
  <si>
    <t>Feiiu, Juan</t>
  </si>
  <si>
    <t>Juan Feiiu</t>
  </si>
  <si>
    <t>y comunidad de la villa, tasada en .20,430 rs. 33 mrs, = Figuerola: una heredad de la fundación de D. Juan Feiiu, presbítero, tasada en 43&gt;°2jj rs. 7 mrs. — Gerri: una pieza de tierra y salinas, de la capellanía nombrada de Garces, tasada en 16,134 rs. 1$ nirs.r=rIsona: una heredad de la cap</t>
  </si>
  <si>
    <t>Feixoo, Joseph</t>
  </si>
  <si>
    <t>Joseph Feixoo</t>
  </si>
  <si>
    <t>ubteniente graduado de infantería D. Rafael Miguel: en el de Lugo compañía al Teniente de cazadores D. Joseph Feixoo: en el de Ronda la Tenencia y Subtenencia de granaderos al Teniente D. Pedro de Reyes y al Subteniente Don Francisco del Cozar: en el de Betanzos la Tenencia de granaderos al Teni</t>
  </si>
  <si>
    <t>Feixoo, Juan</t>
  </si>
  <si>
    <t>Juan Feixoo</t>
  </si>
  <si>
    <t>8í ; tenientes D. Manuel Sallent, D. Francisco Montenegro, D. Juan Feixoo y D. Eustaquio Hernando, el primero, segundo y quarto de granaderos; á estos empleos á los primeros Subtenientes D. Antonio Lara, D. V entura Macía y Areni y D. Joseph Roca; á primero</t>
  </si>
  <si>
    <t>Feliciano Costales Jove</t>
  </si>
  <si>
    <t>alumnos de segundo año del quarto curso matemático D. Blas de Cifuentes, D. Joseph Valdés Sorribas, D. Feliciano Costales Jove, D. Lorenzo Valdés Hevia y D. Francisco Xavier Olarria. j.° En dichos estudios, en la aplicación del álgebra á la geometría, secciones cónicas y los tres cálculos, á dirección del</t>
  </si>
  <si>
    <t>Feliciano de la Moneda</t>
  </si>
  <si>
    <t>Iba-ñez Corvera: en el de Jaén las Tenencias de granaderos y cazadores á los Tenientes de fusileros D. Feliciano de la Moneda y D. Antonio Fernandez de Obregon : en el de Bujalance la Tenencia de granaderos al Teniente de fusileros D. Pedro Melgar, y Subtenencia de bandera á D. Alfonso Ximenez : en el de Sev</t>
  </si>
  <si>
    <t>Feliciano Gual</t>
  </si>
  <si>
    <t>primer Teniente D. Nicolás Duran; á primer Teniente al segundo de granaderos, graduado de Capitán, D. Feliciano Gual; á.segundo Teniente de granaderos al de fusileros Di Vicente González Moreno; á segundo Teniente al primer Subteniente D. Joseph Suñez; á primer Subteniente* al segundo D. Vicente</t>
  </si>
  <si>
    <t>Feliciano Hernández</t>
  </si>
  <si>
    <t>Ayres ■se ha servido S. M. promover á Capitán al Teniente D. Vicente Colomer: á Teniente al Alférez D. Feliciano Hernández;y á Alférez al Cadete Don Joseph Valcarce. En la villa de Vergara se sorteó el 6 de Mayo ultimo la vaxilla de loza «fina inglesa, que con facultad de S. M. puso en rifa, lasReal s</t>
  </si>
  <si>
    <t>Felipe</t>
  </si>
  <si>
    <t>ta en la costanilla de los Caños, d.el Peral, núm. 24, manzana 414, perteneciente á las memorias de D. Felipe, Fernandez de Santiliana , que comprehende 384^ pies quadrados de sitio: se compone de quarto baxo , principal y segundo, cada uno con tres piezas, y escalera con su sótano , y es</t>
  </si>
  <si>
    <t>Feliu, Manuel</t>
  </si>
  <si>
    <t>Manuel Feliu</t>
  </si>
  <si>
    <t>1 Re)7 lia promovido á Ingenieros en segundo de sus exércitos, plazas y fronteras á los ordinarios D. Manuel Feliu y D. Alexandro De-Retz; y á Ingeniero extraordinario al Ayudante D. Joachín de Rivacova. S. Al. se ha servido promover á Portaestandarte en el regimiento de carabineros de la Rey na M</t>
  </si>
  <si>
    <t>Feray, Capitán</t>
  </si>
  <si>
    <t>Capitán Feray</t>
  </si>
  <si>
    <t>por el exemplo de aquellos á quienes degollaban, se defendiéron medía hora dentro del castillo. El Capitán Feray estaba ya en el campamento del Gran Visir quando se oyó la explosión del almacén de pólvora. Los francesesj</t>
  </si>
  <si>
    <t>Ferci</t>
  </si>
  <si>
    <t>lón marchó por el camino de A^ergata, y una’media brigada ligera mandada por el ciud. Ferci tuvo orden de-adelantar^a desdé Forli hacia Fiarénzuola. Eí 14 todas las tróí pas de. la expedición s-e pusiéron- en movimiento ::la división de Pino formaba l</t>
  </si>
  <si>
    <t>Fermín Cia, Joseph</t>
  </si>
  <si>
    <t>Joseph Fermín Cia</t>
  </si>
  <si>
    <t>ección de su maestro D. Andrés Bestigui, los seminaristas D. Francisco Necochea, D. Pedro Goossens, D. Joseph Fermín Cia, D. Joseph María Cia, D. Pedro Tavira, D. Rodrigo Tavira, D. Raymundo Cia, D. Joseph de Arellano y D. Joacliín Fernandez de Medrano. En sintaxis, baxo la dirección de D. Rufino Es</t>
  </si>
  <si>
    <t>Fermín de Oteiza y Larrayoz, Juan</t>
  </si>
  <si>
    <t>Juan Fermín de Oteiza y Larrayoz</t>
  </si>
  <si>
    <t>Pablo Valahza, á D. Juan Fermín de Oteiza y Larrayoz: para el Arccdianato de Osma, vacante por promoción de D. Ventura Alvarez á la Dignidad de Prior de aquella catedral, á I). Simón Aparicio de la Torre, Abad de Sta. Marta de Tera,</t>
  </si>
  <si>
    <t>Fermín de Urtizverea</t>
  </si>
  <si>
    <t>solamente de castigo el arresto que ha padecido por no haber sostenido su proposición de defensa. A D. Fermín de Urtizverea, D. Joachín Gregorio de Goicoa , D. Nicolás de Legarda , D. Juan Joseph Garragorri y D. Joseph Vicente de Elizondo, que siendo Oficiales urbanos y teniendo cargo de concejo se fug</t>
  </si>
  <si>
    <t>Fermín Mexía</t>
  </si>
  <si>
    <t>án al agregado en esta clase al de caballería de la costa de Granada, graduado de Teniente Corone], Don Fermín Mexía, y á primer Teniente al segundo D. Francisco Estove: en el de Santiago á segundo Teniente al Alférez D. Tomas Usen : en el de carabineros de la Reyna María Luisa á Ayudante al pri</t>
  </si>
  <si>
    <t>Fermín Nebot</t>
  </si>
  <si>
    <t>Mola : para la de Cinco-Villas, en el Reyno de Aragón, á D.Manuel Vindel y Muñoz; y ha conferido á D. Fermín Nebot, Asesor de la Intendencia dé Valencia, honores de Alcalde del crimen de aquella Real Audiencia. En América. El Rey se ha servido nombrar Teniente del regimiento de infantería de P</t>
  </si>
  <si>
    <t>Fermín Sánchez Franco</t>
  </si>
  <si>
    <t>l Casal y Varela, y á segundos Tenientes á los Subtenientes D. Nicolás Godet , D. Joseph Hontoria , D. Fermín Sánchez Franco, D. Teodoro Cañero y D. Ramón Puigros: en el batallón de Volunt trios de Valencia á segundo Ayudante al primer Teniente D. Antonio Azntr; á primer Teniente al segundo D. Francisco</t>
  </si>
  <si>
    <t>Fermín Zueco</t>
  </si>
  <si>
    <t>uel Cortes: en el segundo batallón dé voluntarios der Aragón á Capitán segundo al Ayudante seguncío D. Fermín Zueco; y ha nombrado Capellán del primer batallón del regimiento dé infantería de Toledo al presbítero D. Cirilo Tubo; habiendo también promovido á Alférez del de dragones de Ja Rey na</t>
  </si>
  <si>
    <t>Fernanda de Norzagaray</t>
  </si>
  <si>
    <t>s, Cadete de la compañía fixa de Rosas: D. Simón Trevilla, Cadete del de Voluntarios de caballería: D. Fernanda de Norzagaray, Subteniente del regimiento Provincial de Avila: D. Pedro Salazar , Subteniente del de Lo-: grono: D. Pablo Sirera, Subteniente del de Orihuela y Alicante : D* Miguel de Arechaval</t>
  </si>
  <si>
    <t>Fernández Abad, Joseph</t>
  </si>
  <si>
    <t>Joseph Fernández Abad</t>
  </si>
  <si>
    <t>e Acebo y Sobron: para otra de la catedral de Canaria, vacante por muerte de D. Francisco Bolean, á Don Joseph Fernandez Abad: para la Ración que este obtiene en la misma iglesia, y resultará vacante, á D. Andrés Tomas de Herrera: para otra Canonjía de la de Vich, llamada Rectoría de S. Miguel , vacante</t>
  </si>
  <si>
    <t>Fernández Agüera, Joseph</t>
  </si>
  <si>
    <t>Joseph Fernández Agüera</t>
  </si>
  <si>
    <t>hubiese encontrado un vale Real de 600 pesos, creación de Abril, mím. 387,088 , endosado á favor de D. Joseph Fernandez Agüera, y adjunto su reciba y de otros dos de la misma creación de pago de intereses , que se echó de menos el 28 de Julio, lo entregará en el puesto del diario, frente á Santo Tomas. A</t>
  </si>
  <si>
    <t>Fernández Campománes, Domingo</t>
  </si>
  <si>
    <t>Domingo Fernández Campománes</t>
  </si>
  <si>
    <t>13, manz. 138 , tasada en 133,32o rs. , que se están subastando por la audiencia del Señor Alcaide Don Domingo Fernandez Campománes , y escribanía de provincia de D. Domingo Rodríguez , se ha señalado el jueves 19 del corriente á las 11 dq^ su mañana en la citada escribanía de provincia. Para el remate del lav</t>
  </si>
  <si>
    <t>as de Doña Gregoria Fernandez de Ribera, que se están subastando por la audiencia del Señor Alcalde D. Domingo Fernandez Campománes, y escribanía de provincia de D. Domingo Rodríguez, y dan por la primera ia§ rs. y por el segundo 4@«n vales Reales, se ha señalado el lunes 7 de Julio á las 11 de su mañana en la</t>
  </si>
  <si>
    <t>SUPLEMENTO Á LA GAZETA DE MADRID DEL VIERNES 4 DE JULIO DE 18d[&gt;. Por providencia del Señor Alcalde D. Domingo Fernandez Campománes , ¿ conseqiiencia de Reales órdenes, y por la escribanía de provincia de D. Domingo, Rodríguez,, se han mandado subastar por término de 30 dias dos casas pertenecientes á las memo</t>
  </si>
  <si>
    <t>Fernández Campotnénes, Domingo</t>
  </si>
  <si>
    <t>Domingo Fernández Campotnénes</t>
  </si>
  <si>
    <t>nandez de Rivera, valuada en 141,16$ rs.,que se es* tá subastando po»r la audiencia del Sr. Alcalde D. Domingo Fernandez Campotnénes, y escrrlT-anja de provincia de D. Domingo Rodríguez, se ha señalado el jueves 31 del corriente á las 11 de su mañana en ia citada escribanía de provincia. A virtud «de providenci</t>
  </si>
  <si>
    <t>Fernández Cueto, Lorenzo</t>
  </si>
  <si>
    <t>Lorenzo Fernández Cueto</t>
  </si>
  <si>
    <t>la feligresía de S. Miguel de Hoya, en la diócesis de Tuy, que resulta vacante oor fallecimiento de D. Lorenzo Fernandez Cueto, á Don Gerónimo Martínez Muxica. En el regimiento de Reales Guardias Walonas se ha servido el Rey promover á primer Teniente de granaderos al de fusileros D. Manuel de la Barre; á</t>
  </si>
  <si>
    <t>Fernández de Argüí, Felipe</t>
  </si>
  <si>
    <t>Felipe Fernández de Argüí</t>
  </si>
  <si>
    <t>se ha servido conceder honores de Contadores de Exército á los xefes de mesa ds la Tesorería mayor D. Felipe Fernandez de Argüí, Don Bernardo Reboles , D. Ignacio Balbin, D. Manuel Gutiérrez de Teran, Don Antonio Melendro , y al Oficial tercero de número D. Joseph Moreno Martínez. Honores de Tesorero de Ex</t>
  </si>
  <si>
    <t>Fernández de Arroyo, Fernando</t>
  </si>
  <si>
    <t>Fernando Fernández de Arroyo</t>
  </si>
  <si>
    <t>bato: en el de Bujalance las Subtenencias de granaderos y cazadores á los Subtenientes de fusileros D. Fernando Fernandez de Arroyo y D. Rafael Perez de Aguilar: en el de Burgos las Subtenencias de granaderos y cazadores á los Subtenientes de fusileros D. Luis Artacho y Don Joachín Salinas: en el de Sigüenza la Su</t>
  </si>
  <si>
    <t>Fernández de Campomanes, Domingo</t>
  </si>
  <si>
    <t>Domingo Fernández de Campomanes</t>
  </si>
  <si>
    <t>SUPLEMENTO Á LA GAZETA DE MADRID DEL MARTES 2 DE MAYO DE 1 800. J^or providencia del Señor Alcalde D. Domingo Fernandez de Oampomfnes, á virtud de Reales órdenes, y por la escribanía ds provincia de 1\ Domingo Rodríguez , donde se halla radicado ti patronato de higos y memoria d - Doña Ore— goria Fernandez de Ri</t>
  </si>
  <si>
    <t>Fernández de Campománes, Domingo</t>
  </si>
  <si>
    <t>Domingo Fernández de Campománes</t>
  </si>
  <si>
    <t>rnandez de Ribera , núm. 3 , raanz. 377 , que se está subastando por la audiencia del Señor Alcalde D. Domingo Fernandez de Campománes y escribanía de provincia de D. Domingo Rodríguez, tasada en 100,136 rs., y se halla puesta en el todo de la tasa en vales Reales, y ademas i9 rs. en moneda metálica, se ha señalado e</t>
  </si>
  <si>
    <t>a Fernandez de Rivera , valuada en 74,800 «•, “ está subastando per la audiencia del Se Sor Alcalde D. Domingo Fernandez de Campománes y escribanía de provincia de D. Domingo Rodríguez , se ha señalado el lunes *8 del corriente a las ,i de su mañana en la citada escribanía de provincia. _ En virtud de providencia del</t>
  </si>
  <si>
    <t>_ — — * I Doña María Manuela del Alamo , que se está subastando por la audiencia del Señor Alcalde D. Domingo Fernandez de Campománes, y escribanía de provincia de D. Domingo Rodríguez . se ha señalado el iúnes it del corriente á las 11 de su mañana en la citadi escrioauía de proviici*. Y para el de otra pertene</t>
  </si>
  <si>
    <t>lado nuevamente el miércoles 37 del corriente á las 11 de su mañana en la audiencia del Sr. Alcalde Don Domingo Fernandez de Campománes, y escribanía de provincia de D. Domingo Rodríguez por donde se está subastando. Y para el remate de otra casa sita en lia calle de Jesús y María y de la Espada, núm. 4, manz. 13,</t>
  </si>
  <si>
    <t>Fernández de Ciarte, Manuel</t>
  </si>
  <si>
    <t>Manuel Fernández de Ciarte</t>
  </si>
  <si>
    <t>do Alarcon: en el de Burgos á Capitaa al Ayudante D. Miguel Aloy; á esta resulta al primer Teniente D. Manuel Fernandez de Ciarte; á primeros Tenientes ¿ los segúnáds de granaderos D; Jacobo'Carrillo, Di Christobai Medina y D. Cipriano Ániz^ MarAñon: á segundos Tenientes de granaderos á los ae fusile* VOS tí</t>
  </si>
  <si>
    <t>Fernández de Córdoba, Rafael</t>
  </si>
  <si>
    <t>Rafael Fernández de Córdoba</t>
  </si>
  <si>
    <t>fusileros, el primero graduado cíe Capitán de infantería: Subtenencia de bandera en el de Córdoba á D. Rafael Fernandez de Córdoba: Compañía de fusileros en el de Truxillo al Teniente de cazadores D. Christóbal del Solar de Celis: en el de Sigiíenza la Subtenencia d.e granaderos al Subteniente de fusileros D.</t>
  </si>
  <si>
    <t>Fernández de la Llana, Antonio</t>
  </si>
  <si>
    <t>Antonio Fernández de la Llana</t>
  </si>
  <si>
    <t>Subteniente de granaderos D. Luis Artacho: igual empleo en el de Oviedo al Subteniente de cazadores D. Antonio Fernandez de la Llana, y las dos Subtenencias de bandera del mismo cuerpo á D. Félix Alvarez Celleruelo y I). Francisco Xavier Sánchez Cantillo: Tenencias de fusileros en los de Alcázar de San Juan, Mo</t>
  </si>
  <si>
    <t>Fernández de la Peña y Gordillo, Joseph Antonio</t>
  </si>
  <si>
    <t>Joseph Antonio Fernández de la Peña y Gordillo</t>
  </si>
  <si>
    <t>Subteniente de fusileros D. Antonio María Fernandez Solis: en los de Jaén y Segovia Subtenencias á D. Joseph Antonio Fernandez de la Peña y Gordillo, y al Subteniente graduado de infantería D. Pedro Vicente Xareño: en el de Badajoz Subtenencias de bandera á D. Nicolás Domínguez Roso y á D. Fernando de la Vera y Campos; y en lo</t>
  </si>
  <si>
    <t>Fernández de los Ojares, Juan</t>
  </si>
  <si>
    <t>Juan Fernández de los Ojares</t>
  </si>
  <si>
    <t>la Calzáda , de z fan, y 6 cel. en 1150. Obra pia nombrada de las Viejas, fundada por el Bachiller D. Juan Fernandez de los Ojares. Una tierra de sembradura en el sitio titulado la Horca , de 3 fanegas y 9 celemines , tasada en 7500 r». Otra inmediata á la anterior , de z fan.* en Otraral sitio de la Carrezue</t>
  </si>
  <si>
    <t>Fernández de Madrid, Pedro</t>
  </si>
  <si>
    <t>Pedro Fernández de Madrid</t>
  </si>
  <si>
    <t>El Rey se ha servido conferir el empleo de Superintendente de la Real casa de moneda de Santa Fe á D. Pedro Fernandez de Madrid, Director general de aquellas rentas estancadas , cuyo empleo ha tenido á bien S. M. quede suprimido, concediendo al mismo tiempo á D. Lorenzo Morales, Contador de la propia Real</t>
  </si>
  <si>
    <t>Fernández de Olarte, Manuel</t>
  </si>
  <si>
    <t>Manuel Fernández de Olarte</t>
  </si>
  <si>
    <t>eros D. Santiago Montero y D. Joseph Montero; á segundos Tenientes de granaderos á los de fusileros D. Manuel Fernandez de Olarte, D. Jacobo Carrillo y D. Christóbal Medina; á segundos Tenientes á los Subtenientes de granaderos D. Andrés Caballero, D. Antonio Ximenez y D. Joseph Hernando; á Subtenientes de g</t>
  </si>
  <si>
    <t>eniente de granaderos al de fusileros D. Manuel Gestido; á primer Teniente al segundo de granaderos D. Manuel Fernandez de Olarte; á segundo Teniente de granaderos al de fusileros D. Cipriano Aniz Marañon; á segundo Teniente al Subteniente de granaderos D. Juan Ximenez; á Subteniente de granaderos al primer</t>
  </si>
  <si>
    <t>Fernández de Santiilana, Felipe</t>
  </si>
  <si>
    <t>Felipe Fernández de Santiilana</t>
  </si>
  <si>
    <t>ta una casa , sita en la calle del Príncipe , núm. 2, manzana 212 , perteneciente á las memorias de D. Felipe Fernandez de Santiilana , que comprehende 1799! pies quadrados de sitio : se compone de planta baxa, principal y segunda , con otra de sótanos y cueva : renta 4240 rs. anuales : no tiene mas carga que la</t>
  </si>
  <si>
    <t>Fernández de Santillana, Felipe</t>
  </si>
  <si>
    <t>Felipe Fernández de Santillana</t>
  </si>
  <si>
    <t>orte. Una en la carrera de S. Gerónimo , nütp. a«J &gt; manzana 265 , perteneciente i las. memorias de D. Felipe Fernandez de Santillana: coroprehende su smo uóz f pies quadrados: su fábrica con</t>
  </si>
  <si>
    <t>Fernández de Soto, Félix</t>
  </si>
  <si>
    <t>Félix Fernández de Soto</t>
  </si>
  <si>
    <t>Coronel, D. Joachín de Gasaviella: en el de Toledo á segundo Teniente de granaderos al de fusileros D. Félix Fernandez de Soto; á segundo Teniente al Subteniente de granaderos D. Baltasar Briz; á Subteniente de granaderos al primer Subteniente D. Pasoual Moreno; á primer Subteniente al segundo D. Pedro Mo</t>
  </si>
  <si>
    <t>Fernández de Uceda, Joseph</t>
  </si>
  <si>
    <t>Joseph Fernández de Uceda</t>
  </si>
  <si>
    <t>en quisiere hacer postura í ella acuda ante dicho Se— ñor AlcaldO/por la escribanía de provincia de D. Joseph Fernandez de Uceda. Por providencia del Sr. D. Juan Antonio Santa Mana, Teniente Corregidor d, esta villa, acte D. Gervasio Fernandez Izquierdo, Escribano de su numero, se h, mandado sacar á pública</t>
  </si>
  <si>
    <t>providencia del Sr. Alcalde de corte D. Manuel Perez de Hozas, y por la escribanía de provincia de D. Joseph Fernandez de Uceda, se ha mandado sacar á pública subasta por término de 30 dias una casa sita en la calle de la Abada, señalada con los niím. 6 y 7, manz. 36g, perteneciente á la capellanía patrona</t>
  </si>
  <si>
    <t>providencia del Sr. Alcalde de Corte D. Manuel Perez de Rozas , y por la escribanía de provincia de D. Joseph Fernandez de Uceda , se ha mandado sacar á pública subasta por término de 30 dias , una casa sita en la calle de la Encomienda, núm. 7 , manz. ói, perteneciente á la capellanía patronato Real de leg</t>
  </si>
  <si>
    <t>do por la audiencia del Sr. Alcalde de corto D. Manuel Perez de Rozas, y escribanía de provincia de D. Joseph Fernandez de Uceda, se ha señalado el jueves 30 dei corriente á las 12 de su mafiana en dicha escribanía. Por provideneia del Sr. D. Juan Antonio Santa María, Teniente Corregidor de esta villa, se h</t>
  </si>
  <si>
    <t>r la audiencia del Sr. Alcalde de corte D. Domingo Antonio de Miranda, y escribanía de provincia de D. Joseph Fernandez de Uceda, se está subastando una casa sita en la calle de S. Isidro, barrios de S. Francisco, núm 6, manz. jai, perteneciente á la capellanía memoria de misas qué fundáron D. Aloiso de Pug</t>
  </si>
  <si>
    <t>r la audiencia del Sr, Alcalde de corte D. Domingo Antonio de Miranda, y escribanía de provincia de D. Joseph Fernandez de Uceda, sitaren la calle de S. Isidro, barrios de S. Francisco, núm. 6 , manz. 121 , tasada en 145,602 rs. , y está hecha postura en 1 so£. en vales, se ha señalado el dia j de Enero pró</t>
  </si>
  <si>
    <t>Fernández del Valle, Juan</t>
  </si>
  <si>
    <t>Juan Fernández del Valle</t>
  </si>
  <si>
    <t>un sangrador , y toda la doctrina que necesita para practicar con acierto. Son obras originales de D. Juan Fernandez del Valle, profesor de Cirugía, primer Ayudante de anatomía en el Real hospital general de esta corte &amp;c. Vida de S. Isidro labrador, patrón de Madrid, con un resúmen de la de su esposa Sta</t>
  </si>
  <si>
    <t>es contagiosa, un elogio del método de conocer las enfermedades por el pulso, contra el dictámen de D. Juan Fernandez del Valle en su Cirugía forense, y otros puntos útiles y curiosos : por D. Patricio Sánchez, uno de los Médicos titulares de la villa de Agreda. Se hallará en la librería de Mafeo con el prim</t>
  </si>
  <si>
    <t>Fernández Gonzalo del Rio, Luis</t>
  </si>
  <si>
    <t>Luis Fernández Gonzalo del Rio</t>
  </si>
  <si>
    <t>erreros, Procurador general de los Reynos; y los tres Directores de la Caxa D. Juan Pedro Vincenti, D. Luis Fernandez Gonzalo del Rio, Caballero de la distinguida Orden de Carlos III, y D. Manuel de Sampelayo* Las personas que quisieren interesarse en esta rifa acudirán á recoger lo$ billetes á dicho precio de c</t>
  </si>
  <si>
    <t>Fernández Guerra, Tomás</t>
  </si>
  <si>
    <t>Tomás Fernández Guerra</t>
  </si>
  <si>
    <t>encia de Guadalaxara, .en que consta falleció ahogado en el paso del rio de Santa María de la Yesca D. Tomas Fernandez Guerra , que se decía natural del reyno de Galicia, sin saberse el lugar de su origen , su estado ni parientes; que sus bienes consistieron en 498$ rs. 28 mrs., los quales se hallan depo</t>
  </si>
  <si>
    <t>Fernández Hinestrosa, Joseph</t>
  </si>
  <si>
    <t>Joseph Fernández Hinestrosa</t>
  </si>
  <si>
    <t>Prestamera de la mitacion de la Membrilla, en el obispado de Córdoba , vacante por fallecimiento de D. Joseph Fernandez Hinestrosa, á D. Pascual Escrich, con la obligación de servir por sí mismo la capellanía del reclusorio titulado de Arrepentidas de Santa María Egipciaca de Madrid, para que S. M. acaba de n</t>
  </si>
  <si>
    <t>Fernández Larrea, Manuel</t>
  </si>
  <si>
    <t>Manuel Fernández Larrea</t>
  </si>
  <si>
    <t>de losíNavarros: para la Dignidad de Tesorero de la catedral de Valladolid,' vacante por muerte de D. Manuel Fernandez Larrea, á D. Juan Gallego y Alarcon;■ para una Canongía de la de Jaén, vacante por fallecimiento de D. Diego Eustaquio de Gamez, á D. Juan Antonio Cornel: para otra de la deTuy, vacánte</t>
  </si>
  <si>
    <t>Fernández Moreda, Joseph Manuel</t>
  </si>
  <si>
    <t>Joseph Manuel Fernández Moreda</t>
  </si>
  <si>
    <t>da, Monterey y Tüy á D. Joseph Manuel Fernández Moreda, D. Blas de Pina y Llanos, D. Joseph María Casanova y D. Francisco de Barros. También ha nombrado S. M. Subteniente de las milicias urbanas de AIburquerque á D. Francisco Perez He</t>
  </si>
  <si>
    <t>Fernández Munida, Joseph Francisco</t>
  </si>
  <si>
    <t>Joseph Francisco Fernández Munida</t>
  </si>
  <si>
    <t>ros Don Francisco Antonio Tirado; y á Alféreces de fusileros á los Cadetes D. Vicente Díaz Sánchez, D. Joseph Francisco Fernandez Munida, D. Juan I asaña, D. Antonio Quartas de Castro, D. Francisco Fernandez Rábago, D. Pedro Perez Tagle, D. Dionisio María Mazuelo, D. Pedro Agustín Roncaii, D, Antonio Sacristán y D.</t>
  </si>
  <si>
    <t>Fernández Navarrete, Julián</t>
  </si>
  <si>
    <t>Julián Fernández Navarrete</t>
  </si>
  <si>
    <t>eph Ximeiifcz Bretón se ha dignado el Rey conferir la Tesorería de exército de Aragón,que servia, á D. Julián Fernandez Navarrete; la que este obtenía en Galicia á D. Nicolás Lavaggi; y la que este desempeñaba en Ceuta á D. Pedro Melendez del Castillo. S. M. se ha servido conceder honores de Tesorero de exér</t>
  </si>
  <si>
    <t>Fernández Rábago, Francisco</t>
  </si>
  <si>
    <t>Francisco Fernández Rábago</t>
  </si>
  <si>
    <t>Díaz Sánchez, D. Joseph Francisco Fernandez Munida, D. Juan I asaña, D. Antonio Quartas de Castro, D. Francisco Fernandez Rábago, D. Pedro Perez Tagle, D. Dionisio María Mazuelo, D. Pedro Agustín Roncaii, D, Antonio Sacristán y D. Ignacio Vicente Unzeta. En el de infantería de Mallorca á segundo Teniente al</t>
  </si>
  <si>
    <t>Fernández Salazar, Manuel</t>
  </si>
  <si>
    <t>Manuel Fernández Salazar</t>
  </si>
  <si>
    <t>n del citado dé Borbon, y compañía en el de dragones de Numancia al Capitán D-, Manuel Fernandez Salazar, Teniente del mismo cuerpo; y ha nombrado Tejiente en el de Lusitania al agregado al propio regimiento graduado de Capitán D. Juan Angel Moreno. S. M. ha conferido las compañías de granader</t>
  </si>
  <si>
    <t>Fernández San Miguel, Felipe</t>
  </si>
  <si>
    <t>Felipe Fernández San Miguel</t>
  </si>
  <si>
    <t>Villarmil, D. Vicente María Ezcurdia, D. Luis Mornard, D. Toribio Cifuentes, D. Claudio Fernandez, D. Felipe Fernandez San Miguel, D. Joseph López del Vallado y D. Agustín Sánchez Cifuentes, En las quatro primeras ciases de dicho estudio, y ademas en cosmografía, navegación, maniobra y artillería de mar, D.</t>
  </si>
  <si>
    <t>ía histórica D. Juan Alexandro Nais, los alumnos del primer curso de esta facultad D. Luis Mornard, D. Felipe Fernandez San Miguel, D. Claudio Fernandez, D. Francisco Prendes y D. Francisco Xavier Olarria. 6.° En las propiedades generales y esenciales de los cuerpos, y en elementos de mecánica, hidrostática,</t>
  </si>
  <si>
    <t>Fernández Sohs, Antonio</t>
  </si>
  <si>
    <t>Antonio Fernández Sohs</t>
  </si>
  <si>
    <t>D. Joseph.Vi.Ilademoros, Subteniente de granaderos;y, en el de Sigüenza al Subteniente de fusileros D. Antonio Fernandez Sohs: y Subtenencias de bandera en los de Santiago, Ronda, Badajoz, Murcia, Truxillo, Salamanca y Cuenca á D. Ramón González Castro Taboada y Valenzuela, D. Joachín Xencrio y Giles, D.</t>
  </si>
  <si>
    <t>Fernández Soler, Antonio</t>
  </si>
  <si>
    <t>Antonio Fernández Soler</t>
  </si>
  <si>
    <t>ante por fallecimiento de D. Lucas Joseph de Roa, al primer Teniente de Asistente de aquella ciudad D. Antonio Fernandez Soler, pasando á la de Jo civil D. Joseph Hevia y Noriega, que acababa de ser electo para la del crimen. Asimismo ha concedido S. M. honores y antigüedad de Alcalde de su Real casa y co</t>
  </si>
  <si>
    <t>Fernández Soler, Juan</t>
  </si>
  <si>
    <t>Juan Fernández Soler</t>
  </si>
  <si>
    <t>ra la Ración, que este dexa, al Medio-Racionero D. Angel María de Guzman : para esta Media-Ración á D. Juan Fernandez Soler: para otra Canongía, vacante en dicha iglesia metropolitana por fallecimiento de D. Juan Salcedo, ai Racionero D. Manuel María Rodríguez de Caras!: para la Ración de este á D. Mig</t>
  </si>
  <si>
    <t>Fernández Solis, Antonio María</t>
  </si>
  <si>
    <t>Antonio María Fernández Solis</t>
  </si>
  <si>
    <t>o y Don Joachín Salinas: en el de Sigüenza la Subtenencia de granaderos al Subteniente de fusileros D. Antonio María Fernandez Solis: en los de Jaén y Segovia Subtenencias á D. Joseph Antonio Fernandez de la Peña y Gordillo, y al Subteniente graduado de infantería D. Pedro Vicente Xareño: en el de Badajoz Subte</t>
  </si>
  <si>
    <t>Fernández Trapero, Domingo</t>
  </si>
  <si>
    <t>Domingo Fernández Trapero</t>
  </si>
  <si>
    <t>ro también servidero de la parroquia de Sta. Alaría de Aguila-Fuente , en el obispado de Segovia, á D. Domingo Fernandez Trapero, con la obligación que tiene anexa: para otro Beneficio simple de la parroquial de Torre Campo, en la diócesis de Jaén, vacante por fallecimiento de D. Joseph Navarro, á D. Atanas</t>
  </si>
  <si>
    <t>Fernández Valentin, Francisco</t>
  </si>
  <si>
    <t>Francisco Fernández Valentin</t>
  </si>
  <si>
    <t>l Rey se ha servido nombrar para la Canongía Doctoral de la catedral de Durango, en Nueva España, á D. Francisco Fernandez Valentin; y para una Media-Rácion de la de la Puebla de Jos Anades á D. Manuel Moreno. S. M. se ha dignado promover á Capitanes del regimiento de infantería fixo de Ja Luisiana al Ayudante</t>
  </si>
  <si>
    <t>Fernández Vallejo, Joseph</t>
  </si>
  <si>
    <t>Joseph Fernández Vallejo</t>
  </si>
  <si>
    <t>ste cuerpo patriótico. El Sr. Marques de Fuerte-Híjar, secretario , leyó el extracto de actas; y el Dr. Don Joseph Fernandez Vallejo, presbítero, pronunció otro discurso sobre las grandes empresas de la sociedad y sus ideas sólidas de beneficencia. La diputación publicará las invenciones, adelantamientos, plane</t>
  </si>
  <si>
    <t>Fernández Verano, Francisco</t>
  </si>
  <si>
    <t>Francisco Fernández Verano</t>
  </si>
  <si>
    <t>mericana del Real cuerpo de Guardias de Corps ha nombrado el Rey Cadete de número al supernumerario D. Francisco Fernandez Verano; y por Cadete supernumerario de la misma compañía al Guardia de ella D. Manuel Estefanía. El Rey se ha servido promover á primer Teniente en el regimiento de caíiállería del Infan</t>
  </si>
  <si>
    <t>Fernández Villamil, Cayetano</t>
  </si>
  <si>
    <t>Cayetano Fernández Villamil</t>
  </si>
  <si>
    <t>ntos de las matemáticas puras, baxo la dirección de su profesor el segundo Piloto de la Real Armada D. Cayetano Fernandez Villamil, los alumnos el Lie. D. Joseph Díaz, D. Manuel Menendez JoVe, D. Manuel González Villarmil, D. Vicente María Ezcurdia, D. Luis Mornard, D. Toribio Cifuentes, D. Claudio Fernandez,</t>
  </si>
  <si>
    <t>Fernández y Escalona, Antonio</t>
  </si>
  <si>
    <t>Antonio Fernández y Escalona</t>
  </si>
  <si>
    <t>al casa y corte. El 19 de Marzo falleció en esta corte á los 67 añ-os y 8 meses de edad el Exc. Sr. D. Antonio Fernandez y Escalona, Teniente General de los Reales exércitos, habiendo servido en el Real cuerpo de Guardias de Corps desde 24 de Octubre de 1752., en que tomó la bandolera en la compañía Italiana,</t>
  </si>
  <si>
    <t>Fernández y Urrutia, Antonio</t>
  </si>
  <si>
    <t>Antonio Fernández y Urrutia</t>
  </si>
  <si>
    <t>2 JO de dichas milicias á D. Antonio Fernandez y Urrutia, también agregado á la expresada Embaxada. En el cuerpo de milicias urbanas de la Coruña ha nombrado el Rey Subtenientes á D. Angel Benito de Aguiar, D. Ramón Antonio Montenegro y</t>
  </si>
  <si>
    <t>Fernández, Agustín</t>
  </si>
  <si>
    <t>Agustín Fernández</t>
  </si>
  <si>
    <t>ornard, y en la de lengua francesa D. Joachin Campuzano, D. Andrés Menendez Sala, D. Manuel Osorio, D. Agustín Fernandez y D. Juan Alonso Viado. 8.° Estuvieron expuestas ai público todas las muestras que, baxo la dirección del profesor de dibuxo natural D. Angel Perez, habían dibuxado los alumnos aspira</t>
  </si>
  <si>
    <t>Fernández, Andrés</t>
  </si>
  <si>
    <t>Andrés Fernández</t>
  </si>
  <si>
    <t>Reyna: y hánómbrado S. M. para estas resultas á D. Alfonso Bachiller , Sargento de la brigada, y á Don Andrés Fernandez, Carabinero de distinción de la misma. En el regimiento de caballería del Príncipe se ha servido S. M. promover á segundos Tenientes ,á los Alféreces D. Ventura Pando y D. Lorenzo</t>
  </si>
  <si>
    <t>Fernández, Antonio</t>
  </si>
  <si>
    <t>Antonio Fernández</t>
  </si>
  <si>
    <t>ovidencia del mismo Sr. D. Juan Antonio Santa María, Ts-? niente Corregidor de esta villa, por ante D. Antonio Fernandez, Escribano de. su número , se vende una casa sita en la plazuela de Herradores , distinguida con el núm:» ti , manzana 414, que compréhende jii8 pies de sitio, tasada en 162,569 r</t>
  </si>
  <si>
    <t>lla. Por providencia del Sr. D. Juan Antonio Santa María , Teniente Corregidor de esta villa ,an,te D. Antonio Fernandez , Escribano del número, se ha mandado sacar á subasta una casa sita en la calle del Lobo , núm. 33 , manzana 218 , tasada en la cantidad de 147,439 rs. Quien quisiere hacer postur</t>
  </si>
  <si>
    <t>ero extraordinario de sus exércitos, plazas y fronteras al Ayudante de Ingeniero L&gt;. Joseph Morete. D. Antonio Fernandez , Cirujano honorario de la Real familia, y destinado por el Rey para la asistencia á los individuos del Real gabinete de historia natural, y de los Reales estudios de química y-mi</t>
  </si>
  <si>
    <t>s. Por la audiencia del mismo Sr. D. Juan Antonio Santa María, y escribanía del número del cargo de D. Antonio Fernandez , se han mandado sacar á pública subasta por término de 30 dias tres casas sitas en esta corte: una en la calle de Bordadores, núm. 13,manzana 388, tasada en 121,933 rs* ^tra en l</t>
  </si>
  <si>
    <t>anía cíel número de D. Diego Benigno González. ~— Por la audiencia del mismo Sefior y escribanía de D. Antonio Fernandez , se ha sacado á subasta por teTmino de 30 dias otra casa en la calle de S. Jacinto, que hace esquina y vuelve á la de S. Cristóbal, en la plazuela de Sta. Cruz, señalada con el n</t>
  </si>
  <si>
    <t>, manz. 360, cuyo sitio cun— prehende 4495 J pies, tasada en 143,334 rs. , acuda á la escribanía de D. Antonio Fernandez. En Colmenar Viejo se venden las siguientes fincas. De la memoria del Lie. D. Juan RubiOi La cerca de los Enebros, de pasto, su caber 28 fanegas de tierra, su valor en venta 27® r</t>
  </si>
  <si>
    <t>y hacen sensible su pérdida. Pc¡r la audiencia del Sr. D. Juan Antonio Santa María, y escribanía de Don Antonio Fernandez, se ka sacado á subasta una casa en la plazuela de los Truxi— líos, ó del Clavel á S. Martin, núm 4, rnanz. 399, que tiene de sitio 3040 pies, y está tasada en 116,449 rs. Quien q</t>
  </si>
  <si>
    <t>Fernández, Christóbal</t>
  </si>
  <si>
    <t>Christóbal Fernández</t>
  </si>
  <si>
    <t>y a primer Matemente. at segunao li. .manano rastor: en ei de Navarra á Ayudante al primer Teniente D. Christóbal Fernandez ; mer Teniente al segundo D. Juan Montero; á segundo Teniente ai primerSubteniente D. Pedro del Castillo; á Subteniente de granaderos al primer Subteniente D. Francisco Gallano; á</t>
  </si>
  <si>
    <t>Fernández, Claudio</t>
  </si>
  <si>
    <t>Claudio Fernández</t>
  </si>
  <si>
    <t>Ve, D. Manuel González Villarmil, D. Vicente María Ezcurdia, D. Luis Mornard, D. Toribio Cifuentes, D. Claudio Fernandez, D. Felipe Fernandez San Miguel, D. Joseph López del Vallado y D. Agustín Sánchez Cifuentes, En las quatro primeras ciases de dicho estudio, y ademas en cosmografía, navegación, m</t>
  </si>
  <si>
    <t>ais, los alumnos del primer curso de esta facultad D. Luis Mornard, D. Felipe Fernandez San Miguel, D. Claudio Fernandez, D. Francisco Prendes y D. Francisco Xavier Olarria. 6.° En las propiedades generales y esenciales de los cuerpos, y en elementos de mecánica, hidrostática, hidráulica y acústica,</t>
  </si>
  <si>
    <t>Fernández, Francisco</t>
  </si>
  <si>
    <t>Francisco Fernández</t>
  </si>
  <si>
    <t>lás Gamarra: en el de Asturias á segundo Teniente al Subteniente de granaderos graduado de Teniente D. Francisco Fernandez: en el de Aragón á primer Subteniente al segundo D. Matías Hernández: en el primer batallón de Voluntarios'de Aragón á segundo Subteniente al Cadete D. Juan Lafuente; y en el de N</t>
  </si>
  <si>
    <t>defonso Periche, este del de Murcia, y á Jos Sargentos primeros D. Joachín Montalva, de granaderos, D. Francisco Fernandez y D. Manuel Cimorra: en el de Saboya á primer Subteniente al segundo D. Miguel de Castro; y á segundo Subteniente al Cadete D. Pascual Canut: en el de Hibernia á Capitán al primer Ten</t>
  </si>
  <si>
    <t>Fernández, Joachín</t>
  </si>
  <si>
    <t>Joachín Fernández</t>
  </si>
  <si>
    <t>cuerpo de Artillería se ha servido S. M. promover á Capitanes á los Tenientes D. Joseph Esquiaqui, D. Joachin Fernandez, Don Francisco Agustini, D. Joseph Eseovar, D. Joseph Berganza, D. Remigio Ibañez y D. Antonio Ibarra, graduado de Capitán. S. M. ha conferido el empleo de Cirujano mayor de la Ar</t>
  </si>
  <si>
    <t>Fernández, Joseph</t>
  </si>
  <si>
    <t>Joseph Fernández</t>
  </si>
  <si>
    <t>l, y I&gt;. Carlos Gravma. En el de infantería de Gr’-rnd 1 á m-imer Teniente al segundo de granaderos D. Joseph Fernandez y ásebndo Teniente al Subteniente de granaderos D. Joseph Sauz: en el de MaUorca á Ayudante al primer Teniente D. Diego Hernández y G-'rdon; V á segundo Subteniente al Cadete D. Fél</t>
  </si>
  <si>
    <t>supiere de él avisará á D. Manuel Quixeno, tesorero de dicha colegiata de Santillana, ó en Madrid á D. Joseph Fernandez, puerta Cerrada, núm. a, quarto segundo. Homilía rio ó colección de homilías de los mas principales Santos Padres y Doctores de la Iglesia sobre los evangelios que se cantan en la</t>
  </si>
  <si>
    <t>Fernández, Joseph Ignacio</t>
  </si>
  <si>
    <t>Joseph Ignacio Fernández</t>
  </si>
  <si>
    <t>rroquia de S. Blas de la ciudad de Carmona, en la diócesis de Sevilla, vacante por fallecimiento de D. Joseph Ignacio Fernandez , á D. Francisco Xavier Xinic-ncz , con la obligación de servirle también por sí mismo : para la Capellanía mayor que se halla vacante en el Real convento de la Visitación de Madr</t>
  </si>
  <si>
    <t>Fernández, Joseph María</t>
  </si>
  <si>
    <t>Joseph María Fernández</t>
  </si>
  <si>
    <t>a Factoría á D. Pedro, de la.Estrella: Administrador de dicha renta del partido de Coscomatepeque á D. Joseph María Fernandez; y para Guarda jPatricio de ChiTpancingo á Oí Joseph Francisco Zubiri. Asimismo-ha conferido el Rey la Factoría def tabaco, pólvora y naypes del Rosario al Teniente de Fragata Dá</t>
  </si>
  <si>
    <t>Fernández, Juan</t>
  </si>
  <si>
    <t>Juan Fernández</t>
  </si>
  <si>
    <t>o ha nombrado S. M. en el esquadron de dragones de América fixlo de la Havana á Teniente al Alférez D. Juan Fernandez; y esta resulta al Portaguión D. Joseph Villanueva: á Sargentos mayores de Jos regimientos provinciales de dragones de S. Luis y S. Carlos aí Teniente Coronel D. Antonio Mendivil,</t>
  </si>
  <si>
    <t>Fernández, Luis</t>
  </si>
  <si>
    <t>Luis Fernández</t>
  </si>
  <si>
    <t>ndidad, y fuéron inútiles las diligencias del nadador. Viendo todo esto desde el terrado de su casa D. Luis Fernandez, Visitar dor general de tintes del Reyno, pensionado por S. M., y socio de mérítp de la económica de Madrid y otras, corrió al instante á aquel parage, co-r gió un barquillo de ún</t>
  </si>
  <si>
    <t>ra y media en recobrar enteramente su conocimiento. No es esta la primera persona á quien el propio D. Luis Fernandez ha socorrido en iguales circunstancias, pues con el mismo método logró hace 20 años restituir la vida á un hombre que cayó en el mar y se sacó axfítico: y siendo aun muchacho sacó</t>
  </si>
  <si>
    <t>Fernández, Manuel</t>
  </si>
  <si>
    <t>Manuel Fernández</t>
  </si>
  <si>
    <t>el de Calatrava al Portaestandarte D. Ramón Franch; á primer Teniente en el de Santiago al segundo D. Manuel Fernandez; á Alférez en el de Húsares al Cadete D. Joseph la Esquina , y á Comandante de esquadron en el de la Costa de Granada al Teniente Coronel D. Roque Martínez, Cápíta.n del propio cu</t>
  </si>
  <si>
    <t>Fernández, Manuel María</t>
  </si>
  <si>
    <t>Manuel María Fernández</t>
  </si>
  <si>
    <t>do batallón del fixo de Ceuta á Don Antonio Torralba; y del regimiento de caballería del Principé á D. Manuel María Fernandez, Cirujano del de infantería de las Ordenes Militares. El Rey ha tenido por conveniente que se retire á esta península Don Manuel de Mier y Teran , Regente de lá Audiencia de Canar</t>
  </si>
  <si>
    <t>Fernández, Pedro</t>
  </si>
  <si>
    <t>Pedro Fernández</t>
  </si>
  <si>
    <t>de fusileros D. Antonio Barellas y D. Lúeas Savage; á segundo Teniente al Subteniente de granaderos D. Pedro Fernandez; á Subteniente de granaderos al primer Subteniente D. Joseph Parody, y á primer Subteniente al segundo D. Juan César Lyons. En el de caballería de la Reyna se ha servido también S</t>
  </si>
  <si>
    <t>Fernández, Rafael</t>
  </si>
  <si>
    <t>Rafael Fernández</t>
  </si>
  <si>
    <t>egundos Subtenientes á los Sargentos primeros D. Luis Zamora y Don Í sidro Sánchez, y á los Cadetes D. Rafael Fernandez, D. Bartolomé Carvajal y D. Felipe Zamora, este del regimiento de las Ordenes Militares, y pl que le precede de la compañía de Escopeteros de Getares. También se ha servido el Rey</t>
  </si>
  <si>
    <t>Fernando</t>
  </si>
  <si>
    <t>ina, se mandó llamar por edictos á los que se contemplen con derecho á su herencia, y en especial á D. Fernando y D. Julián Asensio Varela Ruibanes , cuyo paradero se ignora. Por lo mismo se hace notorio para que así los dos sugetos mencionados como otra qualquiera persona que se contemple con</t>
  </si>
  <si>
    <t>Fernando, Archiduque</t>
  </si>
  <si>
    <t>Archiduque Fernando</t>
  </si>
  <si>
    <t>s que se propone darla el Emperador, la qual costará mas de 4c© florines. Fribur^o 6 de Enero, E: 1 Archiduque Fernando pasara revista á su regimiento de húsarés, que llegó aquí el i.° del corriente. Sigue en este país con el mayor zelo el armamento de los paisanos, para el qual apronta esta ciudad</t>
  </si>
  <si>
    <t>go de arreglar todo lo relativo á la manutención de las tropas rusas durante la campaña próxima. El Archiduque Fernando ha salido del quartel general del exército austriaco, y va con mucha priesa á Viena. Dícese que lleva asuntos sumamente importantes. Stutgardt j de Febrero. U n correo del primer</t>
  </si>
  <si>
    <t>n lugar de dicho Príncipe, el qual se retira á Viena: el General Bellegarde mandará en Italia, y ¿1 Archiduque Fernando tendrá él título de Comandante general. Acaban los austríacos dé demoler enteramente las fortificaciones de Man* hein.</t>
  </si>
  <si>
    <t>salir quanto antes, y constará de 10 navios de línea y algunas fragatas. Augsbitrgo $ de Marzo. E I Archiduque Fernando irá al exército de Italia, y tendrá baxo sus órdenes á los Generales Melas y Bellegarde.</t>
  </si>
  <si>
    <t>cuerpo es el que está destinado para acometer á Belgrado y Seinendria. Francfort 2 2 de Marzo. E 1 Archiduque Fernando, que ha llegado á Augsburgo, pasará quizá por el quartel general de Donauseshingen ántes de ir á Italia. Ya habrá llegado al mismo parage el General Kray, que estaba visitando el</t>
  </si>
  <si>
    <t>cfort 31 de Marzo. T res hermanos del Emperador servirán durante esta campaña en los exército$vJE£l Archiduque Fernando mandará una de las divisiones del exército del Rhin : el Archiduque Palatino está nombrado General del cuerpo de reserva destinado á proteger las operaciones del exército de Itali</t>
  </si>
  <si>
    <t>as tropas bávaro-palatinas en la batalla de Moeskirch. Los enemigos amenaza-* ban á los puestos del Archiduque Fernando; pero el Barón de Wrede, comandante de aquellas tropas, acudió con ellas á las alturas de Buchen, y con-* siguió rechazarlos hasta mas allá de Hoslachof, mediante lo qual logró Mi</t>
  </si>
  <si>
    <t>entros muy reñidos entre los puestos avanzados hacia Illeriehheim, Laupheim y Illerdissen. El 22 el Archiduque Fernando y el General Rosenhe im, a quienes se encargó observasen la situación de los enemigos, y averiguasen los motivos de su retirada, se adelantaron con un cuerpo de caballería y artillerí</t>
  </si>
  <si>
    <t>e Baviera: el centro, baxo las órdenes de Mr. Nauendorff, en Donawert; y la derecha, mandada por el Archiduque Fernando, en los contornos de Ulm. Anoche Uc-Ó aquí el General Sainte-Suzanne con sus Ayudantes. También han venido los Generales Colaud y Souham. _ El General Moreau ha despachado un corr</t>
  </si>
  <si>
    <t>anceses el ala izquierda de los austríacos, y los obligaron á repasar el Danubio. Se asegura que el Archiduque Fernando quedó herido en aquella acción, y que lo llevaron á Ulin. Dos dias después diéron los austríacos un ataque contra nuestra ala izquierda , cerca de Schawabmunchen, en las márgenes</t>
  </si>
  <si>
    <t>dia 3 su quartel desde Erdingen á Hohenlinden, y de allí lo transferirá, según dicen,* á Háagen. El Archiduque Fernando se hallaba todavía en Landshut el dia 6; pero como los franceses, dueños de Mosburgo, se habían adelantado por la izquierda del Iller hasta llegar delante de Landshut, es probable</t>
  </si>
  <si>
    <t>~J -&gt;~ 7J tráron en aquella Ciudad. Las tropas, del Archiduque Fernando* se han retirado hasta Geisenhausen y Altenotingen. El cuerpo de dicho Príncipe fue atacado por otro superior en los contornos de Landshut: y no obstante su ventajosa situación, y</t>
  </si>
  <si>
    <t>ral Klenau, qué se había acantonado en Bohemia, se está disponiendo á volver al Alto-Palatinado^ El Archiduque Fernando irá con eí General Mack al exército de Italia, el qual ha de reforzarse con 30® húngaros.</t>
  </si>
  <si>
    <t>xm parte de Turquía, que conviene esperar la confirmación de esta. Praga 26 de Octubre. E 1 Archiduque Fernando salió de aquí el dia 21 de vuelta á su quartel general de Prcznítz , habiéndole acompañado el Archiduque Cárlos hasta cierta distancia de esta ciudad. Queriendo el Emperador asegu</t>
  </si>
  <si>
    <t>compañías de arcabuceros ó milicias del país. Jii exército de Italia, cuyo General en xefe será el Archiduque Fernando, asciende actualmente á 106© hombres efectivos, y se aumentará con el cuerpo de napolitanos que manda el General Damas, y también, se-&gt; gun se dice, con 12® ingleses que han de de</t>
  </si>
  <si>
    <t>Fernando, Príncipe</t>
  </si>
  <si>
    <t>Príncipe Fernando</t>
  </si>
  <si>
    <t>ro de reclutas que se hacen en todos los estados del imperador. Hallase de vuelta de Petersburgo el Príncipe Fernando de "Wurtemb'erg , y parece le conferirá S. M. Imp. la comandancia de esta capital. Selingenstadt 2 de Enero. A caba el Archiduque Carlos de enviar al Barón de Albini orden de que dis</t>
  </si>
  <si>
    <t>reforzado con tropas de Wnrtcmberg y bavaro-paiatinas: el General Nauheoiorí manda el centro; y el Príncipe Fernando el ala izquierda. Este General qued ba apostado delante de Ulm, Mr. Nauhendorf en Elchingen ,y Mr.Staray entre Burgau y Gunzburgo. En efta última ciudad se halla el cuerpo del Prínc</t>
  </si>
  <si>
    <t>r fiaber degollado de noche á algunos polacos á quienes sorprehendiéron dormidos en unas chozas. E1 Príncipe Fernando , después de la derrota que padeció el 5 cerca de Illerdrssen r se retiró á Ulm. Tres cuerpos austriacos mandados por el General Staray se han apostado entre el Lech é Ingolstadt</t>
  </si>
  <si>
    <t>enemigos, los quales no hicieron gran resistencia sino en la aldea de Burgrieden, defendida por el Príncipe Fernando, lomamos y perdimos varias veces dicha aldea -; pero ai fin á las 7 de la tarde quedó por nosotros. El cuerpo de Grenier empezó á las 10 de la noche sus disposiciones en la derech</t>
  </si>
  <si>
    <t>Fernando-Garayoa</t>
  </si>
  <si>
    <t>on destino á obras de fortificación. Al difunto D. Gerónimo Larreandi, ilesa su memoria. Al testigo D. Fernando-Garayoa un mes en el castillo de la Mota; y el propio tiempo de arresto en otro castillo á D. Vicente Parga, primer Teniente de-infontería de León, y testigo en la causa. Todo lo qual com</t>
  </si>
  <si>
    <t>Ferrandiz, Antonio</t>
  </si>
  <si>
    <t>Antonio Ferrandiz</t>
  </si>
  <si>
    <t>po D. Fabio Pascual del Povil y D. Joseph Roque Maseres: las Tenencias á los Tenientes de fusileros D. Antonio Ferrandiz y D. Juan de A «milar ; y las Subtenencias á D. Joseph Alted y D. Joseph Sánchez Cebada: las compañías de granaderos y cazadores del provincial de Segorve á los Capitanes í). Ignacio</t>
  </si>
  <si>
    <t>Ferrer y Figueredo, Manuel</t>
  </si>
  <si>
    <t>Manuel Ferrer y Figueredo</t>
  </si>
  <si>
    <t>o. S. M. se ha servido nombrar para el obispado de Málaga, que vacó por fallecimiento del limo. Sr. D. Manuel Ferrer y Figueredo, al Sr. Do*</t>
  </si>
  <si>
    <t>ebre que en las solemnes exequias celebradas por sus familiares £ la gloriosa memoria del limo. Sr. D. Manuel Ferrer y Figueredo, Arzobispo Obispo de Málaga, en la iglesia de religiosas Agustinas, el dia 20 de Agosto de 1799, dixo el Dr. i). Diego Joseph Benitez Chacón, Canónigo magistral. Se hallará en la</t>
  </si>
  <si>
    <t>Ferrera, Joseph Nicolás</t>
  </si>
  <si>
    <t>Joseph Nicolás Ferrera</t>
  </si>
  <si>
    <t>Moreno. En América* El Rey se ha servido nombrar para la Cánongía Lectoral dé la catedral de Cuba á-D. Joseph Nicolás Ferrera. También ha nombrado S. M. para la Contaduría Real de diezmos del arzobispado de Charcas , vacante por fallecimiento de D. Juan Antonio Ruiz Tagle, á D. Estéban Agustín Gascón. D.</t>
  </si>
  <si>
    <t>Ferrioi y Orellana, María</t>
  </si>
  <si>
    <t>María Ferrioi y Orellana</t>
  </si>
  <si>
    <t>patronato de Doña Ana Montero, en 368,871. rzz: Puerto de Santa María : una huerta del patronato de Doña María Ferrioi y Orellana, tasada en 44,39a rs. Una dehesa de id. en 63,910. Itendencia de Badajoz. Xercz de los Caballeros: una casa junto á la fuente de los Santos, de la obra pía de D. Juan Vázquez , ta</t>
  </si>
  <si>
    <t>Fiandrino, Antonio</t>
  </si>
  <si>
    <t>Antonio Fiandrino</t>
  </si>
  <si>
    <t>bril, núm. 382,496, baxo cubierta de D. Miguel Iraceburu , de Valencia , con el penúltimo endoso de D. Antonio Fiandrino i favor de dicho EUzalde, y este no tiene presente si lo pasó al de D. Jcacbin de Lisbona,ó si lo remitió con firma en blanco; y habiéndose extraviado, quien lo hubiese hallado lo</t>
  </si>
  <si>
    <t>Fidel de Reding</t>
  </si>
  <si>
    <t>Teniente al Subteniente de granaderos D. Félix Mollo; y á Subteniente de granaderos al de fusileros D. Fidel de Reding: en el de Yann á Ayudante al Teniente D. Jacobo Kaysser ; á Teniente al Subteniente de granaderos D. Joseph Niderberger; y á Subteniente de granaderos al de fusileros D. Remigio K</t>
  </si>
  <si>
    <t>fusileros D. Alexandro de Korb y D. Manuel Gerig; á Tenientes á los Subtenientes D. Bernardo Yutz, D. Fidel de Reding, de granaderos, D. Francisco Kamer, D. Víctor'Nidérist y D. Joseph Ledergerw, y á‘Subteniente dé granade-1 ros ai de fusileros D. Joseph Kaysér ; lvabiéndoAgualménté nómbrachy S.</t>
  </si>
  <si>
    <t>Figueroa, Domingo</t>
  </si>
  <si>
    <t>Domingo Figueroa</t>
  </si>
  <si>
    <t>iente de granaderos ál de fusileros D. Cipriano Domínguez; á segundo Teniente al primer Subteniente D. Domingo Figueroa; y á segundos Subtenientes al Sargento primero, graduado de Subteniente, D. Manuel\ico, y al Cadete de la compañía de Getares D. Joseph de Robledo: en el de Zaragoza á segundo Sub</t>
  </si>
  <si>
    <t>Figueyra, Joseph</t>
  </si>
  <si>
    <t>Joseph Figueyra</t>
  </si>
  <si>
    <t>l , para el mismo destino: para la Canongía de la metropolitana de Burgos, vacante por promoción ae D. Joseph Figueyra á la dignidad de Tesorero de Cádiz, á D. Eugenio Gómez Altaro: para otra de la catedral de León, vacante por fallecimiento de D. Tomas Angel Gutiérrez, á D. Toribio Ximenez : para</t>
  </si>
  <si>
    <t>Fino, General</t>
  </si>
  <si>
    <t>General Fino</t>
  </si>
  <si>
    <t>íiií&gt;jij.j.5 están en marcha hacia Bolonia, en donde las arreglará y mandará el General Fino; y otra división de ias mismas se halla en la Valtelina baxo l?.s órdenes del General Lechi. Finalmente, algunos cuerpos franceses se dirigen al país de los Grisone?. Strashtrgo i</t>
  </si>
  <si>
    <t>Fitz-Gerald, Juan</t>
  </si>
  <si>
    <t>Juan Fitz-Gerald</t>
  </si>
  <si>
    <t>de granaderos al de fusileros D. Juan Macdonell; á primeros Tenientes á los segundos de granaderos D. Juan Fitz-Gerald y D. Jacobo Troche; á segundos Temen-, tes de granaderos á los de fusileros D. Armando Franqucn y D. Pedro FitzGerald; á segundos Tenientes á los Subtenientes de granaderos D. Maurici</t>
  </si>
  <si>
    <t>Fiztgerald, Juan</t>
  </si>
  <si>
    <t>Juan Fiztgerald</t>
  </si>
  <si>
    <t>er Teniente ai segundo D. Latino Fitzgerald; á segundos Tenientes de granaderos á los¡ de fusileros D. Juan Fiztgerald y D. Jacobo Troche ; á segundos Tenientes al Subteniente dé granaderos D. Manuel Cleere, y á los primeros Subtenientes D* Juan Peirson y D. Guillermo Douning; á Subtenientes de granad</t>
  </si>
  <si>
    <t>Flángini, Cardenal</t>
  </si>
  <si>
    <t>Cardenal Flángini</t>
  </si>
  <si>
    <t>icen, y ya se trabaja en los preparativos para ella. Ha nombrado S. S. para Secretario de Estado al Cardenal Flángini, noble Veneciano, que fue individuo del Senado ántes de ser Auditor de la Rota* Los habitantes de esta ciudad han celebrado mucho esta elección.</t>
  </si>
  <si>
    <t>Floding, Obispo</t>
  </si>
  <si>
    <t>Obispo Floding</t>
  </si>
  <si>
    <t>e S. M. y á la abertura de la Dieta. Para diputados en ella ha elegido el clero de Stockolmo al Sr. Obispo Floding, y á los Sres. Bergstein y Borg, Curas de Sta. Catalina y de Riddazholm. Se ha dado á luz un tratado de alianza defensiva entre el Emperador de Rusia y S. M. Fidelísima, firmado e</t>
  </si>
  <si>
    <t>Flor de la Bastida, Antonio</t>
  </si>
  <si>
    <t>Antonio Flor de la Bastida</t>
  </si>
  <si>
    <t>D. Francisco Carrasco; él empleo de Tercenista de la Administración principal de tabacos de Quito á D, Aiitonio Flor dé la Bastida s el de Fiel dé almacenes y Maestro de la fábrica, de tabacos dé Guayaquil á D, An«* dres Cadena: (a plaza de Oficial segundo de larAdministracion de aguardientes de Ley va á I).</t>
  </si>
  <si>
    <t>Flores, Francisco</t>
  </si>
  <si>
    <t>Francisco Flores</t>
  </si>
  <si>
    <t>uncio que el Rey se habia dignado de nombrar para la Capellanía mayor de la Visitación de Madrid al Dr. Don Francisco Flores; debe entenderse para la Capellanía primera, pues no hay Capellanía mayor en la citada fundación. - J En la gazeta última, capítulo de Madrid , que previene la cantidad de alcanfo</t>
  </si>
  <si>
    <t>Flores, Pedro</t>
  </si>
  <si>
    <t>Pedro Flores</t>
  </si>
  <si>
    <t>eros D. Francisco Prieto y D. Pedro Pelaez Campománes; la Tenencia de cazadores del de Chinchilla á D. Pedro Flores, Teniente de fusileros; Tenencia de esta clase en el de Betanzos al Subteniente D. Tose*Ti Benito Losada; las Subtenencias de granaderos y cazadores dtT dé Sog-ovia á los Subtenie</t>
  </si>
  <si>
    <t>andez. También ha conferido S. M. en el regimiento provincial de Chinchilla Compañía de fusileros á D. Pedro Flores, Teniente de cazadores: esta resulta á D. Agustín Lozano, Teniente de fusileros: Tenencias de esta cíase á D. Joseph Rodríguez de Vera, D. Francisco Amores, D. Fernando González y</t>
  </si>
  <si>
    <t>Flubia y Pastel, Ramón</t>
  </si>
  <si>
    <t>Ramón Flubia y Pastel</t>
  </si>
  <si>
    <t>y á los Subtementes D. Rafael Cerecio y D. Vicente Matas. En atención á los méritos y servicios de D. Ramón Flubia y Pastel/, vecino de la villa de Olot, corregimiento de Vi que en el Principado de Cataluña, se ha servido S. M. concederle privilegio de Ciudadano honrado de Barcelona, para sí, sus hijos</t>
  </si>
  <si>
    <t>Foissác-Látour</t>
  </si>
  <si>
    <t>Cónsules al Ministro de Guerra el siguiente decreto: „Los Cónsules saben qué el ciud. Foissác-Látour ha, vuelto del Austria, y que hace uso de uniforme francés, con lo qual lo deshonra. Le comunicareis que desde el dia en que cobardemente entregó la plaza de M</t>
  </si>
  <si>
    <t>Foissac-Latour</t>
  </si>
  <si>
    <t>l sitio vergonzoso, que será mecho tiempo un borrón para nuestros exércitos. El ciud. Foissac-Latour hallará en el desptecip publicó el mayor castigo que pueda imponerse aun francés.” También han dirigido los Cónsules al Ministro de Marina un decreto en que qu</t>
  </si>
  <si>
    <t>FoissacLatour</t>
  </si>
  <si>
    <t>que no tenia la menor brecha en sus murallas: y que la vendió á Ips enemigos su Comandante FoissacLatour, que por premio de su traición se llevo 1.800,300 francos. Ginebra 11 de Mayo» A ntes de ayer noche llegó aquí el primer Cónsul Bonaparte, y anoche concurrió á</t>
  </si>
  <si>
    <t>Folgas, Francisco</t>
  </si>
  <si>
    <t>Francisco Folgas</t>
  </si>
  <si>
    <t>e Sta. María y S. Pedro de la villa de Ita, en la diócesis de Toledo , vacante por fallecimiento de D. Francisco Folgas, á D. Joseph Barranco ; y para otro también simple de la villa de Argéte, en la misma diócesis de Toledo, vacante por promucion de D. Gabriel Tovar, á D. Joseph Ximenez de Cisnero</t>
  </si>
  <si>
    <t>Font, Joseph</t>
  </si>
  <si>
    <t>Joseph Font</t>
  </si>
  <si>
    <t>Corregimiento de Vique................................................ 52. 19. Joseph Font, hijo de Sebastian y Antonia, natural de Tarragona, Corregimiento ídem.................................... 52. 19. Jacinto Armengol, hijo de Senent y Magdalena, natural de Barcelona, Co</t>
  </si>
  <si>
    <t>Font, Pedro</t>
  </si>
  <si>
    <t>Pedro Font</t>
  </si>
  <si>
    <t>, Corregimiento de Gerona............... .................................. 30. Pedro Font, hijo de Mateo y Rosa, natural de Riudare. ñas •, Corregimiento de Gerona...,,.............................. . 43. 23. Lorenzo Arbosé , hijo de Juan y Mariana , natural de Casa de la Se</t>
  </si>
  <si>
    <t>Font, Pedro Martín</t>
  </si>
  <si>
    <t>Pedro Martín Font</t>
  </si>
  <si>
    <t>rcos de coches , asimismo marcos para láminas imitados á los de Alemania: en Bárcelo* na en casa de D. Pedro Martin Font: en Valencia en lá cíe D. Benito Soria y Espinosa; y ea Zaragoza en la de D. Miguel Pescador. : , ¿ ^ Xa junta de gobierno de la Reál compañía de seguro* terrestres y. marítimos c</t>
  </si>
  <si>
    <t>Fontán, Joachín</t>
  </si>
  <si>
    <t>Joachín Fontán</t>
  </si>
  <si>
    <t>enis; á esta resulta al primer Subteniente D. Juan Bautista Maure ; á primer Subteniente al segundo D. Joachin Fontán, y á segundo Subteniente al Cadete D. Joseph Pardo: e'n e! de Jaén á segundo Teniente al primer Subteniente D. Francisco Munarriz, y á esta resulta al segundo Subteniente, graduad</t>
  </si>
  <si>
    <t>Foraster, Ambrosio</t>
  </si>
  <si>
    <t>Ambrosio Foraster</t>
  </si>
  <si>
    <t>1067 Teniente al Alférez D. Ambrosio Foraster : en el de Alcántara á primeros Tenientes á ios serondos D. Francisco de Paula Mirafccte y 1). Bonifacio Martínez ; á Alférez al Portaestandarte D. Donato Ccbrian , y á Portaestan</t>
  </si>
  <si>
    <t>Forner, Joachín</t>
  </si>
  <si>
    <t>Joachín Forner</t>
  </si>
  <si>
    <t>ra Portaguiones á los Cadetes D. Juan Rondeau, D. Andrés Ordoñez, y al Sargento graduado de Alférez D. Joachin Forner. En la extracción extraordinaria de la Real lotería executada el lunes 21 del corriente, saliéron los números 21, 77, 2, 32 y 67; y con ellos han ganado los jugadores 225,350 rs.</t>
  </si>
  <si>
    <t>Fortnn, Francisco</t>
  </si>
  <si>
    <t>Francisco Fortnn</t>
  </si>
  <si>
    <t>1210 de granaderos D. Francisco Fortnn y D. Antonio Tomas ; segundas Tendió cías de granaderos i los de fusileros D. Luis Márquez y tí. Juan de Dioé Perez; estas resultas á los Subtenientes de granaderos D. Joseph Ximenez</t>
  </si>
  <si>
    <t>Fortun, Francisco</t>
  </si>
  <si>
    <t>Francisco Fortun</t>
  </si>
  <si>
    <t>iente al segundo de granaderos D. Joseph Aymerich; á segundo Teniente de granaderos al de fusileros D. Francisco Fortun ; á segundo Teniente al Subteniente de granaderos Don Joseph Marco y Royo; á Subteniente de granaderos al primer Subteniente D. Vicente Ruiz Cubero, y á primer Subteniente al segu</t>
  </si>
  <si>
    <t>Fortun, Miguel</t>
  </si>
  <si>
    <t>Miguel Fortun</t>
  </si>
  <si>
    <t>enientes á los Cadetes D. Diego Tolosa y D. Antonio Remon y Huet, al Sargento primero de granaderos D. Miguel Fortun y á D. Manuel Xjmenez de Leorin y Amar: en el de Burgos á Capitán de granaderos al de fusileros D. Cayetano Albornoz; á Capitán al primer Teniente de granaderos, graduado de Tenient</t>
  </si>
  <si>
    <t>Fosa, Francisco</t>
  </si>
  <si>
    <t>Francisco Fosa</t>
  </si>
  <si>
    <t>ulco promover á Teniente al Subteniente D. Bartolomé de la Parra; y pava esta Subtenencia al Cadete D. Francisco Fosa. Igualmente se ha dignado conceder agregación de Alférez al regimiento de dragones de Buenos-Ayres á D. Ramón Vázquez y Pagóla. Por resolución de S. M. de 20 de Diciembre de 1799</t>
  </si>
  <si>
    <t>Fourier</t>
  </si>
  <si>
    <t>, xeques y ulhemas. Hubo muchas salvas fúnebres de artillería y fusilería, y el ciud. Fourier pronunció el elogio del difunto General. Concluida la ceremonia se procedió al castigo de Soleymanel-Aiepi y de sus cómplices á presencia de las tropas y de lo</t>
  </si>
  <si>
    <t>Fowden, Tomás</t>
  </si>
  <si>
    <t>Tomás Fowden</t>
  </si>
  <si>
    <t>mbre de los de Bristol, Plimouth y Bath. En la misma sesión acordó la Cámara dar algunos socorros á Mr. Tomas Fowden, para que pueda continuar sus experiencias sobre la utilidad de una pasta mineral que ha inventado, y puede suplir por el almidón. Se compone de una especie de yeso de que abunda</t>
  </si>
  <si>
    <t>Fox</t>
  </si>
  <si>
    <t>e S. M. enviará un mensage sobre este asunto. Créese que el dia 27 se tratará de ello; y añaden que Mr. Fox asistirá á aquella se&amp;iom</t>
  </si>
  <si>
    <t>ia relativa á las negociaciones propuestas por el gobierno francés. Asistió á la sesión de este dia Mr. Fox, Pidió desde luego Mr. Dundas se hiciese una respuesta á S. M. aprobando dicha correspondencia. Apoyóle Mr. Ganing, y se opusieron á ello Mrs. Whitbread y Erskine. Tomó la palabra</t>
  </si>
  <si>
    <t>s recursos de la República francesa, nos conduce al ajuste de una paz sólida y duradera. Contestóle Mr. Fox, y empezó diciendo que mas útil seria exáminar la conducta que debia observarse respecto á las aberturas de una negociación, que pararse en averiguar qual de los dos partidos habi</t>
  </si>
  <si>
    <t>ya no hacen caso de la voz ni de la opinión publica. Aunque otros miembros apoyaron las razones de Mr. Fox, se aprobó al fin la propuesta del Ministro Dundas, y por consiguiente la respuesta del Lord Grenville al Ministro francés. .7 ■ • , . - c * . Haya 8 de Febrero,, , A ntes de ayer</t>
  </si>
  <si>
    <t>gidor de esta capital: constaba la asamblea de mas de 400 personas. El Presidente hizo el elogio de Mr. Fox, y bebió á su salud. Este, al darle gracias, dixo que había anunciado á esta sociedad, hace cerca de dos años, que el retiro de los negocios públicos le parecia el partido mas pru</t>
  </si>
  <si>
    <t>a resuelto prestarlos, nos tienen bloqueados eon mucha estrechez. Londres de Julio. S e asegura que Mr. Fox ha concluido una grande obra que estaba tra bajando, y consiste en la historia de Inglaterra desde la revolución del año de 1688, en que concluye la del celebrado Hume, hasta fine</t>
  </si>
  <si>
    <t>con tanto empeño en la prisión de Napper-Tandy. Hállase en esta ciudad el Lord Holland, sobrino de Mr. Fox: va á Berlín, y de allí pasará á Italia. También ha llegado el Lord Carisford, nuevo Ministro ingles cerca del Rey de Prusia, que dicen viene especialmente encargado de tratar con</t>
  </si>
  <si>
    <t>o Mr, Guillermo Staynes. Ayer se celebró en la fonda de Shakespeare el cumpleaños de la elección de Mr. Fox para parlamentario. Hizo este sugeto un Lirgo y muy eloqiiente discurso , y brindó á una pronta paz entre la Gran Bretaña y la República francesa. La sociedad de agricultura de Lo</t>
  </si>
  <si>
    <t>Frade, Juan Antonio</t>
  </si>
  <si>
    <t>Juan Antonio Frade</t>
  </si>
  <si>
    <t>ipe Pacheco: en el de Ciudad-Rodrigo -las Subtenencias de granaderos y cazadores á los Subtenientes D. Juan Antonio Frade y D. Francisco Santa Cruz: en el de Truxiüo las Subtenencias de cazadores y bandera al Subteniente D. Diego Bobadilla., y á D. Gonzalo y D. Matías de Carvajal Roco de Godoy. en el de</t>
  </si>
  <si>
    <t>Fraila</t>
  </si>
  <si>
    <t>te al Alférez D. Lorenzo .Martínez; y en el de Numancia á Alférez al Sargento primero de granaderos D. Fraila cisco Albert. El Rey ha conferido en los regimientos provinciales los empleos siguientes : en el de Ronda la Compañía de granaderos al Capitán de fusileros, graduado de Teniente C</t>
  </si>
  <si>
    <t>Fran</t>
  </si>
  <si>
    <t>43 olivos y una tierra dé una fan. en Otro con 23 olivos en el barranco Pareja* en aoo. Memoria dé: D. Fran* cisco Ruiz Velasco: una tierra en el pago de Navajudo, de a fanegas, tasada en</t>
  </si>
  <si>
    <t>Francés, María</t>
  </si>
  <si>
    <t>María Francés</t>
  </si>
  <si>
    <t>áia execucion de Doña María Villalobos, en 48,320 rs. Otra en id., pem tenéciente á la execucion de Doña María Francés de - Villalobos, en 45,506. rs. 4 mrs. Otra callé del Clavel, perteneciente á id., en 44,330 rs. 14 mrs. Un* torre y huerta en término del Rabal, perteneciente á id., en 46,179 rs. 4</t>
  </si>
  <si>
    <t>Franch, Ramón</t>
  </si>
  <si>
    <t>Ramón Franch</t>
  </si>
  <si>
    <t>tandarte en el de España al Cadete D, Andrés Nieto; á Alférez en el de Calatrava al Portaestandarte D. Ramón Franch; á primer Teniente en el de Santiago al segundo D. Manuel Fernandez; á Alférez en el de Húsares al Cadete D. Joseph la Esquina , y á Comandante de esquadron en el de la Costa de G</t>
  </si>
  <si>
    <t>Francisca Dávila</t>
  </si>
  <si>
    <t>orralón sito calle de las Damas, n. 14 , manzana 31, propio de las memorias de Baltasar Hernández y Doña Francisca Dávila su muger, tasado en 19,541 rs., y dan por él 13,500 j y. para su remate se ha señalado el dia 5 de Febrero de doce á una en la audiencia, de dicho Señor Teniente: quien quisiere h</t>
  </si>
  <si>
    <t>Francisca Sánchez Sagramefia</t>
  </si>
  <si>
    <t>alle de Jacometrezo, esquina á la del Olivo, núm. i&lt;5 , manzana 36$ , que pertenece á la memoria de Doña Francisca Sánchez Sagramefia: comprehende su sitio 3394 pies , y está tasada en 136,393 rs. Quien quiera hacer postura ó mejora ocurra á la escribanía cíel número de D. Diego Benigno González. ~— Por la audie</t>
  </si>
  <si>
    <t>Francisca Sánchez Sagrameña</t>
  </si>
  <si>
    <t>dor de esta villa D. Pedro González Calderón se subastan dos casas pertenecientes á las memorias de Dona Francisca Sánchez Sagrameña, una en la calle de Jacometrezo , núm. 10 f manzana 365 ; comprehende 3394 pies de sitio: se compone de quatro habitaciones, baxa , principal , segunda y tercera ; y esta tasada e</t>
  </si>
  <si>
    <t>Francisca Vacas</t>
  </si>
  <si>
    <t>ientes á la capellanía de Doña María Ana González, al vínculo de D. Diego Aledo, á la capellanía de Doña Francisca Vacas, y al patronato fundado en la parroquial, tasadas en 77,ggo rs. y renta 2682. 9 idem : 5 pedazos de tierra de 119 fanegas , goo vides, una casa y un censo, en término de Jirueque,</t>
  </si>
  <si>
    <t>Francisco</t>
  </si>
  <si>
    <t>ó: También ha nombrado el Rey Teniente de la Compañía suelta cíe fusileros, voluntarios de Aragón á D. Francisco cíe Paula Ruiz, primer Subteniente de l5i misma: para Capitán de las Milicias urbanas de la Coruña ál Teniente D. Ignacio Boan , y pajea Ayudante al Teniente D. Diego Iíij’osa. As</t>
  </si>
  <si>
    <t>Francisco Antonio</t>
  </si>
  <si>
    <t>adrid á D. Joseph Domingo de Barandiaran , en Cádiz á dicho Mendiburu, ota S. Sebastian al referido D. Francisco Antonio. En la noche del i6 al 27 de Octubre del año último se extravíáron en ca» "de D. Cipriano de Campos , vecino de la villa del Viso , inmediata á esta cort$, dos vates “Reales, úno'</t>
  </si>
  <si>
    <t>Francisco Bartolomé</t>
  </si>
  <si>
    <t>eros D. Manuel Ballesteros y D. Pedro Patino; á segundos Tenientes de granaderos á los de fusileros D. Francisco Bartolomé y D. Joseph Baamonde; á segundos Tenientes á los Subtenientes de granaderos D. Ramón Oller, graduado de Teniente, y D. Patricio Ontañon, y á los primeros Subtenientes D. Francisco Cam</t>
  </si>
  <si>
    <t>a de las Ordenes Militares se ha servido el Rey promover á primer Teniente al segundo de granaderos D. Francisco Bartolomé; á segundos Tenientes de granaderos á los de fusileros D. Ignacio Espinosa y D. Joseph Fortun y Mendoza; á segundos Tenientes á los Subtenientes de granaderos D. Clemente Lanza, D</t>
  </si>
  <si>
    <t>Francisco María</t>
  </si>
  <si>
    <t>sileros en los de Betanzos y Mondoñedo, al Teniente de granaderos graduado de Capitán de infantería D. Francisco María.de Leis, y al Teniente de fusileros con grado de infantería D. Juan Gutiérrez: Tenencias de granaderos en los de Santiago y Lugo á los Tenientes de fusileros D. Luis Coton y D. Fe</t>
  </si>
  <si>
    <t>ga, D. Juan Domingo Lozano, Don Trifon Antonio de Ibarrola Layse.ca, D. Antonio López del Castillo, Don Francisco María. González Ares y Ron,, D. Juan Joseph Marina y D.'.Jc)^' iejiiríMaría Qrtég^.. ....'ó:j) . ‘ . . Ó • EhJ.aten¿i.ó.n4’lo&amp;^¿rLtos.y^t!yicr5js, deD. . Jósjeph Glavijo Faxardo,- Di-*</t>
  </si>
  <si>
    <t>Francisco Martín</t>
  </si>
  <si>
    <t>p, y á primer Subteniente al segundo D. Juan Cortijo : en el de España á primer Teniente al segundo D. Francisco Martin; á segundo Teniente al Subteniente de granaderos D. Joseph Casou; á Subteniente de granaderos al primer Subteniente D. Antonio Hidalgo Torralba, y á primer Subteniente al segundo</t>
  </si>
  <si>
    <t>Francisco Salvador</t>
  </si>
  <si>
    <t>os de Valencia á segundo Ayudante al primer Teniente D. Antonio Azntr; á primer Teniente al segundo D. Francisco Salvador; á segundo Teniente al primer Subteniente D. Francisco Caturla; á esta resulta al segundo Subteniente D. Joachin Rubio, y a segundo Subteniente al Sargento primero, graduado de Su</t>
  </si>
  <si>
    <t>encia á segundo Capitán al segundo Ayudante D. Antonio Aznar; X segundo Ayudante al primer Teniente D. Francisco Salvador; á primeros Tenientes X los segundos D. Lamberto L'honeux y D. Antonio Miguel de Troncos; X segundos Tenientes á los primeros Subtenientes Don Joseph María de Lugo y D. Miguel Pul</t>
  </si>
  <si>
    <t>Francisco'Antonio de Rarandiaran</t>
  </si>
  <si>
    <t>gnacio de Urizar , 994 rs. ía mrs. D. 'Matías de Mendiburu, de Cádiz , remitió el 13 de Diciembre á D. Francisco'Antonio de Rarandiaran , de S. Sebastian 6 vales Reales de á 300 pesos, creación de i.0 deEébrero, núms. ic6,i r 1 , 106,379, 106,431 , 106,342 ,.109,033, j 10^079 ; y Uno'de i^o pesos, Creación de Marz</t>
  </si>
  <si>
    <t>Franciscó'LeopoIdo Luis, Archiduque</t>
  </si>
  <si>
    <t>Archiduque Franciscó'LeopoIdo Luis</t>
  </si>
  <si>
    <t>que ahora vuelven á empezar este círculo, lo qual es muy digno, de notarse. Viena 21 de Marzo. E 1 Archiduque Franciscó'LeopoIdo Luis, hijo mayor del Gran Duque de Tosca na, murió aquí en la noche del 18 al 19 del corriente. Flabia nacido este Príncipe el 1-5 de Diciembre de 1794. No obstante las voces de paz ,</t>
  </si>
  <si>
    <t>Francisco’de Paula Naranjo</t>
  </si>
  <si>
    <t>timo adjudicar una' .medalla. Académica de plata, de quatro onzas, á su individuo de numero el Lie. Don Francisco’de Paula Naranjo, por haber desempeñado dignamente i comentario que se le había confiado sobre el referido libro séptimo de Vives, que trata de la corrupción del derecho civil. : . . * *pRor provi</t>
  </si>
  <si>
    <t>Franco Cuenca</t>
  </si>
  <si>
    <t>tinuado después én otras obras. Todas las desempeñó con inteligencia el maestro Franco Cuenca, vecino de la misma villa. Fn estos baños, que solo distan 15 leguas de Madrid, hallarán los enfermos la mejor asistencia y gobierno, y el surtido de todos los comestibles que produce el</t>
  </si>
  <si>
    <t>Franco Iglesias, Francisco</t>
  </si>
  <si>
    <t>Francisco Franco Iglesias</t>
  </si>
  <si>
    <t>tía á I). Bernabé Arisa; Tenencias á D. Vicente de la Cerna, D. Ramón Hernández, D. Joseph Montano, D. Francisco Franco Iglesias, D. Cipriano de la Cerna, D. Miguel Estéban de Irazoqui, D. Joseph Lino Salazar, Don Juan Miguel de Eguizabal y D. Juan de Echevarría: empleos de Alféreces á D. Manuel 4,e Fuentes</t>
  </si>
  <si>
    <t>Franco, Antonio</t>
  </si>
  <si>
    <t>Antonio Franco</t>
  </si>
  <si>
    <t>ra ; y habiéndose extraviado, quien los haya encontrado los entregará á dicho Diaz en Sevilla , ó á D. Antonio Franco en Zafra. Por la audiencia del Sr. D. Juan Antonio Santa María y escribanía del número de D. Joaquín González de Castro, se están subastando tres casas, correspondientes á las memor</t>
  </si>
  <si>
    <t>Franco, Tómas</t>
  </si>
  <si>
    <t>Tómas Franco</t>
  </si>
  <si>
    <t>ores D. Joseph Moriano y D. Juan Rancourt; á segundos Tenientes á los Subtenientes Don Juan filake, D. Tómas Franco y D. Joseph Montero, el segundo y tercero de tiradores y gastadores, y á estos empleos á los Subtenientes D. Rafael Moriano y D. Antonio Carrion. i y</t>
  </si>
  <si>
    <t>Franco, Vicente Ignacio</t>
  </si>
  <si>
    <t>Vicente Ignacio Franco</t>
  </si>
  <si>
    <t>perfeccionar la cria de caballos en este Reyno, y la gratificación de mil reales al socio de mérito D. Vicente Ignacio Franco, autor de la descripción topográñco-económica de la gobernación de S. Felipe. Por mano cíel Director se distribuyéron a niños y niñas 45 premios de 100 reales de vellón cada uno :</t>
  </si>
  <si>
    <t>Franjáis</t>
  </si>
  <si>
    <t>ha sido nombrado Prefecto del departamento del Charenta-Inferior , en lugar del ciud. Franjáis de .Nántes, promovido á Consejero de Estado. También ha nombrado Bonaparte al ciud. Pichón para Comisario general de relaciones mercantiles de ia República en Fil</t>
  </si>
  <si>
    <t>Frank, Pedro</t>
  </si>
  <si>
    <t>Pedro Frank</t>
  </si>
  <si>
    <t>arán en casa de Bayio, calle dé las Carretas, á 36 rs. .en pergamino y 41 en pasta. Reflexiones del Dr. Pedro Frank sobre 1.a doctrina Browniana, traducidas del latin por D. Vicente Mitjavila y Fisonell, médico honorario de la familia Real, para la formación del quarto opúsculo Browaiaoo. Estas</t>
  </si>
  <si>
    <t>Fransoy, Joseph</t>
  </si>
  <si>
    <t>Joseph Fransoy</t>
  </si>
  <si>
    <t>s Don Juan Calderón, D. Joachin Benitez y D. Nicolás Ortuño; á primeros Subtenientes X los segundos D. Joseph Fransoy, D. Francisco Gallardo, Don Joachin Navarro, D. Joseph Mancha y D. Christóbal Aguilar, y á segundos Subtenientes á los Sargentos primeros D. Antonio Merlo y D. Miguel Márquez, y á</t>
  </si>
  <si>
    <t>Fraser</t>
  </si>
  <si>
    <t>ewscastle , y destinadas para el Riba, Algunas de dichas embarcaciones hau venido ya á este puerto. Mr. Fraser, Enviado británico en Hamburgo, salid de aquí el día 20 para Inglaterra. Se junta á toda priesa en Dinamarca gente para 'tripular 1* esquádra que sigue armándose con la mayor acti</t>
  </si>
  <si>
    <t>Frasnedo, Joseph</t>
  </si>
  <si>
    <t>Joseph Frasnedo</t>
  </si>
  <si>
    <t>'también S. M. promover á Alférez al Portaestandarte D. Manuel Yurre; y á Portaestandarte al Cadete D. Joseph Frasnedo: en el de Carabineros de la Rey na María Luisa á Teniente Coronel al Comandante de esquadron Vizconde de■ ¿Jolina ; á,Comandante ele esquadron. al Sargento mayor, graduado de Teni</t>
  </si>
  <si>
    <t>Fray, Andrés</t>
  </si>
  <si>
    <t>Andrés Fray</t>
  </si>
  <si>
    <t>...... D. Manuel de la Peña. En Barcelona...... D. Ramón de Llordeila é hijo. En Burgos......... .. D. Andrés Fray le. En Cádiz............... D. Benito de la Piedra. En Ciudad-Real.. D. Ramón Antonio Pico. En Córdoba.......... Sres. Barcia, padre é hijo. En la Corana....... D. Manuel Antonio</t>
  </si>
  <si>
    <t>..... D.*Manuel de la Peña. En Barcelona.. .... D. Ramón de Llordelia é hijo. En Btírgos......... . D. Andrés Fray le. En Cádiz.............. I). Benito de la Piedra. En Ciudad-Real.. D. Ramón Antonio Pico. En Córdoba*...a.., Sres. Barcia, padre é hijo. En la Cotuña......./D. Manuel Antonio de</t>
  </si>
  <si>
    <t>Frayle, Andrés</t>
  </si>
  <si>
    <t>Andrés Frayle</t>
  </si>
  <si>
    <t>Burgos ó en S. Sebastian. Quien quiera ver la calidad de la quina en Búr— gos acudirá á la casa de D. Andrés Frayle; en Santander á la del Conde del Campo de Giro 5 en S. Sebastian á la de D. Francisco Antonio de Rarandiaran , y en Madrid á la de los Sres. Peña y Aramburu, calle Imperial. Quien</t>
  </si>
  <si>
    <t>Fráylé, Andrés</t>
  </si>
  <si>
    <t>Andrés Fráylé</t>
  </si>
  <si>
    <t>.'Mañüéldé'iá Peña. ^ •*; £n Bartélóáa.. ...,■ D. Ramón de Lloiídefla é hijo. En'Burgos.:'....*.... D. Andrés Fráylé. EWCddiz*............ J&gt;. Benito de la Piedra. En Ciudad-Real.. D. Ramón Antonio Pico.</t>
  </si>
  <si>
    <t>Frayre, Manuel Joseph</t>
  </si>
  <si>
    <t>Manuel Joseph Frayre</t>
  </si>
  <si>
    <t>esta clase á Doa Francisco Argais, Sargento primero de granaderos; y á Subteniente de granaderos á D. Manuel Joseph Frayre, Subteniente de fusileros. El Mercurio histórico y político de Junio se hallará en el despacho de la imprenta Real, en el Real sitio de S. Ildefonso en casa de D. Antonio Masarnau</t>
  </si>
  <si>
    <t>Freke</t>
  </si>
  <si>
    <t>ues, que no querrá el Parlamento hacerse culpable de semejante vcxacion.” En el mismo sentido habló Mr. Freke, observando que quando el Ministro presentía su proyecto podía contar con el consentimiento de la nación; „pero en el dia, que está manifiesta y acreditada su resistencia , seria</t>
  </si>
  <si>
    <t>Frenel, General</t>
  </si>
  <si>
    <t>General Frenel</t>
  </si>
  <si>
    <t>Gunzburgo. En efta última ciudad se halla el cuerpo del Príncipe Hoítenlohe, y en Zwifalten el del General Frenel, el qual nuntiui: libre Ja comunicación con la caballería ligera, que pasando por la espalda del exército francés llegó hasta el Cantón de bchaffhusa; lo que obligó al Ge</t>
  </si>
  <si>
    <t>Frexas, Benito</t>
  </si>
  <si>
    <t>Benito Frexas</t>
  </si>
  <si>
    <t>a, Corregimiento de Gerona.......... ............................... .. 55. 30. Benito Frexas, hijo de otro y Catalina, natural de Geroqa, Corregimiento ídem................................... 55. 30. Isidro Planas,, hijo-de Joseph- y Rosa, natural de Sebade!I ¿ .Corregím iento&gt;</t>
  </si>
  <si>
    <t>Frías, Francisco</t>
  </si>
  <si>
    <t>Francisco Frías</t>
  </si>
  <si>
    <t>Baltasar del Valle y D. Juan Estéban; á primeros Subtenientes a los segundos D. Fernando Méndez, y D. Francisco Frías; y á segundos Subtenientes al Sargento primero D. Sebastian Torrente y al Subteniente de la compañía de in-r fantería ñxa de Velez-Málaga D. Antonio de la Azuela y Velasco: en el</t>
  </si>
  <si>
    <t>Frigola, Vicente</t>
  </si>
  <si>
    <t>Vicente Frigola</t>
  </si>
  <si>
    <t>se ha servido nombrar para la Contaduría principal del exército de Galicia, vacante por ascenso de D. Vicente Frigola, á IX Luis Gome El dia 26 de Julio se celebro en el aula de teología de PP. Dominicos de Sto. Tomas de esta corte el examen público de eloqiiencia española, cuyo primer curso diri</t>
  </si>
  <si>
    <t>Frisching</t>
  </si>
  <si>
    <t>izo el nombramiento dq íos / vocales del nuevpCjons^jo; execu;tivo, qüe son 16$ ciudadanos Frisching,Glayre, Savary y Dodler, ex-voeales de la Juntan executiva, Zimmerman Schmid y Ruttiman. 4 strasburgo 1 í de Agosto. E 1 comandante d^PW!?psburgq.:há..te°nsent</t>
  </si>
  <si>
    <t>Frischlng</t>
  </si>
  <si>
    <t>ación, y los deseos que formaba por la prosperidad de toda ella. Respondióle el ciud. Frischlng, Presidente de la Junta executiva, expresándole quanto sentía su partida, y asegurándole que llevaba consigo la estimación y el agradecimiento de este gobierno</t>
  </si>
  <si>
    <t>Froelich, General</t>
  </si>
  <si>
    <t>General Froelich</t>
  </si>
  <si>
    <t>la corte de Rusia ha dado contra los comandantes austríacos que asistieron á la toma de Ancona. El General Froelich, á quien culpan los rusos de haber hecho la capitulación con los franceses sin comunicarla al General ruso, está llamado á esta capital para comparecer y defenderse ante un Consej</t>
  </si>
  <si>
    <t>sitan dichas tropas. Francfort 28 de Marzo, E 1 Consejo de guerra celebrado en Viena para juzgar al General Froelich (el qual estaba presidido por el Príncipe Fernando de Wurtemberg) ha absuelto unánimemente á dicho General de los cargos que le habían intentado. « Un cuerpo de tropas austríacas</t>
  </si>
  <si>
    <t>o de DosPuentes* Se ha enviado de Viena á Petersburgo la sentencia dada por el Consejo de guerra al General Froelich.. Hállase este General privado todavía de todo mando. Otros; oficiales austríacos de su cuerpo están igualmente presos,' y también se les hará causa* Desde que el General Kray se</t>
  </si>
  <si>
    <t>4500, las compañías de arcabuceros del Tirol 3©, y el exército austríaco 85®. Ha salido de Viena el General Froelich para Graetz, enStiria___Al mismo tiempo ha mandado el gabinete de Viena que sus tropas evacúen la Marca de Ancona. Los turcos, rusos y napolitanos ocuparán quanio antes aquel país</t>
  </si>
  <si>
    <t>quí para resolver en orden á lo acontecido en Ancona, ha pedido á este Soberano vuelva su empleo al General Froelich., Con el Ministro Barón de Tiuigut tienen, freqüentes conferencias los, Embaxadore? de España é Inglaterra.. Ha llegado á esta capital el.Elector de. Colonia.. M:r. Schererprofeso</t>
  </si>
  <si>
    <t>uedaban en Ancona, y los que se habian acantonado en Sinigaglia después de la toma de Ancona por el General Froelich, se han embarcado en varios buques de guerra y transportes rusos, que se hicieron á la vela el mismo dia que la Reyna de Ñapóles salió de aquel puerto. Créese que dichas tropas se</t>
  </si>
  <si>
    <t>Frottc</t>
  </si>
  <si>
    <t>rs. Ruays, Rohan-Chabot, Lebrun y otros. Por cartas de Verneuil se sabe que los caudillos Frottc, Caniargue y todos los individuos de su plana ma)'or han sido pasados por las armas. El dia 20, reunido el banco de Francia con la caxa de cuentas corrientes,</t>
  </si>
  <si>
    <t>Frotté</t>
  </si>
  <si>
    <t>pacificación entera de los países del Oest, y de haber sido hecho prisionero el caudillo Frotté con toda su plana mayor. Parece que este xefe meditaba engapar á los Generales republicanos quando. hizo la proposición de aceptar la paz; pues en poder de uno</t>
  </si>
  <si>
    <t>Frotter</t>
  </si>
  <si>
    <t>encias___En Malta ha entrado con víveres un navio grande, de los de U antigua marina veneciana.” El Dr. Frotter, uno de los primeros médicos de la marina Real inglesa, ha informado al Almirantazgo que al cabo de gran número de ensayos y experiencias, se ha hallado modo de curar el escorbuto</t>
  </si>
  <si>
    <t>Fructuoso y María</t>
  </si>
  <si>
    <t>o de Gerona.............................. ....... 55. 30. Antonio Cots, hijo de Fructuoso y María, natural de Manresa, Corregimiento ídem........... ................................... 55. 30. Cabo.. Bartolomé Cuiné, hijo de Mariano y María , natural de Igualada, Corregimiento de Villa</t>
  </si>
  <si>
    <t>Frulline, Pedro</t>
  </si>
  <si>
    <t>Pedro Frulline</t>
  </si>
  <si>
    <t>paradero de D. Pedro, D. Tadeo, Doña Joachína y Dofiá Bárbara Frulline y Vizner, hijos legítimos de D. Pedro Frulline , Médico titular que fue de la villa de Molina de Aragón , y de Doña Teresa Vizner , que ambos murieron en dicha-villa por los afios 1754 á 1760. Quien tuviese alguna noticia de q</t>
  </si>
  <si>
    <t>Frutos de Alvaro Benito</t>
  </si>
  <si>
    <t>de Octubre se hallará en el despacho de la imprenta Real ; y en Cádiz en casa de D. Manuel Navarro. D. Frutos de Alvaro Benito, vecino y del comercio de esta corte, remitió el 37 de Enero á D. Jayme Cárlos Burguet, de Badajoz, 4 vales de óoo pesos, creación de Abril, números 33&lt;*3903&gt; 3793**3 3 3815,091 y</t>
  </si>
  <si>
    <t>Fuensaüda, Joseph</t>
  </si>
  <si>
    <t>Joseph Fuensaüda</t>
  </si>
  <si>
    <t>te al Cadete D. Ramón de Latas y Lasala: en el de Murcia á primer Teniente al segundo de granaderos D. Joseph Fuensaüda: en el de Plibernia á Subteniente de granaderos ai primer Subteniente D. Francisco de Paula Purcell: en el de Aragón á segundo Subteniente al Cadete D. Antonio Narvaez: eñ el de E</t>
  </si>
  <si>
    <t>Fuentes, Simón</t>
  </si>
  <si>
    <t>Simón Fuentes</t>
  </si>
  <si>
    <t>nto de 'dragones de Milicias urbanas de Carabayllo del Perú, á los Alféreces D. Juan foseph López , D. Simón Fuentes, D. Joseph Cavero y D. Juan Berindoaga. S. M. se ha dignado nombrar á D. Ramón Ramos y Poveda para tina plaza de Agente del número de Indias, vacante por fallecimiento de D011 Jom</t>
  </si>
  <si>
    <t>Fuertes, Pedro</t>
  </si>
  <si>
    <t>Pedro Fuertes</t>
  </si>
  <si>
    <t>ñigo Ortés y D. Joseph María Ortés. En las humanidades y retórica, baxo la dirección de su profesor D. Pedro Fuertes, los seminaristas D. Rafael de Tejada , D. Manuel de Lardizabal, D. Antoniq de Tavira, D. Miguel Pablo de ligarte y D. Antonio de Ugarte. En la re</t>
  </si>
  <si>
    <t>Fulgosio, Francisco</t>
  </si>
  <si>
    <t>Francisco Fulgosio</t>
  </si>
  <si>
    <t>de Asturias , siendo los xefes de ellas D. Rodulfo Gautier, Comandante de dicho batallón del Rey, y D. Francisco Fulgosio, Sargento mayor del de Asturias; y formo segunda línea con toda la tropa de auxilio de la Marina al mando del Brigadier de la Real Armada D. Pedro Landa ,que llegó como el Capitán</t>
  </si>
  <si>
    <t>Fussli</t>
  </si>
  <si>
    <t>de‘Francia. Como quiera, la Junta executiva helvética ha nombrado por ahora al ciud. Fussli para que pase inmediatamente á Coira, y arreglé aquel pais conforme á la Constitución de esta República. Strasburgo 4 de Agosto. H an llegado á Maguncia el Gen</t>
  </si>
  <si>
    <t>Gabaldon, Domingo</t>
  </si>
  <si>
    <t>Domingo Gabaldon</t>
  </si>
  <si>
    <t>remita los respectivos billetes (con ios números que corresponda á cada uno) á su apoderado general D. Domingo Gabaldon, para que hagan su respectiva entrega las caxas, y evitar toda equivocación por este medio del asiento del número que corresponde á cada uno de los jugadores. Gijon 28 de Febrero.</t>
  </si>
  <si>
    <t>Gaber, Fernando</t>
  </si>
  <si>
    <t>Fernando Gaber</t>
  </si>
  <si>
    <t>37$ fronteras , al Brigadier D. Fernando Gaber , Ingeniero en xefe* y á este empleo al Coronel é Ingeniero en segundo D. Bartolomé Reynaud. * Quando por Real decreto de 20 de Abril.del ano próximo pasado resolvió S. M. extingu</t>
  </si>
  <si>
    <t>Gabriel, Príncipe</t>
  </si>
  <si>
    <t>Príncipe Gabriel</t>
  </si>
  <si>
    <t>orzado á reprimirle con la fuerza de las armas.” Bolonia 2$ de Marzo. E sta mañana llegaron aquí el Príncipe Gabrielü y el Marques Massimi, y habiendo descansado un breve rato, siguieron su camino á Venecia, adonde van por orden del Rey de las Dos-Sicilias, en calidad de diputados de Roma, para cumpl</t>
  </si>
  <si>
    <t>Gabriela de Quesada</t>
  </si>
  <si>
    <t>glesia per Juan Ramírez y Doña Juana de Ulioa.__ Una huerta en el pago de Pozuela, del patronato de Doña Gabriela de Quesada, tasada en 8750 rs., y está hecha postura en 5,833 rs. 12 mrs___ Setenta y dos cuerdas y media de tierra en el sitio de FuenteTetar., patronato fundado en la parroquial de S. Ilde</t>
  </si>
  <si>
    <t>Gago, Alonso</t>
  </si>
  <si>
    <t>Alonso Gago</t>
  </si>
  <si>
    <t>y al Cadete D. Baltasar Xiron: en el de Mallorca á Subteniente de granaderos al primer Subteniente D. Alonso Gago; á primer Subteniente al segundo i). Antonio Fernandez, y á segundos Subtenientes al Sargento primero de granaderos , graduado de Subteniente, D. Manuel Virizuela y al Cadete D. J</t>
  </si>
  <si>
    <t>Gajoti, Coronel</t>
  </si>
  <si>
    <t>Coronel Gajoti</t>
  </si>
  <si>
    <t>s con una pérdida considerable *. les cogimos 11 oficiales y 157 soldados prisoneros; y el Teniente Coronel Gajoti al frente de su * batallón recobró la aldea cíe S. Ambrosio atacando á los enemigos con bayoneta-----El General Elsnitz me avisa desde Dolce-Aqua con fecha del 2 que sigue su reti</t>
  </si>
  <si>
    <t>Gala, Gabriel</t>
  </si>
  <si>
    <t>Gabriel Gala</t>
  </si>
  <si>
    <t>icia, D. Joseph Joachín de Aguilar, D. Manuel María Cervantes, D. Joseph Salazar, D. Joseph García, D. Gabriel Gala» y D. Ignacio Mauri. Deseando S. M. reformar los teatros, y proporcionar ai pueblo una decente y honesta recreación, desterrando de la escena todas las representaciones que puedan</t>
  </si>
  <si>
    <t>Galabert, Pedro Vicente</t>
  </si>
  <si>
    <t>Pedro Vicente Galabert</t>
  </si>
  <si>
    <t>71 años. Valoneta 12 de Febrero. Fin de los premios de esta Real Sociedad. B eneficencia. El socio D. Pedro Vicente Galabert, con anuencia de la Real sociedad, ofrece una medalla como la anterior al autor de la mejor memoria sobre los varios sistemas establecidos en el mundo conocido para socorrer y ext</t>
  </si>
  <si>
    <t>Galban, Jorge</t>
  </si>
  <si>
    <t>Jorge Galban</t>
  </si>
  <si>
    <t>eniente Coronel al Comandante del tercer batallón del do infantería dé Saboya, graduado de Coronel, D. Jorge Galban; á Ayudante al primer Teniente D. Hermenegildo Campero; á primeros Subtenientes á los seguidos D.nJoteph'Recacha, Di-Pedro'Florez y D. Joachin Bis; y á segundos.Subtenientes A los</t>
  </si>
  <si>
    <t>Galbaud, General</t>
  </si>
  <si>
    <t>General Galbaud</t>
  </si>
  <si>
    <t>inmensa ventaja que les daba ia evacuación , intenten volver sobre sí, y corregir su necedad.__ El General Galbaud llegó á Damieta quando aquella ciudad estaba en poder de los turcos. Fue preso, ile</t>
  </si>
  <si>
    <t>Negro, y no había en Constantinopla con que resistirles___Esta conversación me la refirió el mismo General Galbaud, despachado por el Gran Visir á Damieta, de donde vino á Roseta por tierra.” Gas cite ña , obispado de Cuenca, 8 de Setiembre. L a escuela de educación de niñas de esta villa , fu</t>
  </si>
  <si>
    <t>Galicia, Agustín</t>
  </si>
  <si>
    <t>Agustín Galicia</t>
  </si>
  <si>
    <t>e las factorías de Puebla, Oaxaea, Guadalaxara y Administración general del arzobispado de México á D. Agustín Galicia, D. Joseph Joachín de Aguilar, D. Manuel María Cervantes, D. Joseph Salazar, D. Joseph García, D. Gabriel Gala» y D. Ignacio Mauri. Deseando S. M. reformar los teatros, y proporci</t>
  </si>
  <si>
    <t>Galiitzin, Príncipe</t>
  </si>
  <si>
    <t>Príncipe Galiitzin</t>
  </si>
  <si>
    <t>elán y Ministro de.Estado, irá ár Rusia en calidad de Embaxadar extraordinario de esta corte j y el Príncipe Galiitzin vendrá aquí con igual carácter de parte de Paulo 1. En Bohemia se formará* quanto antes un cuerpo de cazadores para defensa de aquel RéVno. Ralisbona $6 de Julio. A yer pidieron l</t>
  </si>
  <si>
    <t>Galindo, Antonio</t>
  </si>
  <si>
    <t>Antonio Galindo</t>
  </si>
  <si>
    <t>Herrera, D. Rafael de Irazabal, D. Francisco González, D, Fulgencio Cevallos , D. Benito Sandoval, D. Antonio Galindo, D. Diego del Barco, Di Gabriel de Torres , D. Manuel Saenz Ramírez, D. Francisco de Hore é Iturralde, D. Francisco de Reyna, D. Manuel Domínguez y D. Félix Castillo. El Rey se ha</t>
  </si>
  <si>
    <t>Gallano, Francisco</t>
  </si>
  <si>
    <t>Francisco Gallano</t>
  </si>
  <si>
    <t>iente ai primerSubteniente D. Pedro del Castillo; á Subteniente de granaderos al primer Subteniente D. Francisco Gallano; á primeros Subtenientes á los segandps D. Joseph de Luna y D. Vicente Martínez,, y á segundos Subtenientes al Sargento primero D. Juan Casimiro y ai Cadete del de infantería de A</t>
  </si>
  <si>
    <t>Gallardo, Antonio</t>
  </si>
  <si>
    <t>Antonio Gallardo</t>
  </si>
  <si>
    <t>granaderos al de fusileros D. Juan de Valenzucla; X primeros Tenientes á los segundos de granaderos D. Antonio Gallardo y D. Pablo Mediavilla , y X los de fusileros D. Rafael Muñoz y D. Eélix Gasol; á segundos Tenientes de granaderos á los de fusileros D. Cayetano Lacalle y D. Joseph Torrelallebreta ;</t>
  </si>
  <si>
    <t>Gallardo, Francisco</t>
  </si>
  <si>
    <t>Francisco Gallardo</t>
  </si>
  <si>
    <t>, D. Joachin Benitez y D. Nicolás Ortuño; á primeros Subtenientes X los segundos D. Joseph Fransoy, D. Francisco Gallardo, Don Joachin Navarro, D. Joseph Mancha y D. Christóbal Aguilar, y á segundos Subtenientes á los Sargentos primeros D. Antonio Merlo y D. Miguel Márquez, y á los Cadetes D. Joseph</t>
  </si>
  <si>
    <t>Gallego y Alarcon, Juan</t>
  </si>
  <si>
    <t>Juan Gallego y Alarcon</t>
  </si>
  <si>
    <t>idad de Tesorero de la catedral de Valladolid,' vacante por muerte de D. Manuel Fernandez Larrea, á D. Juan Gallego y Alarcon;■ para una Canongía de la de Jaén, vacante por fallecimiento de D. Diego Eustaquio de Gamez, á D. Juan Antonio Cornel: para otra de la deTuy, vacánte por muerte de D. Ignacio Góme</t>
  </si>
  <si>
    <t>Gallego, Bartolomé</t>
  </si>
  <si>
    <t>Bartolomé Gallego</t>
  </si>
  <si>
    <t>e perder la vida por habérsele careado la quarta muela de la mandíbula inferior, de lo que le libró D. Bartolomé Gallego , Cirujano actual en Vicálvaro, quien le curó con el uso de un pelican nuevamente inventado y explicado en un tratado que se publicó en gazéta de 26 de Noviembre de 1799 , en el q</t>
  </si>
  <si>
    <t>Gallego, Manuel</t>
  </si>
  <si>
    <t>Manuel Gallego</t>
  </si>
  <si>
    <t>z efecto; y convencidos con él varios de los vecinos de dicha villa no dudaron entregar sas hijos á D. Manuel Gallego para que la ejecutase en ellos según su método y práctica, que es exactamente la del Dr. O Scanlan. Desde febrero hasta principios de Octubre del año pasado de 99 dominó en dicna</t>
  </si>
  <si>
    <t>Galli</t>
  </si>
  <si>
    <t>ha publicado un arreglo en 4 artículos , que substancialmente dicen: v„ 1.° Los ciudadanos Galli, Brayda, individuos actuales de la Comisión gubernativa: Botta, que lo es de la Consulta :Bossi, Enviado piamontes en la República liguriana : Debernardi, Cost</t>
  </si>
  <si>
    <t>Galli, Rafael</t>
  </si>
  <si>
    <t>Rafael Galli</t>
  </si>
  <si>
    <t>al primer Subteniente D. Joachín Parreño; á Subtenientes de granaderos á los primeros Subtenientes D. Rafael Galli y D. Vicente Aliento; á primeros Subtenientes á los segundos D. Joachín Rujas y P. Juan Veguer; y á segundos Subtenientes á Jos Cadetes D. Ramón Mayoli y D. Joseph Muro, que lo es del</t>
  </si>
  <si>
    <t>Gallo, Joseph</t>
  </si>
  <si>
    <t>Joseph Gallo</t>
  </si>
  <si>
    <t>S, M...se, ha.servido nombrar .Qficial segundo de la Administración de puros y cigarros de México á D Joseph Gallo: Guard-s de. las Factorías del tabaco de Oaxaca y Córdoba á D. Juan de Osores y D. Pedro de León: Escribano de esta ultima Factoría á D. Pedro, de la.Estrella: Administrador de di</t>
  </si>
  <si>
    <t>Galvez, Antonio</t>
  </si>
  <si>
    <t>Antonio Galvez</t>
  </si>
  <si>
    <t>spañola de'Reales Guardias de Corps ha conferido S. M. empleo de Cadete de número al supernumerario D. Antonio Galvez, y ha nombrado por Cadete supernumerario al Guardia D. Eranpsco Gómez. El Rey se ha servido mandar comunicar al Virey de Navarra la Real orden que sigue : „ Enterado el Rey del pr</t>
  </si>
  <si>
    <t>Galvez, Francisco</t>
  </si>
  <si>
    <t>Francisco Galvez</t>
  </si>
  <si>
    <t>Manso; á primeros Tenientes á los segundos D. Manuel de Arredondo, graduado de Teniente Coronel, y D. Francisco Galvez; y . á segundo Teniente al Alférez de. cazadores Don Basilio Báyón. En el de infantería de Soria á segundo Teniente de granaderos al de fusileros D. León Molero: en el de Córdoba</t>
  </si>
  <si>
    <t>Gamarra, Nicolás</t>
  </si>
  <si>
    <t>Nicolás Gamarra</t>
  </si>
  <si>
    <t>l Bray, al Cadete del de infantería dé Granada D. Juan Vázquez, y al Sargento primero del de Málaga D. Nicolás Gamarra: en el de Asturias á segundo Teniente al Subteniente de granaderos graduado de Teniente D. Francisco Fernandez: en el de Aragón á primer Subteniente al segundo D. Matías Hernández</t>
  </si>
  <si>
    <t>Gamero, Juan</t>
  </si>
  <si>
    <t>Juan Gamero</t>
  </si>
  <si>
    <t>l cuerpo: para está resulta aí Ayudante segundo D. Antonio Bucareli: ‘.para una Tenencia al Alférez D. Juan Gamero: para un empleo de Alférez tá D. Miguel March, Alférez del regimiento de dragones del Rey: para es¿a. resulta á D. Joseph Barrenechea, Carabinero de distinción de la brigada ; y p</t>
  </si>
  <si>
    <t>Gamindez, Manuel</t>
  </si>
  <si>
    <t>Manuel Gamindez</t>
  </si>
  <si>
    <t>cia de fusileros al Subteniente de granaderos D. Francisco Aloy; esta resulta al primer Subteniente D. Manuel Gamindez; la primera Subtenencia al segundo de esta clase D. Diego Márquez, y segunda Subtenencia al Sargento primero D. Joseph Marin: y ha nombrado Capellán del tercer batallón del de Nav</t>
  </si>
  <si>
    <t>Gandarillas y Quixano, Antonio</t>
  </si>
  <si>
    <t>Antonio Gandarillas y Quixano</t>
  </si>
  <si>
    <t>del Rivero, D. Felipe de Zavas v LaudaD. Toseph Buitragoy Granados, D. Francisco Agraz y Fernandez, D. Antonio Gandarillas y Quixano , D. Juan de Ordaz Y -tizón, D. Fernando del Piélago y Arguedas, D. Juan Ignacio Pareja y Mariscal, D. Juan Miguel Pareja y Mariscal, D. Ramón de Bustamante y V elez, D. Antonio G</t>
  </si>
  <si>
    <t>Ganing</t>
  </si>
  <si>
    <t>ió desde luego Mr. Dundas se hiciese una respuesta á S. M. aprobando dicha correspondencia. Apoyóle Mr. Ganing, y se opusieron á ello Mrs. Whitbread y Erskine. Tomó la palabra Mr. Pitt á favor de la respuesta, é hizo un discurso muy largo. Empezó intentando probar que los franceses .fueron</t>
  </si>
  <si>
    <t>Ganthaume, Almirante</t>
  </si>
  <si>
    <t>Almirante Ganthaume</t>
  </si>
  <si>
    <t>Bonaparte, Fleurieu, y Roederer, los quales tratarán con los tres Comisarios ingleses. ' El Contra-Almirante Ganthaume, Consejero de Estado, pasó el 28 del mes último por Nántes para Brest. Para el mismo departamento de marina ha salido de París hace dias el Contra-Almirante Latouche. Han comunica</t>
  </si>
  <si>
    <t>Gantheaume, Almirante</t>
  </si>
  <si>
    <t>Almirante Gantheaume</t>
  </si>
  <si>
    <t>nglo-americana, que tenia 500 hombres, se acogió á Jamayca. I-la llegado de Brest á París el Contra-Almirante Gantheaume, nombrado Consejero de Estado. A principios de Abril murió en Genova de fiebre maligna el.General Marbot. Tenia 44 años de edad. q Niza 2 6* de Abril. G-egun cartas de Genova del</t>
  </si>
  <si>
    <t>sus enoniigojá. El G'enéjral Sahuguet brindó, á nuestro fiel aliado el Rey de España ; y el Contra-Almirante Gantheaume á la libertad de los inares. En esto se supo por el telégrafo, la toma deaMünich, y la muerte de Latour de Auvernhj , primer igQMiáddro de los exércitos franceses , la qual causó</t>
  </si>
  <si>
    <t>Gaona y Jáuregui, Pablo</t>
  </si>
  <si>
    <t>Pablo Gaona y Jáuregui</t>
  </si>
  <si>
    <t>D. Juan Moreno, D. Joseph Perochena, D. Joseph Saenz, D. Mariano Moreno, Don M irtin de Arambulo y D. Pablo Gaona y Jáuregui; y empleos de Portaestandartes á D. Diego de Vega, D. Pedro Merino, D. Urbano Sugasti y D. Bartolomé Estrada. A consulta del supremo Consejo de Castilla de io de este mes se ha 'd</t>
  </si>
  <si>
    <t>Gaona, Antonio</t>
  </si>
  <si>
    <t>Antonio Gaona</t>
  </si>
  <si>
    <t>servido nombrar para la dignidad de Obispo Prior perpetuo del Real convento de Santiago de Ucles á D. Antonio Gaona, religioso de la misma orden, y Vicario Juez eclesiástico de la villa y partido de Totana: para la Canongía y Arcedianato de Ecija de la santa iglesia de Sevilla, vacante por fall</t>
  </si>
  <si>
    <t>Garavito, Pedro</t>
  </si>
  <si>
    <t>Pedro Garavito</t>
  </si>
  <si>
    <t>burcio Maqueyra: la plaza de Guarda-almacén de la aduana de la capital del Nuevo Reyno de Granada á D. Pedro Garavito: la de Oficial mayor de Contaduría de la administración principal de tabacos de la misma capital á D. Juan de Ortega: la de igual clase de la renta de aguardientes de Medellin á D</t>
  </si>
  <si>
    <t>Garavo, Manuel</t>
  </si>
  <si>
    <t>Manuel Garavo</t>
  </si>
  <si>
    <t>: para Alféreces al agregado en la misma clase D. Manuel Ordoñez, á los Portaguiones D. Juan López, D. Manuel Garavo y D. Joseph Arenas, y ai Cadete Vicente Asco; y para Portaguiones á los Cadetes D. Juan Rondeau, D. Andrés Ordoñez, y al Sargento graduado de Alférez D. Joachin Forner. En la extracci</t>
  </si>
  <si>
    <t>Garay, Joachín</t>
  </si>
  <si>
    <t>Joachín Garay</t>
  </si>
  <si>
    <t>n el de España al Portaestandarte D. Tomas Amaya; y á Ayudante en el de Santiago al primer Teniente D. Joachin Garay. El dia 5 de Abril á las nueve y tres quartos de ía noche falleció en esta corte, de edad de 70 años, el Exc. Sr, D. Agustín Lancáster, Duque de Lancáster, Grande de España de pri</t>
  </si>
  <si>
    <t>Garballp, Antonio</t>
  </si>
  <si>
    <t>Antonio Garballp</t>
  </si>
  <si>
    <t>á Iqs Cadetes D.Juan Sánchez Grillan, D. Luis Trevejos, D. Pedro Branly, graduado de Subteniente, y D. Antonio Garballp., Sargento primero.de granaderos t eh ef regí miento de in fa ntér ía de Cuba á Ay ud ante coir grado de Capitán áí Teniente., de granaderos D. Manuel Rodrigue^; -á‘ Teniente de g</t>
  </si>
  <si>
    <t>Garbayo, Francisco</t>
  </si>
  <si>
    <t>Francisco Garbayo</t>
  </si>
  <si>
    <t>ano y Nogues: en el de caza¿ores voluntarios de la Corona á Capitán al primer i ementóle gastaaores D. Francisco Garbayo; á primer Teniente de gastadores al oc cazadores D. Nicolás Marín; á primer Teniente al segundo de gastadores D. Luis Oriandys á segundo Teniente de gastadores al de cazadores D.</t>
  </si>
  <si>
    <t>Garbia, Ana</t>
  </si>
  <si>
    <t>Ana Garbia</t>
  </si>
  <si>
    <t>or el Cantero,con 4741 cepas vivas y 2^4 muertas , tasada en 17,090 rs. 17 mrs, y renta 512 23 mrs. Doña Ana Garbia: una tierra en la Garena, que lleva Alonso Raboso, de caber 6 fan. 3 cel. y 3 est. tasada en 2815 rs. 30 mrs. y renta 84 16 mrs. Otra en Jerafin y sitio de Jas Pegúelas, que lleva</t>
  </si>
  <si>
    <t>Garces, Nicolás</t>
  </si>
  <si>
    <t>Nicolás Garces</t>
  </si>
  <si>
    <t>o de Capitán D. Joseph de Castro y Lucena: á Subtenientes de granaderos á los primeros Subtenientes D. Nicolás Garces y D. Antonio Rabanera, graduado de Teniente: á primeros Subtenientes á los segundos D. Domingo Arríete, D. Juan Pinto y D. Joseph Francés; y á segundos Subtenientes á los Cadetes Don</t>
  </si>
  <si>
    <t>Garci Marti y la Lastra, Ignacio</t>
  </si>
  <si>
    <t>Ignacio Garci Marti y la Lastra</t>
  </si>
  <si>
    <t>rres; que1 lo está por fallecimiento de D. Juan de Zarandona; todos tres en la diócesis de Avila, á D. Ignacio Garci Marti y la Lastra. - En el regimiento de' Reales Guardias Walonas'-se ha servido promover el Rey á primeros Tcrtiient^ ’á los segundos de granaderos D. Dionisio do Boqligni, Dv Felipa de Bojohs y D</t>
  </si>
  <si>
    <t>Garci-Pcrez, Manuel</t>
  </si>
  <si>
    <t>Manuel Garci-Pcrez</t>
  </si>
  <si>
    <t>erior de España , balance puntual de su comercio con las demas naciones &amp;c. Otra medalla de plata á D. Manuel Garci-Pcrez, profesor def arte de imitar en piedra todo género de frutas, por la perfección de los colores, y por lo bien imitadas que se hallan las 46 piezas que presento. Cinco premios de á</t>
  </si>
  <si>
    <t>Garci-Pérez de Vargas, Joseph</t>
  </si>
  <si>
    <t>Joseph Garci-Pérez de Vargas</t>
  </si>
  <si>
    <t>s, y un apéndice sobre el genio, idiotismos, edades y autores célebres de la lengua castellana, por D. Joseph Garci-Perez de Vargas. Un tomo en 8.° Se hallará en la librería de Pardo, calle de Toledo, y en la librería que fué de Guerrero calle de las dos Hermanas^ en Sevilla en la de Caro, y en casa del Autor.</t>
  </si>
  <si>
    <t>García Bernaldo, Francisco</t>
  </si>
  <si>
    <t>Francisco García Bernaldo</t>
  </si>
  <si>
    <t>: en el de León Compañía de fusileros al Teniente de granaderos D. Antonio Castañcn; su resulta á • D. Francisco García Bernaldo, Teniente de fusileros; Tenencia de está clase al Subteniente de cazadores D. Domingo Morete, y su resulta al Subteniente de fusileros D. Santiago Lorenzo Largo: en el de Bujaknee</t>
  </si>
  <si>
    <t>García Cañete, Bernardo</t>
  </si>
  <si>
    <t>Bernardo García Cañete</t>
  </si>
  <si>
    <t>a la Media-Ración, vacante en la catedral de Córdoba por fallecimiento de D. Pedro Carlos Avalle, á D. Bernardo García Cañete: para otra Media-Ración de la de Segovia, vacante por la promoción de Don Joseph de Burgos á una Canongía de la misma Iglesia, á D. Manuel Fernandez de Roda y S. Pedro; y para una</t>
  </si>
  <si>
    <t>García de Angulo, Benito</t>
  </si>
  <si>
    <t>Benito García de Angulo</t>
  </si>
  <si>
    <t>91, 1*0,546, 1*0,549, 1 *3,4*0, 1*3,9*4, 1*6,147 y 131,89a. Quien la hubiese bailado la entregará á D. Benito García de Angulo, calle del Cármen , núm. 1, quarto principal? frente á la botica.. Los-subscriptores ai tomo 3.a y último del Quixote de Cantabria acudirán á la librería de Barco, carrera de S. G</t>
  </si>
  <si>
    <t>García de Arista, Pedro</t>
  </si>
  <si>
    <t>Pedro García de Arista</t>
  </si>
  <si>
    <t>América. El Rey se ha servido nombrar Ayudante del regimiento provincial de dragones de S. Cárlos á D. Pedro García de Arista, Teniente del provincial de dragones de la Reyna¿ S. M. se ha dignado nombrar Contador de la fábrica de puros y cigarros de México á D. Ignacio Joseph de la Sierra : Oficial mayor</t>
  </si>
  <si>
    <t>García de la Cámara, Antonio</t>
  </si>
  <si>
    <t>Antonio García de la Cámara</t>
  </si>
  <si>
    <t>videro de la parroquial de S. Juan de Arévalo, en la diócesis de Avila, vacante por la promoción de D. Antonio García de la Cámara á la Maestrescolía de la catedral de Almería, á D. Joseph Cesáreo Rodríguez: para otro también servidero de la parroquia de Sta. Alaría de Aguila-Fuente , en el obispado de Segovi</t>
  </si>
  <si>
    <t>García de la Chica y Gutiérrez, Antonio</t>
  </si>
  <si>
    <t>Antonio García de la Chica y Gutiérrez</t>
  </si>
  <si>
    <t>5°3 del Rio y Navarro, D. Antonio García de la Chica y Gutiérrez , D. Joseph Martínez de Velasco y Horcadas, D. Antonio de Montoro y Andrade , D. Joseph Ley y Marqueti, D. Mateo Plowes y Sevilla , D. Joseph Rubion y Gutiérrez de la Huerta, D. D</t>
  </si>
  <si>
    <t>García de la Huerta, Vicente</t>
  </si>
  <si>
    <t>Vicente García de la Huerta</t>
  </si>
  <si>
    <t>Doyle. Véndese en la librería de Castillo., frente á las gradas de S. Felipe. Teatro español , por D. Vicente García de la Huerta. Esta obra , justamente deseada hace mucho tiempo , es una colección de las mas selectas comedias , así de figurón como de capa y espada , heroyeas , y tragedias de nuestros mejor</t>
  </si>
  <si>
    <t>tro plancf. Se hallará en Ja librería de Hurtado, calle de las Carretas. , : -¡ Teatro Espafíol por D. Vicente García de la Huerta: esta obra deseada hace mucho tiempo por los hombres de gusto, es una colección completa de las mas selectas comedias, así de figurón como de capa y espada y heroycas, tragedias,</t>
  </si>
  <si>
    <t>, en Málaga en la de Iglesias y Martínez , y en Zaragoza en la de Polo y Monge. Teatro Español por D. Vicente García de la Huerta : esta obra deseada por todo hombre de gusto , es una colección completa de las mas selectas comedias, así de figurón como de capa y espada , heróyeas, tragedias, saynetes y demas</t>
  </si>
  <si>
    <t>á a rs. en la librería de Barco, carrera de S. Gerónimo. Puede ir en carta. / - Teatro Español por D. Vicente García de la Huerta: esta obra deseada hace mucho tiempo por todo hombre de gusto, es una colección completa de las mas;se-' ledras comedias, así de figurón , como de capa y espada;, heroycaa, traged</t>
  </si>
  <si>
    <t>rónimo, y eñ la de Francés, en donde se datá junta ó Separada del tomo de viñas. Teatro Español por D. Vicente García dé la Huerta: esta obra es una colección completa.de las mas selectas comedias de figurón, capa y espada , heróyeas, tragedias , saynetes y demas dramas de nuestros mejores poetas : el colecto</t>
  </si>
  <si>
    <t>García de la Husrta, Vicente</t>
  </si>
  <si>
    <t>Vicente García de la Husrta</t>
  </si>
  <si>
    <t>sito para conocer el carácter de este Monarca. Elogio en verso del Exc. Sr. D. Antonio Barceló, por D. Vicente García de la Husrta. El autor,sin despreciar la magestad del lenguage poético, pone su principal cuidado en dar á conocer el sobresaliente mérito de su heroe: papel en 4.0: su precio a rs. Se hallará</t>
  </si>
  <si>
    <t>García de Mutiloa, Juan</t>
  </si>
  <si>
    <t>Juan García de Mutiloa</t>
  </si>
  <si>
    <t>lo tuviere lo remitirá al mismo Gayan en Paniza, ó á Don Francisco Bibiano Cantin en Zaragoza, ó á D. Juan García de Mutiloa en Ma- ¡ drid, calle de la Sartén , mím. 5 , quarto baxo. Extracto ó compendio de los libros históricos de la santa Biblia, en octavo regular, por el P. Fernando de Scio, con una co</t>
  </si>
  <si>
    <t>García de Orozco, Francisco</t>
  </si>
  <si>
    <t>Francisco García de Orozco</t>
  </si>
  <si>
    <t>ido conferir el Rey los empleos siguientes: en el de Segorve compañías al Teniente del mismo cuerpo D. Francisco García de Orozco y al Teniente del provincial de Piasencia D. Francisco Xavier Cornago ; y Tenencias á los Subtenientes D. Joachin de Mora y D. Agustín Barrachina: en el de Córdoba Tenencia al Subte</t>
  </si>
  <si>
    <t>García de Prado y Osorno, Joseph</t>
  </si>
  <si>
    <t>Joseph García de Prado y Osorno</t>
  </si>
  <si>
    <t>Isidoro Postigo y Bulnes, D. Joseph de Echeverría y Padilla’, D. Francisco Torralbo y Valenciano ,#D. Joseph García de Prado y Osorno, D. Manuel Ristori y Medina, D. Salvador Ciezar y Bocanegra, D. Bonifacio de Tosta y Montano, D. Joachín de Abreu y Orta y D. Jayme Michelena y Moreno. En 3.a fecha. D. Juan Valdé</t>
  </si>
  <si>
    <t>García de Prado, Gonzalo</t>
  </si>
  <si>
    <t>Gonzalo García de Prado</t>
  </si>
  <si>
    <t>eferida Caxa á D. Juan de Plaza, Oficial tercero de aquellas Gaxas matrices; y para Oficial mayor á D. Gonzalo García de Prado. Atendiendo el Rey á los méritos y servicios de D. Joseph Rengifo, Contador general del ramo de tributos de Quito, se ha servido concederle honores de Contador mayor dél tribunal</t>
  </si>
  <si>
    <t>García de San Pedro, Juan</t>
  </si>
  <si>
    <t>Juan García de San Pedro</t>
  </si>
  <si>
    <t>éstamo de la parroquia de S. Esteban de Cienfuegos, en la diócesis de Oviedo, vacante por muerte de D. Juan García de San Pedro, y la Prestamera de la mitacion de la Membrilla, en el obispado de Córdoba , vacante por fallecimiento de D. Joseph Fernandez Hinestrosa, á D. Pascual Escrich, con la obligación d</t>
  </si>
  <si>
    <t>García de Santa María, Antonio</t>
  </si>
  <si>
    <t>Antonio García de Santa María</t>
  </si>
  <si>
    <t>a Medk-Prestamera r vacante en La parroquia de Santa María Madalena de Sevilla por fallecimiento de D. Antonio García de Santa María, á D. Fernando Perezj. y para la Prestamera de S. Pedro de. las. Cabezas,, en. el. arzobispado de Sevilla, á D. Mariano de Aguilera. En atención á los. méritos y dilatados buenos</t>
  </si>
  <si>
    <t>García de Viouesa, Gregorio</t>
  </si>
  <si>
    <t>Gregorio García de Viouesa</t>
  </si>
  <si>
    <t>las tres gracias de Cruzada, Subsidio y Excusado, ha nombrado el Rey para servir este empleo al Sr. D. Gregorio García de Viouesa, Oficial 7.0 de la Secretaría de Estado y del Despacho de Hacienda de España, y. su Secretario con exercicio de Decretos, en consideración á sus dilatados y recomendables méritos.</t>
  </si>
  <si>
    <t>García del Valle, Ángel</t>
  </si>
  <si>
    <t>Ángel García del Valle</t>
  </si>
  <si>
    <t>reras de Cameros, inclusos en ellas los moruecos y la cria* de este año, procedente del concurso de D. Angel García del Valle, y su remate será el 13 de Julio próximo, acuda á la Justicia de dicha villa de Lumbreras. Se halla vacante el partido de Médico titular de la villa de Peñaranda de Bracamonte : t</t>
  </si>
  <si>
    <t>García Espinosa, Francisco</t>
  </si>
  <si>
    <t>Francisco García Espinosa</t>
  </si>
  <si>
    <t>D. Antonio Montenegro; y para reemplazar á este en la Administración del Real Pantano de Alicante á D. Francisco García Espinosa, Intendente honorario de provincia. El Rey ha nombrado Coronel del regimiento provincial de Málaga á D. Bartolomé Narvaez y Chacón, Teniente Coronel graduado de infantería, y efec</t>
  </si>
  <si>
    <t>García Fernández, Joseph</t>
  </si>
  <si>
    <t>Joseph García Fernández</t>
  </si>
  <si>
    <t>de los regimientos de granaderos Voluntarios de Estado y caballería de Alcántara á los Presbíteros D. Joseph García Fernandez y D. Atanasio Domingbez, actual Capellán del de infantería de la Princesa. En el Real cuerpo de Artillería se ha servido S. M. promover á Capitanes á los Tenientes D. Joseph Esquiaqui</t>
  </si>
  <si>
    <t>García Flores, Joseph</t>
  </si>
  <si>
    <t>Joseph García Flores</t>
  </si>
  <si>
    <t>undo al primer Teniente graduado de Capitán D. Santiago Porta ; á primeros Tenientes á los segundos D. Joseph García Flores y D. Juan Labari; á segundos Tenientes á los primeros Subtenientes D. Francisco Recosa y D. Mariano Espatolero, graduado de Teniente ; á primeros Subtenientes á los segundos D. Franci</t>
  </si>
  <si>
    <t>García Galiano, Manuel</t>
  </si>
  <si>
    <t>Manuel García Galiano</t>
  </si>
  <si>
    <t>o de la parroquial del lugar de Monleras, en la diócesis de Salamanca, Vacante por fallecimiento de D. Manuel García Galiano, á D. Francisco Delgado y Arias, Capellán del regimiento de infantería de Guadalaxara, con la obligación de precisa y personal residencia. Desde el 6 al 17 de Enero de este año se</t>
  </si>
  <si>
    <t>García Gómez Xara</t>
  </si>
  <si>
    <t>lo obtenía, al Ayudante consultor D. Joseph Sabater. En atención á los méritos y servicios del Sr. D. García Gómez Xara, Oficial mayor segundo/de la Secretaría de Estado, ha venido S. M. en con</t>
  </si>
  <si>
    <t>García Hernández, Francisco</t>
  </si>
  <si>
    <t>Francisco García Hernández</t>
  </si>
  <si>
    <t>sangría, y defensa de los Médicos espafioles. Un tomo en 4.0 =rr Estas dos obras están escritas por D. Francisco García Hernández, y se hallan de venta juntas ó separadas en el puesto de Agustín Velasco , en la lonja de la Trinidad , á 8 rs. cada tomo á la rustica y á 13 en pasta. Colección de 80 saynetes nu</t>
  </si>
  <si>
    <t>García Herreros, Manuel</t>
  </si>
  <si>
    <t>Manuel García Herreros</t>
  </si>
  <si>
    <t>Sixto Espinosa , del de Hacienda; D. Esteban Antonio de Orellana, Alcalde de su Real Casa y Corte; D. Manuel García Herreros, Procurador general de los Reynos; y los tres Directores de la Caxa D. Juan Pedro Vincenti, D. Luis Fernandez Gonzalo del Rio, Caballero de la distinguida Orden de Carlos III, y D</t>
  </si>
  <si>
    <t>García Hidalgo, Diego</t>
  </si>
  <si>
    <t>Diego García Hidalgo</t>
  </si>
  <si>
    <t>n al primer Teniente de granaderos D. Joseph Muñoz; á primer Teniente de granaderos al de fusileros D. Diego García Hidalgo; X primer Teniente al segundo de granaderos D. Ramón Xiron ; á segundo Teniente de. granaderos al de fusileros D. Diego Antonio Carta; X segundos Tenientes á los Subtenientes de g</t>
  </si>
  <si>
    <t>García Malde, Manuel</t>
  </si>
  <si>
    <t>Manuel García Malde</t>
  </si>
  <si>
    <t>mo Jáuregui. Quien supiere de ellos avisará al referido D. Miguel Antonio en Vergara, ó en Madrid á D. Manuel García Malde, calle de Cantarínas, núm. 9, frente al pasadizo. Por la audiencia del Sr. D. Juan Antonio Santa María, Teniente Corregidor de esta villa, y escribanía del número de D. Gervasio F</t>
  </si>
  <si>
    <t>García Malo, Ignacio</t>
  </si>
  <si>
    <t>Ignacio García Malo</t>
  </si>
  <si>
    <t>os parages j aumentada considerablemente:escrita en francés por el Abate Blanchard, y traducida por Don Ignacio García Malo. En sentir de hombres doctos y religiosos es una de las obras nías útiles publicadas en este siglo. La pureza de sus máximas, y la energía y vileza con-qye se imprimen en el coraz</t>
  </si>
  <si>
    <t>García Pertierra, Juan Antonio</t>
  </si>
  <si>
    <t>Juan Antonio García Pertierra</t>
  </si>
  <si>
    <t>iudad de Toledo: para una Canongía de la Colegial de Arbas del Puerto,, en el obispado de Oviedo, á D. Juan Antonio García Pertierra; y para la. Prestamera de las villas de Vehilcázar é Hinojosa , en eí de Córdoba , vacante por muerte de D.. Manuel Francisco de PaulaLorÍeri,á D. Juan Bautista de Ezpeleta, Vicar</t>
  </si>
  <si>
    <t>García Plaza, Isidoro</t>
  </si>
  <si>
    <t>Isidoro García Plaza</t>
  </si>
  <si>
    <t>........... D. Manuel Escolar y Noriega. En Granada........ D. Francisco de Unzaga. En Guadalaxara. D. Isidoro García Plaza. En Jaén.............. D. Pedro Esponera. En León............... D. Pedro Gil de Texada. En Málaga.......... D. Antonio Mariano. En Murcia........... Sres. Moreda y Ladalid. En Pa</t>
  </si>
  <si>
    <t>García Rodrigo, Joseph María</t>
  </si>
  <si>
    <t>Joseph María García Rodrigo</t>
  </si>
  <si>
    <t>rancisco Martínez de la Escalera, Teniente de brulote graduado de la Real armada, D. Pedro Dale sme,D. Joseph María García Rodrigo y D. Joseph Cortines Espinosa, Cadete del regimiento de voluntarios de Castilla : asistidos de D. Joseph Ramón de Ibarra, Capitán del Real cuerpo de Ingenieros Cosmógrafos de Estado,</t>
  </si>
  <si>
    <t>García Sexmilo, Juan</t>
  </si>
  <si>
    <t>Juan García Sexmilo</t>
  </si>
  <si>
    <t>.......... D. Tomas Díaz Serrano. En Valíadalid........ D. Gabriel de Semprum. En Zamora........... D. Juan García Sexmilo. En Alicante........... D. Luis Pesceto. En Barcelona....... La Caxa de Descuento. En Bilbao............... D. Agustín Antonio de Lequerica. En Cuenca............. D. Pedro Venanc</t>
  </si>
  <si>
    <t>García Valdés, Fernando</t>
  </si>
  <si>
    <t>Fernando García Valdés</t>
  </si>
  <si>
    <t>Teniente graduado de Capitán de infantería D. Antonio Ricote; la Tenencia de granaderos al Teniente Don Fernando García Valdés, y Tenencias de fusileros al Subteniente graduado de Capitán de infantería D. Bernardo Albizú, y al Subteniente graduado de infantería D. Rafael Miguel: en el de Lugo compañía al</t>
  </si>
  <si>
    <t>García Valledor</t>
  </si>
  <si>
    <t>bteniente al segundo D Blas Gómez : en el de Asturias á segundos Tenientes al primer Subte-' niente D. García Valledor y al Subteniente de granaderos D. Francisco Pardo ; á Subtenientes de granaderos á los primeros Subtenientes D. Antonio Valladáres , D..Tomas de Ben y D. Francisco Xavier González ^</t>
  </si>
  <si>
    <t>García y Arrieta, Agustin</t>
  </si>
  <si>
    <t>Agustin García y Arrieta</t>
  </si>
  <si>
    <t>da con observaciones críticas , y los correspondientes apéndices sobre la literatura española , por D. Agustin García y Arrieta, de la Biblioteca de los Reales estudios : tomo/4.0 que trata de Ja tragedia y la epopeya. Sale adicionado é ilustrado por el traductor con un examen históricocrítico de las trage</t>
  </si>
  <si>
    <t>García y Muñiz, Manuel</t>
  </si>
  <si>
    <t>Manuel García y Muñiz</t>
  </si>
  <si>
    <t>os de primer año del quinto curso matemático D. Francisco Prendes, D. Joachín Campuzano y Marentes, D. Manuel García y Muñiz, D. Nicolás Carreño y D. Domingo González. 2.0 En dichos estudios y en geometría, trigonometría plana y esférica y logaritmos, baxo la dirección del auxiliar D. Antonio de Condres</t>
  </si>
  <si>
    <t>García y Navarro, Antonio</t>
  </si>
  <si>
    <t>Antonio García y Navarro</t>
  </si>
  <si>
    <t>Juan Ignacio Pareja y Mariscal, D. Juan Miguel Pareja y Mariscal, D. Ramón de Bustamante y V elez, D. Antonio García y Navarro , D. Joachín de Rivas y Lana, I&gt;. \ ictoruno García Valdés, D. Juan de Vedia y González, D. Joseph de Rezustay Goicoechea, D. Pascual del Cañizo y Pareja , D. Dionisio Capaz Rende</t>
  </si>
  <si>
    <t>García, Antonio</t>
  </si>
  <si>
    <t>Antonio García</t>
  </si>
  <si>
    <t>e la parroquial de Santa María de la ciudad de Ecija, arzobispado de Sevilla, vacante por muerte de D. Antonio García, á D. Joseph de Roo, con la obligación de precisa y personal residencia, conforme al plan beneficial que rige en aquel arzobispado. El Rey ha conferido el Corregimiento de la ciud</t>
  </si>
  <si>
    <t>es de infantería de Voluntarios de Cartagena, á Don Manuel Urruchurtu, Subteniente de milicias, y á D. Antonio García, Sargento primero veterano. : Con Real permiso, y á favor de la obra del muelle de la ciudad de Tarragona, se abre otra rifa de 15© duros, de los quales las tres quimas partes que</t>
  </si>
  <si>
    <t>García, Benito</t>
  </si>
  <si>
    <t>Benito García</t>
  </si>
  <si>
    <t>la calle de la Cruz de esta corte, de donde se ausentó el 8 de Octubre de 1799, avisará en Madrid á D. Benito García,calle de la Cruz del Espíritu Santo,núm. 1, por ser de mucha importancia saber de su persona.. Los Enamorados, ó Calatea y sus bodas ; historia pastoral, comenzada por Miguel de C</t>
  </si>
  <si>
    <t>García, Christóbal</t>
  </si>
  <si>
    <t>Christóbal García</t>
  </si>
  <si>
    <t>e Noaylles: en el de Irlanda á segundos Subtenientes á los Sargentos primeros y soldado distinguido D. Christóbal García, D. Francisco Doliany y D. Miguel Bray, al Cadete del de infantería dé Granada D. Juan Vázquez, y al Sargento primero del de Málaga D. Nicolás Gamarra: en el de Asturias á segundo</t>
  </si>
  <si>
    <t>García, Diego</t>
  </si>
  <si>
    <t>Diego García</t>
  </si>
  <si>
    <t>427 fanegas, sito en el Vado de los Palomáres, fundador D. Diego García , tasado en j7jí&gt;47 rs* y reKta Í42, Una posesión compuesta de casa ,35 aranzadas de olivar, 13 fanegas de tierra, en el sitio Serafín, tasada en 117,645 rs. y renta 4071. Un cens</t>
  </si>
  <si>
    <t>García, Felipe</t>
  </si>
  <si>
    <t>Felipe García</t>
  </si>
  <si>
    <t>de Noviembre un vale Real de 150 pesos, creación de 15 de Marzo, núm. 294,418, renovado á favor de D. Felipe García , primer Teniente del regimiento de infantería de Murcia, y sin endoso alguno. Quien supiere de él avisará á dicho sugeto. Tres Discursos de economía política y rural sobre la org</t>
  </si>
  <si>
    <t>García, Francisco Xavier</t>
  </si>
  <si>
    <t>Francisco Xavier García</t>
  </si>
  <si>
    <t>Prieto: el emplea de Administrador y Factor de la propia renta en Pore » Provincia de los Llanos» á D. Francisco Xavier García: el de Administrador de Alcabalas de Riobamba á D. Ramón Abadía: el de Oficial primero de la Administración principal de aguardientes de Mbmpox á D. Fausto de Castro y Correa: el</t>
  </si>
  <si>
    <t>García, Joseph</t>
  </si>
  <si>
    <t>Joseph García</t>
  </si>
  <si>
    <t>s á los Cadetes D. Alberto Urbina y D. Claudio Eguia: en el de Burgos á Ayudante al primer Teniente Don Joseph García: en el de Murcia á segundo Teniente de granaderos al de fusileros D. Manuel Casaus; á primer Subteniente al segundo D. Marcos Márquez ; y á segundo Subteniente al Cadete D. Vicent</t>
  </si>
  <si>
    <t>o á D. Agustín Galicia, D. Joseph Joachín de Aguilar, D. Manuel María Cervantes, D. Joseph Salazar, D. Joseph García, D. Gabriel Gala» y D. Ignacio Mauri. Deseando S. M. reformar los teatros, y proporcionar ai pueblo una decente y honesta recreación, desterrando de la escena todas las representa</t>
  </si>
  <si>
    <t>ey se ha servido promover á segundo Teniente en el regimiento de caballería de Calatrava al Alférez D. Joseph García; y á Alféreces en el mismo cuerpo y el de Carabineros de la Reyna María Luisa á los Portaestandartes D. Manuel Solano y D. Fernando Mulero. ' D. Manuel González de Lobera, de esta</t>
  </si>
  <si>
    <t>do Teniente y á Alférez en el de caballería de Húsares al Alférez Don Antonio Pernada y al Sargento D. Joseph García; y á primeros Tenientes en el de voluntarios de España al segundo Teniente agregado al propio cuerpo D. Joseph María de Roxas, y al de la misma clase en él Don Ramón Queipo de Lla</t>
  </si>
  <si>
    <t>y ha concedido grado de Teniente al Sargento primero de dicho regimiento de milicias de infantería D. Joseph García. Igualmente ha nombrado Teniente veterano del mencionado batallón de Cuba y Bayamo al Teniente graduado D. Joachin de León, Sargento Garzón de la Plana mayor veterana del batallón</t>
  </si>
  <si>
    <t>cias a los Sargentos primeros de granaderos D. Fernando Capacete y D. Joseph López» y á los Cadetes D. Joseph García y D. Francisco López del regimiento de’ Granada, y D, Fernando Iraola del de Extremadura* En el de la Corona ha promovido S. M, ¿ segundos Subtenientes al Sargento primero D. Francisc</t>
  </si>
  <si>
    <t>García, Joseph Antonio</t>
  </si>
  <si>
    <t>Joseph Antonio García</t>
  </si>
  <si>
    <t>mrs. Aguila, en 10 de Octubre de 1788. Por 48 pesos en oro 3|- rs. plata por dicho Basavilbasopara D. Joseph Antonio García, 9$ 3 rs. 8 mrs. ‘Princesa, en 9 Be FébrefoMe 1789. Por 37 pesos &lt;5f .rs. plata por dicho Basa* vilbaso para D. Joseph Antonio de la Cerda, 696 rs. 9 mrs. ‘Cantabria, en a9 Be Jii</t>
  </si>
  <si>
    <t>García, Juan</t>
  </si>
  <si>
    <t>Juan García</t>
  </si>
  <si>
    <t>agregada al batallón de Pardos libres de milicias disciplinadas de infantería de Cuba y Bayamo , á D. Juan García, Sargento primero y Ayudante Garzón de la referida plana mayor. También ha promovido S. M. á Coronel del batallón de milicias provinciales de la nueva Orleans, y á Ayudante mayor</t>
  </si>
  <si>
    <t>García, Juan María</t>
  </si>
  <si>
    <t>Juan María García</t>
  </si>
  <si>
    <t>y Corpa, este graduado de infantería: Subteniente de granaderos del mismo de Ronda al de fusileros D. Juan María García; y Subteniente de bandera del de Salamanca á D. Juan Nepomuceno Pineda. También se ha servido S. M. conceder grado de Coronel de Milicias provinciales á D. Juan María de Cadalso;</t>
  </si>
  <si>
    <t>nencias de fusileros al Subteniente de cazadores D. Christóbai González de AiJer, y al de fusileros D. Juan María García; las Subtenencias de granaderos y cazadores á los Subtenientes de fusileros D. Manuel Gil de la Torre, y D. 'ladeo Ortiz y Moreno, y la Subtenencia de bandera á D. Francisco Paula</t>
  </si>
  <si>
    <t>García, Luis</t>
  </si>
  <si>
    <t>Luis García</t>
  </si>
  <si>
    <t>rredera , de pasto y labor, linde huerta de arriba y tierras de Joseph López Briceño , y cercado de D. Luis García , de caber 16 fanegas, tasado en 169 rs. y renta £go. La cerca del corral del Cura , en término de la villa de Chozas, de pasto y monte , su cabida 14 fanegas , tasada en 24§ rs.</t>
  </si>
  <si>
    <t>érez á D. Mariano Arribaspíata. En el de Milicias urbanas de dragones de Palma en Jauja, Tenencia á Don Luis García. En el de igual clase de caballería de Huamalies, Ayudantía á I). Bernabé Arisa; Tenencias á D. Vicente de la Cerna, D. Ramón Hernández, D. Joseph Montano, D. Francisco Franco Igl</t>
  </si>
  <si>
    <t>García, Rafael</t>
  </si>
  <si>
    <t>Rafael García</t>
  </si>
  <si>
    <t>ronado y D. Justo Montes ; á Subtenientes de granaderos á los primeros Subtenientes D. Pedro Pérez, D. Rafael García y D. Joseph Quirós; á primeros Subtenientes á los segundos D. Marcos Rodríguez, Don Antonio Xerez, D. Juan Carlos de Soto, D. Joseph Diaz, D. Juan de Serra y D. Domingo Navarro, y á s</t>
  </si>
  <si>
    <t>García, Ramón</t>
  </si>
  <si>
    <t>Ramón García</t>
  </si>
  <si>
    <t>Capitán al pr niente de granaderos D. Joseph Eraso; á primer Teniente de granaderos ai de fusileros D. Ramón García; á primer Teniente ?,1 segundo.de granaderos D. J oseph Costa; á segundo Teniente de granaderos al de fusileros Don Juan S:n Martin; á segundo Teniente al Subteniente de granadero</t>
  </si>
  <si>
    <t>, y efectivo del propio cuerpo; y ha promovido en el mismo á Capitanes de fusileros á los Tenientes D. Ramón García y D. Francisco de Gamez Laso de la Vega; á Tenientes de granaderos y cazadores á los de fusileros D. Luis Joseph de Ortega y D. Joseph Romero; á Tenientes de fusileros á los Subtenien</t>
  </si>
  <si>
    <t>García, Tomás</t>
  </si>
  <si>
    <t>Tomás García</t>
  </si>
  <si>
    <t>D. Aniceto de Pierra y Amarillas: en el de Granada á segundo Teniente al Subteniente de granaderos D. Tomas García, y á primer Subteniente al segundo D. Blas Teruel; y en el de las Ordenes Militares á segundo Teniente de granaderos al de fusileros D. Mariano Mirálles; y á segundo Teniente al S</t>
  </si>
  <si>
    <t>García’de Segovia, Ramón</t>
  </si>
  <si>
    <t>Ramón García’de Segovia</t>
  </si>
  <si>
    <t>Alférez D. Tomas Usen : en el de carabineros de la Reyna María Luisa á Ayudante al primer Teniente D. Ramón García’de Segovia: en el de Voluntarios de España á Alférez ai Sargento, graduado de Alférez , D. Alonso Serrano ;y en el de dragones de la Reyna á Teniente al Alférez D. Antonio Castilla. También</t>
  </si>
  <si>
    <t>Gardanne</t>
  </si>
  <si>
    <t>t|mbien orden al General Chamberlac para que siguiese este movimiento, y á losa Generales Monnier y Gardanne para que atravesasen prontamente ei Po con sus divisiones. Aun no teníamos al otro lado del rio sino el cuerpo de los Generales Lannes y Víctor con 300 caballo</t>
  </si>
  <si>
    <t>Gardanne, General</t>
  </si>
  <si>
    <t>General Gardanne</t>
  </si>
  <si>
    <t>eblo. Todo indica que en breve se abrirá la campaña. Parts 23 de Febrero. D esde Alcnzon escribe el General Gardanne que los chouanes de los deí ■artamentos de la Mancha y del Orne dexan las armas y se entregan á discreción, como también muchos de sus xefes, entre ellos Mrs. Ruays, Rohan-Chabot,</t>
  </si>
  <si>
    <t>arte el dia 24 una carta en que substancialmente diceResulta de los avisos que acabo de recibir del General Gardanne que en los contornos de Chanú ha descubierto varios parages en que los xefes de chouanes acostumbraban ocultarse durante la paz, y quandó los perseguía la justicia. Allí guardaban</t>
  </si>
  <si>
    <t>el quartel general de Genova á 16 de Marzo: „ De Jos reductos de Montenesino despachó el dia 13 el General Gardanne una partida de 140 carabineros hacia Dego, para examinar las fuerzas y situación de los? enemigos por aquella parte, y coger algunos prisioneros que pudiesen darnos luces. El modo</t>
  </si>
  <si>
    <t>todos Jos puntos. Por una y otra parte se peleaba con igual encarnizamiento* Habia % horas que el. General Gardanne sostenía el ataque de la derecha y del centro enemigo sin perder un palmo de terreno, no obstante la inferioridad de su artillería: la brigada del General Kellerman apoyaba la izq</t>
  </si>
  <si>
    <t>Gardner</t>
  </si>
  <si>
    <t>de que necesita por Ja much^ inquietud que reyna en aquelpais. Asimismo se dice que la esquadra de Mr. Gardner se ha dirigido hacia Irlanda para sostener el proyecto de unión. Este ¡Almirante salió dé Torbay el dia 6 con 20 navios de línea y 7 fragatas* ¡Mr. Hyder Parker, que manda la divi</t>
  </si>
  <si>
    <t>AbriL E 1 jueves de la semana anterior zarpó de Torbay la esquadra de la Mancha baxo las órdenes de Mr. Gardner, sin esperar la llegada del Almirante S. Vicente que lia de mandarla. Consta en el día de 32 navios de línea 5 entre los quedes hay 9 de 3 puentes; pero el sábado expidió ei Almir</t>
  </si>
  <si>
    <t>Gardner, Almirante</t>
  </si>
  <si>
    <t>Almirante Gardner</t>
  </si>
  <si>
    <t>arán en este pais después de enviar los qué faltan para cumplir dicha capitulación. La esquadra del Almirante Gardner, que es una división de la de la Mancha, consta de 16 navios de línea, y su objeto es reconocer el estado de las fuerzas combinadas de Breslv Se la espera quanto antes en Torbay p</t>
  </si>
  <si>
    <t>2® con 8, y todas las mayores con 12. Londres 14 de Enero. H a vuelto á los puertos la división del Almirante Gardner compuesta de los navios Ciudad de París de no cañones, Real Soberano de 100, Barfleur, Formidable y S. Jorge de 98, Namur de 90, Ayax y Gibraltar de 80, Márte, Capitán, Edgard; Wa</t>
  </si>
  <si>
    <t>uadra de Torbay saldrá también á reforzar la que cruza á la altura de Ouessant baxo las órdenes del Almirante Gardner; y Inego que esten reunidas, quizá volverá á tomar su mando el Almirante Brídport. Ha empezado á executarse la ley que manda á los panaderos no vendan pan sino 24 horas á lo ménos</t>
  </si>
  <si>
    <t>no vivía Typpoo-Saib , ni había allí que temer de parte de los franceses. Ha entrado en Plimouth el Almirante Gardner con 7 navios de línea y 2 fragatas, que son parte de la esquadra grande , cuyo mando ha reasumida el Lord Bridpcrt. Vienen dichos buques á repararse y hacer víveres. A)rer tarde s</t>
  </si>
  <si>
    <t>teriormente ha hecho dexacion del mando de dicha esquadra, en el qual le reemplaza interinamente el Almirante Gardner. Asimismo el Lord Duncan ha dexado el mando de la esquadra que cruza en el mar del Norte. Mr. de Viomenil, que estaba nombrado por el Emperador de Rusia para mandar el cuerpo de t</t>
  </si>
  <si>
    <t>Nelson vuelve del Mediterráneo para mandar esta esquadra baxo las órdenes del Lord S. Vicente; y el Almirante Gardner mandará la que cruza en los mares de Irlanda. Se advierten nuevos preparativos en los puertos meridionales de Inglaterra , y principalmente en las Dunas. El General Coote se halla</t>
  </si>
  <si>
    <t>Gardo, General</t>
  </si>
  <si>
    <t>General Gardo</t>
  </si>
  <si>
    <t>cción fue reñida, y hubo varios ataques con bayoneta.- Entre tanto la 7.* ‘di visión mandada por el General Gardo ier peleaba en el puente del Mesubia, y derrotó á los enemigos. La 6.a división á las órdenes del General Mengaud intentó pasar el Var por S. Martin;, pero no lo logró. El 29 la 4</t>
  </si>
  <si>
    <t>Gargallo, Juan</t>
  </si>
  <si>
    <t>Juan Gargallo</t>
  </si>
  <si>
    <t>a Torre, Cadete del mismo cuerpo: la Ayudantía del esquadron de dragones voluntarios de Guayaquil á D. Juan Gargallo, Ayudante de la plana mayor veterana agregada al batallón de Pardos libres de infantería de Voluntarios de Cartagena: este empleo á Don Pedro Bravi, Sargento primero distinguido d</t>
  </si>
  <si>
    <t>Gáribíty, Pedro</t>
  </si>
  <si>
    <t>Pedro Gáribíty</t>
  </si>
  <si>
    <t>n86 Asimismo se há servido S. M. nombrar á D. Pedro Gáribíty para una plaza de Agente del número de Indias, vacante por fallecimiento de Don Tiburcio Alonso Abad. El Rey se ha servido conferir el empleo de Superintendente de la Real casa de</t>
  </si>
  <si>
    <t>Garlos Montignany</t>
  </si>
  <si>
    <t>meros Subtenientes D. Mauricio Keating y D. Pedro Sarsiieid; á primeros Subtenientes á los segundos D. Garlos Montignany, D. Joseph Boery, D. Mateo Colingh, D. Manuel Motes y D. Joseph María Rindelan; y á segundos Subtenientes á los Cadetes ]&gt;. Antonio García, D. Gerónimo Stermund, Di Ramón Urraca,</t>
  </si>
  <si>
    <t>Gárlos Viola</t>
  </si>
  <si>
    <t>Losada, agregado en la propia clase al mismo cuerpo^ En consideración á los méritos y servicios de D. Gárlos Viola, y al acierto con que ha desempeñado las comisiones de los Reales empréstitos que están á su cargo, se ha servido S. M. concederle los honores de Conta* dor de exército. En Améric</t>
  </si>
  <si>
    <t>Garniel, Teniente General</t>
  </si>
  <si>
    <t>Teniente General Garniel</t>
  </si>
  <si>
    <t>stá especialmente encargado de acelerar el cumplimiento de esta orden en quanto á Philipsburgo ; el Teniente General Garniel por lo tocante á Ingolstadt, y el Teniente General Richcpanse, ó el que lo-reemplaza, por lo relativo á Ulm. 7,° El Comandante del cuerpo de ingenieros del exército tomará en lo q</t>
  </si>
  <si>
    <t>Garnier, General</t>
  </si>
  <si>
    <t>General Garnier</t>
  </si>
  <si>
    <t>io. I ntentáron los austríacos y piamonteses atrincherarse ea el col de Tenda; pero la división del General Garnier los rechazó, y les forzó á tomar el camino de Vintimiglia. Se asegura que dicho General les obligó también á devolver los 4 rehenes que sacaron de esta ciudad, y que entre los prision</t>
  </si>
  <si>
    <t>s departamentos’. ' . FT General Massena desembarcó el día 7 en Antibo, desde donde vino a KÍ7'i F1 General Garnier salió á recibirle con una compañía de granaderos austríacos; y Massena se embarco aquí el día 8 para Puerto-M.uinco. H uí recobrado los franceses la ciudad de Savona; el exercito</t>
  </si>
  <si>
    <t>Garnier, Juan Joseph</t>
  </si>
  <si>
    <t>Juan Joseph Garnier</t>
  </si>
  <si>
    <t>echea, D. Francisco Otaegui, D. Juan Agustín de Arrieta, Don Martin de Echavc, D. Manuel de Medina, D. Juan Joseph Garnier, Don Agustín de Lecumberri y D. Francisco Antonio Barandiaran, que paguen cada uno 200 dudados de vellón de multa; y que en el caso de formarse en lo sucesivo iguales compañías de</t>
  </si>
  <si>
    <t>Garolinski, Príncipe</t>
  </si>
  <si>
    <t>Príncipe Garolinski</t>
  </si>
  <si>
    <t>ceses y patriotas desterrados del Reyno de Ñapóles. Turin jo de Febrero. H a llegado á Florencia el Príncipe Garolinski, Ministro plenipotenciario dei Emperador de Rusia cerca del Rey de Cerdeña, y ha sido presentado á S. M, De esto infieren algunos que la corte de Viena ha consentido al fin en que</t>
  </si>
  <si>
    <t>Garragorri, Juan Joseph</t>
  </si>
  <si>
    <t>Juan Joseph Garragorri</t>
  </si>
  <si>
    <t>ción de defensa. A D. Fermín de Urtizverea, D. Joachín Gregorio de Goicoa , D. Nicolás de Legarda , D. Juan Joseph Garragorri y D. Joseph Vicente de Elizondo, que siendo Oficiales urbanos y teniendo cargo de concejo se fugaron de la plaza; los 4 primeros que no tengan empleo de Ayuntamiento, ni puedan ser co</t>
  </si>
  <si>
    <t>Garrido López, Juan</t>
  </si>
  <si>
    <t>Juan Garrido López</t>
  </si>
  <si>
    <t>Aragón, que este obtenía , á D. Pedro María Ric, Alcalde del Crimen de ella ; y para esta resulta á D. Juan Garrido López. Asimismo ha concedido S. M. plaza de Alcalde del Crimen de la Chanciilería de Granada, vacante por ascenso de D. Diego Villafañe á Oidor de número de ella, á D. Francisco de León</t>
  </si>
  <si>
    <t>Garrido y Duran, Pedro</t>
  </si>
  <si>
    <t>Pedro Garrido y Duran</t>
  </si>
  <si>
    <t>l mismo empleo á D. Juan Andrés Segovia, Relator del Consejo. También se ha servido S. M. nombrar á D. Pedro Garrido y Duran, Oidor supernumerario de la Chancillería de Granada, para la plaza de Oidor de la misma, vacante por promoción del Sr. D. Tomas Quartero á otra del Consejo de Guerra: para una sup</t>
  </si>
  <si>
    <t>Garrido, Pedro María</t>
  </si>
  <si>
    <t>Pedro María Garrido</t>
  </si>
  <si>
    <t>e-&gt; d.ó: para esta,resulta á D. Manuel Beunza : para la que obtenía D. Joseph : Damian dé Cuenca á ;D. Pedro María Garrido , Alcalde de. la expresádap Quadra, y para esta áiDv;FernandouMaríaíGarvia de Torrevedraf ynparac l^de d&gt;. Joseph ®íaría&gt;Galdiáno y Zalduendo á D. Vicente Talepsr, Oídprh de la Au</t>
  </si>
  <si>
    <t>Garrido, Vicente</t>
  </si>
  <si>
    <t>Vicente Garrido</t>
  </si>
  <si>
    <t>in, y á segundos Subtenientes al Sargento primero de granaderos D. Gavino Martínez, y á los Cadetes D. Vicente Garrido y D. Manuel Esquer: en el de granaderos Voluntarios de Estado á Capitanes á los primeros Tenientes D. Juan Pedro Lacosta y D. Antonio Ufrutia, y al Ayudante D. Martin de Frías; á esta</t>
  </si>
  <si>
    <t>Joseph Nevado y D. Narciso González; á primeros Subtenientes á los segundos D. Josepn Villaescusa, D. Vicente Garrido , D. Gavino Martínez y D. Manuel Esquer; y á segundos Subtenientes á los Sargentos primeros de granaderos D. Joseph de Palma y D.. Juan de Porras, y á los Cadetes D. Joachin Luzur</t>
  </si>
  <si>
    <t>Garriga, Antonio</t>
  </si>
  <si>
    <t>Antonio Garriga</t>
  </si>
  <si>
    <t>Isidoro del Corral, con firma en blanco de este. Quien* le tenga le entregará al dicho Corral, ó á D. Antonio Garriga, que vive calle de Jacometrezo, mím. 14, quarto principal¿ frente al cestero del Rey. Por la audiencia del Sr. I&gt;. Juan Antonio Santa María, Teniente Corregidor de esta villa, y e</t>
  </si>
  <si>
    <t>Garriga, Pedro</t>
  </si>
  <si>
    <t>Pedro Garriga</t>
  </si>
  <si>
    <t>onistrol, Corregimiento de Manresa................................ 124. Otro... Pedro Garriga, hijo de Joseph y Eulalia, natural de Barcelona, Corregimiento ídem........................................... 124. . "Valentín Martorell, hijo de otro y Cándida, natural de Artés, Corr</t>
  </si>
  <si>
    <t>Garro, Manuel Gerónimo</t>
  </si>
  <si>
    <t>Manuel Gerónimo Garro</t>
  </si>
  <si>
    <t>LRey se ha servido nombrar para el Deanato de la catedral de Oviedo, bacante por faUééi mi en to de D. Manuel Gerónimo Garro, á D. Ramón de la Quádta* para la Canongía de la de Segovia, que este dexa y i D. Pedro Moritoro: para la Ración de la santa iglesia de Toledo, que.este-obtiene y resultará vacant</t>
  </si>
  <si>
    <t>Garzón, Juan</t>
  </si>
  <si>
    <t>Juan Garzón</t>
  </si>
  <si>
    <t>segundos Tenientes á los Subtenientes de granaderos D. Joseph María Araujo, graduado de Teniente, y Don Juan Garzón; á Subtenientes" de granaderos á los primeros Subtenientes D. Francisco Ordoñez y D. Francisco Carrillo; a primeros Subtenientes á los segundos D. Gregorio Perez y D. Juan Carvaja</t>
  </si>
  <si>
    <t>Gascón de Torquemada, Gerónimo</t>
  </si>
  <si>
    <t>Gerónimo Gascón de Torquemada</t>
  </si>
  <si>
    <t>, vida, prisión y muerte de P, Rodrigo Calderón 9 Marques de Siete Iglesias, Conde de la Oliva: por D. Gerónimo Gascón de Torquemada, Aposentador de-S. M. y de la Cámara del Smo, Sr. Infante D. Carlos,su amigo y testigo de vista á todo quanto aquí se refiere* Se hallará en Ja librería de Cerro, red de. S. Luis,</t>
  </si>
  <si>
    <t>Gascón, Estéban Agustín</t>
  </si>
  <si>
    <t>Estéban Agustín Gascón</t>
  </si>
  <si>
    <t>de diezmos del arzobispado de Charcas , vacante por fallecimiento de D. Juan Antonio Ruiz Tagle, á D. Estéban Agustín Gascón. D. Joseph Castróviejo Barruso, Cura y Rector de Sta. María de Brion y villa de la Grana, en la diócesis de Mondoñedo, ha representado al Rey lo siguiente: ' • ,,E 1 dia 25 de Ago</t>
  </si>
  <si>
    <t>Gascoyne</t>
  </si>
  <si>
    <t>ue sería muy factible abusar de los términos del bilí;. y al cabo se aprobaron las proposiciones de Mr. Gascoyne. En la Cámara de Comunes de Irlanda se ha tomado un acuerdo dirigido á fomentar la navegación interior de aquel Rey no * haciendo navega</t>
  </si>
  <si>
    <t>Gascoyne, Coronel</t>
  </si>
  <si>
    <t>Coronel Gascoyne</t>
  </si>
  <si>
    <t>ra baxa un bilí, que tiene por objeta admitir en la marina británica á los marineros holandeses. El Coronel Gascoyne propuso se tratase de las varias peticiones ó recursos hechos contra el bilí dirigido á precaver Jas combinaciones ó juntas ilícitas de los artesanos. Observó Mr. Buxton que las s</t>
  </si>
  <si>
    <t>Gascoyne, Lord</t>
  </si>
  <si>
    <t>Lord Gascoyne</t>
  </si>
  <si>
    <t>tenor del acta les molesten acusándoles de combinaciones ilícitas. Iguales recursos presentaron el Lord Gascoyne en nombre de los trabajadores de Lancaster, Mr. Bourdet Jones de parte de los de Manchester, y Mr. Sheridan en nombre de los de Bristol, Plimouth y Bath. En la misma sesión acordó l</t>
  </si>
  <si>
    <t>Gasser, Fernando</t>
  </si>
  <si>
    <t>Fernando Gasser</t>
  </si>
  <si>
    <t>s de fusileros O. Félix Obersteg y D. Francisco Zelger, y á Subtenientes de fusileros á los Cadetes D. Fernando Gasser, Don Jorge Jacobo Traxler, D. Jum Godt y D. Francisco Scheer; y en el Suizo de Courten Tenencia de fusileros al Subteniente de granaderos D. Joseph Elias de Courten; y esta result</t>
  </si>
  <si>
    <t>Gastaña, Domingo</t>
  </si>
  <si>
    <t>Domingo Gastaña</t>
  </si>
  <si>
    <t>á D. Vicente Lobo y Marques: para la Canongía de la catedral de León, vacante por fallecimiento de D. Domingo Gastaña, á D. Francisco Xavier Chinchilla Chichina y Vilches: para otra Canongía de la catedral de Falencia, vacante por promoción de D. Francisco Mulero Delgado , á D. Joseph Marín: para</t>
  </si>
  <si>
    <t>Gastón, Miguel</t>
  </si>
  <si>
    <t>Miguel Gastón</t>
  </si>
  <si>
    <t>edáron en calma todo, aquel dia y noche siguiente, atrasándose mucho la fragata Sabina del mando de D. Miguel Gastón. Las ventolinas fueron del S O con espesa neblina: y en esta disposición aparecieron muy inmediatos á las quatro y media de la mañana dos buques que muy luego se reconocieron ser</t>
  </si>
  <si>
    <t>Gauthier</t>
  </si>
  <si>
    <t>edo, si cuñado, y muchos Generales asistieron al entierro. También ha muerto el ciud. Gauthier, célebre constructor de la marina. Roma 21 de Febrero, T&lt; odo el JEstado romano está ocupado por tropas austríacas y napolitanas. Esta ciudad y las provincias</t>
  </si>
  <si>
    <t>Gavino Martínez</t>
  </si>
  <si>
    <t>, D. Joseph Campo y D. Agustín Otermin, y á segundos Subtenientes al Sargento primero de granaderos D. Gavino Martínez, y á los Cadetes D. Vicente Garrido y D. Manuel Esquer: en el de granaderos Voluntarios de Estado á Capitanes á los primeros Tenientes D. Juan Pedro Lacosta y D. Antonio Ufrutia,</t>
  </si>
  <si>
    <t>arciso González; á primeros Subtenientes á los segundos D. Josepn Villaescusa, D. Vicente Garrido , D. Gavino Martínez y D. Manuel Esquer; y á segundos Subtenientes á los Sargentos primeros de granaderos D. Joseph de Palma y D.. Juan de Porras, y á los Cadetes D. Joachin Luzuriaga, D. Gaspar y D. Luis</t>
  </si>
  <si>
    <t>Gavino Tamayo, Joseph</t>
  </si>
  <si>
    <t>Joseph Gavino Tamayo</t>
  </si>
  <si>
    <t>el batallón de milicias disciplinadas de infantería de Cuba y Bayamo á Capitanes á los Subtenientes D. Joseph Gavino Tamayo y D. Rafael Vázquez, y á Subtenientes á los Cadetes D. Juan Salvador Vázquez y D. Juan Antonio Noguera. S. M. se ha servido señalar para la junta general de accionistas de la Real com</t>
  </si>
  <si>
    <t>Gayan, Ramón</t>
  </si>
  <si>
    <t>Ramón Gayan</t>
  </si>
  <si>
    <t>on Joachin Martínez Capaza, Abogado de los Reales Consejos, ó en la Alberca á dicho Cura párroco. A D. Ramón Gayan, vecino del lugar de Paniza, corregimiento de Daroca, serle ha extraviado un vale Real de 60o pesos, creación de 10 de Abril, mím.' 4ri,458, renovado á favor de D. Mariano Lacosta</t>
  </si>
  <si>
    <t>Gayoso, Antonio</t>
  </si>
  <si>
    <t>Antonio Gayoso</t>
  </si>
  <si>
    <t>de granaderos al de fusileros D. Miguel Ulloa; á Teniente de fusileros al Subteniente de cazadores D. Antonio Gayoso, y á esta resulta al Subteniente de fusileros D. Pedro Tabeada Márquez de Ulloa: en el de Murcia á Teniente de fusiL-ros al Subteniente de esta clase D. Aquilino Perez, y á Subten</t>
  </si>
  <si>
    <t>Gaytan de Ayala, Luis Manuel</t>
  </si>
  <si>
    <t>Luis Manuel Gaytan de Ayala</t>
  </si>
  <si>
    <t>D. Joseph Manuel de Emparan, D. Juan Lui$ de Michelena, y los Cadetes de Reales Guardias Españolas D. Luis Manuel Gaytan de Ayala y D. Juan María de i\bratdes, respondiendo el primero de todos los elementos de fortificación de Le-B!ond; y el segundo de los principios. En esfera y geografía, baxo la dirección de</t>
  </si>
  <si>
    <t>Gaztelu, Francisco Ignacio</t>
  </si>
  <si>
    <t>Francisco Ignacio Gaztelu</t>
  </si>
  <si>
    <t>al Gobernador, D. Joseph Joachín de Larburu, D. Francisco Antonio Echeverría, D. Joachín ele Garde, D. Francisco Ignacio Gaztelu, D. Vicente de Mendizaval, D. Manuel Francisco de Soraiz, y D. Ignacio</t>
  </si>
  <si>
    <t>Gazul, Ignacio</t>
  </si>
  <si>
    <t>Ignacio Gazul</t>
  </si>
  <si>
    <t>el segundo por 1). Joseph Asensio en Febrero de este año. Quien los baya encontrado los entregará á D. Ignacio Gazul portero mayor de la biblioteca Real. D. Blas Capón y López, natural del lugar de Escoureda , obispado de Lugo, dexó en la ultima disposición baxo de que ha fallecido en esta corte</t>
  </si>
  <si>
    <t>Gcncy, General</t>
  </si>
  <si>
    <t>General Gcncy</t>
  </si>
  <si>
    <t>631 do, el'General Lannes se apoderaba de dicha villa por el camino real; y el General Gcncy estaba á las manos con los enemigos, que defendían tenazmente los puestos de su izquierda. La vanguardia seguia peleando desde las qu.itro, y se disputaba á palmos el terreno. Los p</t>
  </si>
  <si>
    <t>Genaro de Aurea y Rho</t>
  </si>
  <si>
    <t>Valenzuela y Melgarejo, D. Vicente Bermudez de Castro y Vivero, D. Bernabé de Mariaca y Ansótegui, D. Genaro de Aurea y Rho, D. Vicente Martin Vegue y Zayas, D. Gabriel Góngora y Palacio, D. Luis de Benavides y Alovice,D. Antonio Guerrero y Canredondo, D. Francisco González de la Riva y Vivanco,D. Jose</t>
  </si>
  <si>
    <t>Genaro Gómez de Encinas</t>
  </si>
  <si>
    <t>otra de la colegial de Talayera de la Reyna, en la diócesis de Toledo, vacante por fallecimiento de D. Genaro Gómez de Encinas, á D. Joseph Antonio Montemayor: para la de la iglesia de Santa María de la ciudad de Cascante, en la diócesis de Tarazona, vacante por fallecimiento de D. Francisco Vallejo, á D.</t>
  </si>
  <si>
    <t>Genaro Martínez de Villa</t>
  </si>
  <si>
    <t>ones por carecer de médico los pueblos circunvecinos. La provisión está á cargo de su Alcalde mayor D. Genaro Martínez de Villa , á quien deben dirigir su solicitud los pretendientes. En la villa de Chillón, distante ménos de un quarto de legua de la de Almadén del Azogue, se halla vacante la plaza de médi</t>
  </si>
  <si>
    <t>Gency, General</t>
  </si>
  <si>
    <t>General Gency</t>
  </si>
  <si>
    <t>ue al instante derrotada: la segunda quiso atacar, y detuvo un rato a nuestra tropa; pero acudió el General Gency con una media brigada formada en coluna cerrada, se arrojó sobre los enemigos , y los arrolló obligándolos á huir. La línea de caballería enemiga, compuesta de 4® hombres , atacó</t>
  </si>
  <si>
    <t>General, Mariscal</t>
  </si>
  <si>
    <t>Mariscal General</t>
  </si>
  <si>
    <t>en los exércitós del Emperador de Alemania, así de enfermedad como por el fuego de ios enemigos, un Mariscal General, 3 Generales de artillería, 12 Tenientes Generales, 21 Mayores generales, 107 oficiales de plana mayor &amp;c. De Bamberg escriben que entre el General francés Augereau y el austríaco</t>
  </si>
  <si>
    <t>Generalísimo, Feld-Mariscal</t>
  </si>
  <si>
    <t>Feld-Mariscal Generalísimo</t>
  </si>
  <si>
    <t>de Colloredo, hijo del Ministro de este nombre, para llevar al Archiduque Carlos su nombramiento de Feld-Mariscal Generalísimo de todos los exércitos austríacos: dignidad que no se ha conferido á ningún General desde el célebre Príncipe Eugenio de Saboya. Augs burgo 22 de Octubre. E 1 dia 19 se comunicó al e</t>
  </si>
  <si>
    <t>Genet, General</t>
  </si>
  <si>
    <t>General Genet</t>
  </si>
  <si>
    <t>el sol. * Una gazeta inglesa, citando una carta de la Martinica del 30 de Agosto, ’ refiere que él General Genet salió de la Guadalupe cón 800 hombres; 'ataéó lá,isla de Curazao, y. se apoderó del castillo, como también de varias b embarcaciones anglo-afncricanas, cuyas tripulaciones se habí</t>
  </si>
  <si>
    <t>Genevaux</t>
  </si>
  <si>
    <t>les, según el orden de las materias de que se trata en los catecismos, puestas en francés por el P. Don Genevaux , Benedictino ; y traducidas por D. A. O. D. Z. B.: en a tomos en 8.° marquilla. Se hallará en dicha librería de Hurtado. Introducción reverente á las sagradas misiones para dispo</t>
  </si>
  <si>
    <t>Genzaga Villena, Luis</t>
  </si>
  <si>
    <t>Luis Genzaga Villena</t>
  </si>
  <si>
    <t>el Rey á Alféreces á los Cadetes D. Joseph Salomony , D. Vicente de Qu esada, D. Fernando Hoscoso, D. Luis Genzaga Villena y D. Antonio Desmaisieres. En el de infantería de la Princesa á segundo Subteniente al Cadete D. Pedro Gramberg: en el de Hibernia á segundo Subteniente al Soldado distinguido del men</t>
  </si>
  <si>
    <t>Georges</t>
  </si>
  <si>
    <t>nos: „E1 día 24 derrotó el General Harty á los chouanes cerca de Grandchamp: el xefe Georges padeció mucho: las tropas que manda</t>
  </si>
  <si>
    <t>en el termino de 24 horas.” • Por un correo que llegó ayer se ha sabido que el caudillo Georges entregó en el Morbihan los fusiles y cañones ingleses que había ofrecido. Se espera en breve aquí a este xefe. Ticne ^6 anos, es hijo de un molí— ñero rico, y tu</t>
  </si>
  <si>
    <t>rebeldes se ■hablan ¡untado tambiea hacia Beri y en la embocadura del Ars. Sus caudillos Georges, Guittemotte y otros, intentaron inútilmente armar y poner en 'campaña alguna gente de la que antes habían mandado; pero no consiguieron enganchar sino algunos</t>
  </si>
  <si>
    <t>Gérard, Juan</t>
  </si>
  <si>
    <t>Juan Gérard</t>
  </si>
  <si>
    <t>completo de aritmética , ó método para aprender á contar por principios por D:. Juan Gérard , presbítero , ex- Catedrático de: matemáticas en París,. Esta, obra es sumamente útil á toda ciase de personas ; pero en: especial: á la. ju.~</t>
  </si>
  <si>
    <t>Gerardo Hirschbach</t>
  </si>
  <si>
    <t>te D. Pedro Haltegg ; á este empleo al Teniente D. Antonio Maister, y á esta resulta al Subteniente D. Gerardo Hirschbach; y ha concedido grado deCapitan al Ayudante mas antiguo del mismo cuerpo D. Martin líallegg. En el batallón segundo de infantería ligera de Barcelona se ha servido S. M. promover</t>
  </si>
  <si>
    <t>Gerardo Joseph de Sousa</t>
  </si>
  <si>
    <t>Atolla y Don Juan: González ÍVmrio y Tamariz. ■■ . , c ín consideración á los servicios y mérito de D. Gerardo Joseph de Sousa, Cónsul general en Trípoli de Berbería, se ha dignado el Rey concederle los honores de Comisario ordenador de sus exércitus. Con motivo de la peste que desde el mes de Mayo del an</t>
  </si>
  <si>
    <t>Gerbela, Manuel</t>
  </si>
  <si>
    <t>Manuel Gerbela</t>
  </si>
  <si>
    <t>ntes a los segundos D. Mariano Ribas , D. Domingo Tierra, D. Mariano Galindo, D. Antonio.Castañon y D Manuel Gerbela; Marot^D. FranciscoVViñas á segundos Subtenientes , D. Antonio a losy Cadetes Casanoves D. Rafael D, Manuel Cadabid, y al Sargento primero D. Isidro Valverde: y en el de Ñapóles a</t>
  </si>
  <si>
    <t>Gerdíl, Cardenal</t>
  </si>
  <si>
    <t>Cardenal Gerdíl</t>
  </si>
  <si>
    <t>había tenido siempre 20 votos , logró 22 el dia 18, y con 2 mas hubiera obtenido el.Pontificado. El Cardenal Gerdíl, piamontes, llegó á tener 19, pero después solo ha reunido 10; y el Emmo. Valenti Gonzaga juntó ayer 19. En medio de esta variedad se presume que al cabo se reunirán los votos en</t>
  </si>
  <si>
    <t>Gervasio Fernandes Izquierdo</t>
  </si>
  <si>
    <t>r. D. Pedro González Calderón, Teniente Corregidor de esta villa, y por la escribanía del número de D. Gervasio Fernandes Izquierdo, se están subastando dos casas: la una sita en la calle Mayor, núm. 3, manz. 413, contiene iyóof pies, tasada en 138,667 rs.4 y la otra en la calle del Bonetillo, con fachada á la</t>
  </si>
  <si>
    <t>Gervasio Fernández</t>
  </si>
  <si>
    <t>vales Reales. Por la audiencia del mismo Sr. D. Pedro González Calderón y escribanía del número de D. Gervasio Fernandez izquierdo, se ha mandado sacar á publica subasta una casa sita en la calle de la Magdalena alta, mim. 7, manzana 470, tasada en 41,846 rs. Quien quisiere hacer postura acuda ante,</t>
  </si>
  <si>
    <t>scribanía. Por providencia del propio Sr. D Pedtcr González Calderón, y por la citada escribanía de D. Gervasio Fernandez izquierdo, se han mandado sacar nuevamente á pública subasta, y por término de 15 días, tres casas: sita una en la costanilla de Santiago y del Bonetillo, con fachada ai callejón</t>
  </si>
  <si>
    <t>Gervasio Fernández Izquier</t>
  </si>
  <si>
    <t>D. Juan Antonio Santa María, Teniente Corregidor de esta villa , y por la escribanía del numero de D. Gervasio Fernandez Izquier-? do , se ha mandado sacar á pública subasta por término de 30 dias una casa, sita én la calle de Juanelo , nú ai. 17 , manz. 14 , que consta de 660 pies de sitio, tasada en 29,767</t>
  </si>
  <si>
    <t>Gervasio Fernández Izquierdo</t>
  </si>
  <si>
    <t>Quien quiera hacer postura á ella acuda ante dicho Señor Teniente y por la escribanía del número de D. Gervasio Fernandez Izquierdo. Por providencias del Sr. D. Pedro González Calderón , Teniente Corregidor de esta villa , se ha mandado sacar á púbiica subasta una casa sita en ,a calle de S. Carlos , núm. 22 ,</t>
  </si>
  <si>
    <t>42,358 rs. Quien quiera hacer postura acuda ante dicho Sr. Juez , y por la escribanía del número de D. Gervasio Fernandez Izquierdo. Para el remate de la 'casa- huerta, propia de la congregación de Ntra. Sra. de la Purificación, de los reposteros y botilleros, sita en S. Felipe el Real, está señalado el sábado</t>
  </si>
  <si>
    <t>en 161,332 rs. Quien quiera facer postura acuda ante dicho Señor Juez, y por cribanía del número de D. Gervasio Fernandez Izquierdo.</t>
  </si>
  <si>
    <t>99,967 rs. Quien quiera hacer postura acuda ante dicho Señor Juez y por la escribanía del número de D. Gervasio Fernandez Izquierdo. Por la audiencia del mismo Sr. D. Pedro González Calderón, y escribanía de número que exerce D. Tomas Sancha y Prado , se está subastando otra casa sita en la calle de Santa Bárb</t>
  </si>
  <si>
    <t>9,890 rs. Quién quisiere hacer postura acuda ante dicho Señor Juez y por la escribanía de número de D. Gervasio Fernandez Izquierdo. A la casa correspondiente á las memorias fundadas por D. Juan de Cuellar y S. Pedro, núm. 9, manz. 14$, sita en la calle de los Tintes de esta corte, tasada en 141,334 rs. , que</t>
  </si>
  <si>
    <t>807 rs. Quien quiera hacer postura acuda ante dicho Señor Juez, y por la escribanía de n ti mero de D. Gervasio Fernandez Izquierdo. Razón de fincas enagenables de obras pías. Intendencia de Toledo. Partido de Alcalá. Villa de los Santos de la Humosa: seis fanegas y media de tierra, pertenecientes á la cofradí</t>
  </si>
  <si>
    <t>Uceda. Por providencia del Sr. D. Juan Antonio Santa Mana, Teniente Corregidor d, esta villa, acte D. Gervasio Fernandez Izquierdo, Escribano de su numero, se h, mandado sacar á pública subasta por término de 9 dias una casa sita en la caUe deTBas°eO, núm. to, manz. 96, correspondiente á la testamentaría de D</t>
  </si>
  <si>
    <t>$7,847 TS‘ quiera hacer postura acuda ante dicho Señor Juez y por la escribanía del! n.¡tintero de D. Gervasio Fernandez Izquierdo. A virtud odc providencia del Sr. D. Pedro González Calderón , Teniente Corregidor de esta» v*illa,se está subastando una casa sita en la calle de Toledo, num.4, manz. 102, tasada</t>
  </si>
  <si>
    <t>A virtud de providencia del mismo Sr: D. Pedro González Calderón, y por la Escribanía de numero de D. Gervasio Fernandez Izquierdo, sé están subastando otras dos casas sitas entre las calles de Fuencarral,de la Palma, corredera de San Pablo y de S. Joseph, mím. 1 y a, manz. 331, que contiene 14,720} pies, tas</t>
  </si>
  <si>
    <t>general de Penas de Cámara del Real Fisco de la misma , y Go bernador del monte pió militar, y ante D. Gervasio Fernandez Izquierdo, Escri*ba no principal por S. M. del citado juagado, se hallan pendientes autos sobre la Icgíti ma pertenencia de 8 vales Reales dfcr &lt;£do pesos , Creación de 10 de Abr&gt;l, mím. 38</t>
  </si>
  <si>
    <t>citada escribanía. Por la audiencia del Sr. D. Juan Antonio Santa María, y escribanía del número de D. Gervasio Fernandez Izquierdo, se ha mandado sacar á pública subasta por término de 30 dias una casa sita en esta corte en la calle del Olivo alto, nüm. 4, manz. 360, que consta de 2492 pies de sitio, tasada e</t>
  </si>
  <si>
    <t>or la audiencia del Sr. D. Pedro González Calderón, Teniente Corregidor, y escribanía del número de D. Gervasio Fernandez Izquierdo, se han mandado sacar á pública subasta por término de 30 dias dos casas , una en la cailé del Escurial , núm. 18, manz. 4^0 , que consta de i6i2§ pies de sitio, tasada en 7«,,90°</t>
  </si>
  <si>
    <t>del Sr. D. Juan Antonio Santa María, Teniente Corregidor de esta villa, y escribanía del número de D. Gervasio Fernandez Izquierdo , se está subastando una casa sita en la calle de la Cabeza , núm. 14, manz. 8 : contiene 3279§ pies, y está tasada en ^&lt;5,735 rs. Quien quiera hacer postura acuda ante el referid</t>
  </si>
  <si>
    <t>I04S regidor de esta villa, y por la escribanía del numero de D. Gervasio Fernandez Izquierdo, se han mandado sacar á pública subasta nuevamente por término de 15 dias cuatro casas §*t*s en esta corte: la 1.* eri la calle de la Cruz de la Saraa, núin. ip, rnacz. 471, que c</t>
  </si>
  <si>
    <t>del Sr. D. Pedro González Calderón , Teniente Corregidor dé esta villa, y escribanía del número de D. Gervasio Fernandez Izquierdo, se está subastando una casa sita en la calle del Pez, núm 2 manz. 448 , que contiene 1043 piesj tasada en 88,308 rs. 17 mrs. Y en virtud de providencia del mismo Sr. Juez y por l</t>
  </si>
  <si>
    <t>Gervasio Fernández Izquierdo En</t>
  </si>
  <si>
    <t>siere hacer postura á quaiquiera de ellas acuda ante dicho Sr. Juez por la escribanía del número de D. Gervasio Fernandez Izquierdo En virtud de providencia ¿el mismo Sr. D. Pedro González Calderón’ -e ha sacado á subasta por término de 30 dias una parte de casa (es la planta baxa) sita en la plazuela del Angel ,</t>
  </si>
  <si>
    <t>Gervasio Gasea</t>
  </si>
  <si>
    <t>do» Vacante por.retiro dé D, Antonio-Socovio, ha nombrado el Rey al Teniente Coirdnel de caballería D. Gervasio Gasea. ’ ' En América. S, M, se ha dignado conferir la plazg de Ministro Con--* tador de las caxas Reales de Cartagena de Indias. á D. Francisco dé 8spe-¿‘ joy Miriistro Teábreró dé lis</t>
  </si>
  <si>
    <t>Gervasio Gozalvez, Joseph</t>
  </si>
  <si>
    <t>Joseph Gervasio Gozalvez</t>
  </si>
  <si>
    <t>de la colegiata de Alicante, diócesis de Orihuela, vacante por muerte de D. Juan Bautista Marco, á D. Joseph Gervasio Gozalvez: para otra de Palencia, vacante por fallecimiento de D. Mariano Iglesias de los Ríos, á D. Santiago Hernández Milanés: para la de la catedral de Avila, vacante por premoción de D.</t>
  </si>
  <si>
    <t>Gervasio Izquierdo</t>
  </si>
  <si>
    <t>tasada en 165,937 rs. Quien quisiere hacer postura acuda ante dicho Sr. Juez y citada escribanía de D. Gervasio Izquierdo. S. Thomae &lt;\quinatis Theologice Summai Compendium &amp;c. Esta obra es ün extracto de toda la teología del angélico Maestro: quanto escribió en su Suma se halla en este libro tan bie</t>
  </si>
  <si>
    <t>Gestido, Manuel</t>
  </si>
  <si>
    <t>Manuel Gestido</t>
  </si>
  <si>
    <t>, graduado de Teniente Coronel, D. Isidoro Uriarte; á primer Teniente de granaderos al de fusileros D. Manuel Gestido; á primer Teniente al segundo de granaderos D. Manuel Fernandez de Olarte; á segundo Teniente de granaderos al de fusileros D. Cipriano Aniz Marañon; á segundo Teniente al Subteni</t>
  </si>
  <si>
    <t>Gevallos, Miguel</t>
  </si>
  <si>
    <t>Miguel Gevallos</t>
  </si>
  <si>
    <t>Capitán áí Teniente., de granaderos D. Manuel Rodrigue^; -á‘ Teniente de granaderos al de fusileros D. Miguel Gevallos; á Tenientes á los Subtenientes’ D. Bartolomé ^orales, de granaderos, y D. Francisco Válléjo; á Subteniente de granaderos al de fusileros D. Miguel Valera; á Subtenientes á los de</t>
  </si>
  <si>
    <t>Gham, General</t>
  </si>
  <si>
    <t>General Gham</t>
  </si>
  <si>
    <t>do su solicitud. "^ París 24 de Eneró. 1 ll 8 de este mes murió en Antibo á los 37 arlos de edad el General Gham* pionnet, al cabo de una enfermedad de 12 dias. Pin los 3 últimos tuvo delirio continuo: preguntaba si habían llegado las embarcaciones con granos para el exército, si venia diner</t>
  </si>
  <si>
    <t>Giieis, Pedro Antonio</t>
  </si>
  <si>
    <t>Pedro Antonio Giieis</t>
  </si>
  <si>
    <t>Rey ha nombrado para la Administración de Real Hacienda de Nutrias, en la provincia de JSarinas , á D. Pedro Antonio Giieis, Oficial sexto que era de las Gax.is Reales de Caracas. Asimismo se ha servido S. M. conferir el empleo de Oficial primero de las Reales Caxas del puerto de Truxillo, Reyno de Goa</t>
  </si>
  <si>
    <t>Gijon y Rósalas, Benito</t>
  </si>
  <si>
    <t>Benito Gijon y Rósalas</t>
  </si>
  <si>
    <t>. Felipe Esteiler y Febrer,D. Joseph del Viso y Roxas,D. Francisco Perez de Grandallana y Fontecha, D. Benito Gijon y Rósalas, D. Pedro Caamaño y Romero, D. Miguel de Valenzuela y Melgarejo, D. Vicente Bermudez de Castro y Vivero, D. Bernabé de Mariaca y Ansótegui, D. Genaro de Aurea y Rho, D. Vicente Ma</t>
  </si>
  <si>
    <t>Gil de Arias, Vicente</t>
  </si>
  <si>
    <t>Vicente Gil de Arias</t>
  </si>
  <si>
    <t>n el de Valencia á Capitán al Teniente D. Antonio Terranét, y á Tenientes al agregado en esta clase D. Vicente Gil de Arias y á los Subtementes D. Rafael Cerecio y D. Vicente Matas. En atención á los méritos y servicios de D. Ramón Flubia y Pastel/, vecino de la villa de Olot, corregimiento de Vi que en</t>
  </si>
  <si>
    <t>Gil de la Torre, Manuel</t>
  </si>
  <si>
    <t>Manuel Gil de la Torre</t>
  </si>
  <si>
    <t>os D. Juan María García; las Subtenencias de granaderos y cazadores á los Subtenientes de fusileros D. Manuel Gil de la Torre, y D. 'ladeo Ortiz y Moreno, y la Subtenencia de bandera á D. Francisco Paula Velasco y Cabrera: en el de Salamanca Compañía de fusileros al Teniente -de cazadores D. Joachín de T</t>
  </si>
  <si>
    <t>Gil de Santiso, Antonio</t>
  </si>
  <si>
    <t>Antonio Gil de Santiso</t>
  </si>
  <si>
    <t>. Pedro Lozano, D.Benito María Alvarado y D. Joseph Ranero y Gil. En trigonometría plana y esférica D. Antonio Gil de Santiso. En cosmografía y navegación D. Pedro Conde y D. Joseph Cansobre. En navegación y maniobras de abordo D. Salvador Perez del Cerro. Todas las proposiciones fuéron sorteadas ó elegi</t>
  </si>
  <si>
    <t>Gil de Solorzano, Francisco</t>
  </si>
  <si>
    <t>Francisco Gil de Solorzano</t>
  </si>
  <si>
    <t>regará en la Higuerita á dicho Roig, en el Grao de Valencia al mencionado Carbonell , ó en Madrid á D. Francisco Gil de Solorzano. Razón de las fincas enajenables en Ceuta, el 20 de Abril de 1800 , pertenecientes á obras pias. Una casa en el callejón del Cebollino, perteneciente a la obra pia que fundó el Ma</t>
  </si>
  <si>
    <t>Gil de Texada, Pedro</t>
  </si>
  <si>
    <t>Pedro Gil de Texada</t>
  </si>
  <si>
    <t>adalaxara. D. Isidoro García Plaza. En Jaén.............. D. Pedro Esponera. En León............... D. Pedro Gil de Texada. En Málaga.......... D. Antonio Mariano. En Murcia........... Sres. Moreda y Ladalid. En Palenda......... D. Nicolás Calonge. En Palma........... D. Martin Mayol. En Salamanca....</t>
  </si>
  <si>
    <t>alaxara. D&lt; Isidoro García Plaza. En Jaén................ D. Pedro Esponera. En León............... D. Pedro Gil de Texada. 1 En Malaga........... D. Antonio Mariano. En Murcia........... Sres. Moreda y Ladalid. En Falencia.......... D. Nicolás Calonge. En Palma............ D. Martin Mayo!. En Salaman</t>
  </si>
  <si>
    <t>Gil de Texaia, Pedro</t>
  </si>
  <si>
    <t>Pedro Gil de Texaia</t>
  </si>
  <si>
    <t>o ^García Plaza* ’ • - xJ .&lt; *. h ,t\ En Jaén...........I... D. Pedro Esponera. En Leon...ty....... D. Pedro Gil de Texaia. En MáÜféa¿í.L.'¿íD. AtttanióVMariand;! .J* l ?.a&gt;IV;:.UT J fpj. En Murcia........... Sres. Moreda y Ladalid. En Patencia......... D. Nicolás Calonge. ~Y ^ cf). Martin MayoL i ' ,</t>
  </si>
  <si>
    <t>Gil María Crespo</t>
  </si>
  <si>
    <t>el término de 30 días, que concluyen el 17 de este mes. Por auto proveido en a6 de Marzo por el Sr. D. Gil María Crespo, Asesor del Real sitio da S. Lorenzo, y Gobernador interino , se citan y emplazan con término de 40 dias á los que tengan derecho á los bienes que han quedado por muerte de Bernar</t>
  </si>
  <si>
    <t>l servicio; y á D. Manuel de Jáuregui, Asesor de la Intendencia del Real sit'o de.S. Ildefonso, y á D. Gil María Crespo, que lo es del Gobierno del de S. Lorenzo, honores de Alcaldes del crimen de la Chancillería de VaUadolid. Igualmente se ha servido S. M. nombrar para el Corregimiento de letras d</t>
  </si>
  <si>
    <t>Gil Montaibo</t>
  </si>
  <si>
    <t>dores , graduado de infantería, D. Antonio Ximenez de Estrada; esta resulta alTeniente de fusileros D. Gil Montaibo ; Tenencia de fusileros aí Subteniente de granaderos D. Diego González; su resulta al Subteniente de fusileros D. Juan Moreno, y Subtenencia de fusileros á D, JuliTn Calongfc: en</t>
  </si>
  <si>
    <t>Gil Ranz, Luis</t>
  </si>
  <si>
    <t>Luis Gil Ranz</t>
  </si>
  <si>
    <t>D. Miguel Gravet y D. Juan Antonio Zandiola cada uno con otro de las Lecciones retóricas de Blair: D. Luis Gil Ranz con los 1.2 tomos del Evangelio meditado : D. Joseph María de los Ríos con las obras que. ha impreso el catedrático; y D. Pedro Prieto con las que tiene impresas D. Juan Rubio,qui</t>
  </si>
  <si>
    <t>Gil Verges</t>
  </si>
  <si>
    <t>lo Rabasa: para otro titulado Portería menor, en la catedral de Urgel, vacante por fallecimiento de D. Gil Verges, á D. Rafael Falomir: para otro Beneficio simple servidero de la parroquia de Sta. María y S. Pedro de la villa de Ita, en la diócesis de Toledo , vacante por fallecimiento de D.</t>
  </si>
  <si>
    <t>Gil, Francisco</t>
  </si>
  <si>
    <t>Francisco Gil</t>
  </si>
  <si>
    <t>l de la Real Armada; y en el cuerpo de Escopeteros voluntarios de Andalucía Tenencia al Subteniente D. Francisco Gil. El Rey ha nombrado Cirujano del quinto batallón del Real cuerpo de Artillería al primer Ayudante de cirugía del exército D. Juan Antonio Román, Cirujano del regimiento provincial</t>
  </si>
  <si>
    <t>o de preservar á Jos pueblos de viruelas hasta lograr su completa extinción en todo el r.eyno : por Don Francisco Gil , cirujano del Keal monasterio de S. Lorenzo, é individuo de la Real</t>
  </si>
  <si>
    <t>Gil, Juan Antonio</t>
  </si>
  <si>
    <t>Juan Antonio Gil</t>
  </si>
  <si>
    <t>a Reyna, España, Aragón y batallón de voluntarios de Tarragona á los .Presbíteros D. Agustín Perez, D. Juan Antonio Gil, D. Juan Antonio Jordán, que lo era del de Taen, y D. Ray mundo Arch. S. M. se ha servido nombrar para una plaza de Ministro de la Real Audiencia de Mallorca á D. Pedro, de Xávaga</t>
  </si>
  <si>
    <t>Gil, Manuel</t>
  </si>
  <si>
    <t>Manuel Gil</t>
  </si>
  <si>
    <t>, una casa y un censo, en término de Jirueque, Bujalaro y Cendejas , pertenecientes á la memoria de Don Manuel Gil, á la de Animas y al hospital, tasadas en 30,750 rs. y renta 1418. 8 idem : 8 pedazos de tierra de 231| fanegas, en término de la Torre Savifian, dé la memoria de Animas, y á la d</t>
  </si>
  <si>
    <t>Gil, Tomás</t>
  </si>
  <si>
    <t>Tomás Gil</t>
  </si>
  <si>
    <t>en tesorería sino 2.710,825. Acaba de establecerse en Norwich un hospital para inocular la vaeina. Mr. Tomas Gil!, de Bírmingham, ha inventado un nuevo método para taladrar los cañones, fusiles , pistolas &amp;c. E11 las Dunas han fondeado 15 buques de la compañía oriental: los 8 vienen de la lu</t>
  </si>
  <si>
    <t>Gilberto Andry</t>
  </si>
  <si>
    <t>allón de milicias provinciales de la nueva Orleans, y á Ayudante mayor veterano del mismo cuerpo, X D. Gilberto Andry y D. Antonio Cruzar, Capitán y Teniente del regimiento ñxo de la Luisiana.</t>
  </si>
  <si>
    <t>Gilberto Venepas</t>
  </si>
  <si>
    <t>líelas disciplinadas de infantería del Reyno de Goatemala á D. Gilberto Venepas y D. Manuel Alonso Viado, Ayudantes de ios regimientos de infantería de Córdoba y de Jaén: á Sargentos mayores de *las de dragones del propio Reyno á D. Juan Bautista de Echegoyen y D</t>
  </si>
  <si>
    <t>Gilman, Antonio</t>
  </si>
  <si>
    <t>Antonio Gilman</t>
  </si>
  <si>
    <t>de Arellano y D. Joacliín Fernandez de Medrano. En sintaxis, baxo la dirección de D. Rufino Espada, D. Antonio Gilman, D. Manuel de la Riva-Agüero, D. Alexandro Barruchi, D. Iñigo Ortés y D. Joseph María Ortés. En las humanidades y retórica, baxo la dirección de su profesor D. Pedro Fuertes, los</t>
  </si>
  <si>
    <t>de Lardizabal, D. Luis de Lardizabal, D. Alejandro Barruchi, Don Joseph Kindelan, D. Rafael Tejada, D. Antonio Gilman, D*-Manuel de la Riva-Agiiero; y otros varios en principios. En doctrina christiana, baxo la dirección del maestro principal el Lie. D. Juan Bautista de Montes, todos los seminari</t>
  </si>
  <si>
    <t>Gines de Quedas</t>
  </si>
  <si>
    <t>dé México dirigió un testimonio, del qual aparece que falleció en la villa de S. Felipe de Linares D. Gines de Quedas , que se decia originario de la ciudad de Murcia; sus bienes consistieron en 109 pesos, que se hallan depositados en tesorería sujetos á varios descuentos: y que sin embargo de ha</t>
  </si>
  <si>
    <t>Gines García</t>
  </si>
  <si>
    <t>Estévez, D. Vicente Cabrera y D. Ignacio Cavero; y á segundos Subtenientes á los Sargentos primeros D. Gines García, de granaderos, y Don Matías Melero, y á los. Cadetes D. Alberto Falcó y Alvarez, D. Joseph de Misa y D. Pedro Guerrero; en el de España á Capitanes á los primeros Tenientes D. Ag</t>
  </si>
  <si>
    <t>Ginesta, Agustín</t>
  </si>
  <si>
    <t>Agustín Ginesta</t>
  </si>
  <si>
    <t>res. Se hallarán en la librería de Herrera , postigo de S. Martin. El Conservador de Jos niños, por D. Agustín Ginesta Catedrático de partos y enfermedades de mugeres y niños del Real colegio de Cirugía de S. Cárlos, de esta corte. Esta obrita reúne los preceptos que deben observarse para impedir Ja excesiva mor</t>
  </si>
  <si>
    <t>Gioannetti, Cardenal</t>
  </si>
  <si>
    <t>Cardenal Gioannetti</t>
  </si>
  <si>
    <t>onsumo de víveres despacharon de allí los enfermos en el navio Guiliermo-Tell. Roma 8 de Abril. E 1 Cardenal Gioannetti, Arzobispo de Bolonia, murió en Venecia el 29 de Marzo á los 78 años de edad. Eué elevado á la sagrada púrpura por la santidad de Pió VI el año de 1777. * Ha entrado en Palerme un</t>
  </si>
  <si>
    <t>Girard</t>
  </si>
  <si>
    <t>e Agosto á las 6 de la mañana con mucha solemnidad y aparato__ _E1 Ingeniero en xefe Girard escribió desde las ruinas de Tenas con fecha de 17 de dicho mes, que habia subid.© por la orilla del Nilo hasta la primer catarata, y halló en la isla de Elefant</t>
  </si>
  <si>
    <t>Girardcn, General</t>
  </si>
  <si>
    <t>General Girardcn</t>
  </si>
  <si>
    <t>alais ha accedido á Ja paz, y el otro x efe Georges ha sido completamente derrotado.” Por carta del General Girardcn al General Sahuguet se sabe que también se ha sometido Mr. Bourmont coa toda la división que mandaba. Han desembarcado en Morlaix 400 prisioneros franceses canjeados. Hay entre el</t>
  </si>
  <si>
    <t>Giulai, General</t>
  </si>
  <si>
    <t>General Giulai</t>
  </si>
  <si>
    <t>qual apronta esta ciudad 1200 hombres. Parte de ellos se ha puesto ya en camino para el quartel del General Giulai. Francfort 14 de Enero, T odas las tropas francesas apostadas en el Ducado de Bergues tienen orden de restituirse á las orillas del Rhin, y serán reemplazadas por batallones de co</t>
  </si>
  <si>
    <t>Giulio</t>
  </si>
  <si>
    <t>Glaire</t>
  </si>
  <si>
    <t>o helvético ha nombrado ya dos individuos del Consejo legislativo , que son los ciudadanos Schmid y Glaire, para que vayan al congreso de Luneville á cuidar de los intereses de Suiza. El 28 del mes último fué quando llegó á Ulm la orden del Emperador para que salies</t>
  </si>
  <si>
    <t>tan con grande actividad los armamentos marítimos. ' Basilea 18 de Octubre* E 1 ciud. Glaire, individuo del Consejo exccutivo, ha salido de Berna como Enviado de la República helvética en el Congreso de Luneviile; pero antes de ir á aquella ciudad pasa</t>
  </si>
  <si>
    <t>al Cuerpo legislativo por medio de un mensage las noticias que ha recibido del ciud. Glaire , su Enviado extraordinario en París. En una conferencia particular que tuvo con el primer Cónsul logró la promesa formal de que se anulará el tratado de alian</t>
  </si>
  <si>
    <t>Glayre</t>
  </si>
  <si>
    <t>o de esta República á tul Consejo de Estado compuesto de 7 vocales, que son los ciudadanos Glayre, Dolder, Savary, Frisching , MuUer yGschwendt y Finsler. Frisching renum«ió el- nombramiento ; pero uo se ha admitido su renuncia.:</t>
  </si>
  <si>
    <t>Glipfeld</t>
  </si>
  <si>
    <t>den de salir de los estados hereditarios é ir á Petersburgo: de suerte que en Viena no quedará sino Mr. Glipfeld en calidad de Encargado de negocios. También se asegura que al Embaxador ruso que está en Londres le ha mandado su Soberano ausentarse de aquella cojrte; y añaden que Paulo í retira</t>
  </si>
  <si>
    <t>Gniilelrao ThaJacker</t>
  </si>
  <si>
    <t>eridional : el simíito pétreo : Buena panamensis, género nuevo : observaciones geonósticas que hizo D. Gniilelrao ThaJacker , y ordenó D. Christiano FH®rrgen: catálogo científico de las producciones mineralógicas que traxo. D. Gui1 Hiel00 Thalacker: c&amp;icedoniá de Panamá: descripción de un gravímetro po</t>
  </si>
  <si>
    <t>Gnoíre Carrio</t>
  </si>
  <si>
    <t>isto Linares Montefriopy lá Contaduría de la aduana de Vailadolid de Mechonean ai Teniente retirado D. Gnoíre Carrio. Continuando el. Consejo con sus providencias dirigidas á Heñir la confianza que ha merecido á la piedad del Rey en beneficio del Estado, ha acordado, á consulta de la Comisión gu</t>
  </si>
  <si>
    <t>Gober, General</t>
  </si>
  <si>
    <t>General Gober</t>
  </si>
  <si>
    <t>l propio tiempo ha encargado á las tropas de su mando observen la mas exacta disciplina. • Acaba el General Gober, xefe de la plana mayor del exército de Toscana , de publicar la siguiente relacion.de la toma de Arezzo: „Ei General Monnier al frente de dos medias brigadas de su división, desp</t>
  </si>
  <si>
    <t>Goberr, General</t>
  </si>
  <si>
    <t>General Goberr</t>
  </si>
  <si>
    <t>cho de represalias, permití al caballero de S. Ambrosio pasase á Milán, en donde os lo (presentó el General Goberr. Los plazos señalados en vuestra carta para el desarmamento ¡ban á concluir , y aun no. recibía, yo la respuesta que esperaba del General Sotnmáciva, sin embargo de constarle que</t>
  </si>
  <si>
    <t>Gobert, General</t>
  </si>
  <si>
    <t>General Gobert</t>
  </si>
  <si>
    <t>ituido á esta ciudad el Teniente General Dupont, que estuvo ausente algunos dias, y trac consigo al General Gobert, xefe de la plana mayor. La venida de estos xefes infunde sospechas de que se trata de hacer mudanzas en Toscana y en el gobierno que la Regencia dexó establecido. Bolonia 12 de N</t>
  </si>
  <si>
    <t>Godet, Nicolás</t>
  </si>
  <si>
    <t>Nicolás Godet</t>
  </si>
  <si>
    <t>seph Alemany, D. Joachin Ruil y D. Manuel Casal y Varela, y á segundos Tenientes á los Subtenientes D. Nicolás Godet , D. Joseph Hontoria , D. Fermín Sánchez Franco, D. Teodoro Cañero y D. Ramón Puigros: en el batallón de Volunt trios de Valencia á segundo Ayudante al primer Teniente D. Antonio</t>
  </si>
  <si>
    <t>Godina</t>
  </si>
  <si>
    <t>en el Molino, tasada en 4300 rs. de á 16 quartos. Otra, en 49. Otra en el Ancho, en 3®.= Almunia de Doña Godina: un feudo perpetuo* tasado en 7200 rs. de á 16 quartos. Una casa en la calle del Varillero, en 18,640. Otro feudo en la carrera Rida, en 39. Otro en Huertavieja, en 2700. Otro, en</t>
  </si>
  <si>
    <t>Godinez de Paz, Antonio</t>
  </si>
  <si>
    <t>Antonio Godinez de Paz</t>
  </si>
  <si>
    <t>das épocas , y una disertación sobre la misma materia , traducida del latín al castellano: su autor D. Antonio Godinez de Paz, primer médico que ha sido en la villa de Medina del Campo,conocido por otras obras apreciables que ha publicado á beneficio de la humanidad : en 4.0 Véndese á 8 rs. en la librerí</t>
  </si>
  <si>
    <t>Godoy, Miguel</t>
  </si>
  <si>
    <t>Miguel Godoy</t>
  </si>
  <si>
    <t>s, y muertos por parte de la marina el Teniente de Navio D. Agustín Matute, y el Alférez de Fragata D. Miguel Godoy, que se portaron con bizarría. El Comandante general del departamento hace un particular elogio de la actividad y acierto con que el Mariscal de Campo Conde de Donadío dirigió tod</t>
  </si>
  <si>
    <t>Teniente de granaderos de Monterey D. Joseph Yañez. Los muertos en la segunda el Alférez de Fragata D. Miguel Godoy, el Ayudante mayor del Rey D. Miguel Planes y el Cadete D. Ramón Pardo; y heridos los primeros Tenientes de Asturias D. Joseph de Zayas y D. Andrés Ortiz ; el Comandante del terce</t>
  </si>
  <si>
    <t>Goeble, Jorge</t>
  </si>
  <si>
    <t>Jorge Goeble</t>
  </si>
  <si>
    <t>Bernardo Goldün, graduado de Capitán* y D. Aliguel Rey, y al Ayudante, graduado también de Capitán, D. Jorge Goeble; á Ayudante al Teniente Don Francisco Schuch; á Tenientes de granaderos á los de fusileros D. Alexandro de Korb y D. Manuel Gerig; á Tenientes á los Subtenientes D. Bernardo Yutz,</t>
  </si>
  <si>
    <t>Gollikoff</t>
  </si>
  <si>
    <t>caba de publicarse en la imprenta de la universidad de Petcrsbúrgó la vida de Pedro el Grande, por Mr. Gollikoff, en mas de 30 tomos. Contiene muchos documentos diplomáticos de aquel tiempo con sus pruebas; En Stockolmo ha inventado el Profesor y Doctor Almorth un molino, con el qual se redu</t>
  </si>
  <si>
    <t>Golnez Zamora, Juan</t>
  </si>
  <si>
    <t>Juan Golnez Zamora</t>
  </si>
  <si>
    <t>uis de Martos Villareal; empleo de Capitán de fusileros en el d&lt;e Granada al Teniente de granaderos D. Juan Golnez Zamora; las Tenencias de granaderos y cazadores del de Oviedo á los Tenientes de fusileros D. Francisco Prieto y D. Pedro Pelaez Campománes; la Tenencia de cazadores del de Chinchilla á</t>
  </si>
  <si>
    <t>Gome, Alonso</t>
  </si>
  <si>
    <t>Alonso Gome</t>
  </si>
  <si>
    <t>ese encontrado un vale de 150 pesos, creación de 15 de Setiembre, mim. 170,960, renovado á favor de D. Alonso Gome* Alvarez, que debe estar sin endoso alguno , y se ha echado de menos, lo entregará á D. Manuel Martínez de Salazar , del comercio de hierro en Puerta Cerrada. Razón de fincas enag</t>
  </si>
  <si>
    <t>Goméa, Francisco</t>
  </si>
  <si>
    <t>Francisco Goméa</t>
  </si>
  <si>
    <t>ancisco Exea; y á segundos Subtenientes al Cadete D. Joseph Ruvi del Castillo y al Sargento primero“D. Francisco Goméa 'r * y en ei</t>
  </si>
  <si>
    <t>Gómez de Figueroa, Joseph Rafael</t>
  </si>
  <si>
    <t>Joseph Rafael Gómez de Figueroa</t>
  </si>
  <si>
    <t>ias de bandera á D. Manuel Calvo de Trapacete y Agudo, D. Benito Lobora, D. Lino Alvarez Maldonado, D. Joseph Rafael Gómez de Figueroa y D. Antonio Narvaez y Porcel. También ha conferido S. M. compañía en el cuerpo de milicias urbanas de Alburquerque al Teniente del mismo cuerpo D. Fernando Duran: ha nombrado Tenient</t>
  </si>
  <si>
    <t>Gómez de la Serna, Joachín</t>
  </si>
  <si>
    <t>Joachín Gómez de la Serna</t>
  </si>
  <si>
    <t>granaderos D. Joseph Arteaga: en el de Soria compañía al Capitán agregado y graduado de infantería D. Joachín Gómez de la Serna: Tenencia de cazadores en el de Lugo al Teniente de fusileros D¿ Pedro García: en el de Monterey Tenencias á los Subtenientes D. Felipe Perez Lourido y D. Roque González de Puga:</t>
  </si>
  <si>
    <t>Gómez del Castillo, Miguel</t>
  </si>
  <si>
    <t>Miguel Gómez del Castillo</t>
  </si>
  <si>
    <t>Pedro Antonio Rócaberty por Joseph Nuñez Saavedra. Quien los hubife-* re encontrado los entregará á D. Miguel Gómez del Castillo ¿ calle de la Concepción Gerónima , casas de'Santo Tomas, miar. 4 ¡ «juarto 3.0 A D. Benito NávarrOjVécino de la ciudad dé/'Viáñ'a énr el Ré^ho de Navarra , se le ha extraviado un</t>
  </si>
  <si>
    <t>Gómez Parada, Juan</t>
  </si>
  <si>
    <t>Juan Gómez Parada</t>
  </si>
  <si>
    <t>á Teniente de granaderos al de ftisfieros D. Justo Verdeja; á Teniente al Subteniente de granaderos Don Juan Gómez Parada; á Subteniente de granaderos al de fusileros D. Félix Truxjilo, y á Subteniente de compañía al de bandera D. Juan Canseco. v</t>
  </si>
  <si>
    <t>Gómez Pereyra, Ignacio</t>
  </si>
  <si>
    <t>Ignacio Gómez Pereyra</t>
  </si>
  <si>
    <t>D. Diego Eustaquio de Gamez, á D. Juan Antonio Cornel: para otra de la deTuy, vacánte por muerte de D. Ignacio Gómez Pereyra, á D.JuanCárlos Vales Vaamonde.: para otra de la colegial de Santiílana, en la diócesis de Santander, Vacante por fallecimiento de D. Miguel de Herrera, á Don Benito Barreda y Reb</t>
  </si>
  <si>
    <t>Gómez y Fuentes, Manuel Jacinto</t>
  </si>
  <si>
    <t>Manuel Jacinto Gómez y Fuentes</t>
  </si>
  <si>
    <t>cero, que este obtenía, á D. Antonio Angel de Toledo: á la de quarto de este al Escribiente primero D. Manuel Jacinto Gómez y Fuentes; y su resulta al meritorio de la misma Contaduría D. Francisco Prado de Prado. La junta de gobierno del Banco nacional de S.Carlos, en virtud del capítulo 19 de la Real cédula de</t>
  </si>
  <si>
    <t>Gómez y Otin, Pablo</t>
  </si>
  <si>
    <t>Pablo Gómez y Otin</t>
  </si>
  <si>
    <t>2o6 J&gt;. Vicente Cardona y D. Pablo Gómez y Otin; y las dos Subtenencias de bandera á D. Manuel Armengo! y Monserrat y D. Ramón Armengol y Falcó: También ha nombrado el Rey Teniente de la Compañía suelta cíe fusileros, voluntari</t>
  </si>
  <si>
    <t>Gómez, Alberto Mateo</t>
  </si>
  <si>
    <t>Alberto Mateo Gómez</t>
  </si>
  <si>
    <t>Avendaño; habiendo nombrado Capellán del primer batallón del de la§ Ordenes Militares al presbítero Don Alberto Mateo Gómez. Habiéndose practicado últimamente en el colegio militar de Segovia los acostumbrados exámenes á los caballeros Cadetes del Real cuerpo de Artillería; y manifestado en ellos su ap</t>
  </si>
  <si>
    <t>Gómez, Blas</t>
  </si>
  <si>
    <t>Blas Gómez</t>
  </si>
  <si>
    <t>pitán al Ayudante graduado deTeniente Coronel D. Santiago Texero; y á primer Subteniente al segundo D Blas Gómez : en el de Asturias á segundos Tenientes al primer Subte-' niente D. García Valledor y al Subteniente de granaderos D. Francisco Pardo ; á Subtenientes de granaderos á los primero</t>
  </si>
  <si>
    <t>Gómez, Francisco</t>
  </si>
  <si>
    <t>Francisco Gómez</t>
  </si>
  <si>
    <t>de Marzo1 de 99 , núm. 304,120, endosado ,por Di Ventura Alonso , vecino de ,Aranjuez , á .favor de D. Francisco Gómez, comerciante de maderas en el corralón de PP. Agonizantes de la calle de Atocha.- Quien lo hubiese encontrado lo entregará al expresado Gómez. • . Se ha extraviado otro vale Real</t>
  </si>
  <si>
    <t>Gómez, Gabriel</t>
  </si>
  <si>
    <t>Gabriel Gómez</t>
  </si>
  <si>
    <t>por lo bien acabados y perfectos que están sus respectivos artefactos; y certificaciones honrosas á D. Gabriel Gómez, encuadernador de libros de S. M., y á Tomas Torres, maestro sillero. Se tuvieron presentes varias muestras de abanicos de la fábrica de los hermanos Martínez, establecida en esta</t>
  </si>
  <si>
    <t>Gómez, Joseph</t>
  </si>
  <si>
    <t>Joseph Gómez</t>
  </si>
  <si>
    <t>iñas, á proporción de su aprovechamiento, dando también una buena gratificación al maestro de niños D. Joseph Gómez, presbítero, por su notoria actividad y zelo de la enseñanza. Escuela de agricultura. De resulta de los exámenes generales de agricultura que hicieron los alumnps de esta cátedra</t>
  </si>
  <si>
    <t>a de Valenzuela y Prado, D. Joseph Martínez Mazas, Dean de esta santa iglesia, el Arcediano de Jaén D. Joseph Gómez , D.Fernando y D. Juan joseph de Aranda, hermanos,caballeros maestrantes, y D. Andrés de Üjedma, Coronel de exéreito, que dirige la expresada casa de labor , y demostró el mismo S</t>
  </si>
  <si>
    <t>Gómez, Joseph Antonio</t>
  </si>
  <si>
    <t>Joseph Antonio Gómez</t>
  </si>
  <si>
    <t>rá en Cádiz ¡á dicho D. Miguel Merino y Zaldo, en Barcelona á dichos Plandolit é hijo, en Sevilla á D. Joseph Antonio Gómez é hijo, ó en Madrid á D. Eugenio de Aparicio. En 23 de Julio último remitió D. Antonio Tadeo Díaz ,de Sevilla, dos vales Reales , el uno de 300 pesos , de 10 de Abril , núm. 460,5</t>
  </si>
  <si>
    <t>añía. En Segovia........... Sres. viuda de D. Joseph Manuel Ramiro y Martin. En Sevilla............ D. Joseph Antonio Gómez é hijo. En Soria.............. D. Andrés Martínez de Aparicio. ‘En Toledo............. Sres. Chavarri y Posadillo. En Toro................. D. Joseph Ligero. En Valencia.........</t>
  </si>
  <si>
    <t>añía. En Segovia........... Sres. viuda de D. Joseph Manuel Ramiro y Martin. En Sevilla............ D. Joseph Antonio Gómez é hijo. En Soria............... D. Andrés Martínez de Aparicio. En Toledo............. Sres. Chavarri y Pasadillo. En Toro................ I). Joseph Ligero. En Valencia..........</t>
  </si>
  <si>
    <t>Gómez, Juan</t>
  </si>
  <si>
    <t>Juan Gómez</t>
  </si>
  <si>
    <t>mérica. El Rey se ha servido nombrar Teniente del batallón de infantería provincial de Guanaxuato á D. Juan Gómez, Subteniente del mismo cuerpo: Alférez de la compañía de caballería presidial de Loreto á Do» Joseph Manuel Ruiz, Sargento de la misma compañía: á Teniente miliciano de granaderos</t>
  </si>
  <si>
    <t>Cafiizáres: una tierra término de Majadaonda en Valdelosas, de 17 fanegas , en 1700 rs. Memoria de D. Juan Gómez : una tierra en Jos términos de Majadahonda y Pozuelo á la Vereda , de 3 fanegas, en 300 rs. Otra en el de Pozuelo de Valdemojones, de una fan. y 6 cel. en 300. Otra id. en Valleh</t>
  </si>
  <si>
    <t>i y D. Joseph Muro, que lo es del de infantería de Extremadura, y al Sargento primero de granaderos D. Juan Gómez. En el de Córdoba á primeros Tenientes á los segundos de granaderos y fusileros D. Juan de Laniáta, graduado de. Capitán, y D. Francisco Diaz Galazo; á segundo Teniente de granade</t>
  </si>
  <si>
    <t>Gómez, Ramón</t>
  </si>
  <si>
    <t>Ramón Gómez</t>
  </si>
  <si>
    <t>ata , D. Manuel Minio, D. Diego Lara, D. Vicente Ros, D. Joseph González Pardo, D. Martin Zarandía, D. Ramón Gómez, D. Rafael Riesch, D. Francisco Calderón de la Barca, D. Luis Solana, D.Fernán.lo Navia,D. Miguei Forcalio, Don Jacobo Gil de Avalle, D. Joachin Ponte, D.Francisco Arnau, D. Joach</t>
  </si>
  <si>
    <t>Gómez, Tadeo Segundo</t>
  </si>
  <si>
    <t>Tadeo Segundo Gómez</t>
  </si>
  <si>
    <t>. de las vacantes, que estaban sin proveer, se ha servido Si M. nombrar á D. Manuel de Echevarría , D. Tadeo Segundo Gómez , D. Buenaventura1 de Ventura, D. Christóbal dé Góngora, D. Joáchín dé Henriquez y Doi^ Joseph Compañy. ‘ También se ha servido conferir la Comandancia de esquadron del regimiento</t>
  </si>
  <si>
    <t>Gonfcalez Calderón, Pedro</t>
  </si>
  <si>
    <t>Pedro Gonfcalez Calderón</t>
  </si>
  <si>
    <t>Reales órdenes y de providencias para su cumplimiento del Sr. Teniente de Corregidor de esta villa D. Pedro Gonfcalez Calderón por comisión particular ante el Escribano del número D. Jacobo Manuel Manrique, se ha mandado sacar á pública subasta, por término de 30 dias contados desde esta fecha, una dehesa</t>
  </si>
  <si>
    <t>Góngora y Palacio, Gabriel</t>
  </si>
  <si>
    <t>Gabriel Góngora y Palacio</t>
  </si>
  <si>
    <t>vero, D. Bernabé de Mariaca y Ansótegui, D. Genaro de Aurea y Rho, D. Vicente Martin Vegue y Zayas, D. Gabriel Góngora y Palacio, D. Luis de Benavides y Alovice,D. Antonio Guerrero y Canredondo, D. Francisco González de la Riva y Vivanco,D. Joseph de Letona y Betéluri, D. Antonio Riquehne y Corral, D. Josep</t>
  </si>
  <si>
    <t>Gonza, Juan Antonio</t>
  </si>
  <si>
    <t>Juan Antonio Gonza</t>
  </si>
  <si>
    <t>s D. Arias Mon y Jfelarde y D. Joseph María Puig y Sainper ; y oor Regentes, de la de V alladolid á D. Juan Antonio Gonza-^ loz Carríim, y oe la de Granada á D. Francisco Xavier la Ripa con el sueldo de 40© rs.; y mando que las audiencias de Sevilla y Extremadura tengan el tratamiento de Excelencia ,</t>
  </si>
  <si>
    <t>González Caldero, Pedro</t>
  </si>
  <si>
    <t>Pedro González Caldero</t>
  </si>
  <si>
    <t>uien quisiere hacer mejora acuda á dicha escribanía de D. Juan Antonio de Utraza. Ante el mismo Sr, D. Pedro González Caldero», y escribanía del número de D. Casimiro Antonio Gómez, se está subastando una casa perteneciente á las memorias de Doña Antonia Engracia del Val, sita en la calle de la Sartén, n</t>
  </si>
  <si>
    <t>González Calderón</t>
  </si>
  <si>
    <t>4© dro González Calderón, Teniente Corregidor de esta villa. Quien quisiere ha’cer mejora acuda á la escribanía de número de D. Juan Antonio de Urraza hasta dicho dia. En la villa de Oñate, provincia de Guipúzcoa,</t>
  </si>
  <si>
    <t>ro ue B. Birgo Benigno González. ,, _ . „ .. lor la audiencia dei Sr. D. Pedro. González Calderón , Teniente Corregidor de esta villa , y escribanía del número de D. Tomas de Sancha y Prado, se está subastando una casa tahona , sita calle del Mesón de Paredes, núm. 1 , niarz. c6 , perten</t>
  </si>
  <si>
    <t>González Calderón Teniente Corregidor, Pedro</t>
  </si>
  <si>
    <t>Pedro González Calderón Teniente Corregidor</t>
  </si>
  <si>
    <t>890 Por la audiencia del Sr. D. Pedro González Calderón Teniente Corregidor de esta villa, y la citada escribanía, se están subastando otras dqs casas; una .calle de Santa Isabel y tres Peces, núm. 8 , manz. a«j , que contiene i938§, pies, tasada en 70,591 rs.</t>
  </si>
  <si>
    <t>González Calderón, Pedro</t>
  </si>
  <si>
    <t>Pedro González Calderón</t>
  </si>
  <si>
    <t>asaciones, y que á ellas puede hacerse postura juntas ó separadas. En virtud de providencia del Sr. D. Pedro González Calderón, Caballero de la Real y distinguida órden española de Cárlos III, del Consejo de S. M., Teniente Corregidor de esta villa, se está subastando una casa sita en la calle de S. Antón</t>
  </si>
  <si>
    <t>la referida escribanía, donde se admitirán las que hicieren. ... En virtud de providencias dei Sr. D. Pedro González Calderón, caballero de la Real y distinguida orden española de Carlos III, del Consejo de S. M. , Teniente Corregidor de esta villa , se está subastando un corralón sito calle de las Damas</t>
  </si>
  <si>
    <t>te de doce á una de la tarde en el pórtico de la Real cárcel de esta villa. Por providencia del Sr. D. Pedro González Calderón, caballero de la Real y distinguida orden española de Carlos III, del Consejo de S, M. y Teniente Corregidor de esta villa, se ha mandado volver'á sacar i pública subasta una casa</t>
  </si>
  <si>
    <t>e hallarse hecha postura en la cantidad de 162,569 rs. , precio de su tasa. Por providencia del Sr. D. Pedro González Calderón, caballero de la Real y distinguida orden española de Cirios IH , del Consejo de S.M., Teniente Corregí-', dor de esta villa, se ha mandado sacar á pública subasta una casa sita e</t>
  </si>
  <si>
    <t>l número de D. Diego Benigno González. Por providencia del Sr. Teniente de Corregidor de esta villa D. Pedro González Calderón se subastan dos casas pertenecientes á las memorias de Dona Francisca Sánchez Sagrameña, una en la calle de Jacometrezo , núm. 10 f manzana 365 ; comprehende 3394 pies de sitio: s</t>
  </si>
  <si>
    <t>l número de D. Diego Benigno González. Por providencia del Sr. Teniente de Corregidor de esta villa D. Pedro González Calderón se subasta una casa de la calle del Carmen , que hace fachada á la de los Preciados , núm. 3 , manzana 374 , perteneciente á las memorias de Francisco Perez Villalon y Manuela Sán</t>
  </si>
  <si>
    <t>as comparezca por si ó procurador, con los correspondientes documentos de justificación ante el Sr. D. Pedro González Calderón, Teniente Corregidor de Madrid y por la escribanía de número de D Toachin Go z z Es ¡a villa de Torralba de Calatrava , partido de Almagro , se halla vacante la cátedra de latinid</t>
  </si>
  <si>
    <t>ora ocurra á la escribanía del número de D. Diego Benigno González. Por el juzgado del Sr. Teniente D. Pedro González Calderón, y escribanía de D. Diego Benigno González , se subasta una casa en la calle Mayor, portales de S. Isidro, núms. 40 y ai , manzana I9g , perteneciente á las memorias de Francisco</t>
  </si>
  <si>
    <t>a en 163,166 rs., y comprehende su sitio 2503 pies , que se vende en virtud de providencias del Sr. D. Pedro González Calderón, Teniente Corregidor de esta villa , acuda á la escribanía de número de D. Juan Antonio de Urraza en el término de quince dias. . En virtud de Reales órdenes comunicadas, y á inst</t>
  </si>
  <si>
    <t>escribanía á deducirle. Se ha señalado hoy dia 8 de doce á una de la tarde en la audiencia del Sr. Don Pedro González Calderón , Teniente Corregidor de esta villa, para el remate de la casa calle del Carmen que sirve de fonda , núm. 3 , manzana 378 , perteneciente á las memorias de Francisco Perez Villalo</t>
  </si>
  <si>
    <t>s qüe tuvo, mucho zelo y amor al Real servicio, espíritu y pericia militar. Por providencia del Sr. D. Pedro González Calderón se subasta una casa, sita en la calle del Caballero de Gracia, núm. 8 , manzana apj , pertene—</t>
  </si>
  <si>
    <t>anía del número á cargo de D. Juan de Répide, que st le admitirá siendo arreglada. Ante el Sr. Juez D. Pedro González Calderón, Teniente Corregidor de esta villa , y escribanía del número de D. Casimiro Antonio Gómez, se está subastando una casa perteneciente á las memorias de Doña Antonia Engracia del Va</t>
  </si>
  <si>
    <t>fior Teniente y por la citada escribanía, que se admitirá siendo arreglada. Por providencia del Sr. D. Pedro González Calderón , Teniente Corregidor de esta villa , se ha vuelto á sacar á pública subasta por término de 13 dias la casa de la calle de Jacometrezo, esquina á la del Olivo, núm. i&lt;5 , manzana</t>
  </si>
  <si>
    <t>adores. A virtud de- las Reales órdenes de S. M. , y por la audiencia del Señor Teniente Corregidor D. Pedro González Calderón, y escribanía del número de D. Tomas de Sancha y Prado , se ha sacado á subasta una casa sita calle de S. Míreos , esquina á la de la Libertad de ésta corte, señalada con el mim.</t>
  </si>
  <si>
    <t>terior r pág^ 347, lín- n , donde se díxo D. Lorenza Ron, debe leerse Bou. Por providencias del Sr. D. Pedro González Calderón , Teniente Corregidor de esta villa, se subastan 4 casas en esta corte. Una en la plazuela de Matute, núm. 6 y manzana 236 , perteneciente á la congregación de Ntra. Sra. de la Mi</t>
  </si>
  <si>
    <t>o de número D. Julián González Saez, en la casa habitación de dicho Señor. Por providencias del Sr. D. Pedro González Calderón , Teniente Corregidor de esta villa, y por la escribanía del número de D. Diego Benigno González , se subastan 4 casas en esta corte. Una en la calle del Prado, núm. 11, manzana 2</t>
  </si>
  <si>
    <t>metálico, se ha señalado el 23 del propio mes, de doce á una de la macana, en la audiencia del Sr. D. Pedro González Calderón. Quien quisiere hacer ,mejora acuda á la citada escribanía. Asimismo se ha señalado el 25 del corriente, de doce á una de su mañana, para el remate de otra casa sita en la calle d</t>
  </si>
  <si>
    <t>eniente y por la escribanía del número de D. Gervasio Fernandez Izquierdo. Por providencias del Sr. D. Pedro González Calderón , Teniente Corregidor de esta villa , se ha mandado sacar á púbiica subasta una casa sita en ,a calle de S. Carlos , núm. 22 , manzana 39, perteneciente á la hermandad de S. Luis</t>
  </si>
  <si>
    <t>,800 rs. , se ha señalado el 7 de Junio próximo de doce á una de su mañana en la audiencia fiel Sr. D. Pedro González Calderón. Quien quisiere hacer postura acuda á la escribanía del número de D. Juan Antonio de Urraza. En virtud de providencias de dicho Sr. Teniente se ha sacado á pública subasta por la</t>
  </si>
  <si>
    <t>vales Reales , se ha señalado el dia 6 de Junio de doce á una de su mañana en la audiencia del Sr. D. Pedro González Calderón , y por ante el Escribano del número D. Juan Antonio de Drraza. Por el Juzgado del Sr. D. Juan Antonio Santa María se venden las siguien</t>
  </si>
  <si>
    <t>ida eñ la Real casa de Correos, y en las Tesorerías de exército del Reyno. Por providencias del Sr. D. Pedro González Calderón está mandado sacar á pública subasta una casa sita en la calle.de la Gorguera, nimi. 24, manz.'412, que tiene de sitio 301pies, y está tasada en 118,203 rs. Otra en la calle de Cala</t>
  </si>
  <si>
    <t>señalado el lunes 7 de Julio á las 11 de su mañana en la citada escribanía. Por el juzgado del Sr. D. Pedro González Calderón se venden judicialmente para hacer pago á un acreedor una casa sita en la villa de la Olmeda de la Cebolla , en el barrio que llaman de la Fuente : en lo subterráneo tiene una cue</t>
  </si>
  <si>
    <t>A virtud de providencia del' Sr." D. Pedro González Calderón se han mandado sacar á publica subasta tres casas , una calle del Caballero de' Gracia, mim. 35;, manz. 292 , que contiene pies quadrados superficiales,tasada en 97,272'^.*; otra</t>
  </si>
  <si>
    <t>urrir al remate acudirá el referido día á la hora y sitio señalado. A virtud de providencia del Sr. D. Pedro González Calderón se ha mandado sacar á pública subasta una casa en la calle del Oriente , núm. 18, manz. io*(, que contiene3367 pies quadrados superficiales, tasada en 199,967 rs. Quien quiera hac</t>
  </si>
  <si>
    <t>María por ante D. Joachín González de Castro, Escribano del número. A virtud de providencia del Sr. D. Pedro González Calderón se han mandado sacar á pública subasta tres casas sitas en esta corte: la primera en la calle de las Fuentes, núm. 8, manz. 414, tasada en 156,327 r£ : la segunda en la calla de l</t>
  </si>
  <si>
    <t>virtiéndose que para su remate está señalado el dia 14 de este mes á las 12 en la audiencia del Sr. D. Pedro González Calderón , Teniente Corregidor de esta villa. Fincas enagenables de la intendencia de Cataluña. Partido de Camprodon. Camprodon 1 un manso de la obra pia de D. Pablo Barnoya, tasado en 129</t>
  </si>
  <si>
    <t>_i -i. .1 _ t _ ... 1 de que el precio en que se remate se satisfará en moneda metálica. Por e] Sr, D. Pedro González Calderón, Teniente Corregidor de esta villa se cita y emplaza á los parientes de Doña Antonia Fernandez’Henestrosa natural que fue de !a viila de Navalcarnero,y vecina de esta corte , viud</t>
  </si>
  <si>
    <t>á las ix de su mañana en dicha audiencia y citada escribanía de provincia. Por providencia del Sr. D. Pedro González Calderón , Teniente Corregidor de esta villa, se han mandado sacar á pública subasta cinco casas: la 1.1 en la pía</t>
  </si>
  <si>
    <t>la escribanía del número de D. Gervasio Fernandez Izquierdo En virtud de providencia ¿el mismo Sr. D. Pedro González Calderón’ -e ha sacado á subasta por término de 30 dias una parte de casa (es la planta baxa) sita en la plazuela del Angel , que sirve de botillería , señalada con el núm. ao, manz. 234 ,</t>
  </si>
  <si>
    <t>virtud de las Reales órdenes de S. M., por la audiencia del Señor Teniente Correeidor de esta villa D. Pedro González Calderón, y escribanía del numero de D Tomas de Sancha y Prado, se está subastando una casa sita en la calle de S. Máteos , esquina á la de la Libertad , núm. . , manz. 30S , propia de las</t>
  </si>
  <si>
    <t>la escribanía del! n.¡tintero de D. Gervasio Fernandez Izquierdo. A virtud odc providencia del Sr. D. Pedro González Calderón , Teniente Corregidor de esta» v*illa,se está subastando una casa sita en la calle de Toledo, num.4, manz. 102, tasada en 22,886 rs. , la qual iiié rematada en 33 $co , los i¿^ en</t>
  </si>
  <si>
    <t>n 319^ ‘ré. Quién quisiere hacer postura acuda á la escribanía dél número de D. Juan Repide. El Sr. D. Pedro González Calderón , Teniente Corregidor de esta villa , ha s ¡alado el 11 de este mes de 12 á una del día en su audiencia para el remate de nra parte de casa, y es la planta baxa,sita en la plazuel</t>
  </si>
  <si>
    <t>iego Benigno González. Se ha señalado el diá 11 úé este mes de doce á una , en la audiencia del Sr. D. Pedro González Calderón, Teniente Corregidor de esta villa , para el remate de la casa calle de las Huertas, mím. 17, manzana 235, tasada en 368,383 rs., y dan por ella la misma cantidad en vales Reales.</t>
  </si>
  <si>
    <t>s. Quien l'ísierl hacer postura á estas fincas acuda á dichajscribanía. • ^ Por providencia del Sr. D. Pedro González Calderón , Teniente- Corregidor, ,e ha mandado sacar nuevamente á publica subasta (por termino de .5 días) una rasa sita en la calle de S. Ildefonso ,núm- *7 , maíz. *3, tasada en 91&gt;,7SS/</t>
  </si>
  <si>
    <t>a¿» cer postura á ella acuda ante dicho Sr. Alcalde y referida escribanía. Por previdencias del Sr. D. Pedro González Calderón, Teniente Corregidor de esta villa, se subastan tres casas en esta corte en la calle del Horno de ja’Ma¿ taj una mím. 14, manz. 373, que con una porción de 'sitio que se hada sin</t>
  </si>
  <si>
    <t>n 82,448 rs. 8 mrs. Quien quisiere hacer postura acuda á dicha escribanía. Por la audiencia del Sr. D. Pedro González Calderón, y escribanía del número de D. Tomas de Sancha y Prado, se ha sacado á subasta por término de 30 dias una casa sita calle déla Madera alta, núm. 3, manz. 4Ó3, perteneciente á la m</t>
  </si>
  <si>
    <t>cuda á D. Casimiro Antonio Gomes 'Escribano , Escribano del número. A virtud de providencia del Sr. D. Pedro González Calderón, Teniente Corregidor de esta villa, y por la escribanía del número de D. Gervasio Fernandes Izquierdo, se están subastando dos casas: la una sita en la calle Mayor, núm. 3, manz.</t>
  </si>
  <si>
    <t>. Quien quisiere hacer postura acuda ante et citado Sr. Juez y escribanía. Por la audiencia del Sr. D. Pedro González Calderón, Teniente Corregidor, y escribanía del número de D. Gervasio Fernandez Izquierdo, se han mandado sacar á pública subasta por término de 30 dias dos casas , una en la cailé del Esc</t>
  </si>
  <si>
    <t>tonio de UVraza dentro del término de 30 dias. = Por la misma escribanía y por la audiencia del Sr. D. Pedro González Calderón se está subastando una casa sita en la cade del Angel, núm. 7, maoz. 114, tasada en ^7,544^ rs.: dan por ella las dos terceras partes de su valor en va;cs Reales , y está señalado</t>
  </si>
  <si>
    <t>. Quien quiera hacer postura acuda ante dicho Sr. Juez y citada escribanía. Por providencia del Sr. D. Pedro González Calderón, Teniente Corregidor de dicha villa y la misma escribanía , se han mandado asimismo sacar nuevamente á pública subasta 4 casas sitas en esta corte: la 1.a en la calle de Arganzuel</t>
  </si>
  <si>
    <t>hacer postura á ellas, juntas ó separadas, acuda ante dicho Señor y citada escribanía. Ante el Sr. D. Pedro González Calderón, Teniente Corregidor de esta villa , y escribanía del numero de D. Diego Benigno González, se hu pedido la entrega de 5586 rs. que pertenecieron á D. Manuel Ruiz de la Azuela, ind</t>
  </si>
  <si>
    <t>mate se ha señalado el 17 drl corriente en la audiencia del Sr Teniente de Corregidor de esta villa D. Pedro González Calderón ante el escribano del número D. Jncobo Manuel Manrique : quien quisiere hacer mejora á ella acuda ante dicho Señor y escribanía. Razón de fincas enagenabks en. el obispado de Tara</t>
  </si>
  <si>
    <t>iere mejorar la postura acuda ante dicho Sr. Alcalde y citada escriba; ía. Por la audiencia del Sr. D. Pedro González Calderón , Teniente Corregidor dé esta villa, y escribanía del número de D. Gervasio Fernandez Izquierdo, se está subastando una casa sita en la calle del Pez, núm 2 manz. 448 , que contie</t>
  </si>
  <si>
    <t>tá valuada en 4092. Quien quisiere hacer postura acpda á dicha escribanía. Por providencias del Sr. D. Pedro González Calderón se ha mandado sacar i pública subasta por 9 dias tres casas, sitas una en la calle de la Comadre de Granada, núm. I7,manz. 49, tasada en 59,065 rs. Otra en la calle del Medio* día</t>
  </si>
  <si>
    <t>á ella ocurra á la escribanía del número de D. Diego. Benigno'González. 'i Por providencias del Sr. D. Pedro González Calderón,* Teniente Corregidor de esta villa, y escribanía del número de D. Juan Antonio de Urraza,se han mandado sacar á pública subasta , por término de 30 días, $.pasas pertenecientes i</t>
  </si>
  <si>
    <t>los Sres. D. Juan de Morales Guzman y Tovar, Corregidor de esta villa y Presidente de dicha Junta, D. Pedro González Calderón, Teniente Corregidor y Vice-Presidente, y 39 vecinos: la qual en un asunto en que concurren el ínteres general y el particular, espera que todos y cada uno de los habitantes contr</t>
  </si>
  <si>
    <t>stura á ellas acuda ante el citado Señor é insinuada escribaría. En virtud de providencias del Sr. !D. Pedro González Calderón, Teniente Corregidor de esta Villa, y por la escribanía de número de D. J uan Antonio de Urraza, se ba mandado sacar á pública subasta cinco cusas pertenecientes á la Real Junta d</t>
  </si>
  <si>
    <t>González Castro Taboada y Valenzuela, Ramón</t>
  </si>
  <si>
    <t>Ramón González Castro Taboada y Valenzuela</t>
  </si>
  <si>
    <t>Subtenencias de bandera en los de Santiago, Ronda, Badajoz, Murcia, Truxillo, Salamanca y Cuenca á D. Ramón González Castro Taboada y Valenzuela, D. Joachín Xencrio y Giles, D. Ramón de Ayala y Silveyra, D. Antonio Callejas, D. Joseph López Berrio, D. Valentín Antonio Gutiérrez, D. Joseph Martin Ruiz y Lúeas y„D. Pedro Alc</t>
  </si>
  <si>
    <t>González de Bermeo, Ana María</t>
  </si>
  <si>
    <t>Ana María González de Bermeo</t>
  </si>
  <si>
    <t>, en qnarto: á Doña Luisa González de Perineo y sus descendientes, en quinto lugar; y últimamente á Doña Ana María González de Bermeo y los suyos, hijas estas dos últimas de D. Juan Antonio González, de Torres, corresponden ciertos derechos de intereses; lo que se avisa á dichos interesados para que acudan á D.. Hemet</t>
  </si>
  <si>
    <t>González de Bernedo, Ramón</t>
  </si>
  <si>
    <t>Ramón González de Bernedo</t>
  </si>
  <si>
    <t>, y al primer Teniente de granaderos D. Vicente Agulló; á Ayudante al primer Teniente de granaderos D. Ramón González de Bernedo; X primeros Tenientes de granaderos á los de fusileros D. Manuel Benitcz y D. Lúeas Fernandez ; á primeros Tenientes X los segundos de granaderos D. Juan del Fierro, D. Joseph Per</t>
  </si>
  <si>
    <t>González de Bustamonte, Joseph</t>
  </si>
  <si>
    <t>Joseph González de Bustamonte</t>
  </si>
  <si>
    <t>ez y Bruna y escribanía de provincia de D. Juan Antonio Díaz Noriega. Se desea saber el paradero de D. Joseph González de Bustamonte, presbítero, Magistral de la colegiata de Santillana, que se ausentó hace unos 40 dias , y se sospecha que está demente. Quien supiere de él avisará á D. Manuel Quixeno, tesorero</t>
  </si>
  <si>
    <t>González de Calzadilla, Juan</t>
  </si>
  <si>
    <t>Juan González de Calzadilla</t>
  </si>
  <si>
    <t>34^. Otra junto á la puerta del Sol, de id. en 16,890. Una tierra de 60 fanegas, de la obra pia de D. Juan González de Calzadilla, en igd. Comisión del Señorío de Vizcaya. Ante-iglesia de Munguía; una heredad de 4.976 estadales y 525 baldíos, pertenecientes á la cofradía de S. Miguel del barrio de Sumachaga</t>
  </si>
  <si>
    <t>González de Castro, Joachín</t>
  </si>
  <si>
    <t>Joachín González de Castro</t>
  </si>
  <si>
    <t>D. Juan Antonio Santa María, primer Teniente de Corregidor en esta villa, y escribanía de número de D. Joachin González de Castro, se venden 9 casas : dos correspondientes á la sacramental de S. Miguel, sitas la una en la calle de la Encomienda, núm, 7 , manzana 63, y Ja otra en&gt;lja calle de Fuencarral, núm,</t>
  </si>
  <si>
    <t>á memoria fundada, por María Ruiz Aviles y Palomeque , acuda á la referida escribanía del numero de Don Joachin González de Castro, donde? se admitirán las posturas y niéjoias que se hicieren siendo arregladas . En cumplimiento de lo prevenido para la énagenacion de bienes de obras pías, memorias , cofradías</t>
  </si>
  <si>
    <t>tiene 8607J pies de sitio, y está tasada en i$6,546 rs. 17 mrs, acuda á la escribanía del número de D. Joachin González de Castro, donde se admitirán las posturas y mejoras que se hicieren. En el lugar de Ontígola , distante media legua del Real sitio de Aran juez, se halla vacante la plaza de Maestro de pri</t>
  </si>
  <si>
    <t>audiencia del Sr. D. Juan Antonio Santa María, Teniente Corregidor de esta villa , y escribanía de D. Joachin González de Castro, se venden las siguientes tierras , pertenecientes al Real ^colegio de niñas de la Paz de esta corte. Úna junto á la huerta del Prado T.ongo&gt; de.caber 1910 estadales, tasada .cada</t>
  </si>
  <si>
    <t>del Sr. I&gt;. Juan Antonio Santa María, Teniente Corregidor de esta villa, y escribanía del número de D. Joachin González de Castro,se venden las fincas siguientes. Una casa calle del Aguila-baxa, núm. 13 , manzana 11$ , cuyo sitio se compone de 2666% pies, tasada en 37,100 rs. Un lavadero en la orilla de Manz</t>
  </si>
  <si>
    <t>ectivas tasaciones. Por la audiencia del Sr. D. Juan Antonio Santa María y escribanía del número de D. Joachin González de Castro se vende una casa en la calle de Embaxa—</t>
  </si>
  <si>
    <t>de la Recopilación de Ipdias. Por la audiencia del Sr. D. Juan Antonio Santa María y escribanía de D. Joachin González de Castro se venden las casas siguientes : una en la calle de Santa Ana, núm. 4, manz. 9g , perteneciente á las memorias de D. Juan de Cuellar y S. Pedro, que tiene de sitio 997 pies, y est</t>
  </si>
  <si>
    <t>á D. Antonio López de Salazar , para las de Griñón á Don Luis Perez Peñuelas, y para las de Cubas á D. Joachin González de Castro. {Se concluirá. ) EN LA IMPRENTA REAL.</t>
  </si>
  <si>
    <t>4 de Julio de 12 á una en las puertas de la audiencia del Sr. D. Juan Antonio Santa María por ante D. Joachín González de Castro, Escribano del número. A virtud de providencia del Sr. D. Pedro González Calderón se han mandado sacar á pública subasta tres casas sitas en esta corte: la primera en la calle de</t>
  </si>
  <si>
    <t>la villa de Alcobendas y Serranillos D. Antonio López de Salazar, y para las de la villa del Alamo D. Joachín González de Castro. Fincas de obras pias enagenables en la Intendencia de Toledo. Partido de Alcalá Corpa: 11 fanegas dé tierra, pertenecientes á la cofradía de Ja sangre de Christo, tasadas en &amp; rs</t>
  </si>
  <si>
    <t>Torrejon de Velasco y Boadilla del Monte D. Luis Pit^ Pefíuelas 5 í Jas de la del Alamo y Hortaleza D. Joachin González de Castro , las de las de Jlarajas y Moratilla D. Julián González Saez, Escribanos del míi^o de esta villa , quienes admitirán las que hicieren siendo arregladas , y entonga á los pos~ tore</t>
  </si>
  <si>
    <t>o correspondiente á la villa de Valdeconcha ÍD. Julián González Saez , y para las de la de Aufíon á;D. Joachin González de Castro. En Bilbao se halla vacante la plaza de cirujano titular: su dotación es 8800 rs. pagaderos de quatro en quatro meses, y podrá exigir 4 rs. por cada visita , á excepción de las qu</t>
  </si>
  <si>
    <t>la vería de ellas, que son por lo correspondiente i las de Escariche, Alocén, Pefialver y Vidamanta D. Joachin González de Castro^ y para las de Almoguera y Brea JD. Julián González Satz. (Se continuará.) EN LA IMPRENTA REAL.</t>
  </si>
  <si>
    <t>González de Castro, Joaquín</t>
  </si>
  <si>
    <t>Joaquín González de Castro</t>
  </si>
  <si>
    <t>io Franco en Zafra. Por la audiencia del Sr. D. Juan Antonio Santa María y escribanía del número de D. Joaquín González de Castro, se están subastando tres casas, correspondientes á las memorias fundadas por la Excma. Sra. Doña María Teresa Juliana Por tocarrero , y la Excma. Sra. Doña Leonor del Carreto , M</t>
  </si>
  <si>
    <t>orarlas acuda por lo respectivo á las dos primeras ante D. Antonio López Salazar, y las otras dos á D. Joaquín González de Castro, Escribanos del número de esta villa, quienes admitirán las que se hkieren.icrclgualmente por providencia del mismo D. Manuel Angel Cárrartcio se ha señalado para el remate de las</t>
  </si>
  <si>
    <t>González de Estéfani, Francisco</t>
  </si>
  <si>
    <t>Francisco González de Estéfani</t>
  </si>
  <si>
    <t>Padrón, á D. Joseph de Posa.dillo y Peñaredonda, Tesorero de rentas en la provincia de Toledo, y á D. Francisco González de Estéfani, Oficial de la Secretaría de la Real orden de Carlos III. En America. En el regimiento de infantería fixo de México se ha servido el Rey promover á Teniente al Subteniente D. Luis</t>
  </si>
  <si>
    <t>lo deberán executar por medio del Secretario de ella el Comisario ordenador de los Reales exércitos D. Francisco González de Estéfani. Ef ia de Setiembre último remitió D. Francisco de las Barreras, vecino y del comercio de esta corte, á D. Agustín de Retóla, Administrador de Temporalidades de Azpeytia, dos vale</t>
  </si>
  <si>
    <t>González de la Riva y Vivanco, Francisco</t>
  </si>
  <si>
    <t>Francisco González de la Riva y Vivanco</t>
  </si>
  <si>
    <t>yas, D. Gabriel Góngora y Palacio, D. Luis de Benavides y Alovice,D. Antonio Guerrero y Canredondo, D. Francisco González de la Riva y Vivanco,D. Joseph de Letona y Betéluri, D. Antonio Riquehne y Corral, D. Joseph Vial y Cardigondi, D. Juan Ordoñez y Martínez, D. Pedro de Varo Franco y Areco, D. Manuel Ponce de León y T</t>
  </si>
  <si>
    <t>González de la Riva y Vivanco, Joseph</t>
  </si>
  <si>
    <t>Joseph González de la Riva y Vivanco</t>
  </si>
  <si>
    <t>uan Rubion y Gutiérrez de la Huerta,!). Joseph de Carracedo y Salgado, D. Fernando Ruiz y Villegas, Don Joseph González de la Riva y Vivanco, D. Francisco del Hoyo y Ortiz, D. Francisco del Solar y los Corrales, D. Manuel López de la Barrera y Cotarelo, D. Juan Patino y Acevedo, D. Juan de Sotomayor y Barranco, D. Jose</t>
  </si>
  <si>
    <t>González de la Torre, Joachín</t>
  </si>
  <si>
    <t>Joachín González de la Torre</t>
  </si>
  <si>
    <t>e de granaderos al de fusileros D. Bartolomé Guilloto; y para Subtenientes de bandera á los Cadetes D. Joachín González de la Torre y D. Joseph Tellez. Asimismo se ha servido S. M. en la compañía de infantería íixa de Acápulco promover á Teniente al Subteniente D. Bartolomé de la Parra; y pava esta Subtenencia al</t>
  </si>
  <si>
    <t>González de Lara, Fernando</t>
  </si>
  <si>
    <t>Fernando González de Lara</t>
  </si>
  <si>
    <t>nacionales como extrangerqs, pagándoles los trabajos ]que hicieren según la habilidad de cada uno. D. Fernando González de Lara, arquitecto, académico de mérito de la Real academia de S. Fernando, é individuo de la Real sociedad Vascongada de los amigos del país, vecino de Ja ciudad de Burgos, y residente</t>
  </si>
  <si>
    <t>González de Lobera, Manuel</t>
  </si>
  <si>
    <t>Manuel González de Lobera</t>
  </si>
  <si>
    <t>Carabineros de la Reyna María Luisa á los Portaestandartes D. Manuel Solano y D. Fernando Mulero. ' D. Manuel González de Lobera, de esta corte, remitió el 1$ de Enero á Don Juan Bautista Billón, de Palma, 3 vales endosados á su órdeii en dicho dia, * de á 600 pesos, creación de Abril, núm. 398,746, 398,747</t>
  </si>
  <si>
    <t>González de Navas, Martín</t>
  </si>
  <si>
    <t>Martín González de Navas</t>
  </si>
  <si>
    <t>Inocencio Bejarano al obispado de Buenos-Ayres, y la segunda por fallecimiento de D. Ramón Langa, á D. Martin González de Navas y á Den Diego Fernandez Cerezo : para el Beneficio simple que tenia en la parroquia de Sta. Bárbara de la ciudad de Ecija, arzobispado de Sevilla, Don Buenaventura Barradas , á D. M</t>
  </si>
  <si>
    <t>González de Posada, Cárlos</t>
  </si>
  <si>
    <t>Cárlos González de Posada</t>
  </si>
  <si>
    <t>los alumnos aspirantes á dos premios señalados para los dos mas sobresalientes en esta facultad por D. Cárlos González de Posada, Canónigo de la santa iglesia de Tarragona. Acabados los exercicios científicos fueron examinados en la mañana y tarde del dia 22 los niños pobres de la escuela gratuita de primer</t>
  </si>
  <si>
    <t>González de Prada, Joseph</t>
  </si>
  <si>
    <t>Joseph González de Prada</t>
  </si>
  <si>
    <t>n América. El Rey se lia servido conferir plaza de Contador mayor áel tribunal de Cuentas de Lima á D. Joseph González de Prada con el sueldo que actualmente disfruta, como Ministro Contador de las Canas de Cochabamba, hasta, que entre en plaza de número ; y para esta resulta se lia dignado nombrar á D. Gr</t>
  </si>
  <si>
    <t>González de Torres, Ana María</t>
  </si>
  <si>
    <t>Ana María González de Torres</t>
  </si>
  <si>
    <t>de S. M. en el Real de Hacienda: á Doña Luisa González de Torres f sus descendientes, en tercero: á Doña Ana María González de Torres y los suyos, en qnarto: á Doña Luisa González de Perineo y sus descendientes, en quinto lugar; y últimamente á Doña Ana María González de Bermeo y los suyos, hijas estas dos últimas de</t>
  </si>
  <si>
    <t>González de Villanueva, Ángel</t>
  </si>
  <si>
    <t>Ángel González de Villanueva</t>
  </si>
  <si>
    <t>o, á favor de: I). Joseph Barbado. Quien lo haya encontrado lo devolverá al P. Sacristán de S» Gil. D. Angel González de Villanueva, de Cádiz, remitió el 13 de Diciembre ultimo á los Sres D. Narciso Plandolit é hijo, de Barcelona, un vale Real de 600 pesos, núm. 306,143, y dos de igo pesos, números *33,331 y 1</t>
  </si>
  <si>
    <t>González del Campo, Juan</t>
  </si>
  <si>
    <t>Juan González del Campo</t>
  </si>
  <si>
    <t>Ministro Tesorero de las: Reales Cairas de la Puebla de los Angeles, en el Reyno de Nueva España, á D. Juan González del Campo. Eií cumplimiento de los Reales decretos y cédulas de S. M. de 12 y 15 , te Tubo de 1707, y 22 y 29 de Noviembre del mismo año, se recibirán desde el lúncs 2 del próximo mes de Ju</t>
  </si>
  <si>
    <t>González del Castillo, Juan</t>
  </si>
  <si>
    <t>Juan González del Castillo</t>
  </si>
  <si>
    <t>2 rs. en las librerías de Escribano, d« Ranz y de Alonso. Numa : tragedia nueva en tres actos , por D. Juan González del Castillo. Véndese en las librerías de Castillo, frente á las gradas de S. Felipe , y de Sancha, ^alle del Lobo. == Las perdonas que hayan comprado ía Misantropía y arrepentimiento , traduc</t>
  </si>
  <si>
    <t>González del Real, Juan</t>
  </si>
  <si>
    <t>Juan González del Real</t>
  </si>
  <si>
    <t>ó menos, con monte de robles y fresno, en venta 31,500 rs. y en renta iaoo al año. De la memoria de D. Juan González del Real : la cerca de la Capilla , en esta jurisdicción , sin monte y de pasto, de cabida de 22 fanegas, en venta 33© rs. y en renta 750. Otra del Moral, de pasto, y cabida 17 fanegas, en</t>
  </si>
  <si>
    <t>as en 46,965 rs.rr: Col mellar Viejo: 11 fincas, entre ellas 6 casas pertenecientes á la memoria de D. Juan González del Real, tasadas en 274,332 rs.—Carabias : 3 pedazos de tierra con 12 fanegas y 6 celemines, pertenecientes á la memoria de Animas, Ntra. Sra. de!</t>
  </si>
  <si>
    <t>González Díaz, Francisco</t>
  </si>
  <si>
    <t>Francisco González Díaz</t>
  </si>
  <si>
    <t>l de Extremadura* En el de la Corona ha promovido S. M, ¿ segundos Subtenientes al Sargento primero D. Francisco González Díaz y al Cadete del regimiento dé León D* Ruperto Fer^ nandez Rádál; en el de Suifcos de Courteit a segundo Capitán ai teniente de granaderos D, Agustín de Prcux; a Tenientede granadero</t>
  </si>
  <si>
    <t>González Ferrer, Francisco</t>
  </si>
  <si>
    <t>Francisco González Ferrer</t>
  </si>
  <si>
    <t>a los Cadetes D. Toseph Bermuaez dé Castro y Don Joseph Cabrera y al Sargento primero Je granaderos D. Francisco González Ferrer: en el de la Princesa á segundo Teniente al Subteniente de granaderos D; Joseph Cülties, y á segundbs Subtenientes á los Cadetes Don Joseph Ximenez de Bagues y D. Mariano Díaz Cap</t>
  </si>
  <si>
    <t>González Galludo, Joseph</t>
  </si>
  <si>
    <t>Joseph González Galludo</t>
  </si>
  <si>
    <t>Hamaque , á D. Joseph González Galludo. En el regimiento Je infantería del Príncipe se ha servido el Rey promover á Ayudante al primer Teniente D. Manuel Davan; á primer Teniente al segundo de granaderos D. Francisco D</t>
  </si>
  <si>
    <t>González Galr, Pedro</t>
  </si>
  <si>
    <t>Pedro González Galr</t>
  </si>
  <si>
    <t>se remató eij 247^ rs., y se ha mandado volver á publicar por ig dias , acuda ante el Sr„. Teniente D. Pedro González Galr deron, y escribanía del número de D. Julián González Saez , dentro de dicho término, que empezó á correr el 10 del corriente. El remate de la casa núm. 1.8, manzana 292, en la calle</t>
  </si>
  <si>
    <t>González Hernández, Francisco</t>
  </si>
  <si>
    <t>Francisco González Hernández</t>
  </si>
  <si>
    <t>quatro Capellanías menores del Real monasterio de la Visitación de Madrid, vacante por renuncia de D. Francisco González Hernández, á D. Joseph Antonio Alcalá, con dimisión de la Coiectoría que obtiene en el Real Colegio de Ntra. Sra. ele Xoreto en la misma villa. S. M. se ha dignado nombrar para 3a Fiscalía</t>
  </si>
  <si>
    <t>González Menocal, Manuel</t>
  </si>
  <si>
    <t>Manuel González Menocal</t>
  </si>
  <si>
    <t>principal. Qualquiera persona que pretenda tener derecho ó crédito contra los bieneS concursados de D. Manuel González Menocal, vecino que fué de esta corte, acuda dentro de 30 dias precisos, contados desde 6 de esta mes de Diciembre , ante el Sr. D. Juan Antonio Santa María, Teniente primero de Corregido</t>
  </si>
  <si>
    <t>González Nieto, Juan Manuel</t>
  </si>
  <si>
    <t>Juan Manuel González Nieto</t>
  </si>
  <si>
    <t>nardo Lamí , traducidos é ilustrados por D. Domingo Ugena , presbítero: castigados y publicados por D. Juan Manuel González Nieto. Esta obra en dos tomos en 4.* presenta un plan ex&amp;cto y sencillo para estudiarlas y servirse de ellas con utilidad pública: el nombre de su autor excusa su apología: las universi</t>
  </si>
  <si>
    <t>González Pardo, Joseph</t>
  </si>
  <si>
    <t>Joseph González Pardo</t>
  </si>
  <si>
    <t>. Joseph Paulin , D. Fernando Márquez de la Plata , D. Manuel Minio, D. Diego Lara, D. Vicente Ros, D. Joseph González Pardo, D. Martin Zarandía, D. Ramón Gómez, D. Rafael Riesch, D. Francisco Calderón de la Barca, D. Luis Solana, D.Fernán.lo Navia,D. Miguei Forcalio, Don Jacobo Gil de Avalle, D. Joachi</t>
  </si>
  <si>
    <t>González Saez, Julián</t>
  </si>
  <si>
    <t>Julián González Saez</t>
  </si>
  <si>
    <t>cho Sr.-Juez comisionado , por ante el Escribano del número de esta villa y de la referida comisión D. Julián González Saez, donde se admitirán las que hicieren dentro del término de 30 dias: advirtiendo que con arreglo á lo prevenido en dicha Real facultad no se pueden rematar las referidas fincas men</t>
  </si>
  <si>
    <t>stilla, caballero de la Real orden de Cárlos III , y Juez comisionado, ante el Escribano del número D. Julián González Saez , previniendo que la casa que se subasta no es la del n. 43 , como se ha expresado anteriormente, sino la del n. 48} y que la postura hecha es por los 47,086 rs. 17. mrs, de su ta</t>
  </si>
  <si>
    <t>mañana en casa del Sr. Juez comisión,adió J&gt;, Antonio González Yebra , ante ei Escribano del número D. Julián González Saez. Quien quisiere hacer mejora acuda á dicha escribanía , que se le admitirá. ' Por la audiencia del Sr. 1X4 Juan Antonio Santa María , Teniente Corregidor de está villa , y escriba</t>
  </si>
  <si>
    <t>por ig dias , acuda ante el Sr„. Teniente D. Pedro González Galr deron, y escribanía del número de D. Julián González Saez , dentro de dicho término, que empezó á correr el 10 del corriente. El remate de la casa núm. 1.8, manzana 292, en la calle de los Jardines, qüé se principió el g de este mes y se</t>
  </si>
  <si>
    <t>adamente, acuda ante dicho Señor Juez comisionado , y por la escribanía del número de esta villa de D, Julián González Saez, dentro de 30 días contados desde i,° de Marzo * que se admitirán las que se hagan , con tal que no baxen del precio de su tasación , mediante hallarse así m-andado por-S¿ Mi Por</t>
  </si>
  <si>
    <t>ebra , Juez comisionado , el dia 14 del corriente á las 12 de su mañana ante el Escribano de número D. Julián González Saez, en la casa habitación de dicho Señor. Por providencias del Sr. D. Pedro González Calderón , Teniente Corregidor de esta villa, y por la escribanía del número de D. Diego Benigno</t>
  </si>
  <si>
    <t>incas acuda ante el Escribano de número de esta villa , comisionado para la venta de ellas1, que es D. Julián González Saez. Razón de las lincas enagenables de obras pias en las provincias siguientes. Intendencia de Jaén. Baylen : unas casas, pertenecientes á la cofradía de las Animas , tasadas en vent</t>
  </si>
  <si>
    <t>de Carlos 111, y Juez comisionado por el Rey Ntro. Sr., ante el Escribano del número de esta villa D. Julián González Saez; advirtiendo que para su re rúa te está señalado el dia- 12.del corriente en la.habitación de dicha Señor á las 1.1 de su mañana.</t>
  </si>
  <si>
    <t>sionados para la venta de ellas, que so.a ¿por lo correspondiente á la villa de Barajas y Moratilla D. Julián González Saez, y para las de Moraleja de en medio y Polvoranca D. Antonio López de Salazar*: ( Se concluirá.) EN LA IMPRENTA REAL</t>
  </si>
  <si>
    <t>Jas de la del Alamo y Hortaleza D. Joachin González de Castro , las de las de Jlarajas y Moratilla D. Julián González Saez, Escribanos del míi^o de esta villa , quienes admitirán las que hicieren siendo arregladas , y entonga á los pos~ tores por menor de sus circunstancias. Gobierno de Cádiz. Cádiz :</t>
  </si>
  <si>
    <t>o Sefior y Escribano del número D. Luis Perez Peñuelas; y por lo respectivo á los tres últimos ante D. Julián González Saez , igualmente del mismo nú'ñero. Sigue la razón de las fincas de obras pías fundadas en pueblos de la Intendencia de Madrid, para cuya venta está comisionado D. Manuel sdngel Carra</t>
  </si>
  <si>
    <t>a de ellas, que son por lo correspondiente á Carmena D. Luis Perez Pefiuelas, y para las de! Illana D. Julián González Saez. EN LA IMPRENTA REAL</t>
  </si>
  <si>
    <t>e eiias, que sonu por lo correspondiente ajas de Albóndiga, Mazuecos , Quijorna y Pozo de Almogüera D. Julián González Saez, y para las de Drieves D. Antonio López de Silazar. \ Mii.— 1 ------------------------------------------------------------------- ■ ——x—nr*^^ . ¿. * * EN LA IMPRENTA REAL. * •*</t>
  </si>
  <si>
    <t>o á virtud de ór.¿en de I M \n,:slbr;os defndmefo fl LuIs Perer’ Pefiuelas Antonio López Salazar *, D. Julián González Saez y 1&gt; Joachin González de Castro, que se admitirán lasque hicieren siendo arregladas. 11-a hz»rf»dad Razón de fincas enagenabies en el obispado de Tarazona. Alfitro. uea heredad.</t>
  </si>
  <si>
    <t>onzález Yebra , del Consejo de S. M. en el Real y Suprema de Castilla, ante el Escribano del número D. Julián González Saez. Por el juzgado del Sr. D. Juan Antonio Santa María, Teniente Corregidor de esta villa, y escribanía del número que exerce D. Juan de Repide, se están subastando diferentes tierra</t>
  </si>
  <si>
    <t>González Salmón, Antonio</t>
  </si>
  <si>
    <t>Antonio González Salmón</t>
  </si>
  <si>
    <t>tuvieron en Teman, se inserta la carta siguiente que al Teniente General D. Tomas de Moría dirigió D. Antonio González Salmón, Cónsul general de S. M. en Marruecos. ,,Exc. Sr.: conseqiiente á lo que avisé á V. E. en 1; del pasado relativo á los proyectos hostiles que tienen los ingleses contra esa plaza,</t>
  </si>
  <si>
    <t>González Salmón, Juan Manuel</t>
  </si>
  <si>
    <t>Juan Manuel González Salmón</t>
  </si>
  <si>
    <t>a 2¿ de Octubre falleció en la villa de Chiclana, á los 47! años de edad, el Intendente 4© exército D. Juan Manuel González Salmón , Consejero del supremo de Guerra, habiendo servido á S. M. por espacio de 20 años en calidad de Comisionado y Cónsul general en Marruecos: en cuyo tiempo proporcionó á lá nación</t>
  </si>
  <si>
    <t>González Salmón, Manuel</t>
  </si>
  <si>
    <t>Manuel González Salmón</t>
  </si>
  <si>
    <t>en Petersburgo; y el mismo grado con agregación de Capitán en el regimiento provincial de Laredo á D. Manuel González Salmón, agregado al, ministerio de Dresde. En cumplimiento de los Reales decretos y cédulas de S. M. de 12 y 15 de Julio de 1797» y 22 y 29 de Noviembre del mismo año, se recibirán</t>
  </si>
  <si>
    <t>González Torres de Navarra, Gabriel</t>
  </si>
  <si>
    <t>Gabriel González Torres de Navarra</t>
  </si>
  <si>
    <t>D. Tomas de Laguna: para la Canongía de la metropolitana de Sevilla , vacante por fallecimiento de D. Gabriel González Torres de Navarra, á D. Joseph Benito de Barcena : para el Beneficio simple de la parroquial de Santiago de la villa de Utrera, en la diócesis de Sevilla, vacante por fallecimiento de D. Diego Maur</t>
  </si>
  <si>
    <t>González Villamil, Manuel</t>
  </si>
  <si>
    <t>Manuel González Villamil</t>
  </si>
  <si>
    <t>ias Mariategui, D. Francisco Palacip Velarde, D. Isidro López Alban,D. Joseph Hernández San,u Cruz, Don Manuel González Villamil, D. Joseph Rinconada , D. Paulo de Norieí?a, D. Joachín Serra y Franch., D. Eustasio González, D. Juan Valle-Espinosa y D. Diego López. Presidió el Sr. D. Sebastian de Torres, dei</t>
  </si>
  <si>
    <t>González Villarmil, Manuel</t>
  </si>
  <si>
    <t>Manuel González Villarmil</t>
  </si>
  <si>
    <t>Armada D. Cayetano Fernandez Villamil, los alumnos el Lie. D. Joseph Díaz, D. Manuel Menendez JoVe, D. Manuel González Villarmil, D. Vicente María Ezcurdia, D. Luis Mornard, D. Toribio Cifuentes, D. Claudio Fernandez, D. Felipe Fernandez San Miguel, D. Joseph López del Vallado y D. Agustín Sánchez Cifuentes</t>
  </si>
  <si>
    <t>González y de Nieto Interventor del Real, Juan Manuel</t>
  </si>
  <si>
    <t>Juan Manuel González y de Nieto Interventor del Real</t>
  </si>
  <si>
    <t>del oratorio : traducidos é ilustrados por D, Domingo Ugena presbítero; castigados y publicados por D. Juan Manuel González y de Nieto Interventor del Real peso de esta villa. Esta obra presenta el plan mas ex&amp;cto y sencillo para estudiar las ciencias , y servirse de ellas con utilidad pública : el nombre de su autor excusa su apolog</t>
  </si>
  <si>
    <t>González Yebra, Antonio</t>
  </si>
  <si>
    <t>Antonio González Yebra</t>
  </si>
  <si>
    <t>por el mencionado Rector. A voluntad de su dueño, y á conseqüencia de Real facultad cometida al Sr. Don Antonio González Yebra, Caballero de la Real y distinguida Orden Española de Carlos III, del Consejo de S. M. en el Real y Supremo de Castilla, Gobernador de la Sala de los Sres. Alcaldes de Casa y Cort</t>
  </si>
  <si>
    <t>r derecho se previene. A voluntad de su dueño , en virtud de facultad Real y de providencia del Sr. D. Antonio González Yebra, del Consejo de S. M. en el Real y supremo de Castilla, caballero de la Real y distinguida orden española de Carlos III, y juez comisionado por S. M., se venden unas casas sitas e</t>
  </si>
  <si>
    <t>a gazeta de 41 de Enero, se ha señalado el dia 15 de este mes á las 14 de su mañana en casa del Sr. D. Antonio González Yebra , del Consejo de S. M. en el Real y supremo de Castilla, caballero de la Real orden de Cárlos III , y Juez comisionado, ante el Escribano del número D. Julián González Saez , prev</t>
  </si>
  <si>
    <t>rs. , á la que se ha hecho postura en la misma cantidad en vales Reales.: se ha señalado por el Sr. D. Antonio González Yebra , Juez comisionado , el dia 14 del corriente á las 12 de su mañana ante el Escribano de número D. Julián González Saez, en la casa habitación de dicho Señor. Por providencias del</t>
  </si>
  <si>
    <t>tura en 1.680,000, se ha señalado el dia 19 del corriente á la salida del Consejo en casa del Señor D. Antonio González Yebra , del Consejo de S. M. en el Real y Suprema de Castilla, ante el Escribano del número D. Julián González Saez. Por el juzgado del Sr. D. Juan Antonio Santa María, Teniente Corregi</t>
  </si>
  <si>
    <t>González, Diego</t>
  </si>
  <si>
    <t>Diego González</t>
  </si>
  <si>
    <t>esulta alTeniente de fusileros D. Gil Montaibo ; Tenencia de fusileros aí Subteniente de granaderos D. Diego González; su resulta al Subteniente de fusileros D. Juan Moreno, y Subtenencia de fusileros á D, JuliTn Calongfc: en el de Badajoz Compañía de fusileros á D. Ramón de Uceda, Teniente de gr</t>
  </si>
  <si>
    <t>González, Diego Benigno</t>
  </si>
  <si>
    <t>Diego Benigno González</t>
  </si>
  <si>
    <t>e 3868 pies; y dan por ella 131.827 rs. Quien quiera comprarla ocurra á la escribanía del número de D. Diego Benigno González, donde se admitirán las mejoras qu.e se hicieren. f Por auto del mismo Sr. D. Juan Antonio Santa María, y escribanía del número de D. Joseph Matheo y Aguado se subasta una casa si</t>
  </si>
  <si>
    <t>Sr. D. Juan Antonio Santa María, Teniente Corregidor de esta villa , por la escribanía numeraria de D. Diego Benigno González, se subasta una casa sita en la calle de Toledo , núm. 9 , manzana 144 , perteneciente á las memorias de D. Benito Pardo, tasada en 196,990 rs.; dan por ella 131,827. Y se ha seña</t>
  </si>
  <si>
    <t>en 98,860 rs. Quien quiera hacer postura 6 mejora acuda á la escribanía del número de D. Diego Benigno González. Por providencia del Sr. Teniente de Corregidor de esta villa D. Pedro González Calderón se subastan dos casas pertenecientes á las memorias de Dona Francisca Sánchez Sagrameña, u</t>
  </si>
  <si>
    <t>y está tasada en 15,370 rs. Quien quiera hacer postura ó mejora acuda á la escribanía del número de D. Diego Benigno González. Por providencia del Sr. Teniente de Corregidor de esta villa D. Pedro González Calderón se subasta una casa de la calle del Carmen , que hace fachada á la de los Preciados , núm.</t>
  </si>
  <si>
    <t>6 rs. , y renta al año rs. Quien quiera hacer postura ó mejora ocurra á la escribanía del número de D. Diego Benigno González. Por el juzgado del Sr. Teniente D. Pedro González Calderón, y escribanía de D. Diego Benigno González , se subasta una casa en la calle Mayor, portales de S. Isidro, núms. 40 y a</t>
  </si>
  <si>
    <t>sada en 135,948 rs. Quien quiera hacer postura ó mejora á ella ocurra á la escribanía del número de D. Diego Benigno González. El g de Junio del afio último se ausentó de Valladolid D. Joseph de Barrio, Clérigo de prima tonsura , hijo de D. Luis y de Doña María López; sus señas son: pelo rubio , ojos gar</t>
  </si>
  <si>
    <t>stá tasada en 136,393 rs. Quien quiera hacer postura ó mejora ocurra á la escribanía cíel número de D. Diego Benigno González. ~— Por la audiencia del mismo Sefior y escribanía de D. Antonio Fernandez , se ha sacado á subasta por teTmino de 30 dias otra casa en la calle de S. Jacinto, que hace esquina y</t>
  </si>
  <si>
    <t>en quiera hacer postura ó' mejora á qualquiera de dichas fincas acuda á la escribanía del número de D. Diego Benigno González. Para el remate de la casa (llamada mesón de la Encomienda) sita en esta corte, calle de Alcalá, núm. 9 , manzana 456 , tasada en 333,117 rs. 17 mrs,, y daa por ella la misma cant</t>
  </si>
  <si>
    <t>. D. Pedro González Calderón , Teniente Corregidor de esta villa, y por la escribanía del número de D. Diego Benigno González , se subastan 4 casas en esta corte. Una en la calle del Prado, núm. 11, manzana 223, que ocupa 4579* pies quadrados de sitio : su fábrica es de sótanos,, quarto baxo, principal y</t>
  </si>
  <si>
    <t>D.. Pedro González Calderón, Teniente Corregidor de' es La villa, y por la escribanía del número de D. Diego Benigno González se subastan las casas, siguientes í. una en la cade de las Huertas, num. 17 j n.anz. 235 , comprehende i2,6aS| pies quadrados, y está tasada en 368,283 rs. Otra en la calle de la</t>
  </si>
  <si>
    <t>ada en 106,896 rs. Quien quiera hacer postura á alguna de ellas acuda á la escribanía del número de D. Diego Benigno González, crr: Asimismo por providencia de dicho Sr. Teniente se subasta otra casa, sita en la plazuela del Angel y calle de la Cruz, núm. 2 manz. 214, que comprehende 2708-! pies quadrado</t>
  </si>
  <si>
    <t>e el Sr. D. Pedro González Calderón, Teniente Corregidor de esta villa , y escribanía del numero de D. Diego Benigno González, se hu pedido la entrega de 5586 rs. que pertenecieron á D. Manuel Ruiz de la Azuela, individuo que fué del gremio de paños, uno de ios cinco mayores de esta corte, que habrá 54 a</t>
  </si>
  <si>
    <t>González, Fernando</t>
  </si>
  <si>
    <t>Fernando González</t>
  </si>
  <si>
    <t>Teniente de fusileros: Tenencias de esta cíase á D. Joseph Rodríguez de Vera, D. Francisco Amores, D. Fernando González y D. Pedro Vicente Jareño, Subtenientes, los primeros de granaderos y cazadores, y los segundos de fusileros; y las Subtenencias de granaderos y cazadores á los Subtenientes de fusile</t>
  </si>
  <si>
    <t>González, Francisco</t>
  </si>
  <si>
    <t>Francisco González</t>
  </si>
  <si>
    <t>utiérrez, D. Joseph María Ruano, D. Joseph de Balbiani, Don Juan de Herrera, D. Rafael de Irazabal, D. Francisco González, D, Fulgencio Cevallos , D. Benito Sandoval, D. Antonio Galindo, D. Diego del Barco, Di Gabriel de Torres , D. Manuel Saenz Ramírez, D. Francisco de Hore é Iturralde, D. Francisco</t>
  </si>
  <si>
    <t>González, Francisco Xavier</t>
  </si>
  <si>
    <t>Francisco Xavier González</t>
  </si>
  <si>
    <t>á Subtenientes de granaderos á los primeros Subtenientes D. Antonio Valladáres , D..Tomas de Ben y D. Francisco Xavier González ^graduado de Teniente ; á primeros Subtenientes a los segundos D. Mariano Ribas , D. Domingo Tierra, D. Mariano Galindo, D. Antonio.Castañon y D Manuel Gerbela; Marot^D. Francisco</t>
  </si>
  <si>
    <t>González, Juan</t>
  </si>
  <si>
    <t>Juan González</t>
  </si>
  <si>
    <t>deyro, D. Manuel González y D. Manuel Corlantes; y á Segundos Subtenientes á los Sargentos primeros D. Juan González, D. Juan de Antón y D. Narciso González, los dos primeros de granaderos, al Cadete D. Juan Antonio Toledo, á los de estA clasedel de- Zamora D. Pedro A valle *£). Pedro Lamperez y</t>
  </si>
  <si>
    <t>González, Juan Antonio</t>
  </si>
  <si>
    <t>Juan Antonio González</t>
  </si>
  <si>
    <t>to lugar; y últimamente á Doña Ana María González de Bermeo y los suyos, hijas estas dos últimas de D. Juan Antonio González, de Torres, corresponden ciertos derechos de intereses; lo que se avisa á dichos interesados para que acudan á D.. Hemeterio Vicente Albizua, vecino de esta corte, que vive frente</t>
  </si>
  <si>
    <t>González, Julián</t>
  </si>
  <si>
    <t>Julián González</t>
  </si>
  <si>
    <t>ndo Martínez y D. Sebastian García, el primero de cazadores; y Tenencia de fusileros ai Subteniente D. Julián González: la Tenencia de granaderos del de Alcázar de S. Juan al de fusileros graduado de infantería D. Diego Magues: Tenencia de fusileros en el de Sevilla al Subteniente de granaderos D.</t>
  </si>
  <si>
    <t>González, Manuel</t>
  </si>
  <si>
    <t>Manuel González</t>
  </si>
  <si>
    <t>máticas, ha Venido el Rey en promover á Subtenientes del mismo Real cuerpo á los caballeros Cadetes D. Manuel González, Don Pedro Gutiérrez, D. Joseph María Ruano, D. Joseph de Balbiani, Don Juan de Herrera, D. Rafael de Irazabal, D. Francisco González, D, Fulgencio Cevallos , D. Benito Sandoval,</t>
  </si>
  <si>
    <t>Subteniente* al segundo D. Vicente López, y a segundo Subteniente al Sargento primero de granaderos D. Manuel González: en el de Guadalaxara á primer Subteniente al segundo D. Pascual Pous, y á segundos á los Cadetes D. Manuel Bustamante y D. Antonio Hurtado: en el de Zaragoza á Subteniente de gra</t>
  </si>
  <si>
    <t>Rafael Gutiérrez, D. Rafael Joseph Alcocer y D. Joseph Zacarías Fantony, y á los Sargentos primeros D. Manuel González y D. Rosendo Calahorra, el primero de granaderos; y en el de la Princesa á segundo Subteniente al Sargento primero D. Francisco Ruiz, Asimismo en el regimiento de infantería de la Cor</t>
  </si>
  <si>
    <t>Antonio Madera y°Guzman, D. Antonio &gt;Rüi?z, D. Raífael ComlhiD. Pabló Andeyro, I&gt;. Joseph Andeyro, D. Manuel González y D. Manuel Corlantes; y á Segundos Subtenientes á los Sargentos primeros D. Juan González, D. Juan de Antón y D. Narciso González, los dos primeros de granaderos, al Cadete D. Juan A</t>
  </si>
  <si>
    <t>González, María Ana</t>
  </si>
  <si>
    <t>María Ana González</t>
  </si>
  <si>
    <t>as, una casa y 23 tierras, en término é inmediatos de Horcajuelo, pertenecientes á la capellanía de Doña María Ana González, al vínculo de D. Diego Aledo, á la capellanía de Doña Francisca Vacas, y al patronato fundado en la parroquial, tasadas en 77,ggo rs. y renta 2682. 9 idem : 5 pedazos de tierra d</t>
  </si>
  <si>
    <t>González, Miguel María</t>
  </si>
  <si>
    <t>Miguel María González</t>
  </si>
  <si>
    <t>seph Martínez de Ortega: para Interventor de la fábrica de puros y cigarros de la citada factoría á D. Miguel María González ; para Escribiente de la misma fábrica á D. Cayetano Hermenegildo Rubio: para Contador de la factoría de la misma renta en Vadladolid á D. Domingo Martínez Valsa: para Oficial may</t>
  </si>
  <si>
    <t>González, Pedro</t>
  </si>
  <si>
    <t>Pedro González</t>
  </si>
  <si>
    <t>banía del número de l). Gervasio Fernandez. Izquierda. r■ . ;r * ■ :: .i „&gt; Por providencia del Sr. D. Pedro González {Calderóny escribanía del. nú rae— .ro de JD. Juan Antonio de L rfaza , está mandado sacar á publica subasta las casas siguientes : una en la calle de j uarelo , núm. 22 , rnanz.</t>
  </si>
  <si>
    <t>anz.,&lt;?4&gt; que tiene 4774$ pies, tasada en 46,874 rs. Quien quisiere hacer postura acuda ante el Sr. D. Pedro González .Calderón, Teniente Corregidor (fe-esta villa, y .por da .escribanía del número de D Tomas de San» cha y Prado por término de 30 días. Habiéndose cumplido los 30 dias de la subast</t>
  </si>
  <si>
    <t>González, Tomás</t>
  </si>
  <si>
    <t>Tomás González</t>
  </si>
  <si>
    <t>á todos los circunstantes, se terminó con la lectura de dos composiciones poéticas presentadas por D. Tomas González y D. Juan Nioasia Gallego, profesores de esta Real universidad. Hubo un coro de música en todos los intermedios. Madrid iG de Setiembre. E 1 Rey se ha servido nombrar para el Arcedian</t>
  </si>
  <si>
    <t>González, Vicente</t>
  </si>
  <si>
    <t>Vicente González</t>
  </si>
  <si>
    <t>y D'. Joseph del Rio; á Subtenientes de granaderos á los primeros Subtenientes D. Vicente Anduaga, Don Vicente González y D; Rafael Pavía; á primeros Subtenientes á los segundos D. Vicente Morales , Di Joseph Peña y D* Joachíh- Gayoso ; y á segundos Subtenientes a los Cadetes D. Toseph Bermuaez dé Cast</t>
  </si>
  <si>
    <t>GonZalez, Vicente</t>
  </si>
  <si>
    <t>Vicente GonZalez</t>
  </si>
  <si>
    <t>ena de Indias. á D. Francisco dé 8spe-¿‘ joy Miriistro Teábreró dé lis de Portobelo: este festino á D. Vicente GonZalez: la plaza db Oficial mayor de la Contaduría dé la Administrácidir principal de tabacos de Cartagena de Indias- a D. Manuel Bandino; la dé Oficial tercero de las caxas Reales de la</t>
  </si>
  <si>
    <t>González- Calderón, Pedro</t>
  </si>
  <si>
    <t>Pedro González- Calderón</t>
  </si>
  <si>
    <t>scribano del número, que se admitirán las pujas y mejoras que se hicieren. Por providencias del Sr. D. Pedro González- Calderón , Teniente Corregidor de esta villa , se han vuelto á sacar á pública subasta dos casas, una en la calle de Jacometrezo y del Olivo, nútn. jó, manz. 36$, que comprehende 3394 pies</t>
  </si>
  <si>
    <t>Gonzalvi</t>
  </si>
  <si>
    <t>354 ya lo era: primer Secretario de negocios de estado á Mr. Gonzalvi: al Arzobispo de Dida primer Secretado de los asuntos de gracia; y Sacristán de la capilla pontifical á Mr. Menocclio., Obispo de Hipona. ;S. S. vive con la misma sencillez que an</t>
  </si>
  <si>
    <t>Goossens, Pedro</t>
  </si>
  <si>
    <t>Pedro Goossens</t>
  </si>
  <si>
    <t>inidad, baxo la dirección de su maestro D. Andrés Bestigui, los seminaristas D. Francisco Necochea, D. Pedro Goossens, D. Joseph Fermín Cia, D. Joseph María Cia, D. Pedro Tavira, D. Rodrigo Tavira, D. Raymundo Cia, D. Joseph de Arellano y D. Joacliín Fernandez de Medrano. En sintaxis, baxo la dir</t>
  </si>
  <si>
    <t>Gorbet, Juan</t>
  </si>
  <si>
    <t>Juan Gorbet</t>
  </si>
  <si>
    <t>D. J oseph Fernandez de la Pena y Gordillo: en el de Málaga á Teniente de fusileros al Subteniente D. Juan Gorbet; á Subteniente de cazadores al de fusileros D. Francisco Noríega, y á Subteniente de bandera al Cadete D. Salvador Joseph Sánchez Lcmeña: en el de Santiago á Subteniente de granad</t>
  </si>
  <si>
    <t>Gordillo, Manuel</t>
  </si>
  <si>
    <t>Manuel Gordillo</t>
  </si>
  <si>
    <t>añía de fusileros á D. Ramón de Uceda, Teniente de granaderos; sil resulta al Teniente de fusileros D. Manuel Gordillo; Tenencia de fusileros al .Subteniente de granaderos D. Joseph Villanueva; ésta resulta al Subteniente de fusileros D. Julián López de Lizaga, y Subtenencia de fusileros á D. Greg</t>
  </si>
  <si>
    <t>Gorich-Kow, Teniente General</t>
  </si>
  <si>
    <t>Teniente General Gorich-Kow</t>
  </si>
  <si>
    <t>están ya nombrados los comisarios y abastecedores de ambos exércitos. El Emperador ha exonerado al Teniente General Gorich-Kow de sus •mpleos de Gobernador de Wiborg, Inspector de Finlandia, y xefe de un regimiento de guarnición; y ha nombrado en su lugar al Teniente General Essen. Asimismo.ha dado S. M. su</t>
  </si>
  <si>
    <t>Gorjon, Juan Alonso</t>
  </si>
  <si>
    <t>Juan Alonso Gorjon</t>
  </si>
  <si>
    <t>tedral de Avila, vacante por premoción de D. Tomas Laguna á la Dignidad de Tesorero de Plasencia, á D. Juan Alonso Gorjon: para otra de la colegial del Salvador de Sevilla, vacante por fallecimiento de D. Juan Eusebio Perez de Huelva, á D. Diego Ramos, Administador del hospital de Inocentes de aquell</t>
  </si>
  <si>
    <t>Goroupp</t>
  </si>
  <si>
    <t>las armas y auxiliaron k los austríacos; y Mrí Melas destacó los cuerpos de los Generales Goroupp y Knesewich hacia el col de Tenda y Coni, para reforzar al General Kaini en Piamonte. En medio de sus progresos no pudo Mr. Melas, á causa de las. circunstancias , impedir</t>
  </si>
  <si>
    <t>Gottesheim, General</t>
  </si>
  <si>
    <t>General Gottesheim</t>
  </si>
  <si>
    <t>tauro y los demas buques están fuera de Génova. El General Ott se halla dueño de Torriglia; pero el General Gottesheim y el Coronel Aspres han sido rechazados con pérdida, y se dice que este último está prisionero. Los austríacos se han apoderado del monte ae S. Bernardo, lo qual les facilitó el paso</t>
  </si>
  <si>
    <t>algunas ventajas el dia 6, y se apoderó de Torriglia y Scoífera; pero el 7 la coluna mandada por el General Gottesheim y el cuerpo del Barón de Aspres tuvieron que retirarse después de padecer mucho. El cuerpo principal del exército austríaco mandado por el General en xefe Melas atacó el 8 las alturas</t>
  </si>
  <si>
    <t>Gouesheim</t>
  </si>
  <si>
    <t>prisioneros. La misma tarde atacaron los enemigos los puestos avanzados de los Generales Hohenzollern y Gouesheim, y al principio los rechazaron á corta distancia ; pero poco después se viéren los enemigos forzados á replegarse hacia la ciudad. Prosigue Mr. Melas reforzand</t>
  </si>
  <si>
    <t>Gould</t>
  </si>
  <si>
    <t>os sugetos mas visibles de los dos p.'-nidos. Ayer riñeron el Lord Ormond, que está por la unión, y Mr. Gould; y hoy riñó el Lord Colé con el Coronel Martin, que es también partidario de la unión. Londres 2 de Marzo. C jomo este gobierno ha manifestado su resolución de continuar la guerra</t>
  </si>
  <si>
    <t>Gourbal, Juan</t>
  </si>
  <si>
    <t>Juan Gourbal</t>
  </si>
  <si>
    <t>Teniente Don Juan de la Cuesta; y en el de Ñapóles á segundo Teniente de granaderos al de fusileros D. Juan Gourbal. El Rey se ha servido promover á Portaestandarte del regimiento de caballería de Algarbe al Sargento D. Bartolomé Valero: á segundo Teniente en el de la misma clase de húsares esp</t>
  </si>
  <si>
    <t>Goya y Muniain, Joseph</t>
  </si>
  <si>
    <t>Joseph Goya y Muniain</t>
  </si>
  <si>
    <t>njía de la oropia iglesia metropolitana, vacante por fallecimiento de D. J oscph Rodríguez Bravo, á D. Joseph Goya y Muniain: para la Ración, vacante también en la referida iglesia por fallecimiento de D. Manuel de Arguelles, á D. Vicente Lobo y Marques: para la Canongía de la catedral de León, vacante</t>
  </si>
  <si>
    <t>Goya, Francisco</t>
  </si>
  <si>
    <t>Francisco Goya</t>
  </si>
  <si>
    <t>¿¿ intitulada la Presumida, y varias composiciones sueltas, entre ellas una oda á la física: otra á D. Francisco Goya sebre la pintura y la poesía; y otra al regreso de un célebre General á Europa: la qual se ha publicado, con la traducción fran* cesa, en la Década filosófica de París. Véndese á</t>
  </si>
  <si>
    <t>Góycocheá, Juan</t>
  </si>
  <si>
    <t>Juan Góycocheá</t>
  </si>
  <si>
    <t>dante de esquadron del mismo cuerpo; y ha nombrado primero y segundo Tenientes en el de Calatrava á.D. Juan Góycocheá y D. Miguel Hernández, segundo Teniente y Alférez del propio; regimiento; Ayudante en el de Voluntarios de España al prime? Teniente D. Dionisio de las Heras; y Alférez en ehde Algarb</t>
  </si>
  <si>
    <t>Gramberg, Pedro</t>
  </si>
  <si>
    <t>Pedro Gramberg</t>
  </si>
  <si>
    <t>llena y D. Antonio Desmaisieres. En el de infantería de la Princesa á segundo Subteniente al Cadete D. Pedro Gramberg: en el de Hibernia á segundo Subteniente al Soldado distinguido del mencionado de Reales Guardias Walonas D. Pedro Dalesme: en el de granaderos Voluntarios de Estado á primer Teni</t>
  </si>
  <si>
    <t>Grammont</t>
  </si>
  <si>
    <t>, que ei médico Macé ha enviado desde la India á esta r iblioteca nacional (*). La traducción es de Mr. Grammont, misionero muy sabio que reside en Pekín. ^ El instituto nacional celebró el 26 una junta, y la presidió el primer Cónsul Bonaparte, el qual propuso se reformase el método que act</t>
  </si>
  <si>
    <t>Gran Duque Constantino</t>
  </si>
  <si>
    <t>de Galitzia, entre Brodi y Saslow, hay un exército de 60© rusos mandados por el Gran Duque Constantino, hijo segundo de aquel Emperador. . . , Desde que se ha roto el armisticio se ausentan de esta ciudad los met^ cadetes que habían venido a ella para la feria. _ ' Londres 4 de Setiembre</t>
  </si>
  <si>
    <t>Gran, Joseph</t>
  </si>
  <si>
    <t>Joseph Gran</t>
  </si>
  <si>
    <t>segundo Ayudante de las milicias disciplinadas de mía atería del Reyno de Goatemala al Subteniente D. Joseph Gran , Sargento del batallón de voluntarios cazadores de Barbastro. . .. , . - El Rey á consulta de la Junta de Comercio y Moneda se ha dignado conceder á D. Diego Cónsul Jove privileg</t>
  </si>
  <si>
    <t>Granada Vidal, Salvador</t>
  </si>
  <si>
    <t>Salvador Granada Vidal</t>
  </si>
  <si>
    <t>odríguez de Ribera la segunda á D. Francisco Gutiérrez López Chavantes; y para la S la tercera de á D. Salvador Granada Vidal: á D. paraSantolam: Andrés la vara depaja Alcalde la mayor ^gundode ia á D To'eoh Toachin de Santa Mana: para la de 1 ucrto Ke.,I a U. Ped r/ J , V J nin la ael Puerto de S?nt i M</t>
  </si>
  <si>
    <t>Granados, Juan</t>
  </si>
  <si>
    <t>Juan Granados</t>
  </si>
  <si>
    <t>deros D. Juan Perdomo y al Subteniente D. Carlos Carta, a Subteniente de granaderos al de fusileros D. Juan Granados, y a Subtenientes a los Cadetes D. Francisco Dugi y D. Rafael del Campo. El Rey se ha servido nombrar para el Corregimiento de letras de los Pedroches de Córdoba, vacante por fall</t>
  </si>
  <si>
    <t>Grandbna, Joachín</t>
  </si>
  <si>
    <t>Joachín Grandbna</t>
  </si>
  <si>
    <t>z , Di Juan de Abuin y Dl. Joachín dé Losada; á segundos Tenientes a los Subtenientes de granaderos D. Joachín Grandbna y D'. Joseph del Rio; á Subtenientes de granaderos á los primeros Subtenientes D. Vicente Anduaga, Don Vicente González y D; Rafael Pavía; á primeros Subtenientes á los segundos D. Vic</t>
  </si>
  <si>
    <t>Grandjean, General</t>
  </si>
  <si>
    <t>General Grandjean</t>
  </si>
  <si>
    <t>se veiair forzadas á. ceder á. fuerzas triples :. sostuvo la batalla hasta-que llegó’la brigada del General Grandjean,.que habiendo pasado el Lech». se dirigió con la mayor, celeridad, á socorrer, la división de Montrichard, que aun se sostenía en fuerza de su extraordinariovalor. Cinco batallone</t>
  </si>
  <si>
    <t>Grandona, Joachín</t>
  </si>
  <si>
    <t>Joachín Grandona</t>
  </si>
  <si>
    <t>Luís Laviña, -segundo Teniente del 'de Asturias: D. Manuel Tomé, primer ¡ Subteniente del de Jaén : D. Joachin Grandona , Subteniente ¡de granaderos del de América: D. Felipe Montes y D. Juan Palomino., primer Subteniente y Cadete del .de Córdoba.: D. Manuel Otee</t>
  </si>
  <si>
    <t>Grasas, Joseph</t>
  </si>
  <si>
    <t>Joseph Grasas</t>
  </si>
  <si>
    <t>a. PRIMERA COMPAÑIA. Clases. Nombres. Medias filiaciones. Rs. Mrs. Sargento 2.0 Joseph Grasas, hijo de Félix y Francisca, natural de Villafranca de Panadés , Corregimiento ídem......... ioó. 16. Cabo.. Juan Pons, hijo de Gabriel y Margarita, natural de Monistrol, Corregimiento d</t>
  </si>
  <si>
    <t>Gratham, General</t>
  </si>
  <si>
    <t>General Gratham</t>
  </si>
  <si>
    <t>confirma que el General Abercrombie fue con 2 regimientos á Mal-, ta, adoride le había precedido el General Gratham con 4© hombres, y que él respetable estado de aquella fortaleza no les permitió intentar su ataque. Añaden que mientras Mr. Abercrombie estuvo en las aguas de. Sicilia le pidió S.</t>
  </si>
  <si>
    <t>Grattan y Mr</t>
  </si>
  <si>
    <t>de la unión se aprobáron por 161 votos contra 115. De resultas de los debates hubo un desafío entre Mr. Grattan y Mr. Corrí, Canciller del Echiquier de aquel Reyno: peleáron con pistola, y el último quedó herido en un brazo. Las Reynas de Misore escribiéron el 25 de Junio del año ultimo á los Ge</t>
  </si>
  <si>
    <t>Grau Matlleu</t>
  </si>
  <si>
    <t>de S. Pol, Corregimiento de GeVona................................... 5 5. 30. Grau Matlleu, hijo de Miguel é Isabel, natural de la Bisbal, Corregimiento de Gerona.............................. ....... 55. 30. Antonio Cots, hijo de Fructuoso y María, natural de Manresa, Correg</t>
  </si>
  <si>
    <t>Graves</t>
  </si>
  <si>
    <t>el encargo que llevaba el Lord Withworth. Los navios de línea despachados de Inglaterra al mando de Mr. Graves para reforzar la esquadra del Almirante Dickson son tres de 74 cañones y otros tres de 64. f . : . . . . El Lord Bridpqrt reemplaza al difunto Almirante Barrington en el empleo de</t>
  </si>
  <si>
    <t>Gravet, Miguel</t>
  </si>
  <si>
    <t>Miguel Gravet</t>
  </si>
  <si>
    <t>: D. Joachin Martin Daganzo con un exemplar de los Viages de Wanton con estampas y última edición : D. Miguel Gravet y D. Juan Antonio Zandiola cada uno con otro de las Lecciones retóricas de Blair: D. Luis Gil Ranz con los 1.2 tomos del Evangelio meditado : D. Joseph María de los Ríos con las obras</t>
  </si>
  <si>
    <t>Gravina, Almirante</t>
  </si>
  <si>
    <t>Almirante Gravina</t>
  </si>
  <si>
    <t>raron á su campamento al amanecer. Los dias 3 y 5 siguieron sus exercicios y evoluciones; y el 7 el Almirante Gravina, comandarire d&amp; U esquadra española, D. Josepli Escaño, su Mayor general ¿los Contra-Almirantes Gantheaume y Dumancir , algunos Generales franceses, y muchos oficiales de ambas na</t>
  </si>
  <si>
    <t>Graviná, Almirante</t>
  </si>
  <si>
    <t>Almirante Graviná</t>
  </si>
  <si>
    <t>artillería ligera cxeciitárón con la mayor Exactitud las evoluciones militares mas. complicadas. £1 Almirante Graviná, colocado en medio de. un quadro formado po.í la infantería contra-la caballería , creía ver los famosos tercios españoles .en los campos de Rocroy ; y al ContraAlmirante Gantheau</t>
  </si>
  <si>
    <t>Gre, General</t>
  </si>
  <si>
    <t>General Gre</t>
  </si>
  <si>
    <t>rcó Lecourbe á Dillingen , Blindheim y Jicchstedt. Había yo apostado el;ala derecha del cuerpo-del: General Gre- . nier en Guntzburgo hacia el Danubio ,.y la izquierda en Kisendorf. El General Richepanse , en, ambas orillas del Iller., cubría el. camino de Ulm á Memmingen,. y protegía nuestr</t>
  </si>
  <si>
    <t>Green, General</t>
  </si>
  <si>
    <t>General Green</t>
  </si>
  <si>
    <t>orck nombrado Warren se ha dado por buena presa. La fragata de guerra anglo-americana', .llamada el General Green; su Capitán Air. Perry, navegaba escoltando á un bergantín destinado para la Havana. Encontraron un navio ingles de 74;cañonesque1 quiso visitar al bergantín, y para ello despachó</t>
  </si>
  <si>
    <t>Greenville</t>
  </si>
  <si>
    <t>á los católicos si encontraba en la Cámara mucha oposición. En efecto, pidió el Ministro Greenville que 110.se hablase de ello, y así se acordó. En la Cámara de Comunes se trató el mismo dia de la libre introducción de lanas inglesas en Irlanda. Para resolver</t>
  </si>
  <si>
    <t>Gregaria Fernández de Ribera</t>
  </si>
  <si>
    <t>. ■&gt; • V- ■ Para el remate de una casa sita en la calle del Carmen, perteneciente á las memorias de Doña Gregaria Fernandez de Ribera , núm. 3 , raanz. 377 , que se está subastando por la audiencia del Señor Alcalde D. Domingo Fernandez de Campománes y escribanía de provincia de D. Domingo Rodríguez, tasada en 1</t>
  </si>
  <si>
    <t>Gregona Fernández de Rivera</t>
  </si>
  <si>
    <t>la plata mayor , portales de las carnicerías , núm. 17, mant. 163, perteneciente á las memorias de Doña Gregona Fernandez de Rivera , valuada en 74,800 «•, “ está subastando per la audiencia del Se Sor Alcalde D. Domingo Fernandez de Campománes y escribanía de provincia de D. Domingo Rodríguez , se ha señalado</t>
  </si>
  <si>
    <t>Gregoria Fernández</t>
  </si>
  <si>
    <t>el remate de la casa .calle del- Carmen , niún. 3, &lt; manzana 377 , perteneciente á; las memorias de Doña Gregoria Fernandez delibera , tasada en 91,036 rs. , y dan por ella 60,700 en- moneda metálica’ , de los: que se han de deducir las cargas , que se reducen á la del farol y serenos, la; Real , dé aposen</t>
  </si>
  <si>
    <t>Gregoria Fernández de Ribera</t>
  </si>
  <si>
    <t>se subasta una casa en la calle del Cármen , núm. 3 , manzana 377, perteneciente á las memorias de Doña Gregoria Fernandez de Ribera , que comprehende de sitio 1788 pies quadrados superficiales : se compone de planta subterránea , baxa , principal y segunda 5 está tasada en 91,036 rs. , y renta al año rs. Quien</t>
  </si>
  <si>
    <t>de aposento (y farol, y está tasada en 151,590 rs. : y las otras 4 pertenecientes á las memorias de Doña Gregoria Fernandez de Ribera , sitas la una en la calle de Relatores, núm. 13 , manzana 158: comprehende su sitio 3888 pies quadrados} y está tasada en 155,520 rs. Otra en la calle de Jesús y María, con facha</t>
  </si>
  <si>
    <t>JUNIO DE 1800. Para el remate de dos casas pertenecientes al patronato Real de legos y memorías de Doña Gregoria Fernandez de Ribera , sitas en esta corte , la una en la calle Imperial , nútn. 6, manz. 162 , valuada en 92,83$ rs. , y dan por ella 68d en vales Reales j y la otra en la calle de Relatores, núm. 13</t>
  </si>
  <si>
    <t>ovincia de D. Domingo Rodríguez , donde se halla radicado el patronato Real de legos y memorias d-e Doña Gregoria Fernandez de Ribera , se ha mandado subastar por término de 30 dias tres casas pertenecientes á dichas memorias, sitas en esta corte : una en la calle del Cármen , nüm. 30, manzana 3*77, que comprehe</t>
  </si>
  <si>
    <t>s viviendas, tasada aquella en rs. , y este en 498$ rs. 2(5 mrs. , pertenecientes á las memorias de Doña Gregoria Fernandez de Ribera, que se están subastando por la audiencia del Señor Alcalde D. Domingo Fernandez Campománes, y escribanía de provincia de D. Domingo Rodríguez, y dan por la primera ia§ rs. y por</t>
  </si>
  <si>
    <t>ita en lia calle de Jesús y María y de la Espada, núm. 4, manz. 13, perteneciente á las memorias de Doña Gregoria Fernandez de Ribera, tasada en i4T,i(?&lt;; rs. , que se está subastando por la audiencia del mismo Sr. Alcalde D. Domingo Fernandez de Campománes, y la propia escribanía de D. Domingo Rodríguez, se ha</t>
  </si>
  <si>
    <t>Greíiviile, Lord</t>
  </si>
  <si>
    <t>Lord Greíiviile</t>
  </si>
  <si>
    <t>el Cónsul Bonapartc para el Rey, y otra del ciud. Talleyrand, Ministro de Relaciones exteriores, al Lord Greíiviile. Acompañaba al correo Mr. Crow, empleado en la aduana de Donvres. Una y otra carta tratan , según se dice , de paz. La de Bonaparte venia dirigida d S. M. el Rey de la Gran Bretañ</t>
  </si>
  <si>
    <t>Grenier, General</t>
  </si>
  <si>
    <t>General Grenier</t>
  </si>
  <si>
    <t>us destacamentos á Augsburgo y Landsberg. El dia 4 se mantuvo el exército en sus mismos puestos. El General Grenier, nombrado por Moreau Teniente General interino, reemplazo en el mando al General Saint-Cyr , que por sus achaques tiene que ir á tomar/aguas,-y el General- Richepanse se- encargo</t>
  </si>
  <si>
    <t>media brigada, un regimiento de cazadores y otro de caballería. Mando entonces el General Moreau al General Grenier, cuyo cuerpo ocupaba desde Illereicheim á Oberhott, le socorriese. En conscqiiencia el General Ney se adelantó por el puente de Kilmentz, y juntándose con las tropas del General S</t>
  </si>
  <si>
    <t>e,.la izquierda, mandado por el General Richepanse, como también el ala izquierda á las órdenes del General Grenier, y el cuerpo de reserva. Este movimiento estaba concertado con las operaciones del cuerpo de Lecourbe. El General Richepanse forzó en todos los puntos áios enemigos, los quales no</t>
  </si>
  <si>
    <t>urgo el dia 12, y que otra parte de las mismas tropas ha atravesado el Lech. Dícese tambieri que el General Grenier, comandante del centro del exército, ha ocupado á Guntzburgo; y el General Richepanse,. que actualmente manda el alá izquierda, se ha aproximado á Ulm. El exército que se forma en</t>
  </si>
  <si>
    <t>erte que pudiese rechazar los esfuerzos que presumíamos hiciesen los enemigos ál día siguiente; El 'General Grenier se había preparado á pasar también; el Danubio por Guntzburgo; pero los enemigos, que anteriormente habían cortado ai cu nos arcos del puente, guarnecieron el pedazo que quedaba p</t>
  </si>
  <si>
    <t>los informes que adquiera. Bas ilea 5 de Julio. E 1 sitio de Ulm se adelanta baxo. las órdenes del General Grenier, que manda un cuerpo bastante crecido para dar esperanzas dé que aquella plaza no tardará en rendirse. Como el Duque de Wurtemberg no sé. muestra inclinado á hacer sü paz con Fran</t>
  </si>
  <si>
    <t>Greníer, General</t>
  </si>
  <si>
    <t>General Greníer</t>
  </si>
  <si>
    <t>9J3 El General Greníer ha asegurado en los términos más positivos que aua quando se renueven las hostilidades, no padecerán daño alguno los habitantes de esta ciudad en sus personas y bienes. De Dresde</t>
  </si>
  <si>
    <t>Por la tarde visitó el puente y la isla de Unterwerth, y ayer mañana volvió á salir. El cuerpo del General Grenier ocupa ya la orilla izquierda del Vils. Se han recogido los. puentes del Danubio en Straubing y VilshcfFen; y así los austríacos como los franceses levantan baterías en las márgene</t>
  </si>
  <si>
    <t>preparado alojamiento en una casa perteneciente al cabildo, quiso alojarse en la misma que ocupa el General Grenier, el qual tenia dispuesta para obsequiarle una ¿esta brillante, á la que asistió la mayor parte dé los Ministros de la Dieta. Durante su viage visitó Moreau la fortaleza de Ingolst</t>
  </si>
  <si>
    <t>Holanda. La división de Souhain va á ocupar toda la derecha del Rednitz y del Mein en Franconia. El General Grenier ha avisado desde Ratisbona al General Klcnau (que se halla en Stadtam-Hoíf) la renovación de las hostilidades ; y desde entonces está cortada toda comunicación entre las dos orill</t>
  </si>
  <si>
    <t>Grenier, Teniente General</t>
  </si>
  <si>
    <t>Teniente General Grenier</t>
  </si>
  <si>
    <t>el puente del Danubio hay actualmente dos centinelas austríacas y dos francesas. Ayer llego aquí el Teniente General Grenier*, comandante del .ala izquierda del exercito republicano. No obstante el gran número de tropas que se hallan en la ciudad y en los contornos, no -se ha alterado la tranquilidad pú</t>
  </si>
  <si>
    <t>ffembach. Las tropas bátavas quedan en la izquierda del Mein, y ocuparán el obispado de Fulda. — El Teniente General Grenier ha salido de Ratisbona para Straubing, en donde el General Legrand tiene su quartel. El General Ney, que ha sentado el suyo en Neuburgo, manda las tropas del bloqueo de Ingolstadt</t>
  </si>
  <si>
    <t>z. Ratisbona de Setiembre, E 1 General en xefe Moreau llego aquí ántes de ayer, y comió en casa del Teniente General Grenier con los oficiales de plana mayor y varios Ministros extrangeros de las potencias neutrales. Los Magistrados de esta ciudad enviaron una diputación para cumplimentarle. Por la tard</t>
  </si>
  <si>
    <t>golstadt: su izquierda apoya en el exército de Augereau, y su derecha en el del Rhin mandado por el Teniente General Grenier. El cuerpo de este último está apostado desde Ratisbona y Straubingen hasta Landshut. Ha causado mucha novedad en Alemania la resolución del Emperador de Rusia de no recibir al Co</t>
  </si>
  <si>
    <t>Grenv Ule</t>
  </si>
  <si>
    <t>francés; y aunque algunos vocales censuráron dichas respuestas, al fin se adoptó la proposición de Mr. Grenv Ule. En la Cámara baxá presentó igualmente Mr. Pitt el mismo dia 21 dicho mensage concebido en estos términos t „ Jorge Rey. Los subsidios concedir dos ai principio de las sesiones no</t>
  </si>
  <si>
    <t>Grenviile</t>
  </si>
  <si>
    <t>ya tiempo de que la Cámara se enterase del estado verdadero de este asunto. .El Ministro Grenviile consideró la qüestion como intempe stiva, y sostuvo que no debía limitarse el consumo de pan. Le contestó el Lord Stanhope en un discurso muy dilatado. Empezó</t>
  </si>
  <si>
    <t>Grenvilie, Lord</t>
  </si>
  <si>
    <t>Lord Grenvilie</t>
  </si>
  <si>
    <t>vocales délos Comunes, lo presentó, en el mismo dia á la Cámara alta, en la qual, á preposición del Lord Grenvilie , se procedió á su primer-lectura * y luego se mandó imprimir.. El Rey,.la. familia Real-, los Ministros, los principales habitantes del, condado de Hertfortd y sus contornos, 75</t>
  </si>
  <si>
    <t>nsiones de este gobierno---- Quando el Conde de YV edd Jarlsberg, Ministro dinamarqués, escribió al Lord Grenvilie con motivo de la presa del convoy, pidiéndole satisfacción por la conducta de los oficiales ingleses, le contestó nuestro Ministro pidiéndole satisfacccion por la conducta de los</t>
  </si>
  <si>
    <t>Grenville</t>
  </si>
  <si>
    <t>rtura de la campaña. Por ahora nada se ha publicado de las noticias que traen de aquel pais. Quando Mr. Grenville propuso en la Cámara alta se diesen gracias á S. M. por su mensage relativo á las negociaciones con la corte de Alemas</t>
  </si>
  <si>
    <t>tratado estos drías de remediar la actual escasez de víveres. En la Cámara alta presentó el dia 13 Mr. Grenville la correspondencia seguida entre Inglaterra y Francia sobre el armisticio marítimo; y Mr. Dundas la comunicó el mismo dia á lá Cámara baxa.__ .Tratándose él 14 en la dé los Pares sob</t>
  </si>
  <si>
    <t>Grenville los Lores Frederick y Bentinclc, Lord</t>
  </si>
  <si>
    <t>Lord Grenville los Lores Frederick y Bentinclc</t>
  </si>
  <si>
    <t>convenio para que aquella corte suministre un cuerpo de tropas á Inglaterra. AI apearse en casa del Lord Grenville los Lores Frederick y Bentinclc .quando volvieron de Italia, llegáron á un mismo tiempo 6 extraordinarios, que venian de Turin, Viena , Suabia, Berlín , Augsburgo y Petersburgo; y con solo este antecedente se di</t>
  </si>
  <si>
    <t>Grenville, Lord</t>
  </si>
  <si>
    <t>Lord Grenville</t>
  </si>
  <si>
    <t>dham. Inmediatamente después de este consejo fue quando se despachó á Mr. Crow con la respuesta del Lord Grenville, para que el correo francés la entregue á su gobierno. Según una gazeta de Londres ha recibido este ministerio aviso de que 'Ja esquadra combinada tiene orden de salle-de Brest, e</t>
  </si>
  <si>
    <t>icado hoy tas siguiente cartas: ,, El Ministro de Relaciones exteriores de la República francesa al Lord Grenville, Ministro de Negocios extrangeros.__ París 3 de Nivoso, año 8.° (ó 2?.dé Diciembre de 99.) Miiord. Por orden del General Bonaparte, primer Cónsul de la República francesa, despach</t>
  </si>
  <si>
    <t>e de que se haya desechado tan duramente la proposición que hacia de tratar de paz, extrañan que el Lord Grenville diga en su nota que ante todo debe la República reducirse á sus antiguos límites, supuesto (dicen dichas gazetas) que no solamente lñan aniquilado los ingleses casi todo el poder</t>
  </si>
  <si>
    <t>que dice así : *, Señor editor. Habiendo visto en vuestra gazeta de ayer que al parecer atribuís al Lord Grenville la nota en contestación á la carta del primer Cóqsul Bonaparte, juzgo preciso aseguraros que es producción toda entera de Mr. Windham, y el que Lord Grenville no la firmó sino como S</t>
  </si>
  <si>
    <t>o Consejero de Estado por lo relativo á ios asuntos de guerra.- ' ¡ Sin embargo de la respuesta del Lord Grenville á la carta cíe! primer Cónsul, y no obstante los preparativos militares que se hacen por parte de la Francia para la campaña próxima, se asegura que nuestro gobierno sigue con emp</t>
  </si>
  <si>
    <t>dinaria del dia 20 se ha publicado la contestación del Ministro francés Tayllerand á dicha nota del Lord Grenville; y á continuación se halla la segunda respuesta de este ministerio. Recibióse la carta del Ministro de Francia el dia 18, é inmediatamente se juntó el Consejo privado en la- secre</t>
  </si>
  <si>
    <t>piensa hacer uso de globos,y de gaz infamable. En la sesión de la Cámara alta del dia 20 previno el Lord Grenville que al dia siguiente comunicaría de parte de S. M. un mensage de la mayor importancia. En efecto, lo hizo así, y se señaló el 27 para deliberar en orden á su contenido, el qual er</t>
  </si>
  <si>
    <t>de Mr. Fox, se aprobó al fin la propuesta del Ministro Dundas, y por consiguiente la respuesta del Lord Grenville al Ministro francés. .7 ■ • , . - c * . Haya 8 de Febrero,, , A ntes de ayer ¿panana, llego aquí un correo despachado por el Agente holandés, que reside en Viena ,. y trae -notici</t>
  </si>
  <si>
    <t>listas, y ademas de orden del mismo gobierno se han repartido entre ellos 20® copias de la nota del Lord Grenville sobre la proposición de paz hecha por Bonaparte: todo lo qual, con otros antecedentes, prueba h falsedad del aserto de Pitt. Parts 14 de Febrero. H= an comunicado los Cónsules al</t>
  </si>
  <si>
    <t>que el ciud. Talleyrand Perigord, Ministro de Relaciones exteriores de Francia, respondió a la del Lord Grenville, decía así: „Parts 13 de Enero___ Habiendo presentado al primer Cónsul de la República francesa la nota de oficio dirigida con fecha de 4 de este mes por el Ministro de S. M. brit</t>
  </si>
  <si>
    <t>consumo de patatas, que puede temerse lleguen á apurarse las que se deben reservar para plantar. El Lord Grenville hizo el 21 una visita de ceremonia al Duque de Orleans. El Duque de Montpensier y el Conde de Beaujolais Ilegáron ai dia siguiente de BristoL, .en donde se detuvieron á .causa de</t>
  </si>
  <si>
    <t>eferido Conde á una comida en que se hallaron el mencionado Duque y sus dos hermanos; y ayer dio el Lord Grenviile un gran convite á los mismos Príncipes, y asimismo á los Duques de Borbon , Iiarcourt y Mailhé, y á otros personages franceses, asistiendo igualmente los Embajadores del Emperador</t>
  </si>
  <si>
    <t>e la llegada de un correo del Lord Mmto, Ministro británico enViena, ha habido én la secretaría del Lord Grenville un consejo de gabinete que duró muchas horas, y por no interrumpirle se suspendió aquel día en el Parlamento el examen del nuevo bilí de contribución sobre los bienes. Aseguran qu</t>
  </si>
  <si>
    <t>a publicados en quanto á los sucesos de la guerra. Una de las cartas es de Mr. Guillermo Bentink al Lord Grenville, fecha en Turin el 5 : manifiesta en ella algunos rezelos de que no se entregase la ciudad de Genova, como también de los progresos que podría hacer el exército de Bonaparte, que</t>
  </si>
  <si>
    <t>e Mr. Hodgson. Algunas gazetas ministeriales aseguran en el dia que la respuesta tan censurad 1 del Lord Grenviile á las proposiciones de Bonaparte , se dio coma por fuerza, pues se temía que respondiendo en otros términos se hubiera este ministerio indispuesto con un aliado poderoso y victori</t>
  </si>
  <si>
    <t>e gabinete, al qual asistiéron el Duque de Portland, los Condes da Spencer, Chatham y Liverpool, el Lord Grenville, Mr. Pi'tt y Mr. Dundas. Duró el consejo 5 horas; y poco después volvió á salir Mr. DuvaLc©» la respuesta al Lord Withworth, y cartas para el Almirante Dickson. Algunas gazetas in</t>
  </si>
  <si>
    <t>eutrales residentes en aquella ciudad, que el puerto volvía á estar bloqueado. En la secretaría del Lord Grenville se celebró ayer un consejo, á que íisistiéron el Duque de Portiand, los Condes de Chatham, Spencer, Cam-, den y Liverpool, el Lord Grenville, y Mrs. Pitt y Dundas. El navio Real J</t>
  </si>
  <si>
    <t>os. Londres 2 / de Setiembre. HL a habido estos días varios consejos de estado en la secretaría del Lord Grenville para exáminar pliegos recibidos de la corte de Viena y del Lord Minto, nuestro. Embarcador. cerca de S. M. Imperial* pícese que ha resuelto este gobierno consentir en que el Emper</t>
  </si>
  <si>
    <t>esquadra á retirarse de las aguas de Brest, y acogerse á nuestros puertos. Mr. Mattra há escrito al Lord Grenville la siguiente carta fecha en Gibraltar el 29 de Julio: ,,Según los últimos avisos que he tenido de la costa de Africa, mueren en Tánger de 20 á 30 personas cada dia, y en Tetuan de 10</t>
  </si>
  <si>
    <t>obierno británico ha convenido en dicho armisticio baxo algunas modificaciones, que firmadas por el Lord Grenville se han remitido por extraordinario al gobierno francés para que las ratifique» r El Almirante Lord S. Vicente ha vuelto á Inglaterra con 23 navios de línea, que acaban de fondear</t>
  </si>
  <si>
    <t>funesto todavía.__ El Conde de Suífolk criticó también nuestras operaciones militares; preguntó al Lord Grenville si había mandado hacer averiguaciones sobre la expedición del Ferrol ; y concluyó censurando otras disposiciones de los Ministros. Le contestó el Lord Grenville negando que la gue</t>
  </si>
  <si>
    <t>stria y la Francia desde i.° de Junio de este año, segiía se haya comunicado al gabinete ingles* El Lord Grenville respondió en estos términos: ,,No extraño semejante proposición de parte de quien la hace. Su objeto es divertir vuestra atención á fin de debilitar el efecto que habrá causado la</t>
  </si>
  <si>
    <t>Grenville, Tomás</t>
  </si>
  <si>
    <t>Tomás Grenville</t>
  </si>
  <si>
    <t>editada esta opinión influyó en los fondos públicos , que subieron de 5*6 por 100. Dícese ahora que Mr. Tomas Grenville va á Carlsbad para entrar en las negociaciones de paz j pero sin embargo de todo esto prosiguen los preparativos para continuar la</t>
  </si>
  <si>
    <t>Grenvllle, Lord</t>
  </si>
  <si>
    <t>Lord Grenvllle</t>
  </si>
  <si>
    <t>plan * cuyo objeto es-destruir la esquadra francesa. No ptidieñdo hablar con S. ÍVÍ. dió su plan ai Lord Grenvllle. No se sabe'positivamente los medios que. propone; pero .se cree que piensa hacer uso de globos,y de gaz infamable. En la sesión de la Cámara alta del dia 20 previno el Lord Grenv</t>
  </si>
  <si>
    <t>Greppi, Pablo</t>
  </si>
  <si>
    <t>Pablo Greppi</t>
  </si>
  <si>
    <t>que representan las batallas de Alejandro. El 14 del corriente falleció aquí el ciud. Pablo Greppi, milanes, y diputado de la República cisalpina cerca del primer Cónsul: tenia 46 años. La guardia de los Cónsules se ha aumentado, y consta ya de dos batallone</t>
  </si>
  <si>
    <t>Grey</t>
  </si>
  <si>
    <t>o los debates con motivo del exámen del plan sobre la unión de Irlanda, y son cada vez mas reñidos. Mr. Grey, en un discucso enérgico, probó: „que las peticiones hechas por los irlandeses á favor d«e esta disposición se consiguieron de un modo ilegal, pues el Virey que tenia á su disposi</t>
  </si>
  <si>
    <t>I 1$2 ral.”__ Mr. Sheridan aprobó la respuesta con ciertas restricciones. Habló luego Mr. Grey, cuyo extenso discurso se resumirá aquí. ,, El Ministro se muestra mas solícito que otras veces en conseguir la unanimidad de los vocales para la aprobación de la respuesta al dis</t>
  </si>
  <si>
    <t>Grigní, General</t>
  </si>
  <si>
    <t>General Grigní</t>
  </si>
  <si>
    <t>habitantes de las costas del Vendée; y el Ministro al comunicar todo esto á Bonaparte anadia que el General Grigní era de parecer que una carta de satisfacción del primer Cónsul produciría los mas favorables efectos en todo aquel pais: en conseqiáencia le propuso la siguiente, que firmada por Bo</t>
  </si>
  <si>
    <t>Grigny, General</t>
  </si>
  <si>
    <t>General Grigny</t>
  </si>
  <si>
    <t>s en Elven. Ya está libre la península de Rhitis , y he mandado restablecer en ella las señales. El General Grigny ha hecho tremolar la batidera tricolor en la costa , y encender grandes Juegos. Una lancha inglesa llegó á la bahía de Quiberon para desembarcar alguna gente; pero el fuego de nue</t>
  </si>
  <si>
    <t>Grimblot</t>
  </si>
  <si>
    <t>dado por dos esquadrones del primer regimiento de caballería, y dirigido por el ciud. Grimblot. Acababan de pasar uno á uno por el puente de Grensheim, y se había juntado con ellos una partida dé húsares de la escolta de Lecourbe. Arrollaron estas tropas</t>
  </si>
  <si>
    <t>Grouchy</t>
  </si>
  <si>
    <t>lo y ajuste del convenio para la evacuación de aquel país. Han llegado aquí los Generales Perignon y Grouchy, que han sido can' geados. Kiza $ de Abril, H an atacado los austríacos la línea de los franceses en varios puntos , y de todos fueron rechazados, recobrando l</t>
  </si>
  <si>
    <t>Grouchy y del General Baraguey de Hilliers, General</t>
  </si>
  <si>
    <t>General Grouchy y del General Baraguey de Hilliers</t>
  </si>
  <si>
    <t>uación de nuestro territorio por el exército anglo-ruso. Berna 21 de Setiembre. L as divisiones del General Grouchy y del General Baraguey de Hilliers (la qual consta de 8® hombres) han pasado por esta ciudad y sus contornos, dirigiéndose al Vorarlberg. El General en xefe Macdonald ha revistado todas las tropas de estas dos divi</t>
  </si>
  <si>
    <t>Grrenville, Lord</t>
  </si>
  <si>
    <t>Lord Grrenville</t>
  </si>
  <si>
    <t>endiente del fin de una guerra que abrasa el mundo entero.__ De V. M___ Bona— parte.” Respuesta del Lord Grrenville al Ministro de Relaciones exteritres en Paris___Londres , Dovonig-Street, 4 de Enero de 1800. „Monsiur. He recibido y comunicado á S. M. las dos cartas que me habéis dirigido. No</t>
  </si>
  <si>
    <t>Guajardo y Faxardo, Antonio</t>
  </si>
  <si>
    <t>Antonio Guajardo y Faxardo</t>
  </si>
  <si>
    <t>a de Vallado— ;lid; y para la plaza supernumeraria del crimen de la misma chanciilería de Granada á D. Antonio Guajardo y Faxardo. ^ El Rey se ha servido nombrar para la Iglesia y Obispado de Cádiz, vacante por fallecimiento del limo. Sr. D. Antonio de la Plaza, al Sr. Don Francisco Utrera, Canónigo Doctoral</t>
  </si>
  <si>
    <t>Guardamuro, Joseph</t>
  </si>
  <si>
    <t>Joseph Guardamuro</t>
  </si>
  <si>
    <t>de Alguer, que lo era del de Salamanca; y ha promovido á igual empleo en los de Ecija y Plasencia á D. Joseph Guardamuro, Capitán del regimiento de infantería de Granada, y al Teniente Coronel, graduado, D. Gabriel López, Ayudante del mismo cuerpo de milicias de Plasencia. S. M. se ha servido conced</t>
  </si>
  <si>
    <t>Guazo Gutiérrez, Gregorio</t>
  </si>
  <si>
    <t>Gregorio Guazo Gutiérrez</t>
  </si>
  <si>
    <t>a el Corregimiento político de la ciudad de Córdoba, vacante por jubilación de D. Joseph Eguiluz, á D. Gregorio Guazo Gutiérrez: para el de la de Alcalá la Real, que este dexa* á D. Joachín Bernad y Vargas; y para el de la de Ronda á D. Juan Agustín de Mendoza : para el de Letras de la ciudad de Toledo á D</t>
  </si>
  <si>
    <t>Gudiftot, General</t>
  </si>
  <si>
    <t>General Gudiftot</t>
  </si>
  <si>
    <t>ubo tal pérdida, pues el día 24 supo Massena por un edecán que vino de la ribera de poniente que el General Gudiftot, xeíc de la plana mayor, había llegado al campamento de Suchet, en conde no había ocurrido novedad. Supo también que se había abastecido la ciudadela de Sayona; y qu.e el exército</t>
  </si>
  <si>
    <t>Gudin, General</t>
  </si>
  <si>
    <t>General Gudin</t>
  </si>
  <si>
    <t>al Lecourbe consiguiópasar la tarde del. 26 , y marchó el' día siguiente á.Baviera: Lv división del General Gudin se dirigió hacia Poetmest , y la del General Monrrichard hacia Neuburgo» Esta última , que halló en Qberchausen un cuerpo enemigo muy considerable mandado por Mr. Kray, dio princi</t>
  </si>
  <si>
    <t>Gúdin, General</t>
  </si>
  <si>
    <t>General Gúdin</t>
  </si>
  <si>
    <t>reemplazará allí á estos últimos cuerpos. Durante la indisposición del General Lecourbe mandará el General Gúdin él ala derecha. En fin, todo está dispuesto para renovar las hostilidades en caso que el Emperador persista en no ratificar los preliminares que se asegura firmó en su nombre en P</t>
  </si>
  <si>
    <t>Guerra, Francisco</t>
  </si>
  <si>
    <t>Francisco Guerra</t>
  </si>
  <si>
    <t>ra Capellanía mayor del de religiosas Mercenarias descalzas de Madrid, vacante por fallecimiento de D. Francisco Guerra, á D. Bernardo Miguel y Romero, Capellán tercero del mismo convento: para otra Capellanía del de Carmelitas descalzas de Santa Teresa de Madrid, vacante por renuncia que ha hecho</t>
  </si>
  <si>
    <t>Guerrero y Aranda, Antonio</t>
  </si>
  <si>
    <t>Antonio Guerrero y Aranda</t>
  </si>
  <si>
    <t>s Reales estudios de Madrid: para el Deanato •de la catedral de Cádiz, vacante por fallecimiento de D. Antonio Guerrero y Aranda, á D. Francisco de Carasa y Sousa, con retención de la Canongía que goza en la misma iglesia: para la Canongía de la de Plasencia, vacante por fallecimiento de D. Pedro Sánchez Mo</t>
  </si>
  <si>
    <t>Guerrero y Canredondo, Antonio</t>
  </si>
  <si>
    <t>Antonio Guerrero y Canredondo</t>
  </si>
  <si>
    <t>Rho, D. Vicente Martin Vegue y Zayas, D. Gabriel Góngora y Palacio, D. Luis de Benavides y Alovice,D. Antonio Guerrero y Canredondo, D. Francisco González de la Riva y Vivanco,D. Joseph de Letona y Betéluri, D. Antonio Riquehne y Corral, D. Joseph Vial y Cardigondi, D. Juan Ordoñez y Martínez, D. Pedro de Varo</t>
  </si>
  <si>
    <t>Guerrero, Francisco</t>
  </si>
  <si>
    <t>Francisco Guerrero</t>
  </si>
  <si>
    <t>e de los Estudios, y en su puesto gradas de S. Felipe. Breve tratado del viage que hizo á Jerusalen D. Francisco Guerrero ; da noticia verídica de ios santuarios y sitios en que nuestro Redentor Jesuchristo estuvo , dónde nació y murió ; adornado con estampas : un toma en 8.°, en pasta ó rs. =: Desen</t>
  </si>
  <si>
    <t>Guerrero, Juan</t>
  </si>
  <si>
    <t>Juan Guerrero</t>
  </si>
  <si>
    <t>teniente de granaderos al primer Subteniente D. Agustín Vallanccur; á primer Subteniente al segundo D. Juan Guerrero,y a segundo Subteniente al Cadete D. Andrés Verea : en el de la Corona á primer Teniente al segundo de granaderos D. Joseph Balaguer; á segundo Teniente de granaderos al de fusile</t>
  </si>
  <si>
    <t>Guiilermain, Capitán</t>
  </si>
  <si>
    <t>Capitán Guiilermain</t>
  </si>
  <si>
    <t>de granaderos recogió la que había caído en la luneta, volvió á colocarla encima de la puerta, y el Capitán Guiilermain se puso con dos soldados al lado de ella para impedir que volviesen á derribarla. El comandante y los oficiales hicieron en vano esfuerzos para obligar á los soldados y artilleros</t>
  </si>
  <si>
    <t>Guillelmo Xaramillo</t>
  </si>
  <si>
    <t>arzo se celebro el 5-0 examen público de los alumnos del curso de gramática castellana que regenta_ D. Guillelmo Xaramillo, director de la escuela numeraria de primeras letras de la calle de Relatores de esta corte; y entre los opositores que se presentaron en virtud de su suficiencia y méritos,.consi</t>
  </si>
  <si>
    <t>Guillemardet</t>
  </si>
  <si>
    <t>1076 ■p Parts g 1 de Octubre* .12 I ciud. Guillemardet, Embaxador que fué de la República Francesa en la corte de España, ha sido nombrado Prefecto del departamento del Charenta-Inferior , en lugar del ciud. Franjá</t>
  </si>
  <si>
    <t>Guillermo Anderson, Juan</t>
  </si>
  <si>
    <t>Juan Guillermo Anderson</t>
  </si>
  <si>
    <t>a ciudad de Londres relativa á las proposiciones hechas por el gobierno francés para tratar de paz. Mr. Juan Guillermo Anderson alegó que. esta petición no expresaba los votos de la ciudad, sino solo los de una facción, supuesto que no contenía sino 57 firmas, y anunció que en breve se presentará á la Cáma</t>
  </si>
  <si>
    <t>Guillermo Bentinck, Lord</t>
  </si>
  <si>
    <t>Lord Guillermo Bentinck</t>
  </si>
  <si>
    <t>Berlín, y viene á reemplazar al ciud. Niou en calidad de Comisario para el cange de prisioneros, El Lord Guillermo Bentinck. y, ¡su hermano acaban de llegar del «onti- * nente, y traen, segim. se dice^ eLplan (combinado de las operaciones para la campaña próxima,.que; se considera como Ja última^—Spgun</t>
  </si>
  <si>
    <t>Guillermo Bentink</t>
  </si>
  <si>
    <t>uiente contienen hechos ya publicados en quanto á los sucesos de la guerra. Una de las cartas es de Mr. Guillermo Bentink al Lord Grenville, fecha en Turin el 5 : manifiesta en ella algunos rezelos de que no se entregase la ciudad de Genova, como también de los progresos que podría hacer el exército</t>
  </si>
  <si>
    <t>Guillermo Casterá</t>
  </si>
  <si>
    <t>: y habiéndose extraviado, quien sepa de ellos avisará á dicho D.. Ramonr de Vialen Santander , ó á D. Guillermo Casterá, en Madrid, calle da lo»Leones, almacén de vinos generosos.</t>
  </si>
  <si>
    <t>Guillermo Conrad</t>
  </si>
  <si>
    <t>ambién ha dado patente y un sable de honor, á título de recompensa nacional, al ciud. Guillermo Conrad, segundo Teniente de artillería, que en la batalla de Marengo, habiéndole llevado una bala de cañón una pierna, y cayendo de resultas en el suelo, se incorporó</t>
  </si>
  <si>
    <t>Guillermo Douning</t>
  </si>
  <si>
    <t>ntes al Subteniente dé granaderos D. Manuel Cleere, y á los primeros Subtenientes D* Juan Peirson y D. Guillermo Douning; á Subtenientes de granaderos á los primeros Subtenientes D. Mauricio Keating y D. Pedro Sarsiieid; á primeros Subtenientes á los segundos D. Garlos Montignany, D. Joseph Boery, D</t>
  </si>
  <si>
    <t>Guillermo Elliot</t>
  </si>
  <si>
    <t>Iba de Hottemburgo á Hamburgo , y tenia ya á bordo pilotos del Elba; pero nada de esto, impidió que Mr. Guillermo Elliot, comandante del bergantín Vésuvio , la apresase^ diese orden para que la, llevasen á Yarmouth. En este yiage la recobro dicho corsario Francés. ■ Laiis'ana 22 de Agosto, H an lleg</t>
  </si>
  <si>
    <t>Guillermo Lyons</t>
  </si>
  <si>
    <t>nor, Don Felipe Ancora y D. Benito Albiny; y á segundos Subtenientes á los Cadetes D. Tomas Cantón, D. Guillermo Lyons, D. Andrés Aguado y Oquendo y D. Joseph Alvarez, este del de Soria, y al Sargento primero de granaderos D. Agustin Poncerot: en el de TJltonia á Capitán al primer Teniente de gr.m</t>
  </si>
  <si>
    <t>Guillermo Marrast de Forgis</t>
  </si>
  <si>
    <t>de Teniente, D* Juan Antonio Abal: en el de Ultonia a primer Teniente de granaderos ai de fusileros D. Guillermo Marrast de Forgis; á primer Teniente ai segundo D. Latino Fitzgerald; á segundos Tenientes de granaderos á los¡ de fusileros D. Juan Fiztgerald y D. Jacobo Troche ; á segundos Tenientes al Subtenie</t>
  </si>
  <si>
    <t>Guillermo, Príncipe</t>
  </si>
  <si>
    <t>Príncipe Guillermo</t>
  </si>
  <si>
    <t>aquel destino, y lo habrá executado ántes de ayer baxo la escolta de un buque de guerra nombrado el Príncipe Guillermo. Ha sido apresado por los franceses un navio del puerto de Surate* en las Indias orientales, que llevaba á bordo 10 lakes de rupias. Un suceso muy lamentable acaba de confirmar qu</t>
  </si>
  <si>
    <t>Guillor, General</t>
  </si>
  <si>
    <t>General Guillor</t>
  </si>
  <si>
    <t>los habitantes están dispuestos a rechazar á los ingleses ; y el servicio militar , d.riguiopor el General Guillor, se hace con la mayor exactitud y vigilancia. Muchos soldados de la media brigada"núm. 81, que han estado prisionero* en Inglaterra , conservan me. moria del mal trato que les die</t>
  </si>
  <si>
    <t>Guillot, General</t>
  </si>
  <si>
    <t>General Guillot</t>
  </si>
  <si>
    <t>Rhin, y desde aquí se veían las llamas. r Parts 12 de Agosto. K La escrito el Ministro de Guerra al General Guillot, Comandante de la 4.a división militar , que el primer Cónsul desea se trate á los prisioneros rusos con todos los miramientos y atenciones que merece el valor y la desgracia; y q</t>
  </si>
  <si>
    <t>Guilloto, Bartolomé</t>
  </si>
  <si>
    <t>Bartolomé Guilloto</t>
  </si>
  <si>
    <t>ncisco Mendieta, y al de fusileros D. Miguel Santos: para Subteniente de granaderos al de fusileros D. Bartolomé Guilloto; y para Subtenientes de bandera á los Cadetes D. Joachín González de la Torre y D. Joseph Tellez. Asimismo se ha servido S. M. en la compañía de infantería íixa de Acápulco promov</t>
  </si>
  <si>
    <t>Gulliver, Capitán</t>
  </si>
  <si>
    <t>Capitán Gulliver</t>
  </si>
  <si>
    <t>este mes se admitida subscripciones al. 3.0 y último romo (que está ya en prensa) de los viages del Capitán Gulliver , traducidos por D. Ra-. non Máximo S par tal; se adelantarán 10 rs. por este tomo, y al mismo precio se darán el i.° y a.° á los que subscríban. Se subscribe en las librerías de</t>
  </si>
  <si>
    <t>Guroupp, General</t>
  </si>
  <si>
    <t>General Guroupp</t>
  </si>
  <si>
    <t>ral Melas en carta al General Conde de Tige,residente en Viena, le dice con igual fecha que como el General Guroupp no podía defender mas .tiempo el col de Tenda, y ademas quedaba por aquella parte cortado el camino á Mr. Elsnitz, dexó Melas al cuerpo de este General libertad para entrar en los</t>
  </si>
  <si>
    <t>Gustavo III</t>
  </si>
  <si>
    <t>tre otros puntos el siguiente : ,, No obstante lo costosa que fue la guerra que Gustavo III acababa de sostener quando murió, se hallaban las rentas Reales tan admirablemente arregladas, que el Estado no habiaco</t>
  </si>
  <si>
    <t>Guticrrez de Pando, Antonio</t>
  </si>
  <si>
    <t>Antonio Guticrrez de Pando</t>
  </si>
  <si>
    <t>y Tejada , Directores de .Reales provisiones de exército y armada, remitieron el 31 de Diciembre á D. Antonio Guticrrez de Pando, Guarda-almacén de la de exército en la plaza de Tarragona, endosados á favor de este con la misma fecha , un vale Real de 300 pesos , creación de xo de Abril, xiúm. 443,539, y 12</t>
  </si>
  <si>
    <t>Gutiérrez Bueno, Pedro</t>
  </si>
  <si>
    <t>Pedro Gutiérrez Bueno</t>
  </si>
  <si>
    <t>ía de Escribano, calle de las Carretas, frente á la imprenta Real. Arte de tintoreros de lanas, por D. Pedro Gutiérrez Bueno, chímico en esta corte : en esta obra se hallan 21$ fórmulas, ó sean recetas, para teñir las telas y estambres para bordar de todos colores firmes y agradables: es útilísima, pues</t>
  </si>
  <si>
    <t>Gutiérrez de los Ríos, Joseph</t>
  </si>
  <si>
    <t>Joseph Gutiérrez de los Ríos</t>
  </si>
  <si>
    <t>nte al Brigadier de ella D. Francisco Vázquez: para el Bastón de Exento de número al supernumerario D. Joseph Gutiérrez de los Ríos; y para Exento supernumerario al J&amp;rigadier D. Pedro Martínez Espinal. Para fin Basten de Exento de número de la Americana al supernumerario D. Francisco Carmena; y para dos Basto</t>
  </si>
  <si>
    <t>Gutiérrez de Pando, Antonio</t>
  </si>
  <si>
    <t>Antonio Gutiérrez de Pando</t>
  </si>
  <si>
    <t>ersona que los hubiere hallado los devolverá á dichos Sres. Corral y Tejada en Barcelona , al mismo D. Antonio Gutiérrez de Pando en Tarragona, ó á la Dirección general de Reales provisiones en Madrid. En poder de D. Manuel de Molina, presbítero, Rector del colegio de Niños doctrinos de esta corte, se halla un</t>
  </si>
  <si>
    <t>Gutiérrez de Santa Clara, Ángel</t>
  </si>
  <si>
    <t>Ángel Gutiérrez de Santa Clara</t>
  </si>
  <si>
    <t>cedianato de Alcor, Dignidad de la catedral de Palencia, vacante por muerte de D. Bernardo Tovar, á D. Angel Gutiérrez de Santa Clara , Canónigo de la Real iglesia de San Isidro de Madrid: para la Dignidad de Tesorero y Canongía de la catedral de Plasencia, vacante por muerte de D. Manuel Viilanueva y Pacheco, á</t>
  </si>
  <si>
    <t>Gutiérrez de Teran, Manuel</t>
  </si>
  <si>
    <t>Manuel Gutiérrez de Teran</t>
  </si>
  <si>
    <t>mesa ds la Tesorería mayor D. Felipe Fernandez de Argüí, Don Bernardo Reboles , D. Ignacio Balbin, D. Manuel Gutiérrez de Teran, Don Antonio Melendro , y al Oficial tercero de número D. Joseph Moreno Martínez. Honores de Tesorero de Exército á D. Joseph Henriquez de Otero, xo* fe de mesa de la Tesorería ge</t>
  </si>
  <si>
    <t>Gutiérrez del Valle, Pedro</t>
  </si>
  <si>
    <t>Pedro Gutiérrez del Valle</t>
  </si>
  <si>
    <t>, creación de 10 de Abril, números 390,152 y 401,139: el primero endosado al referido Quintana por D. Pedro Gutiérrez del Valle , y el segundo por O. Miguel de Villa— nueva , valor del expresado Angulo 4 y habiéndose extraviado , el sugeto que los haya hallado, los entregará en Cádiz al expresado Quintana</t>
  </si>
  <si>
    <t>Gutiérrez López Ca, Francisco</t>
  </si>
  <si>
    <t>Francisco Gutiérrez López Ca</t>
  </si>
  <si>
    <t>illen de Toledo ; para el de Betánzos á D. Joseph Manuel Picado ; para el de la villa de Madrigal á D. Francisco Gutiérrez López Ca— rabantes; para el de ta de Sahaguíiá D.ManuelLópez y Sagastizaba! ; para la vara de'Alcalde mayor de la dé Tobarra á D. Francisco Xavier Rincón, y pa*a la dé la Palma en Canarias</t>
  </si>
  <si>
    <t>Gutiérrez López Chavantes, Francisco</t>
  </si>
  <si>
    <t>Francisco Gutiérrez López Chavantes</t>
  </si>
  <si>
    <t>entente primero de Asistente de la ciudad de Sevilla á D. Antonio Rodríguez de Ribera la segunda á D. Francisco Gutiérrez López Chavantes; y para la S la tercera de á D. Salvador Granada Vidal: á D. paraSantolam: Andrés la vara depaja Alcalde la mayor ^gundode ia á D To'eoh Toachin de Santa Mana: para la de 1 ucrto</t>
  </si>
  <si>
    <t>Gutiérrez Palacios, Isidoro</t>
  </si>
  <si>
    <t>Isidoro Gutiérrez Palacios</t>
  </si>
  <si>
    <t>ác Bassecourt, los dos ¿rimeros de granaderos. En el de infantería de Africa á Capitán al Ayudante D. Isidoro Gutiérrez Palacios; á Ayudante al primer Teniente Don luán Loarte; á primer Teniente al segundo de granaderos D. Joseph Zorri-. lia* á segundo Teniente de granaderos al de fusileros D. Joseph Perez</t>
  </si>
  <si>
    <t>Gutiérrez y Aranda, Antonio</t>
  </si>
  <si>
    <t>Antonio Gutiérrez y Aranda</t>
  </si>
  <si>
    <t>y se ha servido nombrar para la Canongía de la catedral de Cádiz vacante por fallecimiento del Dean D. Antonio Gutiérrez y Aranda, á D. 1 elix Isidro de Heviá. _ ■ w En el regimiento de Reales Guardias Españolas se ha servido el Rey promover ;í Capitán a! primer Teniente graduado de Coronel y Comandante de c</t>
  </si>
  <si>
    <t>Gutiérrez, Fernando</t>
  </si>
  <si>
    <t>Fernando Gutiérrez</t>
  </si>
  <si>
    <t>ores de la justicia en el juez malo , y contra los que la alteran á veces aun en el bueno: su autor D. Fernando Gutiérrez. Esta obra es una fábula apóloga ,en la que con cuentos fingidos se ponen á la vista los obstáculos de la justicia en los lugares cortos, las particularidades y maniobras en sus e</t>
  </si>
  <si>
    <t>Gutiérrez, Francisco</t>
  </si>
  <si>
    <t>Francisco Gutiérrez</t>
  </si>
  <si>
    <t>primer Teniente de granaderos D. Lorenzo de Sierra; á primer Teniente de granaderos al de fusileros D. Francisco Gutiérrez; á primer Teniente al segundo de granaderos D. Pedro Asensio; á segundo Teniente de granaderos al de fusileros D. Luis de Soto; á segundo Teniente al Subteniente de granaderos D.</t>
  </si>
  <si>
    <t>do á bien nombrar en los regimientos provinciales de la península Teniente Coronel del de Segovia á D. Francisco Gutiérrez, Capitán del de infantería de España: Capitán de granaderos del de Badajoz al de fusileros del mismo cuerpo D. Pedro Bizarro: Ayudante del de Santiago á D. Joseph Ortiz, primer Te</t>
  </si>
  <si>
    <t>Gutiérrez, Francisco Antonio</t>
  </si>
  <si>
    <t>Francisco Antonio Gutiérrez</t>
  </si>
  <si>
    <t>terio de la capilla del convento de la Encarnación de Madrid, que se halla vacante por haber pasado D. Francisco Antonio Gutiérrez con igual destino á la santa iglesia de Toledo, á D. Manuel Corao. S. M. se ha dignado nombrar. Cirujano del batallón de cazadores Voluntarios de Barbastro á D. Jayme Serra: del t</t>
  </si>
  <si>
    <t>Gutiérrez, Joseph</t>
  </si>
  <si>
    <t>Joseph Gutiérrez</t>
  </si>
  <si>
    <t>oción de D. Sebastian de Gorvea al Arcedianato de Ecija, dignidad de la metropolitana de Sevilla, á D. Joseph Gutiérrez: para el Beneficio de S. Nicolás de la ciudad de Cuenca, vacante por fallecimiento de D. Isidro Hernández Huerta, á D. Francisco Martínez Vados: para la Prestamera de la villa de</t>
  </si>
  <si>
    <t>o de la parroquial del lugar de Daganzo de Arriba, arzobispado de Toledo , vacante por promoción de D. Joseph Gutiérrez á una Capellanía de la Real capilla de Sres. Reyes nuevos de Toledo, á D. Gabriel Callejo, con calidad de precisa y personal residencia- y para otro simple servidero de la parroqu</t>
  </si>
  <si>
    <t>en 162,229. Otra calle de la Botica , de id. en 282,429. Otra calle de Flamencos, del patronato de D. Joseph Gutiérrez , en 199,558. Otra calle de la Amargura, de id. en 337,150. Otra calle del Mirador, del patronato de Doña María Teresa de Iparraguirre, en 181,612. Otra calle de la Botica , de id</t>
  </si>
  <si>
    <t>los segundos D. Francisco Latorre y D. Joachín Paño, y á segundos Subtenientes ai Sargento primero D. Joseph Gutiérrez y al Cadete D. Joseph María Orel!: en el regimiento de infantería de N «polos á Coronel al Teniente Coronel graduado de Brigadier D. Lilises Albcrgoti.</t>
  </si>
  <si>
    <t>Gutiérrez, Joseph Ramón</t>
  </si>
  <si>
    <t>Joseph Ramón Gutiérrez</t>
  </si>
  <si>
    <t>nez y D. Joseph Hernando; á Subtenientes de granaderos á los primeros Subtenientes D. Juan Ximenez, D. Joseph Ramón Gutiérrez y D. Francisco de Oña; á primeros Subtenientes á los segundos 1&gt;. Pedro Torrequemada, D. Francisco Latorre, D. Francisco Collantes, D. Joseph Talens, D. Joseph Alemany y D. Manuel Arn</t>
  </si>
  <si>
    <t>aoná; D. Ramón Albear y D. Ignacio de Arcos ; á segundos Tenientes á los Subtenientes de granaderos D. Joseph Ramón Gutiérrez, D. Francisco Manuel de Oña y D. Antonio Peña, y á los primero? Subtenientes D.fMiguel dé la Peña y D. • Diego Suarez; á Subtenientes de granaderos á los pritáerps Subtenientes; J</t>
  </si>
  <si>
    <t>Gutiérrez, Juan</t>
  </si>
  <si>
    <t>Juan Gutiérrez</t>
  </si>
  <si>
    <t>apitán de infantería D. Francisco María.de Leis, y al Teniente de fusileros con grado de infantería D. Juan Gutiérrez: Tenencias de granaderos en los de Santiago y Lugo á los Tenientes de fusileros D. Luis Coton y D. Fernando Miranda: Tenencias en los de Ciudad-Rodrigo, Ciudad-Real, Tuy, Mondoñed</t>
  </si>
  <si>
    <t>Gutiérrez, Pedro</t>
  </si>
  <si>
    <t>Pedro Gutiérrez</t>
  </si>
  <si>
    <t>l Rey en promover á Subtenientes del mismo Real cuerpo á los caballeros Cadetes D. Manuel González, Don Pedro Gutiérrez, D. Joseph María Ruano, D. Joseph de Balbiani, Don Juan de Herrera, D. Rafael de Irazabal, D. Francisco González, D, Fulgencio Cevallos , D. Benito Sandoval, D. Antonio Galindo, D</t>
  </si>
  <si>
    <t>Gutiérrez, Ramón Rafael</t>
  </si>
  <si>
    <t>Ramón Rafael Gutiérrez</t>
  </si>
  <si>
    <t>gundo D. Francisco Xavier de Céspedes, y á segundos Subtenientes á los CadetesJO. Manuel Collantes, D. Ramón Rafael Gutiérrez, D. Rafael Joseph Alcocer y D. Joseph Zacarías Fantony, y á los Sargentos primeros D. Manuel González y D. Rosendo Calahorra, el primero de granaderos; y en el de la Princesa á se</t>
  </si>
  <si>
    <t>Gutiérrez, Tomás Ángel</t>
  </si>
  <si>
    <t>Tomás Ángel Gutiérrez</t>
  </si>
  <si>
    <t>de Cádiz, á D. Eugenio Gómez Altaro: para otra de la catedral de León, vacante por fallecimiento de D. Tomas Angel Gutiérrez, á D. Toribio Ximenez : para otra de la de Tarazona, vacante por fallecimiento de D. Antonio Ximeno, á D. Juan Chrisóstomo Mañero: para la Media-Ración, vacante en la catedral de</t>
  </si>
  <si>
    <t>Guzman y Govantes, Dionisio</t>
  </si>
  <si>
    <t>Dionisio Guzman y Govantes</t>
  </si>
  <si>
    <t>. S. M. se ha servido conferir en el regimiento de infantería de las Ordenes Militares Capellanía á D. Dionisio Guzman y Govantes, Capellán provisional de la Real Armada; y en el cuerpo de Escopeteros voluntarios de Andalucía Tenencia al Subteniente D. Francisco Gil. El Rey ha nombrado Cirujano del quinto ba</t>
  </si>
  <si>
    <t>Gwynn, General</t>
  </si>
  <si>
    <t>General Gwynn</t>
  </si>
  <si>
    <t>ue se dispone en Windsor : mandará á los primeros el Teniente General Stephens, y á los segundos el General Gwynn. Las gazetas de Londres se explican en los términos siguientes sobre los primeros acontecimientos de esta campaña en el llhin: „No puede ménos de haber padecido el General Kray mu</t>
  </si>
  <si>
    <t>Haas</t>
  </si>
  <si>
    <t>se forma un campamento para 20$ hombres, cuya artillería estará mandada por el ciud. Haas, de Basilea. El ala derecha se colocará enfrente de SchaffIlusa y hácia el lado de Constanza. Los pontones se han conducido á plach, cerca de Andelñngen. Basil</t>
  </si>
  <si>
    <t>Haddick</t>
  </si>
  <si>
    <t>tropas con las demas de su ma,ndQ. Según didia relación* los dos cuerpos de ios Generales Kaim y Haddick debían llegar el 11 de Junio á Alexandría (en donde se hallaba ya el .del General Elsnitz) para efectuar la reunión de todo el exército— Según otra relación del T</t>
  </si>
  <si>
    <t>Haddick, General</t>
  </si>
  <si>
    <t>General Haddick</t>
  </si>
  <si>
    <t>tehera *el' 23; y las baterías empezarían el 27 á hacer fuego. ^ El cuerpo austríaco mandado por el General Haddick ha salido de Ale* ^catidría para reforzar el exército principal austríaco. Madrid 10 de Enero de 1800. C ondescendiendo ql Rey con las súplicas de D. Nicolás de Afargas, del jCons</t>
  </si>
  <si>
    <t>Hailes</t>
  </si>
  <si>
    <t>. lía entrado en Ilarwich la fragata Ariana, en la qual han venido de Jilseneur el Lord Withworth , Mr. Hailes y .Mr. Casamajor. Este último fue presentado al Emperador como Encargado de negocios de Inglaterra en Petcrsburgo quándo se ausentó el Embaxadór Lord Withworth; pero poco después le</t>
  </si>
  <si>
    <t>Hainilton, Conde</t>
  </si>
  <si>
    <t>Conde Hainilton</t>
  </si>
  <si>
    <t>Vióna la Reyna de Ñapóles llego á aquella capital el día 7, acompañándola el Almirante Nelson y el Conde Hainilton. u, Manheim 18 de Agosto. n destacamento de la guarnición francesa pasó ayer al palacio electoral, en que están las chancillerías, los archivos, la biblioteca , el gabinete de his</t>
  </si>
  <si>
    <t>Haíry, General</t>
  </si>
  <si>
    <t>General Haíry</t>
  </si>
  <si>
    <t>rio Vilaine , protegiéndolo un cuerpo de los descontentos llamados ehouanes. Marchó contra ellos el General Haíry , comandante de la subdivisión del Morbiham, con gran número de artilleros de marina , que iban de Brest á Nántes. No pudieron formarse los ,que .habían desembarcado, y sufrieron</t>
  </si>
  <si>
    <t>Haltegg, Pedro</t>
  </si>
  <si>
    <t>Pedro Haltegg</t>
  </si>
  <si>
    <t>en el Suizo de Rutiman X primer Capitán al segundo D. Jorge Wochler ; á Capitán segundo al Ayudante D. Pedro Haltegg ; á este empleo al Teniente D. Antonio Maister, y á esta resulta al Subteniente D. Gerardo Hirschbach; y ha concedido grado deCapitan al Ayudante mas antiguo del mismo cuerpo D. M</t>
  </si>
  <si>
    <t>Haly, Capitán</t>
  </si>
  <si>
    <t>Capitán Haly</t>
  </si>
  <si>
    <t>is relativa á los chouanes ó descontentos de Francia, y á las municiones que conviene enviarles. El Capitán Haly, Quartel-Maestre general del exército del Duque de Yorck, ha presentado al ministerio de Guerra el modelo de un puente portátil, de que es inventor.. El exército ingles consta en</t>
  </si>
  <si>
    <t>Hamier</t>
  </si>
  <si>
    <t>rgo ap de Julio. A yer llegaron aquí Mr. Cetto, Ministro que fue del Elector de Baviera en París, y Mr. Hamier, Encargado de negocios del Rey de Prusia en Munich. Vienen con el objeto de que el General Moreau rebaxe parte de la contribución de 8 millones de francos, que impuso al electorad</t>
  </si>
  <si>
    <t>Hamilton</t>
  </si>
  <si>
    <t>nero la unión con Irlanda, se formará entonces el Parlamento imperial. Entre otras curiosidades que Mr. Hamilton ha traído de sus viages, hay 6 colunas de mármol del templo de Jerusalen. Lo que se paga en Londres por la inoculación de las viruelas es 950 rs., y la mitad de esta suma quando s</t>
  </si>
  <si>
    <t>Hamilton, Juan</t>
  </si>
  <si>
    <t>Juan Hamilton</t>
  </si>
  <si>
    <t>Elfzyl, el ii de este mes, el cúter de guerra ingles nombrado el Activo, de 14 cañones, mandado por Mr. Juan Hamilton, Teniente de Navio. El corsario tenia solamente 22 hombres de tripulación^ carecía de cañones; y solo con el valor y acertadas disposiciones de su gente logró apoderarse de un bar</t>
  </si>
  <si>
    <t>Hámilton, Lord</t>
  </si>
  <si>
    <t>Lord Hámilton</t>
  </si>
  <si>
    <t>ado ingles, que compra grandes partidas de granos para enviar á Londres. ; El Almirante Nelson y el Lord Hámilton se detendrán aquí unos 15 dias. El Príncipe de Mecklemburgo, reciennacido y bautizado en Petersburgo, ha sido nombrado Capitán del regimiento de Guardias de aquel Soberano.__ Habi</t>
  </si>
  <si>
    <t>Hammond</t>
  </si>
  <si>
    <t>co rompió las negociaciones empezadas por el de Francia para el armisticio marítimo. „ Respuesta de Mr. Hammond á una nota del ciud. Otto, Comisario francés. Londres $ de Ortubre. El gobierno ingles conoce que seria superflua toda nueva discusión sobre las condiciones de un armisticio por m</t>
  </si>
  <si>
    <t>Hamos Pardo y Figueroa, Nicolás</t>
  </si>
  <si>
    <t>Nicolás Hamos Pardo y Figueroa</t>
  </si>
  <si>
    <t>spués de recibir loi informes de los pretendientes se procederá á la elección en el mas benemérito. D. Nicolás Hamos Pardo y Figueroa, Oficial Real Tesorero de las Caxas da Oruro, en el Perú, se ausentó de esta corte en Julio de 1799, diciendo bacia-rum? bo por Valladolid á la Coruña para América; y desde entonc</t>
  </si>
  <si>
    <t>Hargens</t>
  </si>
  <si>
    <t>rian á s* patria si llegase á haber guerra con aquellas potencias. Según experiencias hechas por el Dr. Hargens, de Riel, debe recomendarse mucho el uso del álkali en las afecciones convulsivas de los niños, así: como le parece propio para otros efectos éspasmódicos. i En las excavaciones d</t>
  </si>
  <si>
    <t>Harnier</t>
  </si>
  <si>
    <t>ero, y añaden que el General Mack le sucede en el mando del exército de Italia. Por intervención de Mr. Harnier, Encargado de negocios de Prusia en Munich , se ha rebaxado á 400© francos la contribución de medio millón de dicha moneda que ios franceses habían pedido ai Palatinado. Francfort</t>
  </si>
  <si>
    <t>Harrington, Lord</t>
  </si>
  <si>
    <t>Lord Harrington</t>
  </si>
  <si>
    <t>Conde de Artois, al qual entre otras personas asistieron el Bü&gt;que de Glarence , el Stathouder r ei Lord Harrington r el Duque de Borbon y el Arzobispo de Narbona. Según cartas del Cabo de Buena-Esperanza, el Conmddoro'íngiesEoracfe cruza en las aguas de las islas de Francia y Borbon , y todo e</t>
  </si>
  <si>
    <t>Harris</t>
  </si>
  <si>
    <t>ro para este acto. ,, Nos conformamos (dicen los comisarios) con sus deseos, y así lo comunicámos á Mr. Harris, Teniente General de los ejércitos británicos en la India , á fin de que asistiese á la ceremonia; y en efecto llegó de su campamento esta mañana escoltado por un crecido cuerpo d</t>
  </si>
  <si>
    <t>Harris y Meer-Alhun, General</t>
  </si>
  <si>
    <t>General Harris y Meer-Alhun</t>
  </si>
  <si>
    <t>se había erigido su trono , haciendo á este tiempo salva continua la artillería y la fusilería. El General Harris y Meer-Alhun eogiéron cada uno una de las manos del Príncipe para ayudarle á subir al trono. Sentóse en él, le pusieron en la cabeza la corona de los Rajahs, y empuñó el sello del estado. Durant</t>
  </si>
  <si>
    <t>Harty, General</t>
  </si>
  <si>
    <t>General Harty</t>
  </si>
  <si>
    <t>ral Brune ha escrito desde Vannes con fecha de 28 de Eneró en estos términos: „E1 día 24 derrotó el General Harty á los chouanes cerca de Grandchamp: el xefe Georges padeció mucho: las tropas que manda</t>
  </si>
  <si>
    <t>Hauch, Mariscal</t>
  </si>
  <si>
    <t>Mariscal Hauch</t>
  </si>
  <si>
    <t>a: vino de oculto, y se apeo en la posada del Gran-Norte. Así que esta corte lo supo nombró al Gran Mariscal Hauch para que fuese á cumplimentar á S. M. Sueca, y le convidase á comer en el palacio de Friderichsberg; pero quando llegó el Mariscal ya había partido aquel Soberano, que no traía ma</t>
  </si>
  <si>
    <t>Hawkesbury, Lord</t>
  </si>
  <si>
    <t>Lord Hawkesbury</t>
  </si>
  <si>
    <t>ya doble del que tiene comunmente. En nombre de una junta de la Cámara de Comunes hizo el día 17 el Lord Hawkesbury un informe sobre la actual carestía y el subido precio de granos, Dixo que de 30 años á esta parte no había la Gran Bretaña producido bastantes granos para la manutención de sus h</t>
  </si>
  <si>
    <t>e ha habido en Hamburgo, que por la suspensión casi general del comercio de Europa. El dia 6 dio el Lord Hawkesbury cuenta á la Cámara de Comunes de los medios que propone la junta nombrada para remediar la carestía de granos"; y consisten: en que se concedan premios á los que introduzcan trigo</t>
  </si>
  <si>
    <t>Hédóüvilíé, General</t>
  </si>
  <si>
    <t>General Hédóüvilíé</t>
  </si>
  <si>
    <t>al Geiiefa!. dé brigada Guídal eíí éstos términós: „ Tengo la honra de avisaros1 que he escrito al General Hédóüvilíé dándole parte de qúe sübscribo á íás leyés jde la República aceptadas por otros xefes chouanes para éí restablecimiento de lá tranquilidad en Francia. Nó deseando cósa alguna tant</t>
  </si>
  <si>
    <t>Hedouville, General</t>
  </si>
  <si>
    <t>General Hedouville</t>
  </si>
  <si>
    <t>rdeos nombrado Éolo. Desde Angers ha escrito el General en xefe Bruñe al Ministro de Guerra, que el'General Hedouville acaba de pacificar el Vendée ; y añade que aunque Hedouville mandaba el exercito del Oest, ha consentido en servir baxo sus órdenes, y manda el ala izquierda. En la correspondenci</t>
  </si>
  <si>
    <t>ado al gobierno los ríos en que se echaron varios cañones de los que envió el gobierno ingles, y el General Hedouville esta encargado de recogerlos. Por la Secretaría de Guerra se ha publicado el siguiente aviso: tel general de Vannes 14 de Febrero. El General en xefe Bruñe informa al Ministro de Gu</t>
  </si>
  <si>
    <t>Hedouvillq, General</t>
  </si>
  <si>
    <t>General Hedouvillq</t>
  </si>
  <si>
    <t>la prosperidad de flii'pátriá , sabré siempre sacrificarme por ella. Y como según la respuesta del General Hedouvillq ¿e efectuará probablemente el licénciamiento1 dé lás tropas en este distrito, yf en los demas paises del Oest, os propongo suspendáis desde ahora1 toda hostilidad en el départamer</t>
  </si>
  <si>
    <t>Heimann</t>
  </si>
  <si>
    <t>en negociaciones de paz.. Se da por cierto que el General francés Moncey ha ocupado la Valtelina. ^ Mr. Heimann, Ministro prusiano cii Munich, salió de aquella ciudad eon el Elector ; y como desde entonces no ha vuelto á ella, no hay gran fundamento para creer lo que se dixo en orden á las</t>
  </si>
  <si>
    <t>Helffiinget</t>
  </si>
  <si>
    <t>e aquí orden dé retirarse; pero queda hasta ahora el Secretario de embaxada. El ciud. Helffiinget, Encargado de Negocios de Francia cerca de S. A. Electoral, saldrá en breve para Darinstadt, adonde va con el mismo carácter. En su lugar viene aíqui el ciud.</t>
  </si>
  <si>
    <t>Hellerbach, Juan</t>
  </si>
  <si>
    <t>Juan Hellerbach</t>
  </si>
  <si>
    <t>enientes D. Melchor Schwiter y D. Joseph Abhospital, y Subtenencia de fusileros al Sargento primero D. Juan Hellerbach; y en el Suizo de Yann Tenencia de granaderos al Teniente de fusileros D. Joseph Rotenflué, y Subtenencia al Sargento primero D. Joseph Kaysser. El Rey se ha servido conferir empl</t>
  </si>
  <si>
    <t>Hennequin, Luis</t>
  </si>
  <si>
    <t>Luis Hennequin</t>
  </si>
  <si>
    <t>l regimiento de infantería de las Ordenes Militares, que se halla de guarnición en la Isla de León. D. Luis Hennequin, escultor de piedra, residente en esta corte, ha establecido una fábrica de flores de piedra blanca, con sus hojas, xarrones, y tiestos primorosos para adorno de salas y gabinetes</t>
  </si>
  <si>
    <t>Henrique, Príncipe</t>
  </si>
  <si>
    <t>Príncipe Henrique</t>
  </si>
  <si>
    <t>ylis.” Berlín 31 de Mayo. E 1 Rey salió el 25 para Pomerania y la Prusia meridional: le acompaña e! Príncipe Henrique su hermano. El objeto de este viage, que durará de 12 á 15 dias, no es otro que revistar las tropas de aquellas provincias. Ha hecho S. M. una promoción de Tenientes Generales y M</t>
  </si>
  <si>
    <t>to. E 1 Rey y la Reyna salieron antes de ayer para Silesia, adonde se ha. transferido igualmente el Príncipe Henrique, hermano del Rey, y el? Ministro de gabinete Conde de Haugwitz.__ El Elector de Baviera, que pasó el dia ro por Praga, va también ¿ Silesia, para conferenciar con S. M. prusiana.</t>
  </si>
  <si>
    <t>Henriquez de Otero, Joseph</t>
  </si>
  <si>
    <t>Joseph Henriquez de Otero</t>
  </si>
  <si>
    <t>endro , y al Oficial tercero de número D. Joseph Moreno Martínez. Honores de Tesorero de Exército á D. Joseph Henriquez de Otero, xo* fe de mesa de la Tesorería general, y Caxero principal de ella. Por fallecimiento de D. Vicente Rodríguez de Rivas, Contador general de las tres gracias de Cruzada, Subsidio</t>
  </si>
  <si>
    <t>Henriquez de Rodríguez, Vicente</t>
  </si>
  <si>
    <t>Vicente Henriquez de Rodríguez</t>
  </si>
  <si>
    <t>es» demostrando sus caractéres, é indicando sus propiedades y usos mas conocidos. El dia 21 el Lie. D. Vicente Henriquez de Rodríguez, Médico, disertó sobre las propiedades generales y particulares de las plantas; y D. Francisco Antonio Oliva y D. Mariano Serret» practicantes de¡farmacia, fuéron examinados en la</t>
  </si>
  <si>
    <t>Henriquez, Francisco Xavier</t>
  </si>
  <si>
    <t>Francisco Xavier Henriquez</t>
  </si>
  <si>
    <t>de caballería de Calatrava al segundo D. Juan de Grassa. En atención á los distinguidos méritos de D. Francisco Xavier Henriquez, Oficial de la Contaduría principal del exército de Andalucía, se ha servido el Rey concederle honores de Contador de exército. En la gazeta núm. 4 de 14 de Enero de este año se d</t>
  </si>
  <si>
    <t>Herbin, General</t>
  </si>
  <si>
    <t>General Herbin</t>
  </si>
  <si>
    <t>un batallón de 500 hombres , mandado por el ciud. Delpech , acudió por la derecha, mientras que el General Herbin con 3 compañías de carabineros atacó vigorosamente la izquierda enemiga. Se adelantaron otras dos medias brigadas baxo las órdenes del General Rivaud, y otra atacó á los enemigos</t>
  </si>
  <si>
    <t>Heredero y Mayoral, Nicolás Antonio</t>
  </si>
  <si>
    <t>Nicolás Antonio Heredero y Mayoral</t>
  </si>
  <si>
    <t>duta, escrito en francés por Mr. Juan Puget de la Serre* historiador de Francia; obra traducida por D. Nicolás Antonio Heredero y Mayoral. El aprecio qus merecen los escritos de este autor se acredita en las repetidas ediciones que de ellas se han hecho : esta es de mucha invención y eloqíiencia, de agradable lectur</t>
  </si>
  <si>
    <t>Hermann, General</t>
  </si>
  <si>
    <t>General Hermann</t>
  </si>
  <si>
    <t>alla de Berg, en Holanda, tomó el mando de las tropas de su nación, después de quedar prisionero el General Hermann. Temiendo igual suerte el General Deerfeld, comandante de la caballería del exército de Suwarow, ha pedido su retiro. Londres i de Enero de 1S00. L os Reyes y la Real familia, que</t>
  </si>
  <si>
    <t>al Korsakow, ha ido posteriormente á Praga, de donde saldrá para Inglaterra , y allí reemplazará al General Hermann en el mando de las tropas rusas que hay en las islas y costas de aquel Rey no. La Academia de ciencias de Berlin ha propuesto para asunto de un premio, que consiste en una medalla d</t>
  </si>
  <si>
    <t>Hermenegildo Campero</t>
  </si>
  <si>
    <t>ón del do infantería dé Saboya, graduado de Coronel, D. Jorge Galban; á Ayudante al primer Teniente D. Hermenegildo Campero; á primeros Subtenientes á los seguidos D.nJoteph'Recacha, Di-Pedro'Florez y D. Joachin Bis; y á segundos.Subtenientes A los Cadetes D. Antonio María Berard y D. Joachin María Fus</t>
  </si>
  <si>
    <t>Hermenegildo Rubio, Cayetano</t>
  </si>
  <si>
    <t>Cayetano Hermenegildo Rubio</t>
  </si>
  <si>
    <t>cigarros de la citada factoría á D. Miguel María González ; para Escribiente de la misma fábrica á D. Cayetano Hermenegildo Rubio: para Contador de la factoría de la misma renta en Vadladolid á D. Domingo Martínez Valsa: para Oficial mayor de dicha contaduría á D. Benito Ib. arrendó: para Oficial segundo de</t>
  </si>
  <si>
    <t>Hernández Milanés, Santiago</t>
  </si>
  <si>
    <t>Santiago Hernández Milanés</t>
  </si>
  <si>
    <t>io Gozalvez: para otra de Palencia, vacante por fallecimiento de D. Mariano Iglesias de los Ríos, á D. Santiago Hernández Milanés: para la de la catedral de Avila, vacante por premoción de D. Tomas Laguna á la Dignidad de Tesorero de Plasencia, á D. Juan Alonso Gorjon: para otra de la colegial del Salvador d</t>
  </si>
  <si>
    <t>Hernández Prieta, Felipe</t>
  </si>
  <si>
    <t>Felipe Hernández Prieta</t>
  </si>
  <si>
    <t>S. Pedro de la villa de Alba de Tormes, en la diócesis de S.dajnanca, vacante por fallecimiento de D. Felipe Hernández Prieta, á D. Francisco de los Angeles Catalan: para un Beneficio servidero de la parroquial de S. Juan de Arévalo, en la diócesis de Avila, vacante por la promoción de D. Antonio García</t>
  </si>
  <si>
    <t>Hernández y G-'rdon, Diego</t>
  </si>
  <si>
    <t>Diego Hernández y G-'rdon</t>
  </si>
  <si>
    <t>eniente al Subteniente de granaderos D. Joseph Sauz: en el de MaUorca á Ayudante al primer Teniente D. Diego Hernández y G-'rdon; V á segundo Subteniente al Cadete D. Félix de Toda: en el secundo batallón de Voluntarios de Cataluña á seguiwo Teniente al primer Subteniente D. Manuel Pigrau; y en el regimient</t>
  </si>
  <si>
    <t>Hernández, Juan Joseph</t>
  </si>
  <si>
    <t>Juan Joseph Hernández</t>
  </si>
  <si>
    <t>, creación de i.° de Julio de 1799 , número 43,867 , que el mismo dia le había endosado á su favor D. Juan Joseph Hernández , del comercio de dicha ciudad. Quien tuviere noticia de él la comunicará al mismo Sánchez Maclas, ó al mencionado Hernández en- Mérida. ' . Quien quisiere comprar una casa sita e</t>
  </si>
  <si>
    <t>Hernández, Manuel</t>
  </si>
  <si>
    <t>Manuel Hernández</t>
  </si>
  <si>
    <t>ubteniente de granaderos ai primer Subteniente i), joachin Arizaga; á primer Subteniente al segundo D. Manuel Hernández ;V á segundo Subteniente al Cadete D. Agustín Wanherck : en el de Guacialaxara á segundo Subteniente al Sargento primero D. Mariano Cherta : en el de Aragón á Coronel al Teniente</t>
  </si>
  <si>
    <t>Hernández, Matías</t>
  </si>
  <si>
    <t>Matías Hernández</t>
  </si>
  <si>
    <t>aderos graduado de Teniente D. Francisco Fernandez: en el de Aragón á primer Subteniente al segundo D. Matías Hernández: en el primer batallón de Voluntarios'de Aragón á segundo Subteniente al Cadete D. Juan Lafuente; y en el de Nápoles á segundo Teniente al Subteniente de granaderos D. LuisDuboy,</t>
  </si>
  <si>
    <t>Hernández, Ramón</t>
  </si>
  <si>
    <t>Ramón Hernández</t>
  </si>
  <si>
    <t>lase de caballería de Huamalies, Ayudantía á I). Bernabé Arisa; Tenencias á D. Vicente de la Cerna, D. Ramón Hernández, D. Joseph Montano, D. Francisco Franco Iglesias, D. Cipriano de la Cerna, D. Miguel Estéban de Irazoqui, D. Joseph Lino Salazar, Don Juan Miguel de Eguizabal y D. Juan de Echevar</t>
  </si>
  <si>
    <t>Hernández, Simón</t>
  </si>
  <si>
    <t>Simón Hernández</t>
  </si>
  <si>
    <t>escuelas de primeras letras establecidas por la sociedad á cargo de los maestros D. Henrique Nieto, D. Simón Hernández y D. Tomas López,, por haberse distinguido en leer., escribir ortografía y gramática castellana, contar y-doctrina christiana;; y se dieron otras dos medallas á dos niñas de la escuch</t>
  </si>
  <si>
    <t>Hernández, Vicente</t>
  </si>
  <si>
    <t>Vicente Hernández</t>
  </si>
  <si>
    <t>ntes Don Joseph Suarez y D. Joseph Berdot; á Subtenientes de granaderos á los primeros Subtenientes D. Vicente Hernández, D. Manuel Santiago Rengel y 2&gt;. Francisco de Coniferas; á primeros Subtenientes á los segundos D. Antonio Martínez Orosa , D. Ramón de Vidondo , D. Juan Osorno, D. Manuel Teresa</t>
  </si>
  <si>
    <t>resulta al segundo Teniente D. Joachin de Magarola; á segundo Teniente al Subteniente de granaderos D. Vicente Hernández; á Subteniente de granaderos al primer Subteniente D. Luis Pcrez de Ribera; á primer Subteniente al segundo D. Miguel Pacheco; y á segundos Subtenientes al Sargento primero D. Jua</t>
  </si>
  <si>
    <t>Herrera Buedó, Domingo</t>
  </si>
  <si>
    <t>Domingo Herrera Buedó</t>
  </si>
  <si>
    <t>arroquial de Pioz, en este arzobispado de Toledo, vacante por fallecimiento de D. Nicolás Moreno, á D. Domingo Herrera Buedó, con obligación de servirle por sí mismo. En la compañía española del Real cuerpo de Guardias de Corps lia nombrado el Rey Exento de número al supernumerario D. Joachín Eerrandiz:</t>
  </si>
  <si>
    <t>Herrera, Joseph</t>
  </si>
  <si>
    <t>Joseph Herrera</t>
  </si>
  <si>
    <t>l de Toluca. También ha promovido en el referido regimiento de dragones á Tenientes á los Alféreces D. Joseph Herrera y D. Joseph Angel Nieto: á Alféreces á los Portaguiones D. Manuel Rosales , D. Eugenio de Teran y D. Tomas Sánchez ; y á Portaguiones á D. Agustin Ruiz de la Peña, D. Miguel Rosales y</t>
  </si>
  <si>
    <t>Herrera, Joseph María</t>
  </si>
  <si>
    <t>Joseph María Herrera</t>
  </si>
  <si>
    <t>eva-España, á Don Francisco Prieto Giraldo; y para la plaza de Guarda de rentas Reales de Tabasco á D. Joseph María Herrera. El Rey ha premiado con (a pensión de quatro reales diarios á los Patrones pescadores de la matrícula de Cádiz Ignacio Galerín, Antonio Fuster y Juan Valiente, que habiendo sido a</t>
  </si>
  <si>
    <t>Herrera, Manuel</t>
  </si>
  <si>
    <t>Manuel Herrera</t>
  </si>
  <si>
    <t>a de la villa de Honda á D. Francisco Morillejo, que obtenía igual destino en Mompox: este empleo á D. Manuel Herrera, Administrador principal de las de aguardientes y naypes del propio Motnpox: esta administración á D. Joachin Lazcano, Contador principal de Iá renta de tabacos de Honda: esta res</t>
  </si>
  <si>
    <t>Herrero, Juan</t>
  </si>
  <si>
    <t>Juan Herrero</t>
  </si>
  <si>
    <t>to Barreda y Rebolledo: para la Media-Ración de la catedral de Cuenca, vacante por fallecimiento de D. Juan Herrero^, á D. Juan Moreno López y Ximenez, Rector de la Real casa de Misericordia, y mugeres recogidas de dicha ciudad, con dimisión del súeldo y emolumentos que goza, en favor de la exp</t>
  </si>
  <si>
    <t>Herrero, Ramón</t>
  </si>
  <si>
    <t>Ramón Herrero</t>
  </si>
  <si>
    <t>e al Cadete D. Joseph de la Torre: en el de León á primeros Tenientes á los agregados en esta clase D. Ramón Herrero v D. Tomas Sancha; v á segundo Teniente al agregado D. Fernando Miyares. Asimismo se ha dignado S. M. promover en el regimiento de caballería de la Rey na á Alférez al Portaestand</t>
  </si>
  <si>
    <t>Hertzan, Cardenal</t>
  </si>
  <si>
    <t>Cardenal Hertzan</t>
  </si>
  <si>
    <t>renunciado el pontificado; pero lodo ello fué falso. Hablase ahora de que la elección recaerá en el Cardenal Hertzan, á quien sostiene y apoya la casa de Austria. Madrid 18 de Febrero. E 1 Key. se ha servido nombrar primer Teniente en el regimiento de caballería de España al Capitán D. Francisco</t>
  </si>
  <si>
    <t>Hervás, Juan</t>
  </si>
  <si>
    <t>Juan Hervás</t>
  </si>
  <si>
    <t>t.° de Octubre, núm 22,238. Quien tuviere noticia de él la comunicará á dicho Santa , ó en Madrid á D. Juan Hervás , Agente de negocios. Francisco Agusti y García, natural de Gerona, hijo de Narciso, Escribano, d.e dicha ciudad, salió, hace 10 años de Cataluña para Cádiz, de donde quizá habrá</t>
  </si>
  <si>
    <t>Hervás, Lorenzo</t>
  </si>
  <si>
    <t>Lorenzo Hervás</t>
  </si>
  <si>
    <t>instruirse en este arte con la lectura de las obras del Abate l’Epée, y principalmente del español D. Lorenzo Hervás, quien en su tránsito y mansión de algunos meses en esta ciudad completó su instrucción, y 1c estimuló y alentó á abrir escuela pública gratuita, recorriendo ambos todas las casas</t>
  </si>
  <si>
    <t>iásticos , y á estos el supremo Consejo, según tiene mandado S. M. El hombre físico: obra del Abate D. Lorenzo Hervás : tomo i.° en 4.0 El hombre es la obra mas maravillosa que hay en la naturaleza. Su mecanismo y las operaciones de su espíritu merecen toda nuestra atención : y su conocimiento no</t>
  </si>
  <si>
    <t>Hervasj, Lorenzo</t>
  </si>
  <si>
    <t>Lorenzo Hervasj</t>
  </si>
  <si>
    <t>eración ,división y clases de estas, según la diversidad de sus idiomas y dialectos; obra del Abate D. Lorenzo Hervasj en la qual se propone el vasto proyecto de hacer la mas ex&amp;cta y acerrada historia cronológica de las naciones conocidas desde que el género humano se dividió en pueblos diversos. C</t>
  </si>
  <si>
    <t>Hervieux</t>
  </si>
  <si>
    <t>re las señales, causas y remedios de sus enfermedades: tratado traducido del que dtó á luz en París Mr. Hervieux. Se hallará á 2 rs. en la librería de Hurtado, calle de las Carretas, Modo fácil y breve de escribir como se debe y con buena puntuación, muy útil para todo dependiente de oficina</t>
  </si>
  <si>
    <t>Herzan, Cardenal</t>
  </si>
  <si>
    <t>Cardenal Herzan</t>
  </si>
  <si>
    <t>ífice, ni se decía en quien recaería el nombramiento; pues aunque se hablaba de que seria electo el Cardenal Herzan, se opone á ello el no ser italiano, y haber sido Representante ó Ministro de la Corte de Viena cerca de la Santa Sede; pues estos son dos títulos de exclusión, según un uso que p</t>
  </si>
  <si>
    <t>da esta ceremonia se presentó S. $. con tiara en el balcón del monasterio, teniendo á su derecha aj Cardenal Herzan, Ministro del Emperador, y á su izquierda al General Moníriuit, comandante austríaco; y dió S. B. la bendición al pueblo , á cuyo tiempo se hizo triple salva de artillería. Esta n</t>
  </si>
  <si>
    <t>Herzog</t>
  </si>
  <si>
    <t>espacho de los negocios públicos, en lugar dé 6 que hay ahora. Ha conseguido el ciud. Herzog, Comisario helvético, que el General Moreau dé licencia á 2 diputados que este gobierno envía al quartel general austríaco para, solicitar que aquel Comandante</t>
  </si>
  <si>
    <t>Hevia y Noriega, Joseph</t>
  </si>
  <si>
    <t>Joseph Hevia y Noriega</t>
  </si>
  <si>
    <t>primer Teniente de Asistente de aquella ciudad D. Antonio Fernandez Soler, pasando á la de Jo civil D. Joseph Hevia y Noriega, que acababa de ser electo para la del crimen. Asimismo ha concedido S. M. honores y antigüedad de Alcalde de su Real casa y corte, con opcion á las primeras vacantes, al Oidor de</t>
  </si>
  <si>
    <t>Hewitzki, Coronel</t>
  </si>
  <si>
    <t>Coronel Hewitzki</t>
  </si>
  <si>
    <t>á los Capitanes. Praga 25 de Noviembre. E I General ruso Príncipe Pancration ha llegado aquí con el Coronel Hewitzki y 2 Ayudantes. Asimismo el Gran Duque Constantino vino á esta ciudad con una numerosa comitiva: se detuvo 2 dias, y salió para Brunn. Va á verse con el Archiduque Palatino de Hungrí</t>
  </si>
  <si>
    <t>Heymann</t>
  </si>
  <si>
    <t>exército de Kray se retira hácia Bohemia, no se duda que ahora entablará negociaciones por medio de Mr. Heymann, Embaxador de Prusia ¿a Munich^ \ . Stras burgo 7 de. Julio. j.h¡ ¡ ;. :.ú; E 1 27 del mes anterior llegaron á Naremberg una partida de bagages austríacos y el regimiento de húsar</t>
  </si>
  <si>
    <t>Hidalgo de Porras, Juan</t>
  </si>
  <si>
    <t>Juan Hidalgo de Porras</t>
  </si>
  <si>
    <t>iegacion general, sin mas citarles. El 19 de Julio remitió D. Diego Gregorio Vázquez, de Sevilla, á D. Juan Hidalgo de Porras, de Lucena, 10 vales Reales, los siete de 300 pesos, de i.ü de Febrero, mím. 83,358, 84,105, 106,804, 107,749, 1*6,787, 130,516, 1*6,76»; y los otros tres de 150 pesos, de 15 de M</t>
  </si>
  <si>
    <t>Hidalgo Torralba, Antonio</t>
  </si>
  <si>
    <t>Antonio Hidalgo Torralba</t>
  </si>
  <si>
    <t>nte al Subteniente de granaderos D. Joseph Casou; á Subteniente de granaderos al primer Subteniente D. Antonio Hidalgo Torralba, y á primer Subteniente al segundo D. Joachín Rodríguez: en el dé Burgos a Capitán al primer Teniente de granaderos D. Fernando Morett; á primer Teniente de granaderos al de fusil</t>
  </si>
  <si>
    <t>Hidalgo, Joachín</t>
  </si>
  <si>
    <t>Joachín Hidalgo</t>
  </si>
  <si>
    <t>.Fernán.lo Navia,D. Miguei Forcalio, Don Jacobo Gil de Avalle, D. Joachin Ponte, D.Francisco Arnau, D. Joachin Hidalgo y D. Luis de Sotomayor. El Rey se ha servido promover á Teniente Coronel del regimiento provincial de Monterey á D. Baltasar Araujo, Capitán del propio cuerpo; y á Sargento mayor del</t>
  </si>
  <si>
    <t>Hidé-Parker, Almirante</t>
  </si>
  <si>
    <t>Almirante Hidé-Parker</t>
  </si>
  <si>
    <t>Mr, Jayme Saumarez. El navio Real Jorge ha fondeado en Portsmouth, y en él tremolará su bandera el Almirante Hidé-Parker, quó durante este invierno mandará toda la esquadra por ausencia del Lord Sañ Vicente. Prosigue la inquietud en muchos pueblos de Inglaterra á causa de la carestía. Se espera con</t>
  </si>
  <si>
    <t>Hiíler, General</t>
  </si>
  <si>
    <t>General Hiíler</t>
  </si>
  <si>
    <t>ón entre Ulm y Augsburgo. U11 cuerpo austríaco, que ocupaba el pais de los Grisones, mandado por el General Hiíler, y que recientemente habia sido reforzado con varias compañías de escopeteros tiroleses, hace disposiciones para evacuar aquel pais é internarse en el Tirol. Apénas llegó á Lausan</t>
  </si>
  <si>
    <t>Hija de Luis XVI, Princesa</t>
  </si>
  <si>
    <t>Princesa Hija de Luis XVI</t>
  </si>
  <si>
    <t>erano ha dado orden para que salgan de sus dominios todos los emigrados franceses, sin exceptuar la Princesa Hija de Luis XVI ni el Príncipe su esposo: y que solo permite permanezca en Mitaw el-pretendiente Conde de Provenza; pero sin corte, sin ministerio y siii guardias. Siendo así , puede creerse que</t>
  </si>
  <si>
    <t>Hilario Luesia</t>
  </si>
  <si>
    <t>a , primer Teniente del de infantería de Córdoba : .al primer Teniente del de las Ordenes Militares D. Hilario Luesia, Ayudantía en el de Orense: iguales empleos en los Provinciales de Alcira y Tuy, al Teniente de infantería y del provincial de Córdoba D. Rafael Valles, y al Capitán del de Santia</t>
  </si>
  <si>
    <t>Hilario Pó'nce</t>
  </si>
  <si>
    <t>de Echevarría: empleos de Alféreces á D. Manuel 4,e Fuentes, D. Joseph Eguizabal, D. Manuel Huete, Don Hilario Pó'nce,"D. Manuel Caballero, D. Buenaventura Sanz, D. Juan Moreno, D. Joseph Perochena, D. Joseph Saenz, D. Mariano Moreno, Don M irtin de Arambulo y D. Pablo Gaona y Jáuregui; y empleos</t>
  </si>
  <si>
    <t>Hilarión de Echavarría</t>
  </si>
  <si>
    <t>Echavarría, D. Juan de Abraldes, D. Rafael Texada, D. Manuel de Lardizabal, D. Luis de Lardizabal, Don Hilarión de Echavarría, D. Ignacio Colmenáres y D. Francisco Huarte; y otros varios de esfera y principios de geografía. En la lengua francesa, al cargo del profesor de humanidades, D. Juan María de Abr</t>
  </si>
  <si>
    <t>Hilarión Goñi</t>
  </si>
  <si>
    <t>. E n el Real cuerpo de Artillería se ha servido el Rey ascender á Capitán al Teniente de minadores D. Hilarión Goñi. , S. M. se ha servido nombrar al Ihno. Sr, D. Juan Francisco de Cácercs, Fiscal del Consejo Real, para la plaza de Ministro de la Junta apostólica» vacante por fallecimiento deES</t>
  </si>
  <si>
    <t>Hiller, Feld-Mariscal</t>
  </si>
  <si>
    <t>Feld-Mariscal Hiller</t>
  </si>
  <si>
    <t>gos.” ,,Nada de importante ha acaecido en el cuerpo de tropas que manda en los Grisones el Teniente Feld-Mariscal Hiller, ni en el que está en el Vorarlberg baxo las órdenes del Mayor general Jellachich.” Ratisbona jo de Junio. E 1 cuerpo que manda el General francés Lecourbe tuvo ántes de ayer una</t>
  </si>
  <si>
    <t>Hiller, General</t>
  </si>
  <si>
    <t>General Hiller</t>
  </si>
  <si>
    <t>Finalmente,' el cuerpo de Conde emprende asimismo su marcha para volver á Rusia. Se asegura que el General Hiller , Comisario austríaco en el exército ruso, ignoraba enteramente estas disposiciones hasta el misino dia en que empezaron á executarse. Dase por motivo aparente de esta retirada Ja</t>
  </si>
  <si>
    <t>muchos soldados, y se alistan en el de suizos emigrados, el qual consta ya de mas de 5® hombres. El General Hiller, Comisario austríaco en el exército de Mr. Suwarow, se retira del servicio, y se transfiere á Badén, para restablecerse de las heridas que recibió en la acción cerca de Zurieh. Fr</t>
  </si>
  <si>
    <t>nio. de Noroña, .... nuevo Enviado . ^ de la corte deEspana^en h Rep^a en la izquierda del Rhin. El General Hiller ha reconcentrado sus tropas en los contornos de Meyenfeld, y el General JeHachich tiene las suyas en Feldkirch---- El General francés Jardon, que manda entre el lago de Constanza</t>
  </si>
  <si>
    <t>sado á retirarse por Sonenbergen y PludentZj hácia Landeck. Ai mismo tiempo el cuerpo austríaco del General Hiller, á cuyo cargo estaba la defensa de los Grisones, viendo que le amenazaban cogerle á un mismo tiempo por la espalda y por los flancos, juzgó conveniente evacuar todo -aquel país, r</t>
  </si>
  <si>
    <t>rnos de Ahmoos, y pasó él Rhin venciendo la resistencia de los austríacos, que baxo las órdenes del General Hiller estaban encargados de la defensa de los Grisones. El dia 13 hubo no lejos de Reiehenau una ^ccion sangrienta, en.la qual fueron derrotados los austríacos. El mismo;dia entraron los</t>
  </si>
  <si>
    <t>reglada con gran número de levas y reclutas. El exército que defiende el Tirol baxo las órdenes del General Hiller se compondrá de 35 á 40© hombres, inclusos el cuerpo de Conde, los 3 regimientos suizos que paga la Gran Bretaña, y 60 compañías de arcabuceros ó milicias del país. Jii exército d</t>
  </si>
  <si>
    <t>Hipólito</t>
  </si>
  <si>
    <t>a médica de Madrid., y se ilustra nuevamente .con notas y con la estampa de la planta, por su autor D. Hipólito ,Rmz.: Véndese á 6 rs.. en.,rústica en la. librería de Castillo, frente á las gradas de S. Felipe* y el extracto y demas preparaciones se hallarán en la botica de ia calle de la E</t>
  </si>
  <si>
    <t>Hipólito Estevez</t>
  </si>
  <si>
    <t>a oración alusiva á. la materia del examen, y dixéron respectivamente en su dia el segundo director D. Hipólito Estevez y el profesor D. Jo achí 11 de.Villalba, á cuyo cargo han estado dichas clases. Fué numeroso y muy lucido el concurso; y los alumnos después de haber explicado los puntos que íes tocó</t>
  </si>
  <si>
    <t>Ho, General</t>
  </si>
  <si>
    <t>General Ho</t>
  </si>
  <si>
    <t>los Generales Ott y Klenau se hallan en campaña en la ribera de levante, como también el cuerpo del General Ho</t>
  </si>
  <si>
    <t>Ho-Tching-ton</t>
  </si>
  <si>
    <t>ia China, y quizá no volverá á repetirse.*— Los tesoros.que. se confiscaron al Ministro Ho-Tching-ton no se destinaron áJas .urgencias del estado. El Emperador mandó que se repartiesen entre los mandarines mas pobres; pero n» se cxecuto esto sino con una. corta</t>
  </si>
  <si>
    <t>Hobart, Lord</t>
  </si>
  <si>
    <t>Lord Hobart</t>
  </si>
  <si>
    <t>uir una paz segura y honrosa es disponernos á continuar vigorosamente la guerra. Siguió hablando el Lord Hobart, partidario del ministerio, y sostuvo que la actual carestía no debe atribuirse á la duración de la guerra. No pensó así el Lord Holland, quien dixo: ,,Creo que las plagas que pad</t>
  </si>
  <si>
    <t>Hodgson</t>
  </si>
  <si>
    <t>iudad presidido por el Lord Corregidor. Algunos vocales hicieron proposiciones á favor de la paz, y Mr. Hodgson pidió se dirigiese una súplica en forma de recurso á S. M., haciéndole presente que en las críticas circunstancias en que se hallan los negocios públicos tenga á bien entablar neg</t>
  </si>
  <si>
    <t>Hohenzoliern</t>
  </si>
  <si>
    <t>5 de la tarde, se tratará amigablemente de como han de evacuar los austríacos la plaza, pues tiene Mr. Hohenzoliern orden de retirarse el dia 24. ., Desde el quartel general de Cornigliano escribió el General Suchet el dia 21 á dicho General austríaco diciéndole: » Sé que los ingleses,en menosp</t>
  </si>
  <si>
    <t>Hohenzoliern, General</t>
  </si>
  <si>
    <t>General Hohenzoliern</t>
  </si>
  <si>
    <t>General Suchet llego el 19 á Campo-Maron delante de Génova. Después de algunas conferencias con el General Hohenzoliern, se firmó en Cornigliano el dia 20 un convenio sobre el moda de cumplir el de Alexandría del 15. En él se señala y fixa la línea que han de ocupar los puestos avanzados por el lad</t>
  </si>
  <si>
    <t>Hohenzollern</t>
  </si>
  <si>
    <t>Hohenzollern, Conde</t>
  </si>
  <si>
    <t>Conde Hohenzollern</t>
  </si>
  <si>
    <t>enova; pero se consideraba como muy próxima la rendición de dicha ciudadela. Eí quartel general del Conde Hohenzollern se hallaba el 15 en Lavezzari, entre la Bocchétta y Campo-Maron. El General Massena ha reconcentrado sus tropas al rededor de Genova. De Novi escriben que parte del cuerpo que man</t>
  </si>
  <si>
    <t>Hohenzollern, General</t>
  </si>
  <si>
    <t>General Hohenzollern</t>
  </si>
  <si>
    <t>sella hizo su caballería 7 ú 8 prisioneros, á cuyas declaraciones no quiso dar crédito. El dia 2 el General Hohenzollern, que manda el bloqueo de Genova, no hacia aun gran caso de nuestras fuerzas (como lo habréis visto por una carta que envié á los Cónsules); y Melas escribió á Pavía á una muger qu</t>
  </si>
  <si>
    <t>s muy enojados con los austriacos leváron anclas. El General Suchet hizo el 22 otro convenio con el General Hohenzollern, en fuerza del qual la ciudad de Génova se habrá entregado á los franceses el dia 24 á las 4 de la madrugada. El General de -brigada Kellerman ha escrito al General Dupont, xefe d</t>
  </si>
  <si>
    <t>Hoíland, Lord</t>
  </si>
  <si>
    <t>Lord Hoíland</t>
  </si>
  <si>
    <t>arítimas de aquella costa, é interceptar su navegación, sin dar muestras de hacer un desembarco. El Lord Hoíland , sobrino de Mi*. Fox , y uno de los principales partidarios de la oposición en la Cámara alta del Parlamento ingles, se halla en Berlin, y ha pedido pasaportes al gobierno para v</t>
  </si>
  <si>
    <t>Hoítenlohe, Príncipe</t>
  </si>
  <si>
    <t>Príncipe Hoítenlohe</t>
  </si>
  <si>
    <t>rf en Elchingen ,y Mr.Staray entre Burgau y Gunzburgo. En efta última ciudad se halla el cuerpo del Príncipe Hoítenlohe, y en Zwifalten el del General Frenel, el qual nuntiui: libre Ja comunicación con la caballería ligera, que pasando por la espalda del exército francés llegó hasta el Cantón de bc</t>
  </si>
  <si>
    <t>Holland, Lord</t>
  </si>
  <si>
    <t>Lord Holland</t>
  </si>
  <si>
    <t>i 4^ nía, observó el Lord Holland que la experiencia de la poca buena fe de las potencias aliadas de Alemania debió servir de lección á los Ministros para impedirles aconsejar á S. M. renovase semejantes alianzas.</t>
  </si>
  <si>
    <t>se espera encontrar en el castillo otros que Tippoo-Saib -habrá ocultado. L1 30 de Abril propuso el Lord Holland en la Cámara de los Pares se suprimiesen el juramento y las declaraciones á que por las actuales leyes están obligados los católicos de Irlanda, y que respecto á ellos equivalen á e</t>
  </si>
  <si>
    <t>ubo 27 votos á favor de la propuesta de Mr. Western, y 143 en contra. No tuvo mejor éxito la que el Lord Holland hizo el mismo dia en la Cámara de los Pares sobre que se convocase á todos sus individuos á fin de examinar si ho convendría pedir á S. M. que en la presente coyuntura no suspendi</t>
  </si>
  <si>
    <t>r á este derecho insistió con tanto empeño en la prisión de Napper-Tandy. Hállase en esta ciudad el Lord Holland, sobrino de Mr. Fox: va á Berlín, y de allí pasará á Italia. También ha llegado el Lord Carisford, nuevo Ministro ingles cerca del Rey de Prusia, que dicen viene especialmente enc</t>
  </si>
  <si>
    <t>io, y sostuvo que la actual carestía no debe atribuirse á la duración de la guerra. No pensó así el Lord Holland, quien dixo: ,,Creo que las plagas que padecemos, hambre y guerra, son inseparables. No me detengo en tratar de la primera, cuya verdadera causa es á mi entender la segunda. Con m</t>
  </si>
  <si>
    <t>es que el Austria; y sabido es que el General Melas no tenia víveres sino para 14 dias.” Convino el Lord Holland en que la paz tiene el inconveniente de dexar el poder de la Francia considerablemente aumentado; pero en su dictamen la guerra , cuya dirección no está al alcance de los actuales M</t>
  </si>
  <si>
    <t>mara baxa.__ .Tratándose él 14 en la dé los Pares sobre las causas de la actual escasez, observó el Lord Holland que aunque los Ministros hubiari asegurado que esta calamidad no debe atribuirse á la guerra, alegando que los víveres estuviéron mas baratos algunos años de guerra que otros de p</t>
  </si>
  <si>
    <t>ue .extrañaría mucho seria que dicha proposición'-produxese tal efecto. Por Jo que hace á lo que el Lord Holland ha añadido respecto á los preliminares firmados por el Conde de Saint-Julien, se ha mostrado dicho vocal mas hábil en justificar al enemigo de lo que aquello ha sido.” El Lord Hol</t>
  </si>
  <si>
    <t>Hompesch, General</t>
  </si>
  <si>
    <t>General Hompesch</t>
  </si>
  <si>
    <t>stituirá á los Caballeros de la orden luego que se recobre de los franceses. Lintz 79 de Marzo. E I General Hompesch, que sirve en el exército ingles, y se halla actualmente en Berlín , mandará las tropas que el Elector pone á disposición de la Gran Bretaña. De Petersburgo vino anoche un correo</t>
  </si>
  <si>
    <t>Hontoria, Joseph</t>
  </si>
  <si>
    <t>Joseph Hontoria</t>
  </si>
  <si>
    <t>achin Ruil y D. Manuel Casal y Varela, y á segundos Tenientes á los Subtenientes D. Nicolás Godet , D. Joseph Hontoria , D. Fermín Sánchez Franco, D. Teodoro Cañero y D. Ramón Puigros: en el batallón de Volunt trios de Valencia á segundo Ayudante al primer Teniente D. Antonio Azntr; á primer Tenie</t>
  </si>
  <si>
    <t>Hood, Capitán</t>
  </si>
  <si>
    <t>Capitán Hood</t>
  </si>
  <si>
    <t>monte-Pignateü, el Cardenal Ruffo &amp;c.; y entre los Comendadores el Conmodoro ingles Townbridge , el Capitán Hood„y otros. En una fragata inglesa que entró en este puerto el‘dia i.° viniéron los Generales Abercrombie , Moores y otros comandantes ingleses. Igualmente, en el navio Alkmaer llegó</t>
  </si>
  <si>
    <t>Hookham, Juan</t>
  </si>
  <si>
    <t>Juan Hookham</t>
  </si>
  <si>
    <t>ro plenipotenciario de Inglaterra en la corte del Príncipe Regento de Portugal ha nombrado el Rey á Mr. Juan Hookham. Mr. Listón, Ministro británico en los Estados-Unidos de América, ha dexado su empleo , y le reemplaza Mr. Merri, Enc irg ido que fue de negocios de Inglaterra en Dinamarca.__ Han</t>
  </si>
  <si>
    <t>Hope, Coronel</t>
  </si>
  <si>
    <t>Coronel Hope</t>
  </si>
  <si>
    <t>l Contra-Almirante liiekerton. Van en este buque los Generales Abercroinbie, Hutchinson y Moore, el Coronel Hope y otros oficiales. El propio dia dieron la vela 1 fragatas armadas en urca con tropas de las llamadas fencibles para Gibraltar. Se advierten disposiciones para el embarco de otros c</t>
  </si>
  <si>
    <t>Hoppe</t>
  </si>
  <si>
    <t>orden de que inmediatamente pasase á Viena; y en efecto salió al instante para aquella capital con Mr. Hoppe, su Secretario de legación. , Los Príncipes de Saxonia-Weimar y de Saxonia-Hildburghaussen han adoptado el sistema de neutralidad, el qual se va extendiendo por Alemania en términ</t>
  </si>
  <si>
    <t>Horacio Publicóla y Santa Croce</t>
  </si>
  <si>
    <t>Allendelagua, Don Francisco Salazar y Allendelagua y D. Vicente de Arizaga y Vázquez. En 2.a fecha. D. Horacio Publicóla y Santa Croce , D. Juan de Vera y Saurín, D. Pedro de Salazar y Valle, D. Felipe Esteiler y Febrer,D. Joseph del Viso y Roxas,D. Francisco Perez de Grandallana y Fontecha, D. Benito Gijon y Rós</t>
  </si>
  <si>
    <t>Hoscoso, Fernando</t>
  </si>
  <si>
    <t>Fernando Hoscoso</t>
  </si>
  <si>
    <t>e ha servido promover el Rey á Alféreces á los Cadetes D. Joseph Salomony , D. Vicente de Qu esada, D. Fernando Hoscoso, D. Luis Genzaga Villena y D. Antonio Desmaisieres. En el de infantería de la Princesa á segundo Subteniente al Cadete D. Pedro Gramberg: en el de Hibernia á segundo Subteniente a</t>
  </si>
  <si>
    <t>Huárte, Antonio</t>
  </si>
  <si>
    <t>Antonio Huárte</t>
  </si>
  <si>
    <t>jea y D. Antonio Isidoro de Ojea, Pilotín de los Correos marítimos, fuéron examinados de aritmética D. Antonio Huárte, D. Manuel Claessens, D. Ramón Claessens y D. Ignacio de Lardizabal. De aritmética y principios de geometría D. Martin de Llano, Cadete de Reales Guardias Walonas, y D. Joseph Mar</t>
  </si>
  <si>
    <t>Huete, Manuel</t>
  </si>
  <si>
    <t>Manuel Huete</t>
  </si>
  <si>
    <t>uizabal y D. Juan de Echevarría: empleos de Alféreces á D. Manuel 4,e Fuentes, D. Joseph Eguizabal, D. Manuel Huete, Don Hilario Pó'nce,"D. Manuel Caballero, D. Buenaventura Sanz, D. Juan Moreno, D. Joseph Perochena, D. Joseph Saenz, D. Mariano Moreno, Don M irtin de Arambulo y D. Pablo Gaona y</t>
  </si>
  <si>
    <t>Hugel</t>
  </si>
  <si>
    <t>---- Están sumamente desavenidos los xefes del exército de Mr. Kray. El General Staray dio. orden á Mr. Hugel para que defendiese una altura, ofreciendo enviarle socorros. Defendióse muy bien el General Hugel esperando los refuerzos ofrecidos; y viendo que no llegaban, y que no podía cons</t>
  </si>
  <si>
    <t>Hugel, General</t>
  </si>
  <si>
    <t>General Hugel</t>
  </si>
  <si>
    <t>en á Mr. Hugel para que defendiese una altura, ofreciendo enviarle socorros. Defendióse muy bien el General Hugel esperando los refuerzos ofrecidos; y viendo que no llegaban, y que no podía conservar aquel puesto, lo abandonó. Reconvino después á Mr. Staray de su olvido, y resultó un desafío en</t>
  </si>
  <si>
    <t>Hugues</t>
  </si>
  <si>
    <t>ombres en las secretarías ae los Prefectos.” Ha recibido el gobierno cartas del ciud. Hugues, su Agente en la Guayana francesa, que salió de Rochefort el 6 de Diciembre, y llegó con su división á Cayena el 7 de Enero. Con fecha de 21 del propio mes esc</t>
  </si>
  <si>
    <t>Huguet, Joseph</t>
  </si>
  <si>
    <t>Joseph Huguet</t>
  </si>
  <si>
    <t>natural de Lérida, Corregimiento ídem.................................. 55. 30. Joseph Huguet, hijo de Pedro y Teresa, natural de Tora, Corregimiento de Cervera............................. ■.................... . 55* 3°* Juan In gles, hijo de Joseph y Paula, natural de Verdu, C</t>
  </si>
  <si>
    <t>Hunter</t>
  </si>
  <si>
    <t>nutos , y su tripulación tuvo la mayor dificultad en salvar la vida. Según cartas de Bahía-Botánica Mr. Hunter, Gobernador de aquel remoto establecimiento, resolvió averiguar si la tierra de Van-Divinen estaba separada, como lo creía, de la costa de Nueva-Holanda mediante un estrecho muy a</t>
  </si>
  <si>
    <t>Hurtado, Diego Martín</t>
  </si>
  <si>
    <t>Diego Martín Hurtado</t>
  </si>
  <si>
    <t>término de Torrejon de la Calzada, de g fan. en 30. Otra en los Llanos, de 4 fan. en 20. Memoria de D. Diego Martin Hurtado; una tierra al Cadalso, de una fanega y 4 celemines, en i0 rs. Otra en la Veguilla, de 8 fan. en ¿400. Otra en la Solavega , de 5 fan. y 6 cel. en 3300. Otra en la Abutardera, de</t>
  </si>
  <si>
    <t>Hurtado, Esteban</t>
  </si>
  <si>
    <t>Esteban Hurtado</t>
  </si>
  <si>
    <t>o del Rudai, de una fan. y 6 ce), en peo.* Otra en el Solmoraí, de 2 fan. y &lt;5 cel. em&amp;. Memoria de D. Esteban Hurtado : una tierra junto á la dehesa boyar , de a fanegas y &lt;5 celemines, en igóól rs. Otra en los Barríales , de &amp; fan y 9 cel. en 8750. Otra á espaldas de !á‘ er-í mita de. la Soledad</t>
  </si>
  <si>
    <t>Hurtado, Francisco</t>
  </si>
  <si>
    <t>Francisco Hurtado</t>
  </si>
  <si>
    <t>eros á D. Francisco Ruiz de la Peña, Subteniente de granaderos; á Teniente veterano de granaderos á Don Francisco Hurtado, Teniente de fusileros; á Teniente de esta clase á Doa Francisco Argais, Sargento primero de granaderos; y á Subteniente de granaderos á D. Manuel Joseph Frayre, Subteniente de fu</t>
  </si>
  <si>
    <t>Hurtado, María</t>
  </si>
  <si>
    <t>María Hurtado</t>
  </si>
  <si>
    <t>da en 4© rs. y ienta 130 Otra en Ja misma calle, Francisco López, con 270 pies, en q©, y renta 130. Doña María'Hurtado: una casa calle del Matadero, que habita Diego González, con 1296 pies, tasada en ¿goo rs. y renta 16¿. Otra en 14 pieza Mayor, que sirve para puesto de aguardiente, con 276 pies</t>
  </si>
  <si>
    <t>Hussey, Tomás (capitán)</t>
  </si>
  <si>
    <t>Capitán Tomás Hussey</t>
  </si>
  <si>
    <t>ber* gantinss ingleses eL Atlas-Soole , su Capitán Alexandro Dempstéa •, y el nombrado la Bretaña , Capitán Tomas Hussey, cargados de arenques y otros efectos, procedentes de Falmouth, con destino á Venecia, los que fueron apresados el dia 29 por el místico corsario español nombrado el Gibraltar^ al</t>
  </si>
  <si>
    <t>Hyder Parker</t>
  </si>
  <si>
    <t>l proyecto de unión. Este ¡Almirante salió dé Torbay el dia 6 con 20 navios de línea y 7 fragatas* ¡Mr. Hyder Parker, que manda la división apostada en las islas de Sotavento , escribe desde la jamayea con fecha de i.° de Diciembre último que el 21 del mes anterior entró en aquel piierto la frag</t>
  </si>
  <si>
    <t>Hyder-Parker, Almirante</t>
  </si>
  <si>
    <t>Almirante Hyder-Parker</t>
  </si>
  <si>
    <t>jornadas de aquella ciudad. La esquadra grande de Torbay ha salido ál mar baxo las órdenes del Vice-Almirante Hyder-Parker.</t>
  </si>
  <si>
    <t>I, Pablo</t>
  </si>
  <si>
    <t>Pablo I</t>
  </si>
  <si>
    <t>genoveses y al Gran Duque de Toscana á separarse de su neutralidad, y censuró á Pablo I por su conducta con España y Dinamarca. Hablando después de las invectivas que Mr. Pitt profirió contra el carácter de</t>
  </si>
  <si>
    <t>Ib, Benito</t>
  </si>
  <si>
    <t>Benito Ib</t>
  </si>
  <si>
    <t>la misma renta en Vadladolid á D. Domingo Martínez Valsa: para Oficial mayor de dicha contaduría á D. Benito Ib. arrendó: para Oficial segundo de ella á D. Joseph Joachín de Villar; y para Oficial tercero de la misma á D. Joseph Mariáno Recacoechea: para Visitador del resguardo de la factor</t>
  </si>
  <si>
    <t>Ibáñez de la Rentería, Joseph Agustin</t>
  </si>
  <si>
    <t>Joseph Agustin Ibáñez de la Rentería</t>
  </si>
  <si>
    <t>llarán á «J rs. cada quaderno en la librería de Tieso, calle de las Carretas. Fábulas en verso: por D. Joseph Agustin Ibañez de la Rentería: 2 tomos en 8.® Se hallarán en las librerías de Castillo y de Cerro, red de S. Luis, y en su puesto, calle de Alcalá. Teatro nuevo español, ó colección de las piezas dramáticas nu</t>
  </si>
  <si>
    <t>Ibáñez de Zavala, Juan Joseph</t>
  </si>
  <si>
    <t>Juan Joseph Ibáñez de Zavala</t>
  </si>
  <si>
    <t>rbanas acordaron la referida acta y diputación, D. Fcrmin de Claesens, D. Antonio Joachín Lozano, y D. Juan Joseph Ibañez de Zavala, que en ningún tiempo puedan tener empleos de Ayuntamiento, ni ser conceiantes los dos primeros, y el tercero Zavala que le sirva solamente de castigo el arresto que ha padecido p</t>
  </si>
  <si>
    <t>Ibáñez, Antonio</t>
  </si>
  <si>
    <t>Antonio Ibáñez</t>
  </si>
  <si>
    <t>ientes á los Cadetes Don Juan Sentiens y D. Joseph Perez Cerda, y al Sargento primero de granaderos D. Antonio Ibañez: en el de Granada á Ayudante al primer Teniente D. Gabriel Varela; y á segundo Teniente de granaderos al de fusileros graduado de Capitán D. Joachín Urrutia: en el de Mallorca á S</t>
  </si>
  <si>
    <t>Ibáñez, Luis</t>
  </si>
  <si>
    <t>Luis Ibáñez</t>
  </si>
  <si>
    <t>leros D. Zacarías Perez y D. Mateo López; y la Subtenencia de cazadores al Subteniente de fusileros D. Luis Ibañez ae Navarra: en el de Bujaiance Tenencia de fusileros al Subteniente de cazadores D. Rafael Perez de Aguilar; y Subtenencia de bandera a D. Joseph María Sánchez : en el de Chinchil</t>
  </si>
  <si>
    <t>Ibáñez, Remigio</t>
  </si>
  <si>
    <t>Remigio Ibáñez</t>
  </si>
  <si>
    <t>eph Esquiaqui, D. Joachin Fernandez, Don Francisco Agustini, D. Joseph Eseovar, D. Joseph Berganza, D. Remigio Ibañez y D. Antonio Ibarra, graduado de Capitán. S. M. ha conferido el empleo de Cirujano mayor de la Armada, vacante por fallecimiento de D. Domingo Vidal, que lo obtenía, al Ayudante consu</t>
  </si>
  <si>
    <t>Ibargiien y Ximenez, Felipe</t>
  </si>
  <si>
    <t>Felipe Ibargiien y Ximenez</t>
  </si>
  <si>
    <t>de su Real Armada á los Guardias-Marinas siguientes. En i.a fei ha. D. Martin de Mendoza y Puerto, D. Felipe Ibargiien y Ximenez, I). Francisco Solís y Ximenez de Zucita, D. Joseph Pasalagua y Martínez, D. Diego de Aguirre y Rosales, D. Antonio Climent y García, D. Manuel de Cárdenas y Castillo de las Peñas</t>
  </si>
  <si>
    <t>Ibarra, Joseph Vicente</t>
  </si>
  <si>
    <t>Joseph Vicente Ibarra</t>
  </si>
  <si>
    <t>tS icl vice-censor D. Gerónimo Arbizu: tres por el vice-archivero D. Joseph Vicente Ibarra: dos por eí socio D. Juan Antonio Martínez de Hermosilla ; y dos por otros socios. Iguales premios recibieron cinco discípulos de la Real academia de S. Carlos, que siendo oficial</t>
  </si>
  <si>
    <t>Ibarroht, Joseph</t>
  </si>
  <si>
    <t>Joseph Ibarroht</t>
  </si>
  <si>
    <t>brado S. M. para la Tenencia y Subtenencia de la compañía de artilleros provinciales de Guipúzcoa á D. Joseph Ibarroht y D. Isi dro Jorge, Teniente y Subteniente del Real cuerpo de artillería; y para la Subtenencia de la primera compañía de Milicias de artilleros provinciales de Ja Coruña X D. Luis Ca</t>
  </si>
  <si>
    <t>Ibarrola, Domingo</t>
  </si>
  <si>
    <t>Domingo Ibarrola</t>
  </si>
  <si>
    <t>a que se expresa. Se hallará á 3 rs. en el despacho de la imprenta Real. En 24 de Setiembre remitió D. Domingo Ibarrola, vecino de Madrid, £ Don Joseph Alvarez de Velasco, dei comercio de Rioseco, un vale Real de i$o pesos, creación de Setiembre, núm. 178,497: y no habiendo llegado á poder del expr</t>
  </si>
  <si>
    <t>Ibárrola, Pablo Antonio</t>
  </si>
  <si>
    <t>Pablo Antonio Ibárrola</t>
  </si>
  <si>
    <t>illareal , calle de las Carretas. Nuevo método de curar las heridas hechas con armas de fneí?o. por D. Pablo Antonio Ibárrola. Se hallará en la librería de Cerro, red de S. Luis frente a la fuente, y en su puesto, calle de Alcalá, á 4 rs. Plano geométrico del puerto del'Ferrol y sus costas inmediatas, le</t>
  </si>
  <si>
    <t>Ibero, Pedro</t>
  </si>
  <si>
    <t>Pedro Ibero</t>
  </si>
  <si>
    <t>a Cuesta de Bcrninches, de 4 fañ. en igoo. Otra en el pago del Pasadero, de fan. en noo. Memoria de D. Pedro Ibero: una tierra cañamar en el pago del Cañuelo, de ig celemines, tasada en 1430 rs. Otra con 17 olivos, de 6 cel. en 431. Otra con 14 olivos, sita en el pago del Valincoso, de a fán,</t>
  </si>
  <si>
    <t>ICeith, Lord</t>
  </si>
  <si>
    <t>Lord ICeith</t>
  </si>
  <si>
    <t>^ tiese de semejante idea; pero las órdenes que tenia el Lord Elgin, y las que se habían enviado al Lord ICeith , no dexaban lugar á ninguna representación. No tardó el General Kleber en saber de oficio esta novedad: y los ingleses, conforme á las órdenes de su corte para que tratasen hosti</t>
  </si>
  <si>
    <t>Iglesias, Juan Manuel</t>
  </si>
  <si>
    <t>Juan Manuel Iglesias</t>
  </si>
  <si>
    <t>. Antonio .María Moscoso y D. Miguel Zancada; y Subtenencias de bandera en los de Toledo y Laredo á D. Juan Manuel Iglesias y D. Sebastian de S. Juan González. En América. El Rey se ha servido conferir el empleo de Coronel del regimiento de infantería de la Corona de Nueva-España á D. Vicente María de Mues</t>
  </si>
  <si>
    <t>Ignacia de la Higuera</t>
  </si>
  <si>
    <t>ública subasta los bienes y efectos pertenecientes á la memoria que en la villa de Esquivias futido Doña Ignacia de la Higuera , que se componen de unas casas principales con su bodega y cueva, 8 cubas, 6 tinajas y demás pertrechos para beneficiar los vinos : un molino de aceyte contiguo á ellas con su al</t>
  </si>
  <si>
    <t>Ignacía Soto y Conde</t>
  </si>
  <si>
    <t>ña Manuela Fernandez, D. Miguel Romero dorador, D. Vicente Ortiz de Salgousen, Doña Manuela Medina, Doña Ignacía Soto y Conde, Francisco del Riego , Lorenza Medina, y otras : vive dicha Doña Victoria plazuela de S. Ildefonso,núm. 13 , quarto principal; y cura á los pobres de limosna. Discursos de S. Bern</t>
  </si>
  <si>
    <t>Ignacio</t>
  </si>
  <si>
    <t>ele Garde, D. Francisco Ignacio Gaztelu, D. Vicente de Mendizaval, D. Manuel Francisco de Soraiz, y D. Ignacio</t>
  </si>
  <si>
    <t>II, Cárlos</t>
  </si>
  <si>
    <t>Cárlos II</t>
  </si>
  <si>
    <t>tificaciones de Castilla , Maestro en el arte militar de la magestad del Sr, D. Cárlos II, y Capitón general que fué de Guipúzcoa. Esta obra, fruto de la larga experiencia y profundos conocimientos de aquel do</t>
  </si>
  <si>
    <t>II, Jorge</t>
  </si>
  <si>
    <t>Jorge II</t>
  </si>
  <si>
    <t>año de 1688, en que concluye la del celebrado Hume, hasta fines del reynado de Jorge II; y aun se dice que está en ánimo de publicar un resúiñen de</t>
  </si>
  <si>
    <t>Iíedouville, General</t>
  </si>
  <si>
    <t>General Iíedouville</t>
  </si>
  <si>
    <t>su patria se erigirá un monumento á su memoria, y en él se colocará su corazón. La carta en que el General Iíedouville &lt;?io cuenta al Ministro de Guerra de lo» sucesos con los chouanes dice así : „Anger$ j8 de Enero. El General en xefe Bruñe me h-a encargado despache mi edecán Paultre para informa</t>
  </si>
  <si>
    <t>Iíenry</t>
  </si>
  <si>
    <t>pondientes á su graduación y á sü fama militar. - . ■ Expresan las ultimas «artas de Filadelfia que Mr. Iíenry, Ministro ó Sé</t>
  </si>
  <si>
    <t>III, Cárlos</t>
  </si>
  <si>
    <t>Cárlos III</t>
  </si>
  <si>
    <t>Por providencia del Sr. D. Juan Antonio Santa María , caballero de la orden de Cárlos III, del Consejo de S, M., Teniente Corregidor de esta villa, se vendé una casa sita en la calle de Toledo, núm. 9, manzana</t>
  </si>
  <si>
    <t>III, Carlos</t>
  </si>
  <si>
    <t>Carlos III</t>
  </si>
  <si>
    <t>on Antonio González Yebra, Caballero de la Real y distinguida Orden Española de Carlos III, del Consejo de S. M. en el Real y Supremo de Castilla, Gobernador de la Sala de los Sres. Alcaldes de Casa y Corte , s</t>
  </si>
  <si>
    <t>. Pedro González Calderón, Caballero de la Real y distinguida órden española de Cárlos III, del Consejo de S. M., Teniente Corregidor de esta villa, se está subastando una casa sita en la calle de S. Antón, núm</t>
  </si>
  <si>
    <t>eal y supremo de Castilla, caballero de la Real y distinguida orden española de Carlos III, y juez comisionado por S. M., se venden unas casas sitas en esta corte, parroquia de Santiago y calle de Sta. Clara ,</t>
  </si>
  <si>
    <t>Juan Antonio Santa María , caballero de la Real y distinguida orden española de Cárlos III , del Consejo de S. M. y Teniente Corregidor de esta villa , se ha mandado sacar nuevamente á pública subasta una huert</t>
  </si>
  <si>
    <t>. Pedro González Calderón, caballero de la Real y distinguida orden española de Carlos III, del Consejo de S. M. , Teniente Corregidor de esta villa , se está subastando un corralón sito calle de las Damas, n.</t>
  </si>
  <si>
    <t>. Pedro González Calderón, caballero de la Real y distinguida orden española de Carlos III, del Consejo de S, M. y Teniente Corregidor de esta villa, se ha mandado volver'á sacar i pública subasta una casa sita</t>
  </si>
  <si>
    <t>Juan Antonio Santa María, caballero de la Real y distinguida orden española de Cárlos III, del Consejo de S. M., y primer Teniente Corregidor de esta villa , se cita y emplaza á los acreedores que tengan derec</t>
  </si>
  <si>
    <t>onio Ignacio González Yebra, caballero de la Real distinguida orden española de Carlos III , del Consejo de S. M. en el Real y Supremo de Castilla, se venden las fincas siguientes en la ciudad de Sevilla: unas</t>
  </si>
  <si>
    <t>años de edad el Teniente General de la Real Armada, y caballero de la orden de Cárlos III, D. Domingo Perler; concluyendo la larga y acreditada serie de 60 años de servicios en el encargo dé Comandante general</t>
  </si>
  <si>
    <t>eal. Obras de D. Antonio Rafael Mengs , primer pintor de Cámara deí Sr. Rey' D. Cárlos III, nueva edición: un tomo en 4.0 marquilla : en papel á ai rs., y á 32en pasta. Este tratado de pintura fue publicado por</t>
  </si>
  <si>
    <t>izo de la Reyna Ntra. Sra., y Ministro tesorero de la Real distinguida orden de Carlos III, sirvió á S. M. por espacio de 54 años. El zelo con que exerció los referidos empleos, particularmente la prudencia y a</t>
  </si>
  <si>
    <t>o Cerda y Rico, caballero pensionado de la Real y distinguida Orden española de Cárlos III, Secretario del Consejo y Cámara de Indias por lo respectivo á Nueva-España, con voz y voto en ambos Tribunales , Acadé</t>
  </si>
  <si>
    <t>tóbal Ramírez y Cotes, Caballero pensionado de la distinguida orden española de Carlos III, y Ministro de capa y espada del Consejo de Hacienda. Entre sus servicios mereció particular aprecio el esmero y activi</t>
  </si>
  <si>
    <t>Campo, Marques del Campo , Caballero Gran Cruz de la Real distinguida Orden de Carlos III, y Consejero de Estado. Principió su carrera política baxo la dirección del- Plenipotenciario español, que en el Congre</t>
  </si>
  <si>
    <t>as acudan ante el Sr. D Juan Antonio Santa María, Caballero de la Real orden de Carlos III , del Consejo de S. M., Teniente Corregidor de esta villa , y escribanía de su número que exerce D, Tomas dé Sancha y P</t>
  </si>
  <si>
    <t>Joseph Francisco de Isla , nuevamente añadidos los reynados de Fernando el VI y Carlos III, puesto en forma de diálogo , con una breve explicación de cada una de sus preguntas para mas cómoda instrucción de la</t>
  </si>
  <si>
    <t>ción de estampas de las máscaras qne hiciéron en Barcelona quando el Sr. Rey D. Cárlos III entró en aquella ciudad; y ademas varios diboxos de delicado gusto para pintores. Se hallarán en la librería de Escriba</t>
  </si>
  <si>
    <t>edallas de. plata primorosamente acabadas con los bustos del fundador el Sr. D. Carlos III, del Rey Ntro. Sr. D. Carlos IV, y del difunto Pontífice Pió VI: manifestando á la sociedad las pruebas de su afición,</t>
  </si>
  <si>
    <t>ncenti, D. Luis Fernandez Gonzalo del Rio, Caballero de la distinguida Orden de Carlos III, y D. Manuel de Sampelayo* Las personas que quisieren interesarse en esta rifa acudirán á recoger lo$ billetes á dicho</t>
  </si>
  <si>
    <t>D. Francisco González de Estéfani, Oficial de la Secretaría de la Real orden de Carlos III. En America. En el regimiento de infantería fixo de México se ha servido el Rey promover á Teniente al Subteniente D. L</t>
  </si>
  <si>
    <t>III, Felipe</t>
  </si>
  <si>
    <t>Felipe III</t>
  </si>
  <si>
    <t>e Toledo: dos tomos en folio j y el tercero que comprehende la vida y hechos de Felipe III : obra postuma del Maestro Gil González Dávila. Se hallarán en la librería de Fermin Nicasio, carrera de S. Gerónimo. E</t>
  </si>
  <si>
    <t>III, Jorge</t>
  </si>
  <si>
    <t>Jorge III</t>
  </si>
  <si>
    <t>a, y aun el de Hamiover envien para aumentarlo, á fin de gozar la neutralidad---Jorge III, como Rey de Inglaterra, pidió á sus estados de Hannóver tropas para pelear contra los franceses; pero como Elector las</t>
  </si>
  <si>
    <t>Iíij’osa, Diego</t>
  </si>
  <si>
    <t>Diego Iíij’osa</t>
  </si>
  <si>
    <t>tán de las Milicias urbanas de la Coruña ál Teniente D. Ignacio Boan , y pajea Ayudante al Teniente D. Diego Iíij’osa. Asimismo ha concedido grado de Teniente Coronel de Milicias provinciales á D. Rosendo Cal y Babamonde, Capitán de correos marítimos en la Havana r de Capitán á los Pilotos D. Mar</t>
  </si>
  <si>
    <t>Iílenau</t>
  </si>
  <si>
    <t>500 hombres en el importante puesto de la Spezzia. El general austríaco Hott, que manda en lugar de Mr. Iílenau, ha trasladado su quartel general á Lúea, y ha hecho ocupar con tropas de su mando la línea de Pontremoli. Antes de ausentarse publicó una proclama dirigida á los habitantes de la</t>
  </si>
  <si>
    <t>IIon Manuel María Gallego</t>
  </si>
  <si>
    <t>dos del gobierno de aquellos pueblos. (¿ussa ia , R.eyno de Jaén , 2j) de Mayo. IIon Manuel María Gallego, Medico en la ciudad de baeza, y que en el uño pasado fué titular de la villa de Quesada, deseando evitar ios estragos que ocasionan las viruelas naturales, procuró introducir en ella la</t>
  </si>
  <si>
    <t>Ííray, General</t>
  </si>
  <si>
    <t>General Ííray</t>
  </si>
  <si>
    <t>ierda,- y se reuniese entre el Guntz y el Kamlack- Estaba Lecourbe cumpliendo esta orden- quandb el General Ííray atacó con unos 40® hombres elcuerpo de-la izquierda del Iller, que estaba al mando de Richepanse. Este Ge-* neral observo perfectamente las instrucciones del General en xefe, las</t>
  </si>
  <si>
    <t>IJolland, Lord</t>
  </si>
  <si>
    <t>Lord IJolland</t>
  </si>
  <si>
    <t>o hibérniCQ, se expidiéron ordenes suspendiendo aquellas disposiciones. Al dia siguiente anunció el Lord IJolland en la Cámara de ios Pares que estaba en ánimo de pedir se comunicasen al Parlamento las instrucciones enviadas por Jos Ministros al comandante de Jas escuadras inglesas en el Medite</t>
  </si>
  <si>
    <t>Ildefonso de Viana</t>
  </si>
  <si>
    <t>orias deberán remitirse en la forma ordinaria al secretario de la sociedad patricStica de la Havana D. Ildefonso de Viana para fin del corriente año de i8co. Desde mañana miércoles se hallará en el despacho de la imprenta Real á g quartos la circular en que se señala la quota que han de pagar las tie</t>
  </si>
  <si>
    <t>Ildefonso de Villar</t>
  </si>
  <si>
    <t>s al de fusileros D. Joseph Cenen Zeberg. En el de caballería del Rey á Alférez al Portaestand irte D. Ildefonso de Villar: en el del Príncipe á Capitán al : Ayudante D. Rafael Mariano: en el de Alcántara á Capitán al primer Teniente D. Antonio Marín, y á Ayudante al primer Teniente D. Francisco rA!za</t>
  </si>
  <si>
    <t>Illanes Camaño, Alberto</t>
  </si>
  <si>
    <t>Alberto Illanes Camaño</t>
  </si>
  <si>
    <t>gía, que este dexa, al Racionero D. Francisco Antonio de Areta: para esta Ración al Medio-Racionero D. Alberto Illanes Camaño; y para la Media-Ración de la catedral de Popayan , vacante por fallecimiento de D. Manuel Sánchez Ramírez de Arellano , á D. Eusebio Ramírez de Árellano , Cura de Guasca, en el a</t>
  </si>
  <si>
    <t>ILolland, Lord</t>
  </si>
  <si>
    <t>Lord ILolland</t>
  </si>
  <si>
    <t>s.”—Se remitió este mensage £ una junta particular de vocales de la Cámara. El mismo dia 11 hizo el Lord ILolland en la Cámara alta una proposición semejante á la de Mr. Sheridan en la Cámara de Comunes, sobre qup .se averiguasen las causas por las quales se malogró la. expedición de Holanda ;</t>
  </si>
  <si>
    <t>ILussey, Ignacio</t>
  </si>
  <si>
    <t>Ignacio ILussey</t>
  </si>
  <si>
    <t>ento de infantería de Irlanda se ha servido promover el Rey a Capitán de granaderos al de fusileros D. Ignacio ILussey ; á Capitán al primer Teniente de granaderos D. Alexandro Eagar; á primer Teniente de granaderos al de fusileros D. Jayme Gunning; á primer Teniente al segundo de granaderos D. Jo</t>
  </si>
  <si>
    <t>Indalecio González de Socasa</t>
  </si>
  <si>
    <t>dé la Palma en Canarias áD. Francisco de Paula Padial. En América* El Rey se ha servido conceder á D. Indalecio González de Socasa , Coronel del regimiento de milicias del partido de Poico, en Buenos-Ayres, el grado de Teniente Coronel dé exército. El Rey Ntro. Sr^ en atención al talento y habilidad de que ac</t>
  </si>
  <si>
    <t>Indga-Bey</t>
  </si>
  <si>
    <t>der un navio de 8o cañones, que era el mejor de su armada..Por. impericia de su comandante Indga-Bey, General de las galeras, tocó en unos baxíos cerca de Damieta; y habiéndole los franceses hecho un fuego muy vivo con sus cañoneras, se entregó prisionero el c</t>
  </si>
  <si>
    <t>Ines de Torres</t>
  </si>
  <si>
    <t>teneciente al mismo hospital , en; n’j$oo. Otra de 41 fan. en ídem, perteneciente- á 1* memoria de: Doña Ines de Torres, en 11,300. Otra de 3i¿ fan. en Ídem , perteneciente á la del Abad Carrasco,,en 7900. Otra de 3a tan. en Ídem, perteneciente, á la de Ines García , en 9470.. Se abre subscripción</t>
  </si>
  <si>
    <t>Infante, Joseph</t>
  </si>
  <si>
    <t>Joseph Infante</t>
  </si>
  <si>
    <t>ha dignado S. M. promover en el regimiento de caballería de la Rey na á Alférez al Portaestandarte D. Joseph Infante; y á esta resulta al Sargento D. Francisco Xavier Rico: en el del Príncipe á Capitanes al primer Teniente D. Juan Dupac y al Ayudante D. Miguel de Nueros; á Ayudante al primer Ten</t>
  </si>
  <si>
    <t>Ingram Binns</t>
  </si>
  <si>
    <t>os 87,318 y 100,903* y uno de igo, creación de Setiembre, núm. 172,377 , renovados todos á favor de D. Ingram Binns, con firma de este en blanco. Qulemlos haya hallado los entregará á D. Bernardo de Arochena, red de S. Luis, casa núm. 10. Se ha perdido un vnle Real de 1 go pesos, creación de ig</t>
  </si>
  <si>
    <t>Iñiga Royo</t>
  </si>
  <si>
    <t>po de la fundación de Pablo Valero , tasado en 10,080 rs. = Hinojosa : una torre de la fundación de Doña Iñiga Royo, tasada en 23,330 rs.~ La Señoría de Terrer : una viña del santuario de Ntra. Sra. de Ciguela, tasada en rs. Otra de la misma pertenencia , tasada en 10,800. Intendencia de Guadál</t>
  </si>
  <si>
    <t>Iñigo López de Mendoza</t>
  </si>
  <si>
    <t>es ilustres españoles , en que se incluyen ios de Rodrigo Diaz de Vivar, D. Alonso PeFcz de Guzman, D. Iñigo López de Mendoza, Juan Gines de Sepúiveda, Francisco deSalinas, y Fr. Benito Gerónimo Feixoo. Véndese con los antecedentes á 60 rs. cada uno en el despacho de la imprenta Real. Está nuevamente vac</t>
  </si>
  <si>
    <t>Iñigo Ortés</t>
  </si>
  <si>
    <t>rección de D. Rufino Espada, D. Antonio Gilman, D. Manuel de la Riva-Agüero, D. Alexandro Barruchi, D. Iñigo Ortés y D. Joseph María Ortés. En las humanidades y retórica, baxo la dirección de su profesor D. Pedro Fuertes, los seminaristas D. Rafael de Tejada , D. Manuel de Lardizabal, D. Antoniq d</t>
  </si>
  <si>
    <t>Iñiguez, Francisco</t>
  </si>
  <si>
    <t>Francisco Iñiguez</t>
  </si>
  <si>
    <t>plido: en el de León á segundo Subteniente al Subteniente graduado y Sargento primero de granaderos D. Francisco Iñiguez: en el de Málaga á Capitán al primer Teniente de granaderos D. Felipe Rodríguez del Fierro; á primer Teniente de granaderos al de fusileros D. Joseph Carrillo; £ primeros Teniente</t>
  </si>
  <si>
    <t>Inocencio Bejarano, Pedro</t>
  </si>
  <si>
    <t>Pedro Inocencio Bejarano</t>
  </si>
  <si>
    <t>Canongías de la Real iglesia de San Isidro de Madrid, vacantes la primera por la promoción del Sr. D. Pedro Inocencio Bejarano al obispado de Buenos-Ayres, y la segunda por fallecimiento de D. Ramón Langa, á D. Martin González de Navas y á Den Diego Fernandez Cerezo : para el Beneficio simple que tenia en</t>
  </si>
  <si>
    <t>Inocencio Vejarano, Pedro</t>
  </si>
  <si>
    <t>Pedro Inocencio Vejarano</t>
  </si>
  <si>
    <t>pado de Sigiienza, vacante por fallecimiento del limo. Sr. D. Juan Diaz de la Guerra , al limo. Sr. D. Pedro Inocencio Vejarano, Obispo de Euenos-Ayres; para el Obispado de Albarracin, vacante por haber sido nombrado p, ra i* Abadía de Alcalá la Real D, Fr. Manuel María Truxillo, al limo. Sr. D. Blas Joach</t>
  </si>
  <si>
    <t>Iraceburu, Miguel</t>
  </si>
  <si>
    <t>Miguel Iraceburu</t>
  </si>
  <si>
    <t>e, vecino de Cartagena, un vale de 600 pesos , creación 10 de Abril, núm. 382,496, baxo cubierta de D. Miguel Iraceburu , de Valencia , con el penúltimo endoso de D. Antonio Fiandrino i favor de dicho EUzalde, y este no tiene presente si lo pasó al de D. Jcacbin de Lisbona,ó si lo remitió con firma</t>
  </si>
  <si>
    <t>Iraola del de Extremadura, Fernando</t>
  </si>
  <si>
    <t>Fernando Iraola del de Extremadura</t>
  </si>
  <si>
    <t>. Joseph López» y á los Cadetes D. Joseph García y D. Francisco López del regimiento de’ Granada, y D, Fernando Iraola del de Extremadura* En el de la Corona ha promovido S. M, ¿ segundos Subtenientes al Sargento primero D. Francisco González Díaz y al Cadete del regimiento dé León D* Ruperto Fer^ nandez Rádál; en e</t>
  </si>
  <si>
    <t>Irazabal, Benito</t>
  </si>
  <si>
    <t>Benito Irazabal</t>
  </si>
  <si>
    <t>e del de Míircía: D. Luis Valanzati ídem del de Navarra: D. Nazareo Eguia, D. Pedro Díaz de Ribera, D. Benito Irazabal y D. Isidoro García de Montejo, Cadetes del de Extremadura, Voluntarios de Castilla, Príncipe j Granada: D. Joseph Velarde, segundo Subteniente del primer batallón do infantería liger</t>
  </si>
  <si>
    <t>Irribarren, Miguel</t>
  </si>
  <si>
    <t>Miguel Irribarren</t>
  </si>
  <si>
    <t>guiente con las e ntidades correspondientes á cada individuo , que se remitieron en libranza colita D. Miguel Irribarren, de Cádiz. Los interesados acudirán porla Secretaría de N eva España á promover el cobro de lo que les pertenezca* advirtiendo que se tendrán por legítimas las personas de los que</t>
  </si>
  <si>
    <t>Iruegas, Mateo</t>
  </si>
  <si>
    <t>Mateo Iruegas</t>
  </si>
  <si>
    <t>. En la compañía Española de Guardias de Corps ha nombrado el Rey Brigadieres á los Sub-Brigadieres D. Mateo Iruegas y D. Joseph Guillen: para Sub-Brigadieres á los Cadetes D. Roque Parrada y D. Manuel Pallares : para Cadetes de número á los supernumerarios D. Manuel de Ayala'y D. Francisco Aguirre</t>
  </si>
  <si>
    <t>Isabel de Brunswick, Princesa</t>
  </si>
  <si>
    <t>Princesa Isabel de Brunswick</t>
  </si>
  <si>
    <t>muy conocido por su gran valor, y en toda Turquía le llaman el Terrible. jBerlín 2g de Agosto. L a Princesa Isabel de Brunswick, primera esposa del difunto Rey de Prusia, llegó de Stettin á Charlotemburgo para suplicar á S. M. pig.ise sus deudas, y aumentase su pensión, que no pasa de 14© escudos. El Rey c</t>
  </si>
  <si>
    <t>Isabel Maltes</t>
  </si>
  <si>
    <t>rmandad de Ntra. Sra. de los Remedios , t|m 380,120. Un horno calle de Sra. Lucía, del patronato de Doña Isabel Maltes, «4 144,866. Una casa calle de la Jara quemada , de id. en 318,340. Otra id. á heispalda de id. en 318,340. Otra calle de Sta. Domingo, de la cofradía dei Cán^n, en 88,068. Otra c</t>
  </si>
  <si>
    <t>Isabel y María Josepha, María</t>
  </si>
  <si>
    <t>María Isabel y María Josepha</t>
  </si>
  <si>
    <t>ra. Infanta Doña María Luisa, con su esposo el; Sr; Infante Príncipe de Parma, y las Sras. Infantas Doña María Isabel y Doña María Josepha. Igualmente el Príncipe Ntro. Sr&gt; y las demas personas de la Real familia se transfirieron él mismo dia; al sitio de S. Lorenzo el Real, excepto el Sr. Infante D. Antonio, que ha</t>
  </si>
  <si>
    <t>Isabel, María</t>
  </si>
  <si>
    <t>María Isabel</t>
  </si>
  <si>
    <t>ayer se vistió la corte ele gala en el Real sitio de S. L con motivo de los dias de la Sra. Infanta Doña María Isabel. j-creiizo Con fecha de 4 de este mes se ha servido S. M. expedir el decreto del tenor siguiente: En atención á quanto me ha representado el Cardenal D. Francisco de Lorenzana he</t>
  </si>
  <si>
    <t>Isasy, Joseph</t>
  </si>
  <si>
    <t>Joseph Isasy</t>
  </si>
  <si>
    <t>iente Don Jacobo Oliva: en el de Córdoba á primeros Subtenientes á los segundos Dv Juan Riberiego y D. Joseph Isasy: en el de Sevilla á segundo Teniente de granaderos ál de fusileros D. Cipriano Domínguez; á segundo Teniente al primer Subteniente D. Domingo Figueroa; y á segundos Subtenientes a</t>
  </si>
  <si>
    <t>Iselin</t>
  </si>
  <si>
    <t>icularidad los Cantones orientales, que ya padecían hambre. Están nombrados los ciudadanos Iselin y Laroche de Basilea para ir al quartel general austríaco, y concertar con el General Kray el restablecimiento libre de los correos y del comercio entre Suiza y Alemania. strasburg</t>
  </si>
  <si>
    <t>Isidro</t>
  </si>
  <si>
    <t>n Tomas de Santa Cruz ; á Capitanes á los primeros Tenientes dé granaderos D» Francisco Witamberg y D. Isidro dél Carpió; á primeros Tenientes de granaderos á. los de fusileros D; Antonio- Uclés y D* Antonio Camps ; á rimeros Tenientes á los segundos dé granaderos^ Di Joseph Meliton dé g ara</t>
  </si>
  <si>
    <t>Isidro Antonio Llórente</t>
  </si>
  <si>
    <t>ica que á orilla del rio Ega , extramuros. de. la ciudad de Esteila, en dicho Reyno, ha-establecido D. Isidro Antonio Llórente ,'quien baxo el nombre de Sociedad de Llórente é hijo hace las negociaciones dé comeVcio en la misma ciudad. En el dia se elaboran bayetas de todos colores J y bayétonéá rhczciado</t>
  </si>
  <si>
    <t>Isidro Casado</t>
  </si>
  <si>
    <t>Julier y compañía , y otros qualesquiera interesados á los bienes que quedaron por fallecimiento de D. Isidro Casado , primer Marques que fue de Monteleon, acudirán á justificar sus respectivos créditos ante los Sres. del Real Consejo de Hacienda en Sala de Justicia, por la escribanía de Cámara»</t>
  </si>
  <si>
    <t>Isidro Dorca</t>
  </si>
  <si>
    <t>Gerona......... ........... .............. p2. 19. QUARTA COMPAÑÍA. • Sargento. Isidro Dorca, hijo de Felipe é Ines, natural de Manresa, Corrjígimiento idem................................................... 167. 28. Otro... Pedro Robert, hijo de otro y Ana María, natural de</t>
  </si>
  <si>
    <t>Isidro Hernández Huerta</t>
  </si>
  <si>
    <t>eph Gutiérrez: para el Beneficio de S. Nicolás de la ciudad de Cuenca, vacante por fallecimiento de D. Isidro Hernández Huerta, á D. Francisco Martínez Vados: para la Prestamera de la villa de Montalbo, en la misma diócesis de Cuenca, vacante por muerte de D. Martin Trasviña, á D. Francisco Arias Ximenez,</t>
  </si>
  <si>
    <t>Isidro López Alban</t>
  </si>
  <si>
    <t>e los Reales Consejos, D. Telesforo de Ibarrola, D. Elias Mariategui, D. Francisco Palacip Velarde, D. Isidro López Alban,D. Joseph Hernández San,u Cruz, Don Manuel González Villamil, D. Joseph Rinconada , D. Paulo de Norieí?a, D. Joachín Serra y Franch., D. Eustasio González, D. Juan Valle-Espinosa</t>
  </si>
  <si>
    <t>Isidro Masquiaran</t>
  </si>
  <si>
    <t>uiz: para una Canongía de la catedrill de Salamanca, vacante por muerte de D. Joseph Perez Mesía, á Don Isidro Masquiaran, Canónigo de Zamora; y para el Medio Pontifical de Fazalcázar, en la vicaría de Utrera, arzobispado de Sevilla, vacante por fallecimiento de D. Romualdo Antonio de Aguilar , á D,</t>
  </si>
  <si>
    <t>6$ rs. á favor de la expresada Real capilla: para la Canongía que obtenia en la Catedral de Zamora D. Isidro Masquiaran , y resulta vacante por haber pasado á otra de Salamanca, á D. Martin Perez de Tejada, Capellán de honor de S. M. supernumerario: para el Beneficio de la parroquial de la ciudad d</t>
  </si>
  <si>
    <t>Isidro Poch</t>
  </si>
  <si>
    <t>c&gt;, Corregimiento de Gerona............................................ 55. 3o. Isidro Poch, hijo de Justo y Margarita , natural de GeSEGUNDA COMPAÑÍA. Joseph Bertrana, hijo de otro y Mariana, natural de San Boy de Llusanés , Corregimiento de Vique................... 55. 30. J</t>
  </si>
  <si>
    <t>Isidro Quintana</t>
  </si>
  <si>
    <t>tural de Casa de la Selva , Corregimiento de Gerona................... 41. 22.' Isidro Quintana, hijo de Joseph y María, natural de Gualta, Corregimiento de Gerona............... ........... ,.... 42. 24. Cabo.. Antonio Rubira , hijo de otro y Magdalena, natural de Ceros, Corregim</t>
  </si>
  <si>
    <t>Isidro Valverde</t>
  </si>
  <si>
    <t>btenientes , D. Antonio a losy Cadetes Casanoves D. Rafael D, Manuel Cadabid, y al Sargento primero D. Isidro Valverde: y en el de Ñapóles a Ca^ pitan de granaderos al de fusileros D. Juan Raiberti ; a Capitán al primer Teniente de granaderos D. Pablo Duvernon ; a primer Teniente de grana-&gt; deros</t>
  </si>
  <si>
    <t>Isla, Pedro Manuel</t>
  </si>
  <si>
    <t>Pedro Manuel Isla</t>
  </si>
  <si>
    <t>stainante: para otro titulado de Urueña , en la diócesis de Palencia,, vacante por fallecimiento de D. Pedro Manuel Isla, á D. A ntonio' Sacristán: para el Deanato de la catedral de Solsona á D. Silvestre Pueyo: para una Canongía de la santa iglesia de Ciudad-Rodrigo, vacante por fallecimiento de D.</t>
  </si>
  <si>
    <t>Italiski, Príncipe</t>
  </si>
  <si>
    <t>Príncipe Italiski</t>
  </si>
  <si>
    <t>Emperador de Alemania la siguiente carta al Conde de Suwarow con fecha de 2 de este mes: „Mi amado Príncipe Italiski. Aunque el Teniente General Príncipe de Gorstchakow no ha tenido proporción "de concurrir á la campana de Italia, he resuelto hacer una excepción á su favor; pues por una parte es</t>
  </si>
  <si>
    <t>lia y Alemania. Uno de ellos ha traído la noticia de la muerte del Feld-Mariscal Conde de Suwarow , Príncipe Italiski, acaecida en Petersburgo el 18 de Mayo.__ Los dos correos de gabinete ingleses, que estuvieron detenidos muidlo tiempo en Rusia por orden del Emperador , se embarcaron al fin con</t>
  </si>
  <si>
    <t>Iturraldcn, Pedro</t>
  </si>
  <si>
    <t>Pedro Iturraldcn</t>
  </si>
  <si>
    <t>ma D. Joachin de Zea y D. Joseph Escovcdo , y Teni ntes á los Alféreces de ella D. Joseph Carrillo, D. Pedro Iturraldcn, D. Pedro de Iriberri y D. Antonio Zea, Teniente del regimiento de dragones de la Rey na. . Al Teniente Coronel D. Juan de Villalba, Sargento mayor de la plaza de Cádiz, ha conced</t>
  </si>
  <si>
    <t>Iturzaeta, Francisco Ignacio</t>
  </si>
  <si>
    <t>Francisco Ignacio Iturzaeta</t>
  </si>
  <si>
    <t>ín de Yun y Barbia , D. Diego Echagiie, JD. Bernardo Joachín Gainza, D. Francisco Xavier Larreandi, D. Francisco Ignacio Iturzaeta, D. Francisco Cardaveras, D. Ignacio Larrañaga, y D. Miguel Juan de Barcaiztegui; los primeros Tenientes D. Joseph Xavier de Lozano, D. Joseph Ramón de Zavala, D. Pedro Joseph de</t>
  </si>
  <si>
    <t>IV, Carlos</t>
  </si>
  <si>
    <t>Carlos IV</t>
  </si>
  <si>
    <t>cribano, caííe, de las Carretas, y de Ramos, carrera de S. Gerónimo. Retrato de Cárlos IV , en quarto, adornado con un gracioso rasgo que observa los tres trazos de la pluma , y en él se ha incluido la cronolo</t>
  </si>
  <si>
    <t>acabadas con los bustos del fundador el Sr. D. Carlos III, del Rey Ntro. Sr. D. Carlos IV, y del difunto Pontífice Pió VI: manifestando á la sociedad las pruebas de su afición, á que respondió en nombre del cu</t>
  </si>
  <si>
    <t>IV, Fernando</t>
  </si>
  <si>
    <t>Fernando IV</t>
  </si>
  <si>
    <t>,,Ya llegó, romanos, el momento tan deseado por mi magnánimo y piadoso Soberano Fernando IV , Rey de Jas Dos Sieilias : momento en que S. M. va á restablecer al supremo Pontífice en su trono, devolviéndole (segú</t>
  </si>
  <si>
    <t>IVla-T</t>
  </si>
  <si>
    <t>á favor de D. Miguel Crespo, 3a entregará en la Dirección de Temporalidades en S. Isidro el Real á D. IVla-T nuel Zorrilla. Habiéndose extraviado un vale Real de i-go pesos, creación de 15 de Marzo, núm. 23&lt;S,88o, el sugeto que le hubiese encontrado le entregará en Ja calle de la Cruz, n</t>
  </si>
  <si>
    <t>IX Juan de Toda, Coronel</t>
  </si>
  <si>
    <t>Coronel IX Juan de Toda</t>
  </si>
  <si>
    <t>de Cádiz al Teniente General IX Tomas de Moría ; y el Corregimiento de Viiia• franca de Panadús al Coronel IX Juan de Toda., Comandante del tercer batallón del regimiento de infantería de Mallorca. Atendiendo eí Rey á las reiteradas instancias del Sr. D. Juan Manuel de Te tibes y Acevedo, Auditor deca</t>
  </si>
  <si>
    <t>IX Tomás de Moría, Teniente General</t>
  </si>
  <si>
    <t>Teniente General IX Tomás de Moría</t>
  </si>
  <si>
    <t>Christdbal Ruiz Moron. S. M. lia con Ib rijo el Gobierno militar y político de la plaza de Cádiz al Teniente General IX Tomas de Moría ; y el Corregimiento de Viiia• franca de Panadús al Coronel IX Juan de Toda., Comandante del tercer batallón del regimiento de infantería de Mallorca. Atendiendo eí Rey á las reit</t>
  </si>
  <si>
    <t>Ixart, Francisco (coronel)</t>
  </si>
  <si>
    <t>Coronel Francisco Ixart</t>
  </si>
  <si>
    <t>Coronel D. Juan Perez Monte; y el de la Colonia del Nuevo Santander , en Nueva España, al Teniente Coronel Don Francisco Ixart. También se ha servido S. M. conferir la Sargentía mayor del regimiento provincial de dragones de S. Luis, en el Reyno de Nueva España, á D. Joseph Blanco, Capitán de la segunda c</t>
  </si>
  <si>
    <t>Izagúirre, Joachín Salvador</t>
  </si>
  <si>
    <t>Joachín Salvador Izagúirre</t>
  </si>
  <si>
    <t>n^ te al segundo graduado de Capitán D. Pedro Revenga: en el de Borbon á Alférez al Portaestandarte D. Joachin Salvador Izagúirre , y á esta resulta aí Cadete del de Santiago D. Francisco de Paula Márquez: en el de Alcántara á Ayudante al primer Teniente D. Mariano Sarrasqueta ; á esta resulta al primer Teni</t>
  </si>
  <si>
    <t>Izquierdo, Domingo (teniente general)</t>
  </si>
  <si>
    <t>Teniente General Domingo Izquierdo</t>
  </si>
  <si>
    <t>roceso formado en Li plaza de Pamplona acercó de la rendición de la de S. Sebastian, que remitió el Teniente General Don Domingo Izquierdo, Presidente del consejo de guerra de Oficiales generales, celebrado con arreglo á ordenanza para conocer y sentenciar sobre el asunto, se ha servido aprobar la sentencia pronuncia</t>
  </si>
  <si>
    <t>J'uan Antonio Santa María</t>
  </si>
  <si>
    <t>de ésta villa* Quien quisiere? hacer mejora á qualquiera de las expresadas casas acuda ante el Sr. D. J'uan Antonio Santa María, primer Teniente Córrég-idor de esta villa , y escribanía de D* Luis Perez Peñuelas, que se admitirán las que hicieren. ‘ - Én lá villa déCasarubios dél Monte, provincia de Toledo</t>
  </si>
  <si>
    <t>Jablonowski, General</t>
  </si>
  <si>
    <t>General Jablonowski</t>
  </si>
  <si>
    <t>la derrota en que se hallaban los enemigos , mande atacar los puestos atrincherados de Forconi. El General Jablonowski acometió por el frente , y Brunet los cercó por la izquierda. Los defendían 2500 hombres; pero no hicieron gran resistencia, y dexáron en nuestro poder 6co prisioneros. Envié lueg</t>
  </si>
  <si>
    <t>segunda enForli. La división cisalpina del GeneralTino, y Ja brigada de cazadores de á caballo del General Jablonowski, tuvieron orden de aprontarse á marchar. El General Sommariva, en vez de responderme sobre el objeto de la notificación, se limitó á avisarme el recibo de mi carta, y decirme que</t>
  </si>
  <si>
    <t>Jacinta Martínez de Cu</t>
  </si>
  <si>
    <t>va, de id. en|f 85,4)43. Otra calle de Guanteros, de •id. en 71,405. Otra calle Ancha, del patrona^ Doña Jacinta Martínez de Cu— salada, en 760,437. Otra calle de los B'lancfl^ ;1) dKtl patronato de Sánchez Cortés, en 443,898. Otra calle de la Torre, de id. *|n ,438. Otra calle de la Palma, de id. en 393,9</t>
  </si>
  <si>
    <t>Jacobo Carrillo</t>
  </si>
  <si>
    <t>oseph Montero; á segundos Tenientes de granaderos á los de fusileros D. Manuel Fernandez de Olarte, D. Jacobo Carrillo y D. Christóbal Medina; á segundos Tenientes á los Subtenientes de granaderos D. Andrés Caballero, D. Antonio Ximenez y D. Joseph Hernando; á Subtenientes de granaderos á los primeros</t>
  </si>
  <si>
    <t>Jacobo Gil de Avalle</t>
  </si>
  <si>
    <t>el Riesch, D. Francisco Calderón de la Barca, D. Luis Solana, D.Fernán.lo Navia,D. Miguei Forcalio, Don Jacobo Gil de Avalle, D. Joachin Ponte, D.Francisco Arnau, D. Joachin Hidalgo y D. Luis de Sotomayor. El Rey se ha servido promover á Teniente Coronel del regimiento provincial de Monterey á D. Baltas</t>
  </si>
  <si>
    <t>Jacobo Kaysser</t>
  </si>
  <si>
    <t>Subteniente de granaderos al de fusileros D. Fidel de Reding: en el de Yann á Ayudante al Teniente D. Jacobo Kaysser ; á Teniente al Subteniente de granaderos D. Joseph Niderberger; y á Subteniente de granaderos al de fusileros D. Remigio Kaysser; concediendo también grado de Capitán al Ayudante</t>
  </si>
  <si>
    <t>Jacobo Manuel Manrique</t>
  </si>
  <si>
    <t>ente, á virtud de providencias del mismo Señor TenfcatéT de Corregidor , y escribanía del número de D. Jacobo Manuel Manrique , de conse«Mriii{||entt&gt; de los interesados se vende una cabaña de ganado lanar fino, crashufliifite, con todos sus enseres y pertrechos , que según el recuento executado en el es</t>
  </si>
  <si>
    <t>idor de esta villa D. Pedro Gonfcalez Calderón por comisión particular ante el Escribano del número D. Jacobo Manuel Manrique, se ha mandado sacar á pública subasta, por término de 30 dias contados desde esta fecha, una dehesa, término de la ciudad de Salamanca llamada de Estacas, con término redondó y j</t>
  </si>
  <si>
    <t>Jacobo Oliva</t>
  </si>
  <si>
    <t>rimer Subteniente al segundo Don Joseph León de Segrí: en el de Soria á Ayudante al primer Teniente Don Jacobo Oliva: en el de Córdoba á primeros Subtenientes á los segundos Dv Juan Riberiego y D. Joseph Isasy: en el de Sevilla á segundo Teniente de granaderos ál de fusileros D. Cipriano Domíngu</t>
  </si>
  <si>
    <t>Jacobo Traxler, Jorge</t>
  </si>
  <si>
    <t>Jorge Jacobo Traxler</t>
  </si>
  <si>
    <t>lix Obersteg y D. Francisco Zelger, y á Subtenientes de fusileros á los Cadetes D. Fernando Gasser, Don Jorge Jacobo Traxler, D. Jum Godt y D. Francisco Scheer; y en el Suizo de Courten Tenencia de fusileros al Subteniente de granaderos D. Joseph Elias de Courten; y esta resulta al Subteniente de fusile</t>
  </si>
  <si>
    <t>Jacobo Velarde</t>
  </si>
  <si>
    <t>al de Soria D. Vicente Ruiz: en el de Burgos Tenencias á los Subtenientes de granaderos y cazadores D. Jacobo Velarde y D. Pedro Villaluenga: en el de Córdoba la ,Tenencia de granaderos ai Teniente D. Rafael Saravia, y una Subtenencia de bandera al Sargento primero D. Felipe Pacheco: en el de Ciudad-</t>
  </si>
  <si>
    <t>Jacopin, General</t>
  </si>
  <si>
    <t>General Jacopin</t>
  </si>
  <si>
    <t>tre muertos y heridos , una bandera, 8 piezas de artillería, y copiosísimos almacenes y bagages. El General Jacopin y el Ayudante general Monroux están heridos.”__ En posdata añade Dessolles: „ Queriendo el General en xefe impedir que los enemigos se uniesen con el cuerpo que tienen en los Grisones</t>
  </si>
  <si>
    <t>Jacot, Francisco</t>
  </si>
  <si>
    <t>Francisco Jacot</t>
  </si>
  <si>
    <t>Ingenieros en segundo de sus exércitos, plazas y fronteras á los ordinarios D. Pedro Roig de Lluis, D. Francisco Jacot y D. Antonio J acot. El Rey ha conferido el Gobierno de la plaza de Alburquerque al Brigadier é Ingeniero director D. Juan Francisco Mestre. En los cuerpos provinciales de la penínsul</t>
  </si>
  <si>
    <t>James Pultney</t>
  </si>
  <si>
    <t>e se dexe libre la fragata dinamarquesa y su convoy. También acaba el gobierno de recibir cartas de Mr. James Pultney, escritas en alta mar á 27 de Agosto. Avisa que desembarcó sus tropas cerca del Ferrol para probar si podría hacerse dueño de aquella plaza por sorpresa; pero hallándola mas fuert</t>
  </si>
  <si>
    <t>hoíf ha recibido orden para restituirse á los puertos de Crimea. Las tropas que lleva baxo su mando Mr. James Pultney se han enviado al Mediterráneo escoltadas por los navios nombrados Ayax y Gibraltar. Los demas buques, que se habian destacado de aquella esquadra, han vuelto á incorporarse con e</t>
  </si>
  <si>
    <t>James Watts</t>
  </si>
  <si>
    <t>l acta babeas Corpus. * En las últimas gazetas inglesas sé han publicado los artículos siguientes: „Mr. James Watts, de Henstcck, mozo de 19 años, se casó eí mártes 28 de Enero, después de obsequiarla 3 solos dias , con Mistris Maria Astin , que tiene 80 años de edad, y hace 2 meses quedó viuda</t>
  </si>
  <si>
    <t>Jamin, Nicolás</t>
  </si>
  <si>
    <t>Nicolás Jamin</t>
  </si>
  <si>
    <t>tro tomos,zncFruto de mis lecturas, ó máximas y sentencias morales y políticas: compuesto por el P. D. Nicolás Jamin, de la congregación de S. Mauro, autor délos Pensamientos teológicos} sacadas de varios autores profanos, i que añadió stfs propias reflexiones para instrucción de las personas en</t>
  </si>
  <si>
    <t>Japón, Juan</t>
  </si>
  <si>
    <t>Juan Japón</t>
  </si>
  <si>
    <t>lla á D. Juan Modesto Peringer; y por primeros Ayudantes de Afinador de esta y de la de Barcelona á D. Juan Japón y á D. Joseph Peringer. El Rey ha nombrado Cirujanos del primero y tercer batallón del regimiento dé infantería de Guadalaxara á D. Claudio Erraiz y D. Lorenzo Pradel; y del tercero</t>
  </si>
  <si>
    <t>Jardon, General</t>
  </si>
  <si>
    <t>General Jardon</t>
  </si>
  <si>
    <t>han recibido refuerzos los cuerpos republicanos que se hallan en los contornos de Bregentz. El del General Jardon se adelanta hácia Feldkirch; y varios destacamentos crecidos han llegado al valle del Riiin. Se ha restablecido la comunicación entre las dos márgenes de este rio, y se va á echar</t>
  </si>
  <si>
    <t>Jaudencs, Vicente</t>
  </si>
  <si>
    <t>Vicente Jaudencs</t>
  </si>
  <si>
    <t>o Gómez del Toral. También ha concedido S* M. los honores de Comisario Ordenador de sus ejércitos á D. Vicente Jaudencs, Administrador general de todas rea-' tas de la provincia de Murcia. En la gazeta anterior r pág^ 347, lín- n , donde se díxo D. Lorenza Ron, debe leerse Bou. Por providencias del</t>
  </si>
  <si>
    <t>Jaume, Bartolomé</t>
  </si>
  <si>
    <t>Bartolomé Jaume</t>
  </si>
  <si>
    <t>Madriz, Racionero de la de Avila: para ia Pabordia vá3 nte en la catedral de la isla de Mallorca á D. Bartolomé Jaume, Ad-* Ca;«ictrador de la Real casa general de Expósitos de aquella, isla 5 7 para‘ ™ Beneficio de la misma catedral á D. Miguel Vidal, en atención al 2eío con que dichos dos Presb</t>
  </si>
  <si>
    <t>Jáuregui, Miguel Antonio</t>
  </si>
  <si>
    <t>Miguel Antonio Jáuregui</t>
  </si>
  <si>
    <t>ada arroba de papeL extrangero de qualquiera clase que sea : ” debe decir en cada resma de papel. A D. Miguel Antonio Jáuregui, vecino de Vergara, en Guipúzcoa, se le extraviáron dos vales Reales de 150 pesos, creación de Marzo, números 249,1 $7 y 249,1^8: el uno endosado en la renovación á la orden de D.</t>
  </si>
  <si>
    <t>Jayme Alemán</t>
  </si>
  <si>
    <t>lmente vacante en dicha iglesia por promoción de D. Juan Joseph Aldama á una Canongia de Córdoba, á Don Jayme Alemán: para el Arcedianato de Villaviciosa, Dignidad déla catedral de Oviedo, vacante por fallecimiento de D. Manuel de Llano Ponte, á D, Pedro Aiv-arez Caballero: para la Canongia de l</t>
  </si>
  <si>
    <t>Jayme Cárlos Burguet</t>
  </si>
  <si>
    <t>Navarro. D. Frutos de Alvaro Benito, vecino y del comercio de esta corte, remitió el 37 de Enero á D. Jayme Cárlos Burguet, de Badajoz, 4 vales de óoo pesos, creación de Abril, números 33&lt;*3903&gt; 3793**3 3 3815,091 y 393,292, los que se han extraviado. Quien supiere de ellos dará aviso á dichos sugetos</t>
  </si>
  <si>
    <t>Jayme Crabtree, Capitán</t>
  </si>
  <si>
    <t>Capitán Jayme Crabtree</t>
  </si>
  <si>
    <t>afc 6 de la tarde fondeó en esta bahía el bergantín ingles el Alerta, de porte.de 140 toneladas, su Capitán Jayme Crabtree, cargado de aceyte, procedente de Mesina, y destinado á Londres, que habiendo salido dé Gibraltar la mañana del mismo con un convoy de su nación escoltado por 2 navios de línea y</t>
  </si>
  <si>
    <t>Jayme de Beaufort</t>
  </si>
  <si>
    <t>á esta resulta al Subteniente D. Domingo Brandis: en ei de Ñipóles á primer Subteniente al segundo D. Jayme de Beaufort. S. M. se ha dignado promover en el regimiento de caballería del Príncipe á Capitanes á los primeros Tenientes D. Rodrigo Machuca y D. Juan Courtoy: en el de Farnesio á Capitán al</t>
  </si>
  <si>
    <t>Jayme de Luna</t>
  </si>
  <si>
    <t>jLnireu- de Herrera, en 482,641. Otra id. en 385,746. Otra calle de Santiago, , ¡|ell patronato de D. Jayme de Luna, en 434,718. Otra calle Nueva, de id. en|f 85,4)43. Otra calle de Guanteros, de •id. en 71,405. Otra calle Ancha, del patrona^ Doña Jacinta Martínez de Cu— salada, en 760,437. Otr</t>
  </si>
  <si>
    <t>Jayme Doz</t>
  </si>
  <si>
    <t>lico por donde se va desde esta ciudad á la villa de Malón , con sendero de Cancellada y heredad de D. Jayme Doz, tasado en 160 libras jaquesas, y de renta al afio 2 cahíces de trigo. 4.0 Otra heredad sita en el mismo término de carrera Malón , con 8 olivos , 2 nogales , y una porción de árb</t>
  </si>
  <si>
    <t>Jayme Dulf</t>
  </si>
  <si>
    <t>clase que sean. Parece que en algunos distritos de Irlanda se renueva la fermentación popular: pues Mr. Jayme Dulf, que manda en Limerick, ha publicado una orden, por la qual previene á los habitantes de aquella ciudad escriban sus nombres en las puertas de sus casas, se retiren á ellas á las</t>
  </si>
  <si>
    <t>Jayme Gunning</t>
  </si>
  <si>
    <t>l primer Teniente de granaderos D. Alexandro Eagar; á primer Teniente de granaderos al de fusileros D. Jayme Gunning; á primer Teniente al segundo de granaderos D. Joseph Rossy; á segundos Tenientes de granaderos á los de fusileros D. Antonio Barellas y D. Lúeas Savage; á segundo Teniente al Sub</t>
  </si>
  <si>
    <t>Jayme Mazip</t>
  </si>
  <si>
    <t>*&gt;31 bre: en el de Mallorca á ségundo Teniente al Subteniente de granaderos D. Jayme Mazip, y á primer Subteniente al segundo D. Juan Cortijo : en el de España á primer Teniente al segundo D. Francisco Martin; á segundo Teniente al Subteniente de granaderos D. Joseph Ca</t>
  </si>
  <si>
    <t>Jayme Parella</t>
  </si>
  <si>
    <t>ndo Teniente al Alférez de granaderos D. Andrés Dehuerne, y á Alférez de granaderos al de fusileros D. Jayme Parella. En América. El Rey se ha servido conferir el empleo de Factor de Tabacos de la factoría de !a provincia de S. Salvador, en Goatemala, á Don Nicolás Covo Pelaez: el del partido de</t>
  </si>
  <si>
    <t>Jayme Puigdemolas</t>
  </si>
  <si>
    <t>natural de Reus , Corregimiento de Tarragona........................ . 49. 14. Jayme Puigdemolas, hijo de Joseph y Rosa , natural de Riüdarenas , Corregimiento de Gerona........... ............. 5$. 30. Joseph Mas , hijo de Gregorio y Francisca , natural de Furiosos, Corregimiento</t>
  </si>
  <si>
    <t>Jayme Pultney, Teniente General</t>
  </si>
  <si>
    <t>Teniente General Jayme Pultney</t>
  </si>
  <si>
    <t>sta que al cabo de varias conferencias se ajustó la capitulación en los términos que ya se sabe. El Teniente General Jayme Pultney , que quedó en* el Helder cuidando del embarco, recogió todo, excepto algunos víveres dañados, algunos carros, y al pie de •300 caballos de tiro, que entregó á los magistrados de</t>
  </si>
  <si>
    <t>Jayme Serra</t>
  </si>
  <si>
    <t>l Corao. S. M. se ha dignado nombrar. Cirujano del batallón de cazadores Voluntarios de Barbastro á D. Jayme Serra: del tercero del regimiento de infantería de la Princesa á D. Joseph Aloy: del segundo del de Sevilla á D. Joseph Lacasa; y del primero del de la Corona á D. Juan Tcllez de Pedraj</t>
  </si>
  <si>
    <t>Jayme Steudinger</t>
  </si>
  <si>
    <t>rgento primero'Don Felipe Aíarcenaro: en el de Suizos de Reding á Sargento Mayor al Capítan segundo D. Jayme Steudinger; á Capitán de granaderos al Capitán segundo D. Antonio Pedotty; á Capitán primero al segundo D. Aíartin Schwendbulh ; á Capitanes segundos á los Tenientes de granaderos D* Bernard</t>
  </si>
  <si>
    <t>Jayme Ubach</t>
  </si>
  <si>
    <t>e, Barcelona, ■ A consulta de la Junta general de Comercio y Moneda se ha servido el Rey conceder á D. Jayme Ubach facultad de poner el escudo de armas Reales sobre las puertas de; su fábrica, de i vidrios cristalinos de Bacarisas, corregimiento de Man'resa en Cataluña , y en los almacenes que</t>
  </si>
  <si>
    <t>Jayme Viñas</t>
  </si>
  <si>
    <t>, natural de Anglés, Corregimiento de Gerona....... .................... 51. 3. Jayme Viñas, hijo de Antonio y María, natural de Bulpellich, Corregimiento de Gerona............................... . 52. 20. , Ramón Domingo , hijo de Pablo y Teresa , natural de Mqntblanch, Corre</t>
  </si>
  <si>
    <t>Jayme y Ana</t>
  </si>
  <si>
    <t>..!;..... ................................ ;.... 55.- 30. Lu is Renart,.hijo de Jayme y Ana', natural de Villanova, Corregimiento de Gerona.......... ............................... .. 55. 30. Benito Frexas, hijo de otro y Catalina, natural de Geroqa, Corregimiento ídem...........</t>
  </si>
  <si>
    <t>Jayme y Ana María</t>
  </si>
  <si>
    <t>, Corregimiento de Lérida..................... 55. 30. Joseph Quintana, hijo de Jayme y Ana María, natural de la Muga, Corregimiento de Gerona......... .............. 52. 15. Jayme Cantare!!, hijo de Tomas y Rosa, natural de Manresa, Corregí miento idem......... .......................</t>
  </si>
  <si>
    <t>Jayme y Gertrudis</t>
  </si>
  <si>
    <t>é..................................... . 55. «0m Cabo.. Salvador Mirét, hijo de Jayme y Gertrudis, natural de . Cardedeu , Corregimiento de Granullés...................... 124. Joseph Pagés, hijo de Antonio y María, natural de Ullár, Corregimiento de Gerona............... .............</t>
  </si>
  <si>
    <t>Jayme y Margarita</t>
  </si>
  <si>
    <t>, Corregimiento de Puigcerdí......... .d........ . 124. Pedro Casreils, hijo de Jayme y Margarita , natural de S. Andrés de la Bola , Corregimiento de Vique............ 53. 32. Mateo Cadena, hijo de Francisco y Francisca , natural de Montellá , Corregimiento de Urge!....................</t>
  </si>
  <si>
    <t>Jayme y María</t>
  </si>
  <si>
    <t>Joseph Colom, hijo de Jayme y María, natural de Lladc&gt;, Corregimiento de Gerona............................................ 55. 3o. Isidro Poch, hijo de Justo y Margarita , natural de GeSEGUNDA COMPAÑÍA. Joseph Bertrana, hij</t>
  </si>
  <si>
    <t>Jayme y Rosa</t>
  </si>
  <si>
    <t>ento de Manresa.................................. 55. 30. Antonio Boix, hijo de Jayme y Rosa, natural de Ciutadilla, Corregimiento-de Cervera................................... 55. 30. Pedro Pastoret, hijo de Otro y María, natural de Figueras, Corregimiento de Gerona..............</t>
  </si>
  <si>
    <t>Jcacbin de Lisbona</t>
  </si>
  <si>
    <t>endoso de D. Antonio Fiandrino i favor de dicho EUzalde, y este no tiene presente si lo pasó al de D. Jcacbin de Lisbona,ó si lo remitió con firma en blanco; y habiéndose extraviado, quien lo hubiese hallado lo devolverá al referido El izalde, ó á dicho Iraceburu, ó i D. Joachin de Lisbona, vecino d</t>
  </si>
  <si>
    <t>Jcachón Traggia</t>
  </si>
  <si>
    <t>os en las lecciones de Hugo Blair; y finalizados, se adjudicaron por el Sr. -Presidente y Ce nsores D. Jcachón Traggia , Antiquario de la Real Academia de la Historia y D. Pedro Estala, Bibliotecario de los Reales estudios de S.Isi.dro, los tres premios ofrecidos á los tres alumnos que mas sobresa</t>
  </si>
  <si>
    <t>Jdachm Ferreyra, Joseph</t>
  </si>
  <si>
    <t>Joseph Jdachm Ferreyra</t>
  </si>
  <si>
    <t>ndo Capitán ai teniente de granaderos D, Agustín de Prcux; a Tenientede granaderos al de -fusileros D. Joseph Jdachm Ferreyra; á Teniente de fusileros' al Subteniente de' ranaderos O, Joseph Inalbon; á Subteniente de granaderos al de fusileros’ f ). Juan Bautista Duc, y á Subteniente de fusileros ál Cade</t>
  </si>
  <si>
    <t>Je Tornos, Joachín</t>
  </si>
  <si>
    <t>Joachín Je Tornos</t>
  </si>
  <si>
    <t>egimientes de caballería se ha servido el Rey. nombrar Alférez en el de Farnesio al Portaestandarte D. Joachin Je Tornos; y segundo Teniente en el de España al Alférez D. Fernando Vázquez: y lia tenido á bien’conferir compañía en el de Santiago al Capitán D. Manuel de Ribera^ Ayudante del mismo cuer</t>
  </si>
  <si>
    <t>Je, Capitán</t>
  </si>
  <si>
    <t>Capitán Je</t>
  </si>
  <si>
    <t>las quales no se salvaron sino unas 10. El comandante de artillería San’tonax perdió 4 hijos; y eí Capitán Je:</t>
  </si>
  <si>
    <t>Jefferson y Mr</t>
  </si>
  <si>
    <t>á haciendo la elección de Presidente para el Congreso, y parece que los votos están divididos entre Mr. Jefferson y Mr. Juan Adams, que lo es actualmente. Aquellos estados envían al Congreso un representante por cada 40® almas: y hasta ahora no ha dado su población mas que 140 representantes. xn H</t>
  </si>
  <si>
    <t>JeHachich, General</t>
  </si>
  <si>
    <t>General JeHachich</t>
  </si>
  <si>
    <t>quierda del Rhin. El General Hiller ha reconcentrado sus tropas en los contornos de Meyenfeld, y el General JeHachich tiene las suyas en Feldkirch---- El General francés Jardon, que manda entre el lago de Constanza y el monte de S. Gothardo, ha dado parte al gobierno helvético de que los austríac</t>
  </si>
  <si>
    <t>Jellachich</t>
  </si>
  <si>
    <t>cuó porla noche el castillo de Feldkirch, en el qual, entráron nuestras tropas el 14 por la mañana. Mr. Jellachich se retiró ál Tirol por Pludentz y el valle de Montafun: nuestras tropas siguieron el alcance y entráron en Pludentz. Los austríacos se llevaron su artillería y sus bagages. El Gen</t>
  </si>
  <si>
    <t>Jenner</t>
  </si>
  <si>
    <t>r, Ministro plenipotenciario de Suiza en Francia , y en su lugar ha nombrado al ciud. Jenner , Comisario extraordinario del gobierno helvético en París.__ La mencionada Junta executiva ha mandado poner en libertad baxo fianza á todos los prisioneros su</t>
  </si>
  <si>
    <t>tenciario cjue íué de la República helvética , que presento sus recrcdenciales: ciud. Jenner , Ministro plenipotenciario actual de dicha República: Barón de Reitzenstein, Ministro plenipotenciario de Badén: ciud. Bocardi, Ministro plenipotenciario^ de</t>
  </si>
  <si>
    <t>Jiian Francisco Goyena</t>
  </si>
  <si>
    <t>y D. Francisco Cabrera. En el de infantería del Príncipe á Capitán al primer Teniente de granaderos D. Jiian Francisco Goyena: en el de Zamora á primer Subteniente al segundo D. Eugenio Iraurgui: en el de España á segundo Subteniente al Cadete D. Josepn Saenz de Juano: en el de Mallorca á segundo Tenient</t>
  </si>
  <si>
    <t>Jíolland</t>
  </si>
  <si>
    <t>es sesiones, atribuía todo el éxito de Ja campaña al valor y al zelo de los rusos. Por el contrario Mr. Jíolland juzga que se deben dichas ventajas á los austríacos, pues los rusos son en su dictamen unos bárbaros, que carecen de ciencia y talento. Siguió censurando la conducta del Austria,</t>
  </si>
  <si>
    <t>Jlodriguez, Francisco</t>
  </si>
  <si>
    <t>Francisco Jlodriguez</t>
  </si>
  <si>
    <t>D. Antonio Martin Perez y D. Félix. Liorens; X segundos Tenientes á los Subtenientes de granaderos D. Francisco Jlodriguez, 1). Christóbal Morte, graduado de Teniente, y D. Blas Ximenez y Lrambre, y al primer Subteniente D. Andrés Treiles; á Subtenientes de granaderos á los primeros Subtenientes D. Ma</t>
  </si>
  <si>
    <t>Jncobo Manuel Manrique</t>
  </si>
  <si>
    <t>del Sr Teniente de Corregidor de esta villa D. Pedro González Calderón ante el escribano del número D. Jncobo Manuel Manrique : quien quisiere hacer mejora á ella acuda ante dicho Señor y escribanía. Razón de fincas enagenabks en. el obispado de Tarazona. Alfaro: una heredad en la Villalengra, de 2»£ cel</t>
  </si>
  <si>
    <t>Joachín</t>
  </si>
  <si>
    <t>laza, y la Diputación al Gobernador, D. Joseph Joachín de Larburu, D. Francisco Antonio Echeverría, D. Joachín ele Garde, D. Francisco Ignacio Gaztelu, D. Vicente de Mendizaval, D. Manuel Francisco de Soraiz, y D. Ignacio</t>
  </si>
  <si>
    <t>al Teniente Coronel D. Ramón Montieí, Ayudante del provincial de Toledo, y al Capitán de infantería D. Joachín</t>
  </si>
  <si>
    <t>eniente de fusileros al Cadete D. Francisco de la Cámara, y á Subtenientes de bandera á los Cadetes D. Joachín y D. Antonio Arandap y compañía de granaderos del batallón de milicias de blancos de A ragua al Teniente Coronel D. Felipe Rodríguez, Capitán de fusileros de dicho batallón. S. M. se</t>
  </si>
  <si>
    <t>Joachín-González de Castro</t>
  </si>
  <si>
    <t>parecido á legitimar sus créditos, para que lo executen ante dicho Señor y escribanía del número de D. Joachin-González de Castro, por sí ó procurador en sus nombres* en el preciso y perentorio término de 1$ dias, que por último se les concede, en atención ¿ estar ya emplazados por i.°, a.° y 3^5 y pasado si</t>
  </si>
  <si>
    <t>Joachína y Dofiá Bárbara Frulline y Vizner</t>
  </si>
  <si>
    <t>or afio en 8 libras y 10 sueldes de igual moneda. Se desea saber el paradero de D. Pedro, D. Tadeo, Doña Joachína y Dofiá Bárbara Frulline y Vizner, hijos legítimos de D. Pedro Frulline , Médico titular que fue de la villa de Molina de Aragón , y de Doña Teresa Vizner , que ambos murieron en dicha-villa por los afios 1754 á 1</t>
  </si>
  <si>
    <t>Joachiri González de Castro</t>
  </si>
  <si>
    <t>III , del Consejo de S. Mr, primer Teniente de Corregidor de esta villa» y escribanía del numero de D. Joachiri González de Castro, se venden las casas siguientesUna en la calle de la Cabeza , mím. 13, manzana 37, propia de las memorias fundadas por Mariana Rniz,que tiene 4241^ pies de sitio, y está tasada en</t>
  </si>
  <si>
    <t>Joachiti Moles</t>
  </si>
  <si>
    <t>a Escritura , qut escribió en francés el Abad Claudio Fleun, traducidos por D. .Joachiti Moles, presbítero : en el j.° se establecen las mejores reglas para el pulpito, y en el a.° $© prueba que ios libros tagi.idcs en nada ceden aun en la eloqiiencia humana á ¡U* profanos. Se hallarán</t>
  </si>
  <si>
    <t>Joachln de Eguiarreta y Ripa</t>
  </si>
  <si>
    <t>ción á la avanzada edad y achaques del Intendente de la provincia de Cuenca, honorario de exército, D. Joachln de Eguiarreta y Ripa, ha venido el Rey en concederle su jubilación, conservándole todo el sueldo por sus apreciables servicios. Al mismo tiempo se ha servido S. M. nombrar para sucederle á D. Joseph M</t>
  </si>
  <si>
    <t>Joachln de la Torre y Düarte</t>
  </si>
  <si>
    <t>léjo; á Subteniente de granaderos al de fusileros D. Miguel Valera; á Subtenientes á los de bandera D. Joachln de la Torre y Düarte y D. Joseph Serrano, y á esta clase al Cadete D. Pedro Mórell y al Sargento primero D. llamón Castillo: en el provincial de infantería de México á Capitán ral Teniente de granaderos D</t>
  </si>
  <si>
    <t>Joachln Moles</t>
  </si>
  <si>
    <t>el moda que se le debe la adoración, procurando enmendar muchos abusos; traducida al castellano por D. Joachln Moles, presbítero: tercera edición. Se hallaré en la librería de Blánques , calle de las Carretas, mím. s. Llave nueva y universal para aprender con brevedad y perfección la lengua fran</t>
  </si>
  <si>
    <t>T04Ó ducida del francés por D. Joachln Moles, presbítero; Se' Hallará con el retrato del Santo en estampa fina'en la imprenta'y librería de-Blaftques , núm/a'r puede ir en carta: su precio un real. • ¿ ^ • i Lecciones prácti</t>
  </si>
  <si>
    <t>Joba, General</t>
  </si>
  <si>
    <t>General Joba</t>
  </si>
  <si>
    <t>se refuerza con tropas que pasan por esta ciudad. La guarnición.de Brisack-Antiguo, mandada por el General Joba, acaba de conseguir una ventaja contra los austríacos. Se asegura que crecen diariamente las desavenencias: entre las corte» de Berlín y Viena. También se dice que el General Kray</t>
  </si>
  <si>
    <t>Joceph Casas</t>
  </si>
  <si>
    <t>ural de San Boy de Llusanés , Corregimiento de Vique................... 55. 30. Joceph Casas, hijo de Roque y Rosa, natural de Sarria, Corregimiento de Gerona..................................................... 55. 30. Cabo.. Antonio Pallas , hijo de Joseph y Antonia , natural</t>
  </si>
  <si>
    <t>Jones</t>
  </si>
  <si>
    <t>éndoles tan sumamente importante él asunto, qne convenía convocar á todós los vocales de la Cámara. Mr. Jones concluyó su proposición diciendo: ,,Desde los muchos años que hace que soy miembro del Parlamento, jamas, y al cielo doy por testigo, os he visto concurrir todos ál Parlamento sin</t>
  </si>
  <si>
    <t>Pitt que se diese cuenta de todo ello á S. M. para pedir su sanción; y así se acordó*----Ayer hizo Mr. Jones en la Cámara baxa la proposición de que se tratase de paz. En su discurso intentó.probar que se han conseguido todos los puntos que eran motivo y objeto de la guerra, mediante la ev</t>
  </si>
  <si>
    <t>mos, á lo ménos cumplamos nosotros con lo que debemos, sea. qual fuere la conducta de los demas.----Mr. Jones habló á favor de la proposición de Mr. Sheridan, y este volvió á contestar á Mr. Pitt; pero al fin se desechó su propuesta por 124 votos contra 27.----En el discurso de estos deba</t>
  </si>
  <si>
    <t>durar 12 años; y habiendo concluido este término, era ya tiempo de renov-ar eLbilL ' El dia 8 hizo Mr. Jones la proposición que tenia anunciada de que se presentasen copias de las instrucciones comunicadas ál '•Comandante '-en xefe de la esquadra del Mediterráneo para que impidiese el cumpl</t>
  </si>
  <si>
    <t>que no pueden publicarse ahora sin inconveniente., Siguió el Ministro Ja defensa del ministerio; y Mr. Jones consintió en suspender su proposición: bien que previniendo á la Cámara que algún dia volverá á pedir todos los papeles necesarios para ventilar seriamente el asunto.Al día siguie</t>
  </si>
  <si>
    <t>proponía pedir á la Cámara diese por ilegítima toda remesa de dinero qüe se hiciera al Emperador.__ Mr. Jones hizo la proposición que tenia anunciada en orden á los asuntos de Egipto. De varias qüestiones que propuso infirió que Mr. Sidney Smith había obrado como Plenipotenciario del mini</t>
  </si>
  <si>
    <t>á no ser que se proponga declarar anticipadamente que los Ministros abusarán de su poder.” Contestó Mr. Jones diciendo en suma: „Si hemos de dar crédito á los Ministros, nada ha sido mas ventajoso para este país que los subsidios que se han suministrado á nuestros aliados. Pero lo cierto</t>
  </si>
  <si>
    <t>el estado de los gastos del exército y tropas terrestres hasta fines de M arzo del año que viene; y Mr. Jones encargó que se examinase con la posible escrupulosidad: pues se obligaba á probar que se reclutaba para el exército ingles como se hacia en Francia en tiempo de Rohespierre, matando</t>
  </si>
  <si>
    <t>obierno ingles se conduxo en dicha ocasión con la prudencia, elevación y decoro que le convienen___ Mr. Jones pidió el dia 20 que se comunicase á la Cámara un estado de las tropas extrangeras que están al sueldo y servicio de la Gran Bretaña. Mr, Sheridan pidió igualmente copia de los art</t>
  </si>
  <si>
    <t>Jordán, Juan Antonio</t>
  </si>
  <si>
    <t>Juan Antonio Jordán</t>
  </si>
  <si>
    <t>ón y batallón de voluntarios de Tarragona á los .Presbíteros D. Agustín Perez, D. Juan Antonio Gil, D. Juan Antonio Jordán, que lo era del de Taen, y D. Ray mundo Arch. S. M. se ha servido nombrar para una plaza de Ministro de la Real Audiencia de Mallorca á D. Pedro, de Xávaga. En cumplimiento de lo</t>
  </si>
  <si>
    <t>Jorge Juan</t>
  </si>
  <si>
    <t>cónicas, cálculo diferencial é integral, D. Joseph Cabeza de Vaca, que Obtuvo elExáinen marítimo de D. Jorge Juan ' y el Suplemento de la obra de D. Benito Bails; y en mecánica é hidráulica, el Dr. D, Joseph Badillo, D. Sebastian Llórente y D. Felipe Matheos, á los que se premió con la obra d</t>
  </si>
  <si>
    <t>Josef Gómez del Helguera</t>
  </si>
  <si>
    <t>hijo y compañía. En la de la Cebada, en casa de D. Rafael Robina. En la de Antón Martin, en casa de D. Josef Gómez del Helguera. En Puerta cerrada , en casa de D. Manuel Martínez de Salazar. En los portales de Sta. Cruz, en la tienda de D. Domingo de Larrizagá. En la calle de la Luna , en la lonja titulada</t>
  </si>
  <si>
    <t>Josef María Vincenti y O-Rian</t>
  </si>
  <si>
    <t>Joseph Mariano Torres y Arboles. En Badajoz.,»...... D. Manuel de la Peña. En Cddiz................ D. Josef María Vincenti y O-Rian. En Ciudad Real... D. Ramón Antonio Pico. En Córdoba............ Señores Barcia padre é hijo. En Ceuta................ El Tesorero del Exército. En Granada......... Señores Campos</t>
  </si>
  <si>
    <t>Josef Santiago Suárez</t>
  </si>
  <si>
    <t>... D. Manuel Antonio de Elzaurdi. En Gtiadalaxara. D. Lope María Romillo. En Oviedo............... D. Josef Santiago Suarez.</t>
  </si>
  <si>
    <t>Josef Tomé</t>
  </si>
  <si>
    <t>942 jEn Palencia........... D. Josef Tomé cíe Córdoba. En Segovia.............. D. Manuel de la Fuente. En Salamanca....... D. Manuel Salgado. En León................. D. Tomas Díaz Serrano. En Valíadalid........ D. Gabri</t>
  </si>
  <si>
    <t>Josejph Culell</t>
  </si>
  <si>
    <t>San Pol, Corregimiento de Gerona...................................... 52. 19. Josejph Culell, hijo de otro y María, natural de Ridaura, Corregimiento de Vique................................................ 52. 19. Joseph Font, hijo de Sebastian y Antonia, natural de Tarragona,</t>
  </si>
  <si>
    <t>Josepfi Poniatovvsld, Príncipe</t>
  </si>
  <si>
    <t>Príncipe Josepfi Poniatovvsld</t>
  </si>
  <si>
    <t>que al mismo tiempo salieron de Hull y de Newcastle, Hamburgo 7 de Mayo, H a muerto en Varsovia el Príncipe Josepfi Poniatovvsld* hermanó del último Rey de Polonia,</t>
  </si>
  <si>
    <t>Josepfr Buguet, Juan</t>
  </si>
  <si>
    <t>Juan Josepfr Buguet</t>
  </si>
  <si>
    <t>ará. del io al 20 de Julio de este afro.. Reglas para la inteligencia- de la sagrada Escritura: por Mr. Juan Josepfr Buguet, traducidas del francés por X): Juan de Ribera y Céspedes, oficial de la Secretaría-de Cruzada. Torno-11 y último, que contiene un apéndice'sobre la conversión generai de ios judí</t>
  </si>
  <si>
    <t>Joseph</t>
  </si>
  <si>
    <t>eros y cazadores del provincial de Segorve á los Capitanes í). Ignacio Talens Cebrian y Vallterra y D. Joseph¡JPauíagiu. y Cantero: las Tenencias á los Tementes' de fusi 1eros D. Bernardo Echeverria y D. Nicolás Llopis : las Subteneneij^ 4 los Subtenientes- dg fusileros</t>
  </si>
  <si>
    <t>Joseph Alonso</t>
  </si>
  <si>
    <t>incipales Santos y escritores de la Iglesia, que escribió en ingles el R. Albano Butler , y traduxo D. Joseph Alonso* Ortiz , con notas eruditas, y críticas de la Historia sagrada , eclesiástica y profa^»a. Esta obra e$tá-escrita con erudición profunda, escrupulosa confrontación de los hechos co</t>
  </si>
  <si>
    <t>Joseph Benito</t>
  </si>
  <si>
    <t>e infantería fixa de la plaza de Rosas al segundo Teniente del regimiento de infantería de Mallorca D. Joseph Benito; y Comandante de las compañías 4e infantería fixas de la costa de Granada á D. Francisco:Chacón , Coronel • de caballería agregado á la plaza de Motril. Fn los regimientos provinc</t>
  </si>
  <si>
    <t>Joseph, Archiduque</t>
  </si>
  <si>
    <t>Archiduque Joseph</t>
  </si>
  <si>
    <t>alia, padece algún descalabro, se retirará por el Friul hacia la Carniola, en donde le reforzará el Archiduque Joseph. Nuremberg 13 de Setiembre. H a publicado la corte de Viena un aviso relativo á la ocupación que los húsares austríacos hicieron de algunas aldeas inmediatas á esta ciudad, y á la</t>
  </si>
  <si>
    <t>Joseph- y Rosa</t>
  </si>
  <si>
    <t>imiento ídem................................... 55. 30. Isidro Planas,, hijo-de Joseph- y Rosa, natural de Sebade!I ¿ .Corregím iento&gt;de Matar©...................................... 5 5’. 3b. Domingo Serracarabasa, - hijo de Henrique y Rita, natural de S. Quirse-, Corregimiento-de V</t>
  </si>
  <si>
    <t>Josepha</t>
  </si>
  <si>
    <t>sde 6 á10 pies de largo. Los que necesitaren dichos efectos podrán corresponderse con los nominados Doña Josepha y D.. Joseph Joachín , fen la inteligencia de que ofrecen arreglar •los precios con equidad. Quaderno i.° del Atlas elemental de geografía antigua , que sirve de continuación al moder</t>
  </si>
  <si>
    <t>Josepha Benito</t>
  </si>
  <si>
    <t>ellas a algunas que viven en Madrid , y son el P. Prior del Rosario, el Coronel D. Vicente Galvez , Doña Josepha Benito, el Teniente Coronel Don Rafael de Velarde , Doña María Muñoz , ei Teniente Coronel D. Tomas Daquindehan, Doña Manuela Fernandez, D. Miguel Romero dorador, D. Vicente Ortiz de Sal</t>
  </si>
  <si>
    <t>Josepha de Castilloveitia</t>
  </si>
  <si>
    <t>ge de caballerías de todas medidas, y para hacer íleges ó arcos de hierro para pipería. Pertenece á Doña Josepha de Castilloveitia , y á su hijo D. Joseph Joachin de Gornendio, vecinos de la misma villa. En otras fábricas sitas en la citada villa, y por cuenta de los mismos, se labran también chapas de hierro</t>
  </si>
  <si>
    <t>Josepha de Valdcrrama</t>
  </si>
  <si>
    <t>, J4. |d,. en 50,489* tOtra calle de Santiago, del patronato de D. Sebastian Pinto cdejElflfctera y Doña Josepha de Valdcrrama, en 353,807. Otra calle del Hércules, d^y,cn 272,848* Otra calle de Sta. Ines,de id. en 608,463. Otra calle de Fíame 14©^ „ del f&gt;atrojiato de D. Pedro de la O , en 215,201. Otra</t>
  </si>
  <si>
    <t>Josepha del Castillo</t>
  </si>
  <si>
    <t>uc/a , de la misma memoria , tasada en 16,955 rs. = Bilbao : una casa-perteneciente á la memoria de Doña Josepha del Castillo , tasada en 33,003 rs. y renta 105 &gt;. En Colmenar Viejo las siguientes fincas que pertenecen á la memoria del Cabildo de su parroquial. Una cerca en Mata el Maello, en este términ</t>
  </si>
  <si>
    <t>Josepha Diez de la Cortina y Morales</t>
  </si>
  <si>
    <t>ey nuestro Señor D. Miguel Ruiz de Zelada, socio de número, y el de la Reyna nuestra Señora la Sra. Doña Josepha Diez de la Cortina y Morales, socia de honor y mérito, y los dos merecieron el debido aprecio de la junta. Asistió el ilustre Ayuntamiento [de Madrid, representado por su Corregidor, dos Regidores, dos Diputa</t>
  </si>
  <si>
    <t>Josepha Leorno, María</t>
  </si>
  <si>
    <t>María Josepha Leorno</t>
  </si>
  <si>
    <t>la ciudad de los Reyes y puerto de Acapulco D. Ventura de Urrutia, natural de Vizcaya, casado .con Doña María Josepha Leorno, y hijo de D. Antonio de Urrutia y de Doña Madalena de Arpide ; que sus bienes consistieron en $£9 pesos 6 rs. y 6 granos, de los quales se hallan depositados en caxa 10,191 rs. 1</t>
  </si>
  <si>
    <t>Josepha, María</t>
  </si>
  <si>
    <t>María Josepha</t>
  </si>
  <si>
    <t>del corriente falleció en la ciudad de Barcelona a la edad de 6t anos. no cumplidos la Excma. Sra. Dona María Josepha d_e Queralt, Pmós &amp;c.,' Condesil viuda de Santa Colonia , Grande de España de primera clase. Su religión , su amor y caridad con los pobres , y su afabilidad y dulzura en. el trat</t>
  </si>
  <si>
    <t>e Julio. ' A ntes de ayer se vistió la corte de gala con motivo del cumpleaños de la Señora Infanta Doña María Josepha. ■ Con fecha dea6-.de este mes se ha servido el Rey expedir el decreto siguiente: „ Sin embargo de las reiteradas instancias de mi Tesorero general D. Sebastian Martínez para que</t>
  </si>
  <si>
    <t>Josepli Antonio Garnica</t>
  </si>
  <si>
    <t>do nombrar para el Obispado de Osma, vacante por renuncia del limo. Sr. D. Fr. Juan de Moya, al Sr. D. Josepli Antonio Garnica, Canónigo Penitenciario de la catedral de Córdoba : para la Canongía de la metropolitana de Sevilla, vacante por fallecimiento de D. Joseph Barcena, á D. Francisco de Paula Bucare</t>
  </si>
  <si>
    <t>Josepli Bonn</t>
  </si>
  <si>
    <t>1 T3 ”37 El dia siguiente conferenciaron privadamente el ciud. Josepli Bonn parte y el Conde de Cobentzel, el qual á las 4 de la tarde despachó á Viena en calidad de correo á Mr. Lefevre de Rechtembourg, que es uno de sus secretarios.</t>
  </si>
  <si>
    <t>Josepli Cabrera</t>
  </si>
  <si>
    <t>la tripulación del S. Antonio, como de la atinada conducta de su Comandante el Teniente de fragata D. Josepli Cabrera, acreditada ya en la defensa que en el puerto de Truxillo hizo á las órdenes del Comandante del bergantín Resolución D. Francisco Oarrichena, con el citado $. Antonio y muchos de</t>
  </si>
  <si>
    <t>Josepli Escaño</t>
  </si>
  <si>
    <t>eron sus exercicios y evoluciones; y el 7 el Almirante Gravina, comandarire d&amp; U esquadra española, D. Josepli Escaño, su Mayor general ¿los Contra-Almirantes Gantheaume y Dumancir , algunos Generales franceses, y muchos oficiales de ambas naciones , concurrieron á dicho campo, eñ el qual desde l</t>
  </si>
  <si>
    <t>Josepli Maenza</t>
  </si>
  <si>
    <t>ey se ha servido nombrar para una Canongía de la catedral de Tarazona, vacante por fallecimiento de D. Josepli Maenza, á D. Buenaventura Bertrán y Serráis, Capellán del tercer batallón del regimiento de infantería de Aragón: para otra de la de Orihuela, vacante por fallecimiento de D. Gerónimo Ro</t>
  </si>
  <si>
    <t>Josepn Sáenz de Juano</t>
  </si>
  <si>
    <t>primer Subteniente al segundo D. Eugenio Iraurgui: en el de España á segundo Subteniente al Cadete D. Josepn Saenz de Juano: en el de Mallorca á segundo Teniente al Subteniente de granaderos D. Felipe Villalobos; y á primer Subteniente al segundo D. Joseph Blanco: en el de Murcia á Capitán de granadero</t>
  </si>
  <si>
    <t>Josepn Villaescusa</t>
  </si>
  <si>
    <t>s D. Félix Melendez, D. Joseph Nevado y D. Narciso González; á primeros Subtenientes á los segundos D. Josepn Villaescusa, D. Vicente Garrido , D. Gavino Martínez y D. Manuel Esquer; y á segundos Subtenientes á los Sargentos primeros de granaderos D. Joseph de Palma y D.. Juan de Porras, y á los Cade</t>
  </si>
  <si>
    <t>Jósepti Martínez Rosas</t>
  </si>
  <si>
    <t>orero de su iglesia: para la Média-Racion dé la catedral de Cartagena, vacante por fallecimiento de D. Jósepti Martínez Rosas, á D. Antonio Roldan Yarza: y para el Beneficio llamado de Compañía antiguó de la catedral de Plasencia, vacante por fallecimientó de B. Martin Togada* á D. Ramón Pacheco. En aten</t>
  </si>
  <si>
    <t>Jourdan, General</t>
  </si>
  <si>
    <t>General Jourdan</t>
  </si>
  <si>
    <t>odos los premiados, y también al mencionado Conde de Saint-Julien. Pía nombrado el primer Cónsul al General Jourdan para Ministro extraordinario de Ja República francesa en Piamonte. El General austríaco Zach,que llegó prisionero á Paris el 6 de Julio, ha salido de aquí el dia 27. Va muy satisf</t>
  </si>
  <si>
    <t>ue no obedecieren pagarán una multa. Turm 1 de Agosto. A ntes de ayer mañana llegó á esta ciudad ei General Jourdan, Ministro de Francia en Piamonte.__ El General Turreau, que manda las tropas francés sas en este pais, va á Bolonia, y le reemplaza aquí el General Cliabran. Ha creado el gobierno</t>
  </si>
  <si>
    <t>riguación y castigo del asesino y de sus cómplices.” Tarín 2 (7 de Agosto. A _ntes de ayer avisó el General Jourdan , Ministro de Francia en este país, a la Consulta ó Junta de gobierno,que deseaba asistir al exámen de las nuevas leyes que se deben hacer. En conseqiiencia ha suspendido dicha Co</t>
  </si>
  <si>
    <t>restía y hambre si desde luego no se toman providencias para precaverlas. Titriit 4 de Octubre. E I General Jourdan, Ministro extraordinario del gobierno francés en Píamonte, ha recibido instrucciones del General en xefe Bruñe sobre las mudanzas que deben hacerse así en la forma de este gobiern</t>
  </si>
  <si>
    <t>Jove</t>
  </si>
  <si>
    <t>y á consulta de la Junta de Comercio y Moneda se ha dignado conceder á D. Diego Cónsul Jove privilegio Rea exclusivo para la fabricación de hules de seda, lienzos finos, sombreros di- suela y pefieios de una sola pieza, y zapatos de hule de lo mismo q</t>
  </si>
  <si>
    <t>JOvSeph Clavijo</t>
  </si>
  <si>
    <t>de la carta del Barón de Huisjboldt al Sr. Barón de Forell: extracto de otra a*ría del mismo al Sr. D. JOvSeph Clavijo con el catálogo de las rocas de la Amérrícai meridional : el simíito pétreo : Buena panamensis, género nuevo : observaciones geonósticas que hizo D. Gniilelrao ThaJacker , y orden</t>
  </si>
  <si>
    <t>Jpseph Fernández de Uceda</t>
  </si>
  <si>
    <t>pira era 50# rs., los a© en metálico, y los demás en vales, acuda áfla escribanía de paro viñeta de D. Jpseph Fernandez de Uceda, . " r Quien quisiere hacer postura á una casa sita en Ja calle de Relatores, núm. 11, Mea, 158, que tiene de sitio 3066 pies, y está tasada en 419,951,rs. 30 mrs., acuda a i a es</t>
  </si>
  <si>
    <t>Jtiañ Adams</t>
  </si>
  <si>
    <t>d, el exGeneral y ex-Presidente Washington. Su secretario íntimo Tobías Lear comunicó este suceso á Mr. Jtiañ Adams, Presidente del Congreso , erf carta del 15, al fin de la cfíial decía: ,*E1 último trance de la vida del grande y virtuoso General Washington fue conforme á todo el curso de sii</t>
  </si>
  <si>
    <t>Juair Miguel Amad</t>
  </si>
  <si>
    <t>sejo, conferida al R Obispo do Tarazona, para que con los bienes de la testamentaría ¡del Racionero D. Juair Miguel Amad llevase á efecto los piadosos objetos de su destiño,-se ha verificado en la ciudad dé Bórja, en Aragón, el establecimiento y dotación de escuelas pú-‘ éticas, cpn ,arreglb á las R</t>
  </si>
  <si>
    <t>Juan Andrés</t>
  </si>
  <si>
    <t>es en la librería de Sancha , calle del Lcbo. Quatro cartas escritas en el año de 1799 por el Abate D. Juan Andrés á su hermano D. Cárlos Andrés, dándole razón de varias noticias literarias. Véndese con las anteriores en la misma librería de Sancha. Colección de las guerras de Federico 11 en a</t>
  </si>
  <si>
    <t>te de granaderos al de fusileros D. Agustín Molina; á segundo Teniente aí Subteniente de granaderos D. Juan Andrés; á Subteniente de granaderos al primer Subteniente D. Agustín Vallanccur; á primer Subteniente al segundo D. Juan Guerrero,y a segundo Subteniente al Cadete D. Andrés Verea : en e</t>
  </si>
  <si>
    <t>Juan Joseph</t>
  </si>
  <si>
    <t>traviado, -quien le tuviere le entregará' en Madrid á los Sres. Miquelitorena 'hermanos: en Cádiz á D. Juan Joseph deTriarte, ó ~e¡r S. Sebastian á dicha Doña Marcelina.</t>
  </si>
  <si>
    <t>cazadores D. Ramón de la Riva y D. Ramón Saturnino Gil, al Teniente que ha sido del de Ciudad-Real D. Juan Joseph -Carneros y al Subteniente D. Bernardo Nieto, y á los Subtenientes D. Vicente Kindelán y Meneses, D. Joseph María Seguróla y D. Manuel Antonio Salaza*: Subtenencias de granaderos</t>
  </si>
  <si>
    <t>Juan Luis Martín</t>
  </si>
  <si>
    <t>ambos endosados á favor del expresado Catalina , el primero por D. Mapuei Dronda, y el segundo por D. Juan Luis Martin y.compañía: y habiéndose extraviado , quien los haya hallado ó sepa de ellos los remitirá ó dará aviso en Calatayud á D. Juan Pablo Catalina , ó en Zaragoza á D. Juan Joseph Dronda.</t>
  </si>
  <si>
    <t>Juan Tomás</t>
  </si>
  <si>
    <t>Manuel de Davalillo , que vive calle del Carbón, núm. 7 , quarto z.°; y en la So-&gt; lana al referido D. Juan Tomas , por Manzanares. . El 13 de Febrero remitiéron los Sres. Varanda é hijo, del comercio de esta corte, á D. Juan Bautista del Castillo y Garay, presbítero Beneficiado de Miofío, in</t>
  </si>
  <si>
    <t>Juan'del Castillo</t>
  </si>
  <si>
    <t>das, parroquia de Sta. María Madalena , núm. 4, ,manz. 525 , perteneciente al patronato fundado por D. Juan'del Castillo y D. Juan de Frías , y administrado por la universidad de Beneficiados, en 32,781. Otra contigua, núm. 3 , en 28,700. Otra contigua, núm. 2, en 29,400. Villa de Montefrio, jurisdicció</t>
  </si>
  <si>
    <t>Juan, Archiduque</t>
  </si>
  <si>
    <t>Archiduque Juan</t>
  </si>
  <si>
    <t>erte en estas noticias, es para muchos un motivo de dudar de su verdad. Viena 1 de Marzo. E Rhln. I Archiduque Juan, hermano 5.0 del Emperador, irá al exército del Si merecen crédito algunas cartas particulares de Turquía, la sublime Puerta, de acuerdo con el Conmodoro ingles Mr. Sídney-Smith ,</t>
  </si>
  <si>
    <t>ionado General francés. Espérase en breve aquí al Archiduque Cárlos.; y vuelve á hablarse de que el Archiduque Juan su hermano mandará el exército del Rhin, y no tardará en transferirse al quartel general de Donaueschingen.—■_ Hoy sale de esta capital el Ministro imperial Conde de Lehrbach, que</t>
  </si>
  <si>
    <t>se embarcará en Riga ó en Revel, y otros que irá al Rhin. Stutgard 19 de Marzo. S e asegura que el Archiduque Juan será nombrado Coadjutor de la orden teutónica. El 17 de este mes fué quando llegó á Donaueschingen el General Kray, y el mismo dia le entregó el Archiduque Cárlos el mando del exé</t>
  </si>
  <si>
    <t>á proteger las operaciones del exército de Italia, el qual se forma en los contornos de Udina; y el Archiduque Juan mandará el exército de reserva del Rhin, que se junta cerca de Braunau. En nombre del Rey de Prusia acaba de dirigir el Barón de Dohm una circular á todos los Príncipes -y Estados</t>
  </si>
  <si>
    <t>de todos ellos, ha determinado ir al instante á su exército de Alemania, acompañándole S. A. R. el Archiduque Juan su augusto hermano. De todos modos está S. M. firme é invariablemente resuelto á recibir con gusto las proposiciones y condiciones de paz que fueren admisibles; y desea ansiosamen</t>
  </si>
  <si>
    <t>nadas en estas cercanías, tiene su quartel general en Abach. Munich 11 de Setiembre. D ícese que el Archiduque Juan mandará en xefe el exército del Emperador, y baxo sus órdenes el Feld-Mariscal Lauer, Los Generales Príncipe de Rosemberg, Príncipe de Reuss, los dos Príncipes de Lorena, y Mrs. d</t>
  </si>
  <si>
    <t>eron por extraordinario los signantes.documentes: ,,C¿7ri r deíGe-eral en xife Marean á S. A. R. el Archiduque Juan, comandante M exército austríaco—.Qunrlelgeneral de Kymfhenburgo iS de Setiembre. Señor General en xc !'e. Acabo de recibir por el intégralo la respuesta del gobierno á los pliego</t>
  </si>
  <si>
    <t>reo á Petersburgo, cuya respuesta espera con la mayor impaciencia. La misma Soberana ha regalado al Archiduque Juan una vaxilla completa de plata de gran valor. jBerlín 23 de Setiembre. A ntes de ayer empezaron los exercicios de otoño en Potsdam, adonde con este motivo nan concurrido los Duques</t>
  </si>
  <si>
    <t>l Emperador se opone á ello, y quiere qué se incorporen con su exército. Mankeim jo de Octubre. E 1 Archiduque Juan , que ha llegado á Inspruck con el General La-ner, visitará los puestos del Tirol occidental y septentrional, y luego se restituirá á su exército, cuyo quartel está en Welz. Parec</t>
  </si>
  <si>
    <t>ficiales les han dado gratificaciones para que puedan entrar en campaña. Manheim 22 de Octubre. E 1 Archiduque Juan después de visitar el cordon del exército austríaco en el Tiro! se ka restituido á su quartel general de Wels. Acaba de llegar aquí Mr. de Cetro, y sale esta noche para París, adonde</t>
  </si>
  <si>
    <t>xpresivos y afectuosos, Este Príncipe mandará por sí mismo el exército de Alemania, y su hermano el Archiduque Juan irá á mandar el de Italia. Lemberg escriben que en todo aquel país se recluta gente para los exércHos, con la. qual se..humarán desde luego dos regimientos de. caballería, cuyo ar</t>
  </si>
  <si>
    <t>in, ha concluido en Augsburgo una prolongación de la tregua con Mr. Weirotter, Ayudante general del Archiduque Juan, el mismo que acompañó al Conde de Cobentzel hasta Augsburgo, y de allí se restituyó al quartel general austríaco de Wels. * Londres i.° de Noviembre. Í A Enviado del Dey de Argel</t>
  </si>
  <si>
    <t>L as tropas de la monarquía austríaca se repartirán en 5 exércitos: el de Alemania, mandado por el Archiduque Juan, se regula en 100© hombres, contando las tropas ae los estados del Imperio. Otro se está formando en Bohemia baxo la dirección del Archiduque Cárlos, y constará de 15 á 2o3 hombre</t>
  </si>
  <si>
    <t>el general austríaco de Wels la intimación de haberse concluido el armisticio, se intimó también al Archiduque Juan que las hostilidades se renovarían 15 dias después, que es decir el 27 de este mes. Parece que ios austríacos esperaban este aviso , supuesto que de algún tiempo á esta parte aviv</t>
  </si>
  <si>
    <t>/se trasladará al quartel general Austríaco de Weis para concertar las operaciones militares con el Archiduque Juan. Francfort 2$ de Noviembre, T í odas las esperanzas de'paz sé han desvanecido * pues en los contornos de Ascbaffenburgo, á 7 leguas de aquí, empezaron el día 24 las hostilidaddes.</t>
  </si>
  <si>
    <t>neral en xefe Moreau con el General de artillería Ebli: rompió desde luego las negociaciones con el Archiduque Juan, y se disponía á abrir quanto antes la campaña. Aquel Príncipe austríaco querría retardar la renovación de hostilidades; pero no advirtiendo Moreau en sus proposiciones la sinceri</t>
  </si>
  <si>
    <t>Juan, Príncipe</t>
  </si>
  <si>
    <t>Príncipe Juan</t>
  </si>
  <si>
    <t>Strasburgo 2$ de Julio. S e asegura que el Conde de Cobentzel ha salido 4e Vleoa Para Berlín, y el Príncipe Juan; de Lichtenstein para Pctersburgó; y añaden que van á tratar sobre la paz con Francia. Por Keli ,ha pasado un correo de París que según dicen lleva órdenes al cuerpo del General A</t>
  </si>
  <si>
    <t>Juana de Ulioa</t>
  </si>
  <si>
    <t>tro cortijo en el sitio de Vcntosilla, del patronato fundado en ia misma iglesia per Juan Ramírez y Doña Juana de Ulioa.__ Una huerta en el pago de Pozuela, del patronato de Doña Gabriela de Quesada, tasada en 8750 rs., y está hecha postura en 5,833 rs. 12 mrs___ Setenta y dos cuerdas y media de ti</t>
  </si>
  <si>
    <t>Juana Gómez Faxardo</t>
  </si>
  <si>
    <t>El 7 de Abril remitió D. Francisco López García á Doña Juana Gómez Faxardo, viuda, vecina de Munguía en el señorío de Vizcaya, con varios papeles un vale Real de igo pesos de rg de Marzo, mím. 241,624 , con solo un endoso á favor de dicha señora ; y no h</t>
  </si>
  <si>
    <t>Juana Martínez</t>
  </si>
  <si>
    <t>Joachin, barrio de S. Ildefonso de esta corte , núm. 11 , manz. 453 , perteneciente i Ja memoria de Doña Juana Martínez compone 4.510 pies quadrados , y está tasada en 52,455 rs. Quien quisiere hacer postura acuda ante dicho Señor Teniente y citada escribanía. Por D. Manuel Angel Carranclo, Abogado</t>
  </si>
  <si>
    <t>Juana Serrano, María</t>
  </si>
  <si>
    <t>María Juana Serrano</t>
  </si>
  <si>
    <t>ndez Rodríguez , en Madrid , postigo de S. Martin , nüm. ag , quarto principal. María Juana Serrano , natural que fué de la villa de ”Loeches , y vecina de la ciudad de Alcalá de Henáres , por testamento que otorgó en ella á 20 de Setiembre de 1794, por ante Juan Ignacio de Ortega , Escri</t>
  </si>
  <si>
    <t>Juaq Antonio Salvador Carmona</t>
  </si>
  <si>
    <t>Angustias , cuya imágen se venera en el oratorio de la calle del Olivar de esta corte: grabada por D. Juaq Antonio Salvador Carmona, grabador de cámara de S. M. Véndese en las librerías de Barco, carpera de S. Gerónimo; de Escribano , calle de las Carpetas, y de Cerro, red de S. Luis , en donde se hallarán una</t>
  </si>
  <si>
    <t>Juárez, Antonio</t>
  </si>
  <si>
    <t>Antonio Juárez</t>
  </si>
  <si>
    <t>Subteniente D. Joachin Rubio, y a segundo Subteniente al Sargento primero, graduado de Subteniente, D. Antonio Juárez : en el regimiento* süizo de Courten á Capitán secundo al Ayudante D. Antonio de Preux; á esta resulta al Teniente D. Carlos de Preux; á Teniente al Subteniente de granaderos D. A</t>
  </si>
  <si>
    <t>tenientes Don Joseph María de Lugo y D. Miguel Pulido; á estas resultas á los segundos Subtenientes D. Antonio Juárez y D. Gabriel Igneson, y á segundos Subtenientes al Cadete D. Juan Joseph Morató y al Sargento primero, graduado de Subteniente, D. Antonio Martin. Atendiendo el Rey á los méritos y pa</t>
  </si>
  <si>
    <t>Juccate</t>
  </si>
  <si>
    <t>Juez de Alzadas y Arribadas</t>
  </si>
  <si>
    <t>dos de los caudales de bienes de difuntos que se remiten de América, dirigió el Presidente Juez de Alzadas y Arribadas de dicha ciudad un testimonio del juzgado de bienes de difuntos de México, en que consta fallecí® en el Real de Zultepeque de Nueva España D. Lúeas González, casa</t>
  </si>
  <si>
    <t>Juiian González Saez</t>
  </si>
  <si>
    <t>s conforme á dicha Real facultad, acuda ante el Escribano del número de esta villa y de la comisión D. Juiian González Saez, que se admitirán las que hicieren siendo arregladas. Semanario de agriculturay artes: tomo 6que entre muchos artículos sobre agricultura, comprehende un tratado de las plantas út</t>
  </si>
  <si>
    <t>Juliart y Ana</t>
  </si>
  <si>
    <t>, Corregimiento de Vique......;........ ........... 42. «5. Sixto Vila, hijo de Juliart y Ana, natural dé Salrá, Corregimiento de Gerona....;...............A.....d... '¡¡y. 30. Pedro Pons * hijo de Pablo y Catalina , natural de Fscála, Corregimiento de Gerona.......................</t>
  </si>
  <si>
    <t>JuliTn Calongfc</t>
  </si>
  <si>
    <t>Diego González; su resulta al Subteniente de fusileros D. Juan Moreno, y Subtenencia de fusileros á D, JuliTn Calongfc: en el de Badajoz Compañía de fusileros á D. Ramón de Uceda, Teniente de granaderos; sil resulta al Teniente de fusileros D. Manuel Gordillo; Tenencia de fusileros al .Subteniente</t>
  </si>
  <si>
    <t>Jum Godt</t>
  </si>
  <si>
    <t>o Zelger, y á Subtenientes de fusileros á los Cadetes D. Fernando Gasser, Don Jorge Jacobo Traxler, D. Jum Godt y D. Francisco Scheer; y en el Suizo de Courten Tenencia de fusileros al Subteniente de granaderos D. Joseph Elias de Courten; y esta resulta al Subteniente de fusileros D. Joseph ína</t>
  </si>
  <si>
    <t>Justiniani</t>
  </si>
  <si>
    <t>mbaxador de España; Barón de SandozRollin, Ministro plenipotenciario de Prusia: ciud. Justiniani, Embaxador</t>
  </si>
  <si>
    <t>Justiniani, Pedro María</t>
  </si>
  <si>
    <t>Pedro María Justiniani</t>
  </si>
  <si>
    <t>, y las acciones, señales y palabras con que se conocen : impúgnanse con la Pastoral del limo. Sr. D. Pedro María Justiniani, Obispo de Vintimiglia. Se hallará en la librería de Cerro, red de S, Luis, y .en su puesto, calle de Alcalá, á 4 rs. Estampa nueva en medio pliego de marca mayor , que representa</t>
  </si>
  <si>
    <t>Justiz, Joseph Santiago</t>
  </si>
  <si>
    <t>Joseph Santiago Justiz</t>
  </si>
  <si>
    <t>de infantería de la Havana se ha servido el Rey promover á Capitanes á los Tenientes de granaderos D. Joseph Santiago Justiz y D. Justo Muñoz, el primero graduado de Capitán; á Tenientes de granaderos á los de fusileros D. Antonio Toledo y D. Antonio Branly; a Tenientes á los Subtenientes D. Antonio Tur, D.</t>
  </si>
  <si>
    <t>Justo Cillcruelo, Domingo</t>
  </si>
  <si>
    <t>Domingo Justo Cillcruelo</t>
  </si>
  <si>
    <t>ia de Gumiel de Izan , en la diócesis de Osma, vacante por fallecimiento de D. Simón Terradillos, á D. Domingo Justo Cillcruelo, con la obligación que tiene anexa; y para el Medio-Préstamo de Ja parroquial de Santo Domingo de Silos, en el lugar de Corpa, diócesis de Toledo, vacante por promoción de D. Juan</t>
  </si>
  <si>
    <t>Justo Salafranca y Matheus</t>
  </si>
  <si>
    <t>. Joachín Leonés y Hernández Reyilo, D. Julián Leonés y Hernández Reyilo, D. Pedro Rato y Cisneros, D. Justo Salafranca y Matheus, D. Baltasar Cornelias y Rosiñol, D. Joseph Rodríguez Truxiilo y Lasqueti, D. Manuel Compains y Ochoa, D. Joseph Pereyra y Soto Sánchez, D. Santiago de Mazarredo y Gómez de la Tor</t>
  </si>
  <si>
    <t>Justo Verdeja</t>
  </si>
  <si>
    <t>n ral Teniente de granaderos D. Joseph Felipe Villanueva; á Teniente de granaderos al de ftisfieros D. Justo Verdeja; á Teniente al Subteniente de granaderos Don Juan Gómez Parada; á Subteniente de granaderos al de fusileros D. Félix Truxjilo, y á Subteniente de compañía al de bandera D. Juan Ca</t>
  </si>
  <si>
    <t>Justo y Margarita</t>
  </si>
  <si>
    <t>Gerona............................................ 55. 3o. Isidro Poch, hijo de Justo y Margarita , natural de GeSEGUNDA COMPAÑÍA. Joseph Bertrana, hijo de otro y Mariana, natural de San Boy de Llusanés , Corregimiento de Vique................... 55. 30. Joceph Casas, hijo de Roque y Ro</t>
  </si>
  <si>
    <t>Kaim</t>
  </si>
  <si>
    <t>Kaim, Feld-Mariscal</t>
  </si>
  <si>
    <t>Feld-Mariscal Kaim</t>
  </si>
  <si>
    <t>ciudad. Ef Te niente Feld-Mariscal Conde de Haddick mandaba la primera línea : seguía el Ten iente Feld-Mariscal Kaim; y después la división de granaderos de Morsin, y la de caballería de Elnitz. Mientras que la primer línea atacaba</t>
  </si>
  <si>
    <t>Kaim, General</t>
  </si>
  <si>
    <t>General Kaim</t>
  </si>
  <si>
    <t>Niza, á ña de cortar la retirada á los enemigos. __ . Turin 1g de Diciembre. H a sido confirmado el General Kaim en el mando de esta ciudad, en donde empiezan á entrar en quarteles de invierno las tropas imperiales. Las francesas han evacuado á Sospello y Ovailla para reunirse entre Genova y S</t>
  </si>
  <si>
    <t>l haberse tomado la Bocchétta el dia 9: qué el castillo de Gavi se entregó por capitulación: que el General Kaim, después de apoderarse del Col! de Tenda, marchaba contra N iza al frente de 10© hombres; y que el General Elnitz con otro cuerpo se dirigía contra Oneilla, Incluye la propia gaze</t>
  </si>
  <si>
    <t>Kaim, Teniente General</t>
  </si>
  <si>
    <t>Teniente General Kaim</t>
  </si>
  <si>
    <t>n estos términos: „ Ayer tarde (dia 4) atacaron los enemigos, no léjos de Arigli mojla división del Teniente General Kaim. Habían rechazado á las tropas del General Lamarsaille, apoderándose de las alturas del col de Thion y de la aldea de S. Ambrosio; pero fueron luego rechazados con una pérdida con</t>
  </si>
  <si>
    <t>Kaini, General</t>
  </si>
  <si>
    <t>General Kaini</t>
  </si>
  <si>
    <t>acó los cuerpos de los Generales Goroupp y Knesewich hacia el col de Tenda y Coni, para reforzar al General Kaini en Piamonte. En medio de sus progresos no pudo Mr. Melas, á causa de las. circunstancias , impedir que los enemigos conservasen los dos .castillos de Montalban y de Villafránca; per</t>
  </si>
  <si>
    <t>Kalitscheff</t>
  </si>
  <si>
    <t>$49 primer conferencia con el referido Ministro. Espérase aquí á Mr. Kalitscheff, Ministro que fué de Petersburgo cu Viena, desde donde se retiró á Carlsbad. Con fecha de Charlotemburgo á 31 de Julio ha dirigido el gabinete de S. M. la siguiente declaración á</t>
  </si>
  <si>
    <t>Kalitscheíf</t>
  </si>
  <si>
    <t>urante este ano ha estado el NeVa helado 142 dias, Hamburgo 20 de Mayo. N o solo se retira de Viena Mr. Kalitscheíf, Embaxador de Rusia , sino también todos los rusos empleados en aquella embaxada, los quales tienen orden de salir de los estados hereditarios é ir á Petersburgo: de suerte que en</t>
  </si>
  <si>
    <t>Kamer, Antonio</t>
  </si>
  <si>
    <t>Antonio Kamer</t>
  </si>
  <si>
    <t>ercer batallón del mismo cuerpo: Subtenencia de granaderos en el Suizo de Betschart al de fusileros D. Antonio Kamer; y también ha promovido en el Suizo de Rutiman X primer Capitán al segundo D. Jorge Wochler ; á Capitán segundo al Ayudante D. Pedro Haltegg ; á este empleo al Teniente D. Antonio</t>
  </si>
  <si>
    <t>Kamer, Francisco</t>
  </si>
  <si>
    <t>Francisco Kamer</t>
  </si>
  <si>
    <t>. Manuel Gerig; á Tenientes á los Subtenientes D. Bernardo Yutz, D. Fidel de Reding, de granaderos, D. Francisco Kamer, D. Víctor'Nidérist y D. Joseph Ledergerw, y á‘Subteniente dé granade-1 ros ai de fusileros D. Joseph Kaysér ; lvabiéndoAgualménté nómbrachy S. Mí1 Capellán del primer batallón de</t>
  </si>
  <si>
    <t>Karaczag</t>
  </si>
  <si>
    <t>esta ciudad 50 carros con heridos, entre los quales hay muchoo oficiales y los Generales Karaczag, Klenau, Weyrotter, Kospotz y Zimmermann. La caxa militar del exército Imperial y Real ha pedido á la caxa de ©peraciones del Imperio la suma de 1.253,058 flor</t>
  </si>
  <si>
    <t>Kaysér, Joseph</t>
  </si>
  <si>
    <t>Joseph Kaysér</t>
  </si>
  <si>
    <t>o Kamer, D. Víctor'Nidérist y D. Joseph Ledergerw, y á‘Subteniente dé granade-1 ros ai de fusileros D. Joseph Kaysér ; lvabiéndoAgualménté nómbrachy S. Mí1 Capellán del primer batallón del dé infantería' dé Córdoba al Presbítero5 D. Isidoro Pirez. * 4</t>
  </si>
  <si>
    <t>Kaysser, Joseph</t>
  </si>
  <si>
    <t>Joseph Kaysser</t>
  </si>
  <si>
    <t>encia de granaderos al Teniente de fusileros D. Joseph Rotenflué, y Subtenencia al Sargento primero D. Joseph Kaysser. El Rey se ha servido conferir empleo de Capitán de la Milicia Urbana del Puerto de Santa María á D. Mariano de la Mega: y en los regimientos provinciales de la península ha promo</t>
  </si>
  <si>
    <t>Kaysser, Remigio</t>
  </si>
  <si>
    <t>Remigio Kaysser</t>
  </si>
  <si>
    <t>e al Subteniente de granaderos D. Joseph Niderberger; y á Subteniente de granaderos al de fusileros D. Remigio Kaysser; concediendo también grado de Capitán al Ayudante mas antiguo de este cuerpo D. Juan de Emneter ; y ha nombrado Capellán del de infantería de Navarra. aL presbítero D. Jacinto Pas</t>
  </si>
  <si>
    <t>Subteniente al Sargento primero D. Henrique Beltran: en eí Suizo de Yann á Teniente al Subteniente D. Remigio Kaysser; á Subtenientes de granaderos á los de fusileros O. Félix Obersteg y D. Francisco Zelger, y á Subtenientes de fusileros á los Cadetes D. Fernando Gasser, Don Jorge Jacobo Traxler,</t>
  </si>
  <si>
    <t>Keim, General</t>
  </si>
  <si>
    <t>General Keim</t>
  </si>
  <si>
    <t>llas del Stura. Ademas del cuerpo del General Kray se halla otro mas acá de Turin a las órdenes del General Keim, y tienen tropas en- las inmediaciones de Ivree, con el fin de observar los movimientos de las francesas apostadas en los contornos de Susa y en el valle de Aost. El General franc</t>
  </si>
  <si>
    <t>Keit'h, Almirante</t>
  </si>
  <si>
    <t>Almirante Keit'h</t>
  </si>
  <si>
    <t>ia sino 10 años. Regúlase su pérdida en 2 millones de florines. Por fortuna se hallaba en tierra el Almirante Keit'h. Stutgard 27- de Marzo. S e confirma que la partida del Archiduque Cárlos ha descontentado y aun desalentado al exército austríaco. Este Príncipe, á quien las tropas miraban como</t>
  </si>
  <si>
    <t>Keith</t>
  </si>
  <si>
    <t>eres. Añadióque otro convoy, procedente de Liorna , se incorporaría en breve con la esquadra, y que Mr. Keith habia cuidado no solo</t>
  </si>
  <si>
    <t>Keith, Almirante</t>
  </si>
  <si>
    <t>Almirante Keith</t>
  </si>
  <si>
    <t>se hizo á la vela de este puerto la noche del 15 al í6 de Marzo : había en él 837 personas. El Viee-Almirante Keith se hallaba en tierra. Apénas anduvo el buque 15 millas, se advirtió desde aquí á las 7 de la mañana que estaba ardiendo. El Vice-Cónsul ingles envió al instante los posibles socor</t>
  </si>
  <si>
    <t>mpedir su ajuste, y envió instrucciones al Lord Elgin, Ernbaxador británico en Constantinopla, y al Almirante Keith, con orden de que se opusieran á que ios franceses saliesen libres de Egipto; pero estas prevenciones llegaron muy tarde: y posteriormente supo el gobierno que se había concluido</t>
  </si>
  <si>
    <t>orte con tropas del exército de Egipto, y están haciendo quarentena en este lazareto. Dícese que el Almirante Keith espera instrucciones de su corte para resolver si dexará que dichas tropas vuelvan á Francia. La esquadra rusa, que estaba en Corfú, ha salido para Malta con tropas de desembarco. Y</t>
  </si>
  <si>
    <t>portes de las potencias coligadas; y esta condición no pudo cumplirse por haber negado los suyos el Almirante Keith. En tales circunstancias no es imposible que el General Kleber se haya visto en la precisión de valerse de sus fuerzas para impedir que los turcos ocupasen el Cayro y los puestos</t>
  </si>
  <si>
    <t>nadie le dexáron comunicar durante 29 dias, y le trataron con el mayor rigor. Al fin le permitió el Almirante Keith, en fuerza de orden de su gobierno, que se hiciese á la vela: lo executó así, y liego el 22 de Abril á Tolon, en donde se esperan 900 heridos que vienen de Egipto.__ También ha re</t>
  </si>
  <si>
    <t>enemigos fué mucho mayor. Liorna n de Mayo. A caba de publicarse de oficio una carta escrita por el Almirante Keith al Barón de Fenzel, comandante de este puerto, fecha en el navio Minotauro á la altura de Génova el dia 10. El Almirante ingles, después de referir una victoria del General Melas,</t>
  </si>
  <si>
    <t>camino para ir á Francia por Niza ; los demas serán transportados por mar á Antibo, obligándose el Almirante Keith á darles la misma porción de bizcocho que á las tropas inglesas... En cambio de esto todos los austriacos hechos prisioneros en la ribera de Génova por el exército de Massena en e</t>
  </si>
  <si>
    <t>stantinopla, cuyo contenido parece mas verdadero que quanto se ha referido hasta ahora: „Así que el Almirante Keith, baxo cuyas órdenes se halla el. Caballero SidneySmith, supo la capitulación de Egipto, escribió al General Kleber con fecha de 8 de' Eneró, diciéndole que no podía ratificarla, n</t>
  </si>
  <si>
    <t>Keíth, Almirante</t>
  </si>
  <si>
    <t>Almirante Keíth</t>
  </si>
  <si>
    <t>ante de Génova, tuvo, que oponerse á semejante pretensión, como contraria al tenor del convenio. El Almirante Keíth acaba de desacreditarse por su codicia, y sobre todo por la injusticia atroz de otra pretensión, para la qual discurre asi: » La ciudad de Génova se halla bloqueada hace 6 meses,</t>
  </si>
  <si>
    <t>nas sobre los desgraciados acontecimientos de Egipto. ,,Paríae pie las instrucciones que recibió el Almirante Keith, aunque se oponen al cumplimiento del convenio, dexaban lugar á algunas negociaciones.* El Gran Visir y el General Kleber obraban con buena inteligencia: y esjjoer an do que la co</t>
  </si>
  <si>
    <t>H a llegado á Génova un Embaxador turco, que entro’ en Liorna en una. fragata inglesa, y ha dado al Almirante Keith la noticia de que el Gran Visir y sus tropas se ,hallaban mas allá del desierto en el estado mas lastimoso. El primer Cónsul Bonaparte ha restablecido la universidad de Pavía, que se</t>
  </si>
  <si>
    <t>General quanto pudo para impedir quedos ingleses violasen la capitulación; pero no consiguió que el Almirante Keith devolviera.las embarcaciones españolas y de Córcega que había en el puerto, ni tampoco las de potencias neutrales. Como el pueblo; dueño de. las baterías del muelle viejo, quería hac</t>
  </si>
  <si>
    <t>í exército volviese libre á Europa á intentar otra invasión, y dio .en conseqijencia sus órdenes al Almirante Keith; pero asi que se supo que un oficial ingles había concedido protección á las tropas francesas, y que teniendo medios de aniquilarlas había juzgado á propósito mediar para que qued</t>
  </si>
  <si>
    <t>que la Reyna de Ñipóles, que estaba en Liorna, tuvo algún rezelo, y se retiró á bordo del navio del Almirante Keith. El General Massena publicó hoy. una orden en que substancialmente dice: „ Sabiendo que la ciudad y país de Luca han ultrajado con actos públicos á la República francesa, á su gob</t>
  </si>
  <si>
    <t>Conmódoro Smith había-recibido órdenes para que «o permitiese se retirase nuestro exército: que el Almirante Keíth tuvo iguales órdenes; y M$ta que las recibió contrarias no dió libertad á Desaix y á Poussielgue para venifgá Francia.” ¡. . V* , , . ’ Liornau de Julid. , arece que la Reyna de Ñ</t>
  </si>
  <si>
    <t>precio de vuestras valerosas tropas. Las -hostilidades que cometisteis sin esperar la respuesta del Almirante Keith, el qual no había tenido conocimiento del convenio ajustado para la evacuación de Egipto, sirvieron de regla á nuestra conducta. No había yo pedido á mi corte su ratificación; y s</t>
  </si>
  <si>
    <t>asta que esten abastecidas las esquadras británicas y las guarniciones inglesas según lo indique el Almirante Keith. Al mismo tiempo ha renovado con el mayor rigor la prohibición de enviar víveres á Córcega, Niza y otras plazas ocupadas por franceses.</t>
  </si>
  <si>
    <t>8y8 El Duque de Aost, que se halla todavía 'en esta ciudad, ha comprado al Almirante Keith !á paleta que este apresó en ei puerto de Genova; y dicho buque está cruzando en los mares ele Cerdéña para cortar toda comunicación entre aquella isla y Córcega, é impedir que ll</t>
  </si>
  <si>
    <t>ue ha entrado en Civita-Vecchiacon pliegos para el Cónsul de su nación, se sabe que la esquadra del Almirante Keith ha salido de Liorna en busca de tropas inglesas de las que hay en el Mediterráneo para traerlas, según se dice, á Italia. Los cuerpos rusos que quedaban en Ancona, y los que se ha</t>
  </si>
  <si>
    <t>ndantes británicos. El Dey desechó esta proposición; y ahora dixo á Mr. Falcon que las amenazas del Almirante Keith no le intimidaban. Este nuevo Cónsul ha traido regalos de mucho precio, y ha renovado los tratados entre esta Regencia y la Gran Bretaña, añadiendo en ellos esta cláusula: ,, Todo</t>
  </si>
  <si>
    <t>Keith, Lord</t>
  </si>
  <si>
    <t>Lord Keith</t>
  </si>
  <si>
    <t>que el 28 de Noviembre, hallándose á los 44 grad. 10 seg. de lat., y 10 grad. 30 seg. de long., el Lord Keith , que reemplaza al Lord S. Vicente en el mando de la esquadra del Mediterráneo, se separó con 7 velas del convoy, el qual en número de 183 siguió su navegación baxo la escolta del</t>
  </si>
  <si>
    <t>e que el navio ingles nombrado la Revna Carlota, de no cañones, que estaba en Liorna mandado por el Lord Keith, se voló con .la gente que había á bordo, que eran cerca de 1® personas, contando mugeres y niños. Ignórase si quedaban todavía en él, ó si habían ya desembarcado, los 800 prision</t>
  </si>
  <si>
    <t>ri el Mediterráneo el navio la Reyna Carlota: pereció toda su tripulación, excepto su comandante el Lord Keith, y 140 personas entre oficiales y marineros. No todos los preparativos de las proyectadas expediciones se han suspendido: pues en diversos puertos prosigue el embarco de tropasy-e</t>
  </si>
  <si>
    <t>Entre los oficiales que perecieron se cuenta al Capitán Todd , que lo mandaba baxo las ordenes del Lord Keith. De 850 hombres que tripulaban el buque no se salváron sino 153, muchos de ellos ántes que se volase, y los demas como por milagro. Ha recibido el Almirantazgo pliegos de Mr. Curt</t>
  </si>
  <si>
    <t>garon muy tarde: y posteriormente supo el gobierno que se había concluido la capitulación, y que el Lord Keith no solo ratificó todos los empeños estipulados por Mr. Sidney-Smith, sino que ademas envió órdenes á los buques que están baxo su mando para que respetasen los pasaportes del Conm</t>
  </si>
  <si>
    <t>Savona; y una hora después, el Coronel Pest, que se había despachado de Turin á conferenciar cón el Lord Keith, en Liorna, y que venia en el navio de dicho Almirante , llegó al quartel general é informó á Mr. Melas que el Lord Keith traía 7 transportes cargados de harina, arroz, bizcocho y</t>
  </si>
  <si>
    <t>formaban, las qu ites tienen orden de incorporarse coil el exército principal* El Almirante ingles Lord Keith fea llevado á la guarnición austríaca del castillo de Final víveres para algún tiempo.”__. A esto se reducen las últimas noticias del exército de Italia que Se han publicado en la</t>
  </si>
  <si>
    <t>us empleos. Londres 13 de Junio. M r. Dexon, capitán del navio de guerra el León, ha dado cuenta al Lord Keith con fecha de 11 de Junio, de haber apresado al navio francés Guillermo-Tell. Dice que este buque se defendió con la mayor tenacidad y valor durante mas de tres horas y media contr</t>
  </si>
  <si>
    <t>sa de que aquel exército francés quedase todo entero prisionero de guerra. Al mismo tiempo envió el Lord Keith orden á Mr. Smith para que siguiese y estrechase el-bloqueo de Ale-^ xandría. Llegó esta carta precisamente en ocasión en que los franceses iban á evacuar al Cayro conforme al ten</t>
  </si>
  <si>
    <t>pagarlo, y ademas una gratificación de 6 fran-, eos por cada carga; el número de cargas era 60®. El Lord Keith ha declarado que seguirá el bloqueo del puerto y de toda la ribera con mas rigor que antes. Venecia j de Junio. A yer por la mañana salió de aquí el Papa en la fragata imperial la</t>
  </si>
  <si>
    <t>stos dias al Rey pava que lo sancione. Ha llegado al Almirantazgo el Capitán Eeaver con pliegos del Lord Keith y la capitulación de Genova. Casi al mismo tiempo se ha sabido por Francia que aquella ciudad ha vuelto al poder de los franceses. En la Cámara de tos Comunes hizo, Mr. Sheridan el dia</t>
  </si>
  <si>
    <t>7*f y-, . Londres II de Julio. * * VA 30 .de Abril fue quando ei Lord Keith recibió en Liorna el consentimiento de esta corte para la capitulación de Egipto, y no tardó en enviarla á Mr. Sidney-Smith. Según el embarco de tropas y los preparativos que se h</t>
  </si>
  <si>
    <t>e pidiese á S. M. mandase comunicar á la Cámara copia de las instrucciones y órdenes despachadas al Lord Keith, á Mr. Spencer Smith, Ministro entonces en Constantinopla, á Air. Sidney y á otros comandantes. Respondió Mr. Dundas que en buena política no podían comunicarse dichos documentos,</t>
  </si>
  <si>
    <t>de Sebillé-ÍIaliem cerca de Matharieh, que duraron desde el 13 hasta el i3 de Marzo. 3.0 Carta del Lord Keith, impresa y comunicada al exército el 18 del mismo mes, con la proclama del General en xefe Kleber. 4.0 Rompimiento intimado de oficio al Visir el dia 19. 5.0 Batalla de Matharieh</t>
  </si>
  <si>
    <t>igió al primer Cónsul desde Roseta, con fecha de 19 de Marzo y se lia publicado ahora, le dice: „E1 Lord Keith ha venido á encargarse del ruando del apostadero ingles en el Mediterráneo, y ha avisado á Mr. Smith que no cumpliría ninguno de los artículos de la capitulación, y que si pudiera</t>
  </si>
  <si>
    <t>haciendo qua-7 rentena en Fahnouth, y las cartas se sahumaron ántes de repartirlas. La esquadra del Lord Keith volvio á Tetuan después de sus tentativas inútiles contra Cádiz; y parece que desde aquel puerto de Africa se ha hecho á la vela para Liorna, Los buques hallados en el puerto de l</t>
  </si>
  <si>
    <t>parte de la tripulación, que no pasaba de 150 hombres. Liorna 10 de Noviembre. H abiendo sabido el Lord Keith que algunas embarcaciones españolas procedentes de América han entrado en el puerto de Lisboa con el último conr voy del Brasil, ha mandado, olvidándose de la alianza y enlaces en</t>
  </si>
  <si>
    <t>Keith-----Se, Lord</t>
  </si>
  <si>
    <t>Lord Keith-----Se</t>
  </si>
  <si>
    <t>esa-Cariota, en la qual se hallaba el Embaxador otomano, que habia ido á Genova con pliegos para el Lord Keith-----Se cree con algún fundamento que al hacerse la paz general recobrará la República de Genova su anterior independencia. Florencia 27 de Junio. A caba de publicarse aquí un edicto del</t>
  </si>
  <si>
    <t>Kellennan, General</t>
  </si>
  <si>
    <t>General Kellennan</t>
  </si>
  <si>
    <t>elearon con un vigor que parecía aumentarse. No podia la victoria quedar ya mucho tiempo dudosa. El General Kellennan con un cuerpo de dragones y caballería acometió denodadamente á otro cuerpo de 6 batallones de granaderos, que se adelantaban hacia Cassina: los rodeó , y les hizo rendir las arma</t>
  </si>
  <si>
    <t>Keller</t>
  </si>
  <si>
    <t>General Borosdin. Al primer viento favorable darán la vela para Corfú, de donde seguirán á Ñapóles. Mr. Keller, General ingles , salió de aquí el dia 10 con su plana mayor . para el castillo c(e los Dardanelos; lleva encargo de repararlo y fortificarlo. El Barón de Deden, Ministro que fué</t>
  </si>
  <si>
    <t>Kellerman, General</t>
  </si>
  <si>
    <t>General Kellerman</t>
  </si>
  <si>
    <t>medallas de plata como distintivo y premio de sus buenos servicios. ■ ... Ha ido de aquí á París el General Kellerman, y queda el General Desjardios con el mando interino del exército francés y .bátavo. Varias casas de comercio de Amsterdam han recibido cartas de sus corresponsales de Londres con</t>
  </si>
  <si>
    <t>nemigo sin perder un palmo de terreno, no obstante la inferioridad de su artillería: la brigada del General Kellerman apoyaba la izquierda del General Víctor, y este envió sus órdenes á la brigada de caballería de1! General Duvigneau,, el qual habia dexado el mando, de su brigada sin autoridad. p</t>
  </si>
  <si>
    <t>ó 3 medias brigadas para defender 4 Marengo. M.entras «vecutaban estos movimientos , la brigada del General Kellerman b ec una izouierda. El regimiento deq cabaLría enlmiga; ynúm. 8 de luego viéndose dragones ataco por atacado y arrollofuerRoedores, acudiéron 4 sostenerle * medias brigadas de cab</t>
  </si>
  <si>
    <t>ezas de artillería al mando del General Marmont, y sostenidas en su izquierda por la caballería del General Kellerman. El primer ¡Cónsul, expuesto á un fuego vivísi1110, recorrió las filas para alentar á los soldados, y detener la marcha retrógrada. Eran las 4 de la tarde. El General Desaix al fr</t>
  </si>
  <si>
    <t>Kellerniann, General</t>
  </si>
  <si>
    <t>General Kellerniann</t>
  </si>
  <si>
    <t>cometió Desaix al paso de ataque por el centro; y en un instante fueron los enemigos arrollados. El General Kellerniann, que con su brigada de caba</t>
  </si>
  <si>
    <t>Keym, General</t>
  </si>
  <si>
    <t>General Keym</t>
  </si>
  <si>
    <t>tes anhelan por el progreso de las ciencias. Francfort 24 de Mayo. L éese en un aviso de oficio del General Keym que el cuerpo de su mando ha ocupado á Niza, y que las tropas enemigas abandonaron aquella ciudad y sus dos castillos. Se han puesto en campaña todas las milicias del Círculo de F</t>
  </si>
  <si>
    <t>Keyth, Lord</t>
  </si>
  <si>
    <t>Lord Keyth</t>
  </si>
  <si>
    <t>necesitarlos, y ademas deberán escoltarlas hasta su destino en caso de necesidad. El Vice-Ahnirante Lord Keyth, nombrado Comandante en xefc de la esquadra inglesa del Mediterráneo, ha escrito al Almirantazgo desde G-ibraitar con fecha de 21 de Diciembre en estos términos: „ Habiendo sabido</t>
  </si>
  <si>
    <t>Kichols</t>
  </si>
  <si>
    <t>d de Washington se erija un monumento de mármol, en que se deposite el cadáver de aquel General-----Mr. Kichols, individuo de la Cámara representativa, está en ánimo de hacer</t>
  </si>
  <si>
    <t>Kidd, Capitán</t>
  </si>
  <si>
    <t>Capitán Kidd</t>
  </si>
  <si>
    <t>de 74 cañones, que es un buque nuevo y de los mas hermosos de la marina británica. El navio Argos, Capitán Kidd, que iba á Jamayca, fue apresado por una corbeta francesa de 20 cañones y 190 hombres , y poco después se fue á pique. Se salvó toda la tripulación. Igual suerte tuvo el bergantín</t>
  </si>
  <si>
    <t>Kíeber, General</t>
  </si>
  <si>
    <t>General Kíeber</t>
  </si>
  <si>
    <t>xpresan que aunqqe la Puerta otomana nada ha publicado de los asuntos de Egipto desde Ja muerte del General Kíeber, se sabia que estaban: renovadas las hostilidades: pues los franceses pasáron el desierto y se apoderaron de Gazza, de forma que la Siria quedaba expuesta á otra invasión. Parece</t>
  </si>
  <si>
    <t>Kindelán y Meneses, Vicente</t>
  </si>
  <si>
    <t>Vicente Kindelán y Meneses</t>
  </si>
  <si>
    <t>el de Ciudad-Real D. Juan Joseph -Carneros y al Subteniente D. Bernardo Nieto, y á los Subtenientes D. Vicente Kindelán y Meneses, D. Joseph María Seguróla y D. Manuel Antonio Salaza*: Subtenencias de granaderos y cazadores en los de Valladolid y Compostela á los Subtenientes de fusileros D. Vicente Moneada</t>
  </si>
  <si>
    <t>Kindelan, Joseph</t>
  </si>
  <si>
    <t>Joseph Kindelan</t>
  </si>
  <si>
    <t>, D. Juan María de Abraldes, D. Manuel de Lardizabal, D. Luis de Lardizabal, D. Alejandro Barruchi, Don Joseph Kindelan, D. Rafael Tejada, D. Antonio Gilman, D*-Manuel de la Riva-Agiiero; y otros varios en principios. En doctrina christiana, baxo la dirección del maestro principal el Lie. D. Juan B</t>
  </si>
  <si>
    <t>Kindelan, Joseph María</t>
  </si>
  <si>
    <t>Joseph María Kindelan</t>
  </si>
  <si>
    <t>Reales Guardias Walonas, y D. Joseph María de Esponda. De álgebra elemental D. Luis de Lardizabal, D. Joseph María Kindelan, primer Subteniente del regimiento de infantería de Ultonia, D. Ignacio Xavier de Colmenáres y D. Hilarión de Echavarría. De geometría elemental D. Domingo de Otañez y D. Francisc</t>
  </si>
  <si>
    <t>Kingsmill, Almirante</t>
  </si>
  <si>
    <t>Almirante Kingsmill</t>
  </si>
  <si>
    <t>a: vendrán de Inglaterra á Corke en una esquadra, que quedará en dicho puerto en lugar de la que el Almirante Kingsmill manda hace mucho tiempo en aquel apostadero. Ademas de dichas tropas van llegando otros regimientos; y estas disposiciones extraordinarias se toman á causa, según dicen, de cierto</t>
  </si>
  <si>
    <t>Kiniki, Conde</t>
  </si>
  <si>
    <t>Conde Kiniki</t>
  </si>
  <si>
    <t>y jsie asegura tie¿en ya orden de pasar dicho rio. j Se ha publicado en una gazetá de Viena que él Conde Kiniki ha llegado á aquella ciudad desdé el quartel del Archiduque Cárlos con proposiciones de un armisticio. „ Los húsares austríacos de Szeckler han ocupado: el castillo de Koenigstein</t>
  </si>
  <si>
    <t>KIsber, General</t>
  </si>
  <si>
    <t>General KIsber</t>
  </si>
  <si>
    <t>ovar las negociaciones baxo las mismas basas que el convenio de El-Arisch. Se sabe en efecto que el General KIsber trata con mucha atención y miramiento al Gran Visir,, y le ha enviado el Kiaya-Bey Osman Eífendi , que gobernaba en el Cayro en virtud del referido convenio, y de resultas de la r</t>
  </si>
  <si>
    <t>Klcber, General</t>
  </si>
  <si>
    <t>General Klcber</t>
  </si>
  <si>
    <t>itantes dei departamento del Alto-Rhin para que erijan por subscripción voluntaria un .monumento al General Klcber , que era natural de aquel pais. Iil paisanage que se había.armado cu Toscana, y ha sido disuelto por el exército francés, estaba pagado por el gobierno de Inglaterra. Después del</t>
  </si>
  <si>
    <t>Klcnau, General</t>
  </si>
  <si>
    <t>General Klcnau</t>
  </si>
  <si>
    <t>da la derecha del Rednitz y del Mein en Franconia. El General Grenier ha avisado desde Ratisbona al General Klcnau (que se halla en Stadtam-Hoíf) la renovación de las hostilidades ; y desde entonces está cortada toda comunicación entre las dos orillas de dicho rio. En Baviera todos los General</t>
  </si>
  <si>
    <t>Kleber</t>
  </si>
  <si>
    <t>n camello. Los enemigos tuviéron 20 muertos y muchísimos heridos. El General en xefe Kleber promovió á Subteniente á dicho sargento.” ,• Roma 28 de Diciembre de ij$9* L os enfermos franceses que habían quedado aquí., han: recobrado su salud , y saLido</t>
  </si>
  <si>
    <t>Kleber, General</t>
  </si>
  <si>
    <t>General Kleber</t>
  </si>
  <si>
    <t>n casi inexpugnables. Expresa una carta del Archipiélago que los turcos han hecho un tratado con el General Kleber, siendo sus condiciones que se retiren las tropas otomanas que militan á favor de la colicion, y se cierre la entrada de los Dardanelos para los navios rusos que están en el Medit</t>
  </si>
  <si>
    <t>cueros que se necesitaban para atravesar 80 leguas de desierto. Informado de estos preparativos el General Kleber reforzó su vanguardia en El-Arisch, y se transfirió al mismo pueblo, del qual salió el 22 de Octubre con 20® hombres eutre dragones y húsares franceses, y un regimiento de 1® homb</t>
  </si>
  <si>
    <t>mientos militares, las quales .se ir n i tic fu y caído sucesivamente. La primera es como sigue: El General Kleber al Directorio executivot</t>
  </si>
  <si>
    <t>tá armando la fragata Egipcíaca, que monta 40 cañones, algunos del calibre de 24. Segunda carta del General Kleber, fecha en el quartel del Cayro d ig de Noviembre. „ Ciudadanos Directores. Tengo que informaros de los sucesos acaecidos en Egipto desde la última relación que os dirigí con fecha</t>
  </si>
  <si>
    <t>e. Nada se ha traslucido del contenido de dicha carta, y únicamente se sabe que el Eílendr pidió al General Kleber contestase á la respuesta de que era portador. Tres veces conferenció dicho oficial turco con nuestro General, y el 13 por La noche volvió á salir del Cayro para el campo del Gran</t>
  </si>
  <si>
    <t>los Cónsules, escrita en la rada de Villafranca á i.° de Enero. Se resumirá aquí su contenido. ,,E1 General Kleber, comandante en xefe del exército de Egipto, me ha encargado entregar un pliego al gobierno, al qual debo taní? bien comunicar de viva voz los informes que puedan ser útiles á las</t>
  </si>
  <si>
    <t>das de artillería, y con 36 hombres, zozobraron cerca de Tinch y Ompharege. Seguía parlamentando el General Kleber con el Gran Visir. En el exército turco hay muchos rusos; y un Comisario de la misma nación, que gasta mucho dinero y hace grandes presentes para ganar partidarios, amenaza declar</t>
  </si>
  <si>
    <t>estos arsenales; y sin embargo se prosigue hablando de las negociaciones entre el Grafli Visir y el General Kleber que manda á los franceses en Egipto. Stockolmo &lt;)¡ de Febrero. S e ha hecho en las iglesias de esta capital y en el resto del Reyno la convocación de la Dieta, que se abrirá el 28</t>
  </si>
  <si>
    <t>ncés y unos 100 oficiales, que se han enviado á Constantinopla. Otras cartas añaden que habiendo el General Kleber perdido la esperanza de poder mantenerse en Egipto,propuso capitular ofreciendo evacuar aquel país con todas sus tropas. Convino en ello el Gran Visir; y quando salió de allí el c</t>
  </si>
  <si>
    <t>Visir concluyo, posteriormente á la conquista de aquella fortaleza, un armisticio de un mes con el General Kleber; y que entre tanto espera dicho comandante otomano instrucciones de la sublime Puerta sobre el modo de tratar con el mencionado General francés. Espérase en breve aquí al Archiduq</t>
  </si>
  <si>
    <t>ana1 mayor, que despachó el Gran AGsir, una capitulación firmada por aquel General en xefe y por el General Kleber, relativa á la evacuación del Egipto. En ella se obliga el General Kleber á entregar al</t>
  </si>
  <si>
    <t>ena saberse por noticias de Egipto, que en virtud de un tratado concluido con la Puerta otomana, el General Kleber debe restituirse á Francia con su exército; pero añaden que Mr. Sidney-Smith observó que no podía asegurar el paso libre de aquellas tropas, sino en quanto consintiesen en ello los L</t>
  </si>
  <si>
    <t>Pitt la ha suspendido porque supo que la sublime Puerta ha tenido á bien ajustar un tratado con el General Kleber. De todos modos, es positivo que han cesado en Inglaterra los preparativos para dicha expedición, sea á conseqüencia del referido aviso, sea de resultas de pliegos del continente</t>
  </si>
  <si>
    <t>a evacuación de aquel pais. Se insertarán los principales por su orden. El primero es una carta del General en xefe Kleber al Directorio executivo, fecha en el campo de Salahiéh á 29 de Enero, y dice así: „Acabo de firmar el tratado relativo á la evacuación de Egipto, de que incluyo copia. Hasta de aq</t>
  </si>
  <si>
    <t>saix, General de división, y Poussielgue , Administrador general n de rentas, Plenipotenciarios del General en xefe Kleber, y sus Excelen»» cias Mustafá Ruschid-Effendi Tefterdar , y Mustafá Rassiche-Jiffendi » Riesseul-Knittab, Ministros plenipotenciarios de S. A. el supremo Visir.” ,,Queriendo el ex</t>
  </si>
  <si>
    <t>o, y hasta su vuelta al continente de Francia, no será inquietado de ningún modo; y por su parte el General en xefe Kleber y el exército francés en Egipto prometen no cometer durante dicho tiempo hostilidad alguna contra las esquadrás ni contra los países de la sublime Puerta ni sus aliados; Jas embarcaci</t>
  </si>
  <si>
    <t>de Abril. Fin del Convenio para la evacuación de las tropas francesas y. de Egipto. JjLrt. XIV, El General en xefe Kleber podrá enviar inmediatamente Francia un aviso, al qual se darán los salvoconductos necesarios para que pueda avisar al gobierno francés la evacuación de Egipto. XV. Atendido á que</t>
  </si>
  <si>
    <t>3$4 comisarios destinados por el General en xefe Kleber para percibir dicha cantidad. XVJI. Teniendo el exército francés que hacer gastos para evacuar á Egipto, recibirá, después que se ratifique el presente convenio, la suma estipulad</t>
  </si>
  <si>
    <t>guseos despachados de Alexandría, habían tocado de arribada en Morea, y que en ellos se hallaban el General Kleber y 45 oficiales franceses. Luego que dichos barcos tomen algunos refrescos seguirán su viage á Tolon. Igualmente escriben de Liorna que una parte del exército francés embarcado en Al</t>
  </si>
  <si>
    <t>General Moreau ha enviado algunos á Suiza y á Italia. ...... El dia 14 llegó á Paris un edecán del General Kleber. Refiere que el exército de Egipto quedaba en buen estado, y que las tropas se disponían á. embarcarse. Se ha atrasado su partida porque el Almirante ingles Keith no quiso ratific</t>
  </si>
  <si>
    <t>a vencerlas eí valor de sus tropas.’* Amsterdam 19 de Mayo. R efieren varías cartas de Viena que el General Kleber ha derrotado enteramente al exército del Gran Visir en Egipto. Esta noticia inesperada, que se da como cierta, podrá parecer verosímil si se hace atención á que por los artículos</t>
  </si>
  <si>
    <t>ha comunicado al Embaxador español en París la noticia de la gran victoria ganada en Egipto por el General Kleber, y que en Viena se habia sabido por cartas do Constantinopla. J Acaba le publicarse aquí una obra en 5 tomos en 4.*, intitulada *&gt; Diccionario universal de geografía mercantil, po</t>
  </si>
  <si>
    <t>Se ha recibido aquí de oficio la noticia de que ha vuelto á empezar la guerra en Egipto. Viendo el General Kleber que el puerto de AleXandría permanecía bloqueado, y que ponían obstáculos é impedimentos á su viage á Francia, resolvió atacar el ij y el 18 de Marzo al exército del Gran Visir: h</t>
  </si>
  <si>
    <t>o imperial y al Embaxador turco la. noticia de que han vuelto á emv pezar las hostilidades entre el General Kleber y el Gran Visir, y que este había sido derrotado. Esta noticia corre muy acreditada, y solamente se varía en orden á las causas del rompimiento. Unos lo atribuyen á haberse opuesto la</t>
  </si>
  <si>
    <t>Puerta se ocupaba en los medios de cumplir quanto antes fuese posible el tratado concluido entre el General Kleber y el Gran Visir con intervención de Mr. Sidney Smith, quando el Embaxador ingles Elgin declaro al ministerio otomano que su corte no adoptaba la capitulación, y que sus fuerzas navale</t>
  </si>
  <si>
    <t>baxo cuyas órdenes se halla el. Caballero SidneySmith, supo la capitulación de Egipto, escribió al General Kleber con fecha de 8 de' Eneró, diciéndole que no podía ratificarla, ni aprobar otra alguna que no incluyese la condición expresa de que aquel exército francés quedase todo entero prisi</t>
  </si>
  <si>
    <t>yaBey había reunido: de modo que no quedan reliquias del exército turco en aquel pais,en el qual el General Kleber se halla tan seguro qual jamas lo ha estado. Y como tiene á su favor los naturales, será ahora mucho mas difícil que antes arrojarlo de allí. Osman-Eífendi mandó degollar en el Ca</t>
  </si>
  <si>
    <t>se oponen al cumplimiento del convenio, dexaban lugar á algunas negociaciones.* El Gran Visir y el General Kleber obraban con buena inteligencia: y esjjoer an do que la corte de Londres mudase de dictámen, habían ya concertado;algunas disposiciones interinas, cuyo efecto se suspendió con moti</t>
  </si>
  <si>
    <t>lgunos franceses , griegbS, y copthos. No se habrían mantenido mucho tiempo en aquella ciudad sí el General Kleber por no maltratarla no se hubiese limitado á cercarla con sus tropas.”__ Hay antecedentes para creer que se entablarán nneVas iregociacíónes á fin dé dar fuerza y cumplimiento aí a</t>
  </si>
  <si>
    <t>exército otomano, sobre la evacuación de Egipto. Consideró dicho vocal la carta del Lord- Keith al General Kleber como una infracción á nuestro tratado con la Puerta otomana; pero el Ministro Dundas replicó que la Gran Bretaña no había sido parte en el convenio de El-Arisch : que en todos tie</t>
  </si>
  <si>
    <t>dose á cartas de Constantinopla) que ya se cumplía la capitulación firmada entre el Gran Visir y el General Kleber , y añadían que parte de las tropas francesas había salido de Egipto con el.consentimiento de ios ingleses: sin embargo, las noticias directas de Smirna, que alcanzan hasta 17 de</t>
  </si>
  <si>
    <t>s al Lord Keith, sabia que efectivamente se trataba de ajustar un convenio entre el Gran Visir y el General Kleber; que pollo que hace á Mr. Sidney Smith, jamas había mandado como xefe en Egipto, ni estuvo allí sino en calidad de Capitán de Navio; pues aunque sirvió como Plenipotenciario adjun</t>
  </si>
  <si>
    <t>a que los franceses mueven dificultades que no se esperaban para abandonar aquel país; y sea que el General Kleber haya recibido nuevas instrucciones de su gobierno, sea que sus ultimas ventajas contra los turcos le den esperanzas de no ser atacado tan pronto, y de que aun puede esperar órdene</t>
  </si>
  <si>
    <t>dinario ingles despachado de Constantinopla; y al instante se publicó en casa del Lord Minto que el General Kleber ha sido asesinado en Egipto por un oficial árabe ó mameluco. Berlín ix de Agosto. P asado mañana saldrá el Rey para Silesia con su Ministro el Conde de Haugwitz. Durará su viage d</t>
  </si>
  <si>
    <t>das á los directores de la compañía de la India, y traídas por el último correo de Hamburgo, que el General Kleber ha sido muerto por un árabe, que al presentarle un memorial le abrió la cabeza. Ignórase si algún motivo de venganza personal fué causa de este delito, el qual (añade dicha rgazet</t>
  </si>
  <si>
    <t>ponerse en duda el horroroso asesinato que estas cartas reiteren haberse cometido en la persona del General Kleber. Por fo demás,.y en quanto al estado de los asuntos en aquel país, todas las noticias recibidas por el mismo conducto contestan ea que el exército quedaba en el mejor estado y sum</t>
  </si>
  <si>
    <t>ral en xefe Kleber privado al exército francés de su caudillo, he tomado yo el mando. Como vuestros aliados los turcos no han podido vencer á los franceses en Mataxich, para veng</t>
  </si>
  <si>
    <t>e recibido esta tarde la carta con que me honráis escrita el 20 de Junio. Quando yo esperaba ver al General Kleber baxo los auspicios mas favorables y felices, liego á saber con el pesar mas vivo, y el mayor dolor, su muerte trágica. Inmediatamente la comuniqué al Gran Visir y Á los Ministros</t>
  </si>
  <si>
    <t>er algunas dificultades imprevistas que podían oponerse al regreso de los franceses á su patria. El General Kleber, en los últimos preliminares que se arreglaron, no dio á entender que el tratado que debía hacerse después, necesítasela ratificación de los Cónsules que gobiernan hoy dia la Fran</t>
  </si>
  <si>
    <t>n los anales de la historia, acaba de colocarme interinamente al frente del exército de Oriente. El General Kleber fue asesinado el dia 14. Un infame despachado de Gazza hace 48 dias por el Agá de los genízaros del exército otomano, atravesó con 4 puñaladas al General en xefe, que se estaba pa</t>
  </si>
  <si>
    <t>3.0 Carta del Lord Keith, impresa y comunicada al exército el 18 del mismo mes, con la proclama del General en xefe Kleber. 4.0 Rompimiento intimado de oficio al Visir el dia 19. 5.0 Batalla de Matharieh ó de Heliópolis, ganada el 20 contra el exército del Gran Visir, que constaba de 60© hombres. Cogi</t>
  </si>
  <si>
    <t>todo el exército. Ni me detendré en estas circunstancias hasta que esten arreglados los papeles del General Kleber. Me limito á pediros, ciud. Cónsul, el favor de que confirméis las promociones que he hecho , en las quales hay Generales de división y de brigada, y de todos los grados inferiore</t>
  </si>
  <si>
    <t>e harán los ingleses dueños de él , lo qual arruinará enteramente nuestro comercio de levante____El General Kleber , en vista de la conducta de los ingleses, ha vuelto á ponerse en estado de guerra. El exército del Gran Visir es tan infeliz, que bastarían 6© franceses para derrotarlo totalment</t>
  </si>
  <si>
    <t>KLeber, General</t>
  </si>
  <si>
    <t>General KLeber</t>
  </si>
  <si>
    <t>l en xefe de las tropas francesas á efecto de renovar el convenio de evacuación que había ñrmado el General KLeber; pero esta noticia necesita confirmación. Son ya muchos los Baxás de las provincias turcas de Europa, que cediendo á las instancias de la sublime Puerta se han puesto en Campaña c</t>
  </si>
  <si>
    <t>Klein, General</t>
  </si>
  <si>
    <t>General Klein</t>
  </si>
  <si>
    <t>ropas tomasen por segunda vez á Friburgo, nos cogieron los austríacos 50 carros cargados de pan. El General Klein está nombrado comandante del cuerpo apostado delante de XelJ, en lugar del General Thureau, que lia ido á servir en el exército. Brest 5 de Mayo. A lites de ayer señalaron las vigía</t>
  </si>
  <si>
    <t>da sobre las dos riberas del Wernitz, se ha; adelantado hasta Oettingen y Pappenheim. El cuerpo dei General Klein se. ha apoderado de Offenburgo, y el del General Beauregard d ■ Friburgo. Pasa de 30® hombres el cxército qúe manda el General Suinte-Suzanne, el qual no tardará en adelantarse ha</t>
  </si>
  <si>
    <t>e Suabia (exceptuando los países de Wurtemberg y Badén) 20 caballos, y 20® quintales de avena.___El General Klein ha ido á Friburgo para intimar á los estados del Brísgaw que aceleren el pago de la contribución que les exigen. Los alemanes han-evacuado la ciudad de Aschaífenburgo, y es ella h</t>
  </si>
  <si>
    <t>retirar los ingleses. Estos están ya bloqueando aquel puerto. Sí ras burgo jo de Octubre. A caba el General Klein de despachar algunas partidas de granaderos para apremiar al Gobernador y Baylios del país austríaco del Ortenau hasta que paguen, la contribución que se les había impuesto. Habiendo el</t>
  </si>
  <si>
    <t>ntes de ayer pari Str «sluirgo, en donde estarán hasta que se satisfaga dicha cantidad. El referido General Klein se ha restituido á su quartel de Schuttcrn.' Augsbitrgo 2 de ¡Noviembre. S e asegura que Paulo I ha ofrecido su mediación para el ajuste de,paz; que restaoiczcán ai Rey tados ¿kc.</t>
  </si>
  <si>
    <t>Klenau</t>
  </si>
  <si>
    <t>ina; y otro cuerpo ocupa los puestos de Cayro y Dego.Por otra parte el de los austríacos, que manda Mr. Klenau, se ha retirado de Torreglia hácia Sestri: de modo que Génova está enteramente libre por aquel lado. Venecia 20 de Diciembre. E 1 dia 17 hubo de salir electo Papa el Cardenal Alba</t>
  </si>
  <si>
    <t>también en la ribera del Bomiida:.de suerte que solamente las divisiones de los Generales Ott y Klenau se hallan en campaña en la ribera de levante, como también el cuerpo del General Ho</t>
  </si>
  <si>
    <t>7 de Julio. A ntes de ayer atacaron los franceses en Beilngries algunos destacamentos del cuerpo de Mr. Klenau, y los rechazaron hasta mas allá de Horhau; pero habiendo aquel General despachado inmediatamente refuerzos , &gt; no pudieron los enemigos adelantarse, y Mr, Klenau colocó sus puest</t>
  </si>
  <si>
    <t>Klenau, General</t>
  </si>
  <si>
    <t>General Klenau</t>
  </si>
  <si>
    <t>mismo tiempo el General Kráy atacaba al General Watrin en sus puestos de Valaggio y la Bóchéttal El General Klenau llegó hasta Albaro sin encontrar gran resistencia. Los puestos avanzados de Saint-Cyr se habían replegado mientras que este General hacia disposición lies para acometer al enemigo</t>
  </si>
  <si>
    <t>el General Kray, que se ha retirado áNovi, tiene de 8 á 9© baxo sus órdenes; y casi igual número el General Klenau. En sus hospitales hay mas de 16&amp; hombres entre heridos y enfermos. Es general aquí la inquietud desde la pérdida de Coni, mayormente viendo que los franceses dan señales de aband</t>
  </si>
  <si>
    <t>que compra y paga sus maldades.” Turin 27 de Diciembre de 1799* S egun avisos de Pontremoli fíré el General Klenau á reconcentrarse en la ribera de levante, y despachó hasta dos millas de Genova un destacamento de sus tropas: los franceses lo rodearon é hicieron, prisionero. De resultas, tuvo</t>
  </si>
  <si>
    <t>e tropas que van á Parma, en donde actualmente se halla el General Ott, que manda las del AustriaEl General Klenau tiene su quartel en Recco. Parece, según algunos movimientos militares, que aun se hará un esfuerzo para echar á los franceses de todo el territorio de Génova, penetrando por la r</t>
  </si>
  <si>
    <t>an venido la caxa de. reserva,» los cirujanos y la botica de campadña -A. esta ciudad ha llegado ej General Klenau, que fue herido en una de las últimas acciones. El Conde de Lehrbach se halla en Dillíngen. Después dé Ja batalla de Memmingen el General Kray se retiró con su plana mayor i Minde</t>
  </si>
  <si>
    <t>* B asilea l&amp; de Julio. L os austríacos evacuaron el dia 12 la ciudad de Ratisbona; y el cuerpo del General Klenau se retiro hacia Straubifigen.__ De resultas de haber derrotado los franceses el dia 8 á los austriacos cerca de Landshut, y de apoderarse de aquella ciudad, el ala izquierda del e</t>
  </si>
  <si>
    <t>umento de la prosperidad de sus heles 'vasallos.'" Ratisbona 20 de ¿Julio. L as tropas que manda el General Klenau se retiraron antes de ayer de esta ciudad, y los franceses entraron en ella. En medio del puente del Danubio hay actualmente dos centinelas austríacas y dos francesas. Ayer llego</t>
  </si>
  <si>
    <t>van á apostarse al otro lado del Rednitz, á fin de conservar sus comunicaciones coií el cuerpo del General Klenau, que ocupa los puestos desde Stadt-Am-Off hasta Eichstett. Todos los Príncipes y Obispos, como también los Enviados austríacos y otros que se habían refugiado en Wurtzburgo, se ha</t>
  </si>
  <si>
    <t>ropas austríacas de la guarnición de Ingolstadt han pasado por Ratisbona, y sus Generales Neu y Klenau visitaron al General francés Grenier, quien les convidó á comer y les dió pasaportes para que sus tropas puedan seguir su marcha por el camino real de la derec</t>
  </si>
  <si>
    <t>ión á que pueden renovarse quanto ádtes las hostilidades, ¿e resultas de esta orden el exército del General Klenau, qué se había acantonado en Bohemia, se está disponiendo á volver al Alto-Palatinado^ El Archiduque Fernando irá con eí General Mack al exército de Italia, el qual ha de reforzars</t>
  </si>
  <si>
    <t>e suponía: pues según ella el exército de Alemania, contando los cuerpos de los Generales Simschen y Kletiau, los cuerpos auxiliares de Baviera y Wurtemberg y los voluntarios del Tirol, no pasa de 90© hombres repartidos en una línea irregular que va desde Bamberg á In</t>
  </si>
  <si>
    <t>Klinglin</t>
  </si>
  <si>
    <t>urgo. Varios cuerpos de dragones , de caballos ligeros y de húsares se han reunido con el cuerpo de Mr. Klinglin. También se ha reforzado el del General Staray con 8 batallones de tropas de línea del imperio.—El General Kray na recibido dos correos de Mr. Melas, General del exército de Itali</t>
  </si>
  <si>
    <t>Klinkin, General</t>
  </si>
  <si>
    <t>General Klinkin</t>
  </si>
  <si>
    <t>Tesará la Baviera para juntarse con el ejército del General Klinkin en los contornos de Rastadt, el qual parece destinado á una expedición contra Alsacia Aigsburgo i de Abril. L a guarnición de Viena sale de aquella capital para Bohemia, adonde acud</t>
  </si>
  <si>
    <t>Klinklin, General</t>
  </si>
  <si>
    <t>General Klinklin</t>
  </si>
  <si>
    <t>acometidos, y tuviéron que huir si otro lado del Rhin. Ha llegado á las inmediaciones de Rastadt el General Klinklin, y tomarara el mando de un cuerpo austríaco y del Imperio que se junta á orillas ye, del Murg. Estará dicho General baxo las órdenes de Mr. btarray, comandante del ala derecha del</t>
  </si>
  <si>
    <t>Klocq, Pedro</t>
  </si>
  <si>
    <t>Pedro Klocq</t>
  </si>
  <si>
    <t>Citado en aviso sobre haberes de un soldado fallecido.</t>
  </si>
  <si>
    <t>Pedro Klocq, natural de Mulli en Francia...</t>
  </si>
  <si>
    <t>Knesewich</t>
  </si>
  <si>
    <t>Kniaziewicz, General</t>
  </si>
  <si>
    <t>General Kniaziewicz</t>
  </si>
  <si>
    <t>aud, que manda el ala derecha al otro lado del Mein, se hallaba atacada con igual esfuerzo. Pero el General Kniaziewicz, que eon la brigada polaca formaba el centro, acudió al socorro Je ambas divisiones, y entonces fueron rechazados los enemigos. Del quartel general de Hoechst escriben : „Ei dia 1</t>
  </si>
  <si>
    <t>Kniglit</t>
  </si>
  <si>
    <t>ic&gt;39 Jií Duque de Portland ha dado «i Mr. Kniglit un pasaporte para que vaya á Francia con su rnuger. Es el primero que se concede desde principios de la guerra* ; -: * ..." , . . ..■ .i Una carta de Canton en China» escrita eFi)</t>
  </si>
  <si>
    <t>Knox, General</t>
  </si>
  <si>
    <t>General Knox</t>
  </si>
  <si>
    <t>nerales Abercrombie , Moores y otros comandantes ingleses. Igualmente, en el navio Alkmaer llegó el General Knox. ' Bérgamo 4 de Julio. O cupan los franceses la Valtelina baxa y alta con .15 batallones mandados por el General de brigada Digonet. También se ¿rallan dueños de Chíavena. Los aus</t>
  </si>
  <si>
    <t>Kobson</t>
  </si>
  <si>
    <t>ni á sus opiniones, envió órdenes para que se consintiese en el tratado concluido por los turcos__ -Mr. Kobson dixo que todo el asunto se reduce á saber si el tratado de El-Arisch es ó no obligatorio para este país: y que si lo es, estamos en guerra con nuestros aliados. Mr. Villberforce o</t>
  </si>
  <si>
    <t>Kochler, General</t>
  </si>
  <si>
    <t>General Kochler</t>
  </si>
  <si>
    <t>, su caballo picado por un tábano se tiró al suelo, cogió á S. M. debaxo, y le lastimó un muslo. El General Kochler y los demás oficiales inglese», que le acompañaron á Constantinopla para instruir á las tropas otomanas, están en camino de vuelta para Inglaterra. El dia 16 saliéron de Corck 6 navios de</t>
  </si>
  <si>
    <t>Koehler, General</t>
  </si>
  <si>
    <t>General Koehler</t>
  </si>
  <si>
    <t>o que se malogren las negociaciones.__ El exército del Gran Visir se está reclutando en JaíFa; y el General Koehler, después de conferenciar muchas veces con el Reis-Eífendi, quedaba disponiéndose á volver al campamento del Gran Visir con los oficiales de plana mayor. Acaba de mandar el Sultán</t>
  </si>
  <si>
    <t>Kolfrgrisvow, Conde</t>
  </si>
  <si>
    <t>Conde Kolfrgrisvow</t>
  </si>
  <si>
    <t>graduación al regimiento de artillería de Reswoi. También ha promovido S. M. á Teniente Capitán al Conde Kolfrgrisvow , que sirve en la esquadra del Báltico, en recompensa del valor que manifestó siendo voluntario en la acción que hubo cerca de Brést quando la esquadra inglesa apresó 12 transport</t>
  </si>
  <si>
    <t>Kollowrath, General</t>
  </si>
  <si>
    <t>General Kollowrath</t>
  </si>
  <si>
    <t>o volverá á mandar dicho exército, que el Conde de Colloredo no ha querido aceptar su mando, que el General Kollowrath no lo ha admitido sino interinamente, y que al fin lo ha aceptado el Barón de Lauer. Dicen que también se ofreció ai Príncipe Carlos, y que respondió como otras veces, que lo admi</t>
  </si>
  <si>
    <t>Konnio, Capitán</t>
  </si>
  <si>
    <t>Capitán Konnio</t>
  </si>
  <si>
    <t>hibiendo también la extracción de harina. El Consejo de guerra de marina ha sentenciado á muerte al Capitán Konnio, que sin hacer resistencia se entregó á una fragata inglesa que no era de mayor fuerza. Será pasado por las armas en un navio de guerra en Maarsluys ó en Amsterdam. Parts 2 de "En</t>
  </si>
  <si>
    <t>Kopp</t>
  </si>
  <si>
    <t>tro plenipotenciario^ de la República liguriana : Mr. Manthey, Encargado de negocios, de Dinamarca: Mr. Kopp j Encargado de negocios de Hesse-Cassel: Mr. Signeul, Agente general del comercio y Encargado de negocios de Suecia 5 y Mr. Classen, Agente general del comercio de Dinamarca. Las</t>
  </si>
  <si>
    <t>Korsakow, General</t>
  </si>
  <si>
    <t>General Korsakow</t>
  </si>
  <si>
    <t>iomenil, General.vie caballería, que sirve á la Rusia,y estando en Riga tuvo orden de reemplazar al General Korsakow, ha ido posteriormente á Praga, de donde saldrá para Inglaterra , y allí reemplazará al General Hermann en el mando de las tropas rusas que hay en las islas y costas de aquel Rey</t>
  </si>
  <si>
    <t>Paulo I léjos de ceder persiste en pedir satisfacción por el modo con que el cuerpo de exército del General Korsakow fue sacrificado en Suiza; y quiere que se juzgue en un consejo de guerra á todos los Generales austríacos, incluso el Archiduque Cárlos. Francfort g de Noviembre. L a gazeta de Vi</t>
  </si>
  <si>
    <t>Kospoth</t>
  </si>
  <si>
    <t>están acantonados entre el lago de Constanza y Schatfhusa á las ordenes de los Generales Kospoth y Sporck. El Archiduque Carlos se halla en Donaueschingen, que es el punto medio de la línea militar- El General Nauendorf manda el centro, el qual se extiende hacia Ba</t>
  </si>
  <si>
    <t>Kotschoíf, Almirante</t>
  </si>
  <si>
    <t>Almirante Kotschoíf</t>
  </si>
  <si>
    <t>Dinamarca. Por cartas de Constantinoola de mediados del mes último se sabe que la esquadra rusa del Almirante Kotschoíf ha recibido orden para restituirse á los puertos de Crimea. Las tropas que lleva baxo su mando Mr. James Pultney se han enviado al Mediterráneo escoltadas por los navios nombrados</t>
  </si>
  <si>
    <t>Koxo, Alexo</t>
  </si>
  <si>
    <t>Alexo Koxo</t>
  </si>
  <si>
    <t>al Subteniente del mismo D. Manuel de Velasco. , _ ' _ _ . En atención á los servicios y méritos de D. Alexo Koxo lamanz, Achministrador general de la Real imprenta, se ha servido S. M. concederle honores de Comisario de Guerra de sus ejércitos. El 30 de Diciembre último falleció en Zamora á los</t>
  </si>
  <si>
    <t>Krabbe</t>
  </si>
  <si>
    <t>bandera y gallardete de Dinamarca. Tiene abordo 2 oficíale' y 13 soldados ingleses sin armas. Pidió Mr. Krabbe qub lós mandasen salir; m la fragata, ó que Iosingleses tomasen posesión de ella; y el 28 aun no había recibido 'respuesta;^. Se le ha dado libertad para baxár á tierra; pero se h</t>
  </si>
  <si>
    <t>fensa; y parece que esto fué el motivo de haber el Lord Withworth pasado de Copenhague á Stockolmo. Mr. Krabbe; Secretario de la legación dinamarquesa en Suecia, ha ido de Stockolmo á Copenhague con pliegos, que se dice son de la mayor importancia: y aun añaden que el Embaxador ruso cerca</t>
  </si>
  <si>
    <t>Krabbe, Capitán</t>
  </si>
  <si>
    <t>Capitán Krabbe</t>
  </si>
  <si>
    <t>ce á este puerto, sé halla ya en uii estado respetable de .defensa. E &gt; &gt; Elseneur 2$! de Agosto. 1 Capitán Krabbe, comandante de la fragata dinamarquesa la Freya sur-“ ta en las Dunas».há remitido al Almirantazgo de,Copenhague dos declara^! . Clones fechas el 26 y 28 de Julio. De su cprntenid</t>
  </si>
  <si>
    <t>9°4 comandante ingles despacho la suya al barco del convoy que se hallaba mas inmediato. El Capitán Krabbe mandó disparar un cañonazo á dicha lancha» y entonces el buque ingles que estaba por el flanco de la Freya tiró toda: íu andanada» á la que nuestra fragata correspondió inmediatam</t>
  </si>
  <si>
    <t>Krabbeque, Capitán</t>
  </si>
  <si>
    <t>Capitán Krabbeque</t>
  </si>
  <si>
    <t>*¡ó á la nuestra poco después otro oficial con la solicitud de visitar oí con- ' ▼oy. Respondió el Capitán Krabbeque sus instrucciones no le permitían consentir en ello; y ofreció comunicar todos sus,papeles al comandante de los i buques ingleses. Persistió dicho oficial en su instancia, y al fi</t>
  </si>
  <si>
    <t>Kray</t>
  </si>
  <si>
    <t>e Cárlos mandará la campaña próxima .etfltáüa, y tendrá baxo: sus órdenes á los Generales Me las y Kray. El 'General Starray mandará otro cuerpo por el Rhin hácia Huninga, el qual estará dependiente del de Italia, y obrará de acuerdo con él. En los demas'países q</t>
  </si>
  <si>
    <t>Kray, Feld-Mariscal</t>
  </si>
  <si>
    <t>Feld-Mariscal Kray</t>
  </si>
  <si>
    <t>raciones; y entre tanto hace trente y contiene á las principales fuerzas deí exército austríaco. El Feld-Mariscal Kray tiene su quartel general en Haagen, entre el Iser y el Inn. Después de uní marcha muy peligrosa y sabiamente dirigida , y de apoderarse del Vorarlberg y dei país de los Grisones,</t>
  </si>
  <si>
    <t>. La noche del 4 al 5 salió en calidad de correo un oficial de esta guarnición. con pliegos para el Feld-Mariscal Kray. También han salido de aquí los Condes de Cobentzel y Metternich. Dícese que el primero va á. Carlsbady el segundo á sus haciendas de Bohemia.. llatubona 11 de JulioD e un mes á e</t>
  </si>
  <si>
    <t>neral de Alt-Oetting el ciud. Duroc, primer Ayudante del Cónsul Bonaparte, con una comisión para el Feld-Mariscal Kray; y como este había ido á Salzburgo, se le despachó un oficial avisándole que acelerase su vuelta. En efecto, volvió el 7 por la noche, y á la mañana inmediata muy temprano tuvo un</t>
  </si>
  <si>
    <t>Kray, General</t>
  </si>
  <si>
    <t>General Kray</t>
  </si>
  <si>
    <t>ríaco en numero de 6o® hombres se ha acantonado en las dos orillas del Stura. Ademas del cuerpo del General Kray se halla otro mas acá de Turin a las órdenes del General Keim, y tienen tropas en- las inmediaciones de Ivree, con el fin de observar los movimientos de las francesas apostadas en</t>
  </si>
  <si>
    <t>ya tuvo anteriormente. Según gazetás nacionales perdieron los franceses en la ultima batalla que el General Kray les ganó en Italia al pie de 2© hombres, la mayor parte de los quales se ahogó en el Bormida: entre estos nombran al comandante de Acqui. Ademas de la subscripción abierta por la</t>
  </si>
  <si>
    <t>Kráy, General</t>
  </si>
  <si>
    <t>General Kráy</t>
  </si>
  <si>
    <t>a ribera de Levante ,- reforzada coi*tm cuerpo de rusos procerdente de Liorna; y al mismo tiempo el General Kráy atacaba al General Watrin en sus puestos de Valaggio y la Bóchéttal El General Klenau llegó hasta Albaro sin encontrar gran resistencia. Los puestos avanzados de Saint-Cyr se habí</t>
  </si>
  <si>
    <t>os para proseguir la campaña por este país, no llegan á 40® hombres: el General Melas manda 20©; el General Kray, que se ha retirado áNovi, tiene de 8 á 9© baxo sus órdenes; y casi igual número el General Klenau. En sus hospitales hay mas de 16&amp; hombres entre heridos y enfermos. Es general a</t>
  </si>
  <si>
    <t>el Delfinado, y en los contornos de Ormea y Ceva hacia las costas de Genova. Parte del exército del General Kray se ba acantonado también en la ribera del Bomiida:.de suerte que solamente las divisiones de los Generales Ott y Klenau se hallan en campaña en la ribera de levante, como también</t>
  </si>
  <si>
    <t>ferior acaba de dar 4©, que se han reclutado solamente en las ciudades. ?e ha expedido un correo al General Kray, que está en ’el exército de Italia,'y aseguran que mandará en Alemania en caso que se retire él Príncipe; Carlos, que; siguer algo enfermo. _ El mando de Mantua se ha dado al Gen</t>
  </si>
  <si>
    <t>ue crecen diariamente las desavenencias: entre las corte» de Berlín y Viena. También se dice que el General Kray mandará el exército del Rhin destinado á hacer frente al ala izquierda de los franceses: que obrará independiente del Archiduque Carlos; y que este Príncipe mandará el cuerpo que</t>
  </si>
  <si>
    <t>y sueldo de las tropas, las quales se refuerzan diariamente. A pesar de esto, dicen algunos que el General Kray mandará en xefe los ejércitos del Rhin en lugar de dicho Príncipe, el qual se retira á Viena: el General Bellegarde mandará en Italia, y ¿1 Archiduque Fernando tendrá él título de</t>
  </si>
  <si>
    <t>o lo hacían hasta ahora. • . . . ~ Viena 14 de Febrero. A seguran las gazetas de esta ciudad que el General Kray mandará en xefe el exército del Rhin hasta que se restablezca enteramente el Archiduque Cárlos, quien, según las mismas gazetas, no tardará en restituirse á esta capital. Si el cu</t>
  </si>
  <si>
    <t>por el quartel general de Donauseshingen ántes de ir á Italia. Ya habrá llegado al mismo parage el General Kray, que estaba visitando el ala izquierda del</t>
  </si>
  <si>
    <t>rá nombrado Coadjutor de la orden teutónica. El 17 de este mes fué quando llegó á Donaueschingen el General Kray, y el mismo dia le entregó el Archiduque Cárlos el mando del exército. Este Príncipe, al despedirse de las tropas, las exhortó á que acreditasen baxo su nuevo xefe el valor y la f</t>
  </si>
  <si>
    <t>ral baxo las órdenes de Mr. btarray, comandante del ala derecha del exército austríaco del Rhin.—El General en xefe Kray ha visitado el cordon de las tropas que forman el centro de su exército, y se detuvo algunos dias en Schatf luisa. París 7 de Abril, E 1 Ministro de Justicia ha dado á luz un esta</t>
  </si>
  <si>
    <t>iciales austríacos de su cuerpo están igualmente presos,' y también se les hará causa* Desde que el General Kray se ha encargado' del mando del exército, se hacen con mayor actividad los preparativos para empezar la campaña. Las tropas que tenían sus quarteles de invierno en lo interior de S</t>
  </si>
  <si>
    <t>el RhinInferior, y tiene baxo su mando á los Príncipes de Hohenlohe y Hohenzollern. Ha recibido el General Kray orden para que forme en la izquierda del Danubio un campamento atrincherado, al qual pueda acogerse su exército en caso de descalabro. También se levantan atrincheramientos á oril</t>
  </si>
  <si>
    <t>extrangeras. Strasburgo 14 de Abril. S e ha puesto en movimiento el exército austríaco mandado por Mr. Kray. Este General ha reforzado considerablemente los cuerpos apostados en el Brisgaw y en los contornos de Rastadt. La mayor parte del resto de sus tropas se reconcentrará entre Const</t>
  </si>
  <si>
    <t>ado de Hannóver entrará en la colicion contra Francia. Gran parte de la infantería del exército del General Kray se ha acercado al Rhin, y la caballería se reúne entre Tuttiingen y Bulingen, en don</t>
  </si>
  <si>
    <t>los ciudadanos Iselin y Laroche de Basilea para ir al quartel general austríaco, y concertar con el General Kray el restablecimiento libre de los correos y del comercio entre Suiza y Alemania. strasburgo 18 de Abril. E n Nanci habrá 22,700 hombres de tropas mandados por el General Montrichard;</t>
  </si>
  <si>
    <t>formará un exército de reserva para el austríaco del Rhin, quedando baxo las órdenes inmediatas del General Kray. Aiigs burgo j2 de Abril. S e extiende de un modo asombroso el incendio de la montaña de Rammelsberg cerca de Goslar. Los habitantes de aquella ciudad, que para vivir no tienen ca</t>
  </si>
  <si>
    <t>2 de Abril. P or un decreto de la junta ó comisión imperial ha sabido la Dieta de Ratisbona que el General Kray no ha reemplazado al Archiduque Cárlos en el mando del exército sino interina y momentáneamente. No tardará el quartel general austríaco en salir de Donaueschingen para trasladars</t>
  </si>
  <si>
    <t>ito austríaco que estaba en Suabia se ha aproximado mucho á las fronteras de Suiza; y parece que el General Kray intenta un ataque contra aquella República. Ha llegado á Maguncia un comisario ingles para revistar las tropas y milicias maguntinas pagadas por Inglaterra. I r.incfori 26 de Abri</t>
  </si>
  <si>
    <t>muchos los que se presentan para servir en dichos cuerpos. TT Manheim 27 de Abril. JnLa mandado el General Kray salgan á campaña todas las milicias del Círculo de Suabia, y que compongan un solo cuerpo. De Viena saldrán el i.° de Mayo 6© hombres para el exercito del Rhin. El Elector de Bavi</t>
  </si>
  <si>
    <t>te con el cuerpo de su mando todos los países de la Suabia-Inferior , y reunirse con el exército de Mr. Kray. Lo propio executarán los contingentes de Wurtemberg y del Palatinado, como también el cuerpo de reserva. En fuerza de órdenes recientes los almacenes que los austríacos tienen en</t>
  </si>
  <si>
    <t>o de Federcé. Strasburgo 12 de Mayo. D espues de la batalla de Stoekach, dada el dia 3, acometió el General Kray con un cuerpo considerable de tropas al General Lecourbe, que aunque se defendió muy bien, tuvo que replegarse hácia el Rhin helvético. Volviéron los enemigos á ocupar á Stoekach;</t>
  </si>
  <si>
    <t>cito del Rhin hace én Alemania. Después de las dos batallas de Engen y Moeskirch, era de. creer que Mr. Kray se retirase al otro lado del Iller y á su campó atrincherado de Ulm; pero aquel General, después dé estas dos sangrientas derrotas, ganó con marchas forzadas la línea del Riss; y</t>
  </si>
  <si>
    <t>ército de Italia que Se han publicado en la gazeta de la corte* Stuttgard JO de Mayó. H a pedido el General Kray al Elector de Bavicra todas las tropas de que puede disponer para defensa de sus estados* Ayer sal iéron de aquí 4© hombres de Würtemberg, que van á reforzar ni exército imperial.</t>
  </si>
  <si>
    <t>Moreau al frente de unas fuerzas tan crecidas resolvió presentar*al dia siguiente batalla campar ai General Kray. Verificóse en efecto el 3, y puede compararse con la mas sangrienta qiTe se haya dado en quaíquiera guerra. Al amanecer dio el exército francés su ataque con el ímpetu republican</t>
  </si>
  <si>
    <t>l Archiduque Carlos ha mandado comprar en esta ciudad varias letras de cambio , y las ha enviado al General Kray, para que cobrando su importe lo invierta en recompensar á los militares de su exército que sobresalgan en las acciones de esta campaña , y en socorrer á los oficiales de mérito q</t>
  </si>
  <si>
    <t>del exército, y con particularidad del ala izquierda del cuerpo apostado en el Vorarlberg, dispuso Mr. Kray que el exército abandonase los puestos que habia ocupado hasta entonces; y al cabo de una marcha no interrumpida, mandó apostar las tropas en Engen, donde acamparon el 2 por la ta</t>
  </si>
  <si>
    <t>obre los primeros acontecimientos de esta campaña en el llhin: „No puede ménos de haber padecido el General Kray mucho descuido en su vigilancia y habilidad para haber dexado que Moreau atravesara el Rhin en 4 diversos puntos, y reuniera luego sus fuerzas de modo que rodease los flancos del</t>
  </si>
  <si>
    <t>49* , Dícese que no habiendo podido el General Staray incorporarse con el exército de Mr. Kray, se halla cortado por los franceses. También se nse-x gura que el General Kray está en ánimo de reconcentrar sus fuerzas en Baviera, adonde han llegado ya los bagages y la artille</t>
  </si>
  <si>
    <t>últimas acciones. El Conde de Lehrbach se halla en Dillíngen. Después dé Ja batalla de Memmingen el General Kray se retiró con su plana mayor i Mindelhein, y de,aÚltrasladó su quartel general á Ulm, en donde ahora se halla. El cuerpo bávaro,que está al mando del Barón de Dos-Puentes,se ha re</t>
  </si>
  <si>
    <t>Las noticias del exército de Mr. Kray causan aquí mucho disgusto*. los fondos públicos pierden cada dia mas, y es cada vez menor la suma del dinero que circula.__ Con fecha de 30 de Abril se ha publicado una patente i</t>
  </si>
  <si>
    <t>te la ciudad de Turin ha pagado 15 millones de libras desde que se retiraron de ella los franceses. Mr. Kray tenia el 16 su quartel general en Elhingen, á la izquierda del Danubio, Se asegura que de Ulm han salido para París algunos correos despachados de Viena con proposiciones de un aj</t>
  </si>
  <si>
    <t>l Danubio para que el exército de reserva francés pueda sin estorbo entrar en Italia. Añaden que el General Kray ha resuelto ir con gran parte de sus tropas hacia el Tirol ■y los Grisones. El primer Cónsul Bonaparte, en calidad de presidente del instituto de Francia, ha dirigido á las univer</t>
  </si>
  <si>
    <t>541 del exército atravesó el I14er dirigiéndose hácia el Lech para amenazar por la espalda al General Kray, y que con esto se consiguió que el exército austríaco retrocediese. El exército francés observa la mejor disciplina y la mayor quietud en los paises enemigos, cuyos pueblos agrad</t>
  </si>
  <si>
    <t>® combatientes. Han llegado al Danubio algunos regimientos de infantería destinados al exército del General Kray. Delante de Munich se está formando un campo atrincherado de 15© hombres para cuidar de la defensa de Baviera. Se ha recibido la siguiente carta de Ulm*. „E1 día 21 hubo reencuent</t>
  </si>
  <si>
    <t>oreau tenia su cuartel general en Babenhausen. Por Ja izquierda del Danubio no quedan ya franceses. Mr. Kray conservaba su quartel en Ulm, y una gran parte de sus tropas está en dicha margen izquierda del Danubio. Mr. Star ay ha tomado el mando del ala izquierda austríaca, la qual se ha</t>
  </si>
  <si>
    <t>, levanta atrincheramientos cerca de Wibllngen, v emprenderá el sitio de aquella plaza luego que el General Kray se retire hacia Insolstadt para cubrir á Baviera. De este modo habra e General Moreau obligado á Mr. Kray con sus sabias disposiciones á abandonar sus ventajosos puestos inmediato</t>
  </si>
  <si>
    <t>en Augsburgo, en donde el General Lecourbe tenia ya su quartel el dia i.° de este mes.__ Parece que Mr. Kray no está en ánimo de admitir lá batalla que el General Moreau se propone darle, pues ha destacado su ala izquierda para cubrir á Baviera, y el resto de su exército se ha apostado e</t>
  </si>
  <si>
    <t>ces orden á sus tropas para que dexasen el exército austriaco y se retirasen á Baviera; pero que el General Kray se, opuso á su partida* Francfort 2 de Junio. S in embargo de lo que publican las gazetas inglesas acerca de los empeños contraidos por el Emperador de Alemania con S. M. Británic</t>
  </si>
  <si>
    <t>l General Nauendorf, que manda el centro del exército austriaco, tenia su quartei en Donawert, y el General Kray había vuelto á Ulm con gran parte de sus tropas. El General Moreau estaba todavía en Memmingen; pero debía trasladarse á Kempten. Conservan los franceses algunas tropas en Kauifbe</t>
  </si>
  <si>
    <t>hz, y cometen los mayores excesos en las inmediaciones del Sava.. . Vierta 4 de Junio. Hccse que el General Kray ha pedido su dimisión si no se retiran de su ejercito el General St.aray y el Príncipe de Reuss, á quienes acusa de que se oponen de continuo á sus disposiciones y proyectos* Han</t>
  </si>
  <si>
    <t>del 5 ; y extractada dice así : „ Después de la jornada del &lt;5, en que se malogró el ataque que el General Kray dm á nuestra izquierda, resolvió el General Moreau que el cuerpo de Lecourbe volviese hacia el Lech; y así lo executó este General poniéndose en marcha el dia 11. Apostado en la o</t>
  </si>
  <si>
    <t>ropas de Wurtemberg pasaron por aquí los dias 8 y 9: venían de Donawert, y van hacia el Wertach. El General Kray ha fortificado considerablemente ño léjos de aquel rio el ala izquierda de su exército: y el cuerpo del Príncipe de Reuss. se adelanta desde Renti a Euessen. El ala derecha del ex</t>
  </si>
  <si>
    <t>sgau y delante de Kell abandonaron sus puestos el 23 por la noche para reunirse con el exército del General Kray, que se dispone á evacuar enteramente la Suabia, y retirarse á Franconia ó Baviera. Los franceses han vuelto á entrar en Oífemburgo, 4 leguas mas allá de Kell. Se están haciendo p</t>
  </si>
  <si>
    <t>banderas. Al dia siguiente el regimiento de cazadores n. ó cogio 300 carros cargados de granos-----Mr. Kray se ha alejado de Ulm, y según dicen se adelanta para darnos batalla. Le ahorraremos la mitad del camino. Firmado. Moreau.” ,, Aviso telegráfico de 29 de Junio. El exército del Rhi</t>
  </si>
  <si>
    <t>arán causa; pero no expresan el delito que le imputan.*" .Francfort 28 de Junio. S e asegura que el General Kray dexará el m indo del exército, se retirará con 20© florines de pensión, y le reemplazará el Archiduque Cários, el qual durante su camino de Bohemia á Ulm revistará los batallones y r</t>
  </si>
  <si>
    <t>ene en Suabia. Refieren los avisos de Alemania que el cuerpo de Mr, Staray se ha juntado con el del General Kray en Langenun y Albek; pero se duda sea esto cierto, aunque añaden que el dia 27 llegaron aquellas tropas á los contornos de Heidenheim, y el 22 á ios de Neresheim, El quartel general</t>
  </si>
  <si>
    <t>, lia cogido 23 cañones, 4 banderas, y eran número de carros cargados de víveres que iban á Uim. El General Kray perseguido por varios lados, se va retirando por Franconia desden que perdió los puestos de Nordiingen, de donde le arrojo el centro de nuestro c'xér-' cito, cuya ala derecha apos</t>
  </si>
  <si>
    <t>cia Neuburgo» Esta última , que halló en Qberchausen un cuerpo enemigo muy considerable mandado por Mr. Kray, dio principio á unaaccion muy viva. Acudió ai instante el. GeneralLecourbe , y llegó á. tiempo en. que nuestras- tropas se veiair forzadas á. ceder á. fuerzas triples :. sostuvo</t>
  </si>
  <si>
    <t>cibiendo aquellos un gran refuerzo, los rechazaron coa pérdida. : -Ha propuesto el General Moreau á Mr. Kray que los prisioneros que se hagan per una ,y otra parte se devuelvan mutuamente-, y los que estuvieseis* heridos se cuiden en el mismo par.age en que se hallen. No se sabe la respu</t>
  </si>
  <si>
    <t>7 03 ■wert, ha tomado Mr. Kray el partido de mandar que el exércitó dexase Ja posición de Ulm, y campase entre Albek. y la abadía de Elchingén , á fin de que pueda hacer los movimientos que se juzguen conveniente</t>
  </si>
  <si>
    <t>ríacos&gt; entre los quales hay mas de 60' oficiales. strasburgo lo de Julio. E n fuerza de haberse el General Kray adelantado por Baviera mando el General Moreau que su exército siguiese el mismo camino. El General Lecourbe salid de Friedberg el dia 30 para Landshut. El General Decaen y que at</t>
  </si>
  <si>
    <t>Landshut del 6, el cuerpo principal del exército alemán seT halla apostado entre el Iser y el Inn. Mr. Kray trasladó el dia 3 su quartel desde Erdingen á Hohenlinden, y de allí lo transferirá, según dicen,* á Háagen. El Archiduque Fernando se hallaba todavía en Landshut el dia 6; pero c</t>
  </si>
  <si>
    <t>sitiada y la están bombardeando por todos sus lados. Con. fecha del 4 escriben de Ratisbona que el General Kray ha recibido por un extraordinario de. Viena. orden de concluir un armisticio con el General, francés Moreau. Parece que el Elector de Maguncia mandó que sus tropas se: retirasen*</t>
  </si>
  <si>
    <t>o: Baxo la protección de S- M^ prusiana- En una de ellas se leia:. E! quarto segundo es neutral. El General Kray , en vez de: formar una línea no interrumpida desde el extremo de su ala derecha hasta el de la izquierda, lia dividido su exército en varios cuerpos. El mas crecido de ellos,. co</t>
  </si>
  <si>
    <t>opas que están en las orillas del Inn y en el país de Saltzburgo. Munich 15 de Julio. H a vuelto el General Kray á proponer un armisticio, y siguen las conferencias para concluirlo. Dícese que los austríacos se retirarán al otro lado del Inn. Las tropas del contingente del Elector de Baviera</t>
  </si>
  <si>
    <t>cabo de muchas conferencias se firmó el dia 15 la suspensión de armas entre los Generales Moreau y Kray. Strasburgo 21 de Julio. Q uándo el dia 9 echaron Jos franceses un puente sobre el Mein en las cercanías de Francfort, un cuerpo de ellos atravesó inmediatamen</t>
  </si>
  <si>
    <t>e ^ Gener¡|| Melas ha devado ya el mando del exército de Italia, que le reemplaza efectivamente el General Kray, y que en lugar de este mandará el General Conde Collorcdo. , . 1 Se ha prohibido aquí, la venta de estampas y papeles; satíricos, que se publicaban contra los franceses, como tam</t>
  </si>
  <si>
    <t>N o ha admitido el Eeld-Mariscal Colloredo el encargo que le daba el Emperador de ir al exército de Mr. Kray en calidad de Comisario plenipotenciario para averiguar la causa y los principios de la insubordinación que reyna en aquellas tropas, sobre todo entre los Generales y oficiales de p</t>
  </si>
  <si>
    <t>e necesitan mas tropas de las que hay. Se está tratando de sacar varios regimientos del exército de Mr. Kray, que vendrán á formar guarniciones en el interior del Austria. En general, las esperanzas de paz adquieren cada dia mayor grado de probabilidad. No obstante las grandes pérdidas q</t>
  </si>
  <si>
    <t>ttingen, y allí le detuvieron varios dias so pretexto de dar tiempo para recibir los pasaportes del General Kray; pero los pasaportes Se retardaron con el fin deque el Conde de Saint-Julien llegase á Viena primero que Duroc, para que informase al Ministro de varias circunstancias que convení</t>
  </si>
  <si>
    <t>chan hacia el Tirol. Los oficiales austríacos regulan en 34® hombres la pérdida que el exército del General Kray lia tenido entre muertos, heridos, prisioneros y desertores, sin comprehender en este total las tropas del Imperio. En Alemania , Francia y Suiza hay muchísimos incendios. Bosques</t>
  </si>
  <si>
    <t>l de Aug$burgo, y dicen lleva órdenes al xefe de Ja plana mayor de aquel exército para que intime á Mr. Kray la conclusión del armisticio. Los Generales híoreau, Sainte-Suzanne y otros que vinieron aquí de Augsburgo, volverán quinto antes al exército; y lo propio executarán los oíiciaies au</t>
  </si>
  <si>
    <t>ombres el exército austriaeo de reserva formado en Moravia y Austria, y destinado a reforzar al del General Kray en caso de necesidad. El de Italia mandad# por Mr. Melas se ha aumentado en solo dos meses con 18 batallones de infantería, un regimiento de corazas y otro de dragones, ademas de gr</t>
  </si>
  <si>
    <t>, que había ido al quartel general austríaco para intimar la conclusión del armisticio. Asegura que Mr. Kray extrañó mucho el aviso de la renovación de las hostilidades, pues no la esperaba. Ayer llegó de París el General Lahorie, que .trae instrucciones del gobierno para las operaciones m</t>
  </si>
  <si>
    <t>esto los franceses. . . Según cartas de Viena recibió aquella corte un correo de Londres y, otro de Mr. Kray: celebróse un consejo á que asistió el Emperador, y luego se expidieron órdenes para que marchasen al exército de Alemania, quantas tropas quedan en Austria, sin exceptuar las que</t>
  </si>
  <si>
    <t>a de Ingolstádt; pero el General Moreau dio orden de que los dexasin entrar en ambas fortalezas. El General Kray ha obtenido su retiro con 8© florines de pensión. Parece que Mr. Melas no ha sido tratado tan favorablemente. El Elector de Baviera se halla en Bayreuth, adonde ha ido desde Amber</t>
  </si>
  <si>
    <t>pera que las dos embarcaciones prusianas apresadas por los ingleses se restituirán á sus dueños. El General Kray ha tenido orden de retirarse inmediatamente con su hijo á sus haciendas de Hungría, y de no salir de ellas sin licencia del Emperador. Hasta el 30 de Agosto no se supo en Viena qu</t>
  </si>
  <si>
    <t>de caballería, quedando su manutención por cuenta de la casa de Austria. El haber sido depuesto el General Kray del mando del exército se atribuye á las continuas quejas que daba contra los Genérale que estaban baxo sus ordenes , especialmente contra el Conde de Staray; y á una reñida contienda</t>
  </si>
  <si>
    <t>Krayenhoff, Teniente General</t>
  </si>
  <si>
    <t>Teniente General Krayenhoff</t>
  </si>
  <si>
    <t>ter mandará en xefe todas las fuerzas marítimas de la República. * Se ha pubíicado de oficio que el Teniente General Krayenhoff alcanzó en sus negociaciones con el Almirante Dikson la restitución de todos los barcos que dos ingleses habían cogido en ei Lemmer y en el Zuyderzea, y los devolverán con sus car</t>
  </si>
  <si>
    <t>Kusjtow</t>
  </si>
  <si>
    <t>aniobras militares, como áloscomandantes de loe varios cuerpos, y también á los Generales Kusjtow y¡ Pablen; y dispuso se gratificaseá cada soldado con un rublo, uña libra de: carne, y un vaso dé aguardiente. Sin embargo, sevió S. M. Imperial obIi-7 gado á ma</t>
  </si>
  <si>
    <t>Kutusow los Generales Bowr, General</t>
  </si>
  <si>
    <t>General Kutusow los Generales Bowr</t>
  </si>
  <si>
    <t>Príncipe Cárlos de Mecklemburgo, Gervais, Barón de Gersdorf, Barón de Drechhsel &amp;c.; y baxo las dei General Kutusow los Generales Bowr, Essen, los Condes Witgenstein» Sprengtportem, Langeron, Forster, los Barones Rosen, Mannteunel &amp;c.” Riga 11 de Setiembre. C on fecha de 29 del mes último se publicó aquí el sigui</t>
  </si>
  <si>
    <t>Kutusow, General</t>
  </si>
  <si>
    <t>General Kutusow</t>
  </si>
  <si>
    <t>Mencionado como general ruso.</t>
  </si>
  <si>
    <t>El General ruso Kutusow ha salido de aquí a tomar el mando...</t>
  </si>
  <si>
    <t>de los servicios que ha hecho durante la campaña de Italia. Ha mandado S. M. que vuelva á Rusia el General Kutusow, que estaba en camino para Inglaterra. Por un ukasc imperial se intima á los franceses emigrados, que sirven en ios varios cuerpos del cxército, se alisten é incorporen en el de C</t>
  </si>
  <si>
    <t>rcito del Conde de Pahlen está nombrado el Mayor general Sulimow; y para el mismo destino en el del General Kutusow, el Mayor Harting. Igualmente están ya nombrados los comisarios y abastecedores de ambos exércitos. El Emperador ha exonerado al Teniente General Gorich-Kow de sus •mpleos de Gobe</t>
  </si>
  <si>
    <t>la Branche, Alexandro</t>
  </si>
  <si>
    <t>Alexandro la Branche</t>
  </si>
  <si>
    <t>cia de granaderos al primer Teniente D. Juan Bautista Degruis; primera Tenencia al segundo Teniente D. Alexandro la Branche ; segunda Tenencia al Subteniente D. Luis Verret, y Subtenencias á los Cadetes D. Miguel Andry y D. Lorenzo Sigqr: ' El Rey se ha dignado conferir el empleo de Contador Ordenador</t>
  </si>
  <si>
    <t>la Esquina, Joseph</t>
  </si>
  <si>
    <t>Joseph la Esquina</t>
  </si>
  <si>
    <t>mer Teniente en el de Santiago al segundo D. Manuel Fernandez; á Alférez en el de Húsares al Cadete D. Joseph la Esquina , y á Comandante de esquadron en el de la Costa de Granada al Teniente Coronel D. Roque Martínez, Cápíta.n del propio cuerpo. Asimismo ha tenido S. M. á bien nombrar Alférez en el</t>
  </si>
  <si>
    <t>la Ripa, Francisco Xavier</t>
  </si>
  <si>
    <t>Francisco Xavier la Ripa</t>
  </si>
  <si>
    <t>; y oor Regentes, de la de V alladolid á D. Juan Antonio Gonza-^ loz Carríim, y oe la de Granada á D. Francisco Xavier la Ripa con el sueldo de 40© rs.; y mando que las audiencias de Sevilla y Extremadura tengan el tratamiento de Excelencia , que despachen con mi sello Real en la misma forma que lo hacen</t>
  </si>
  <si>
    <t>La-ner, General</t>
  </si>
  <si>
    <t>General La-ner</t>
  </si>
  <si>
    <t>oren con su exército. Mankeim jo de Octubre. E 1 Archiduque Juan , que ha llegado á Inspruck con el General La-ner, visitará los puestos del Tirol occidental y septentrional, y luego se restituirá á su exército, cuyo quartel está en Welz. Parece que el nomoramiento de Mr. Lehrbach á Ministro d</t>
  </si>
  <si>
    <t>Labat, Juan Francisco</t>
  </si>
  <si>
    <t>Juan Francisco Labat</t>
  </si>
  <si>
    <t>azos de tierra de 231| fanegas, en término de la Torre Savifian, dé la memoria de Animas, y á la de D. Juan Francisco Labat, tasadas en 20,849 rs. y renta 2 2g4» 7 idem: 3 casas con 2 corrales y 4 tierras con g9 fanegas, en término de la Olmeda, de la capellanía de Francisco y Pedro Aparicio, á la cofr</t>
  </si>
  <si>
    <t>Labonde, General</t>
  </si>
  <si>
    <t>General Labonde</t>
  </si>
  <si>
    <t>neral Simbschon, que ha transferido nuevamente su quartel á Scheweinfurth. Parte de la división del General Labonde ha tomado ya posesión de dicha fortaleza de Philipsburgo. El Elector de Baviera ha concluido con la Gran Bretaña otro tratado por el qual pone á disposición y sueldo de aquella po</t>
  </si>
  <si>
    <t>Laborde, General</t>
  </si>
  <si>
    <t>General Laborde</t>
  </si>
  <si>
    <t>; &gt;: .. u L E sta mañana atravesaron él Rhm cerca de esta ciudad las tropas francesas que manda el General Laborde, y se dirigieron unas hacia Heidelberga, y otras hacia Bruéhsal. Parece que van á ocupar los países señalados por el armisticio ¡entre ;tírl Mein y el Rhin. En esta ciudad rio han</t>
  </si>
  <si>
    <t>Lacalle, Cayetano</t>
  </si>
  <si>
    <t>Cayetano Lacalle</t>
  </si>
  <si>
    <t>e fusileros D. Rafael Muñoz y D. Eélix Gasol; á segundos Tenientes de granaderos á los de fusileros D. Cayetano Lacalle y D. Joseph Torrelallebreta ; á segundos Tenientes á los Subtenientes de4j|ranaderos D. Pedro Mingo,-D. Christóbal Ordoñez y D. Antonio TomiTba, y á los primeros Subtenientes D. Juan</t>
  </si>
  <si>
    <t>Lacasa, Joseph</t>
  </si>
  <si>
    <t>Joseph Lacasa</t>
  </si>
  <si>
    <t>tercero del regimiento de infantería de la Princesa á D. Joseph Aloy: del segundo del de Sevilla á D. Joseph Lacasa; y del primero del de la Corona á D. Juan Tcllez de Pedraja's, que lo era de la división de granaderos y cazadores provinciales de Andalucía. Asimismo se ha servido nombrar Maestr</t>
  </si>
  <si>
    <t>Lacepede</t>
  </si>
  <si>
    <t>Tobías Burg, astrónomo agregado al observatorio de la universidad de Viena. El ciud. Lacepede leyó luego una memoria sobre algunos fenómenos que presenta el vuelo y la vista de las aves; y el ciud. jCuvier una noticia histórica de la vida y obras de Dau</t>
  </si>
  <si>
    <t>Lacosta, Juan Pedro</t>
  </si>
  <si>
    <t>Juan Pedro Lacosta</t>
  </si>
  <si>
    <t>y D. Manuel Esquer: en el de granaderos Voluntarios de Estado á Capitanes á los primeros Tenientes D. Juan Pedro Lacosta y D. Antonio Ufrutia, y al Ayudante D. Martin de Frías; á esta resulta al segundo Teniente del de infantería de Córdoba D. Vicente de Oquendo; á primeros Tenientes á los segundos D. J</t>
  </si>
  <si>
    <t>Lacrease, Almirante</t>
  </si>
  <si>
    <t>Almirante Lacrease</t>
  </si>
  <si>
    <t>de vuelta en París á mediados de este mes. La división que salió de Rrest á las órdenes del Contra-Almirante Lacrease parece que regresó al puerto por haber avistado 30 buques ingleses ¿</t>
  </si>
  <si>
    <t>Lacrosse, Almirante</t>
  </si>
  <si>
    <t>Almirante Lacrosse</t>
  </si>
  <si>
    <t>á enfermedad contagiosa que se padecía: énYNiza y Antibo. Y:&lt; .■ 5 Y Y. El Almirante Bruix, el Vice-Almirante Lacrosse, y el Contra-Almirante Lepellcy-Dumanoir, se. hallan en camino para Brest, y el día. 18 esta* ban en GranvilJe. r En el Havre se padeció el 22 nn huracán que causó grandes daños.</t>
  </si>
  <si>
    <t>de KelJ. Parts 8 de Junio. H a salido de Brest una división de buques franceses al mando del Contra-Almirante Lacrosse. Parece que el dia 27 fué quando se hizo á la vela con viento favorable. Un oficial que va á bordo del navio jeinrnapes ha escrito que ignora su destino, y solo sabe que llevan mu</t>
  </si>
  <si>
    <t>Ladrón de Guevara, Manuel</t>
  </si>
  <si>
    <t>Manuel Ladrón de Guevara</t>
  </si>
  <si>
    <t>l Rey para dos Compañías á D. Ignacio de Vera, Capitán del regimiento de dragones de Lusitania, y á D. Manuel Ladrón de Guevara, Ayudante mayor del mismo Real cuerpo: para está resulta aí Ayudante segundo D. Antonio Bucareli: ‘.para una Tenencia al Alférez D. Juan Gamero: para un empleo de Alférez tá D. Mi</t>
  </si>
  <si>
    <t>Lafayettc, General</t>
  </si>
  <si>
    <t>General Lafayettc</t>
  </si>
  <si>
    <t>rentes personas, que en otro tiempo sirvieron en los Estados-Unidos, entre las quales se hallaba el General Lafayettc. A las 6 de la tarde el Ministro de Relaciones exteriores puso en manos del primer Cónsul el convenio firmado el dia i.° de este mes entre los Ministros franceses y los americanos</t>
  </si>
  <si>
    <t>Lafayette, General</t>
  </si>
  <si>
    <t>General Lafayette</t>
  </si>
  <si>
    <t>al, según costumbre, no debe satisfacerse por la Francia sino después de la paz. El dia 20 llegó el General Lafayette á su hacienda de Fontenay, ceí*ca</t>
  </si>
  <si>
    <t>es intima que mueran mas bien que volverla á la vayna antes de ver triunfante á la patria. Manda al General Lafayette un par de pistolas cogidas á los ingleses durante la guerra de América. Finalmente distribuye á cada uno de sus parientes una parte de sus inmensas haciendas. El testamento estaba</t>
  </si>
  <si>
    <t>Lafinur, Luis</t>
  </si>
  <si>
    <t>Luis Lafinur</t>
  </si>
  <si>
    <t>ra Ayudante mayor al Teniente D. Ambrosio Pinedo : para Tenientes á los Alféreces D. Matías Sancho, D. Luis Lafinur, Don Francisco Sancho, D. Miguel de Irigoyen y D. Norberto Manterola, el primero graduado de Teniente: para Alféreces al agregado en la misma clase D. Manuel Ordoñez, á los Portag</t>
  </si>
  <si>
    <t>Lafosse, Luis</t>
  </si>
  <si>
    <t>Luis Lafosse</t>
  </si>
  <si>
    <t>e 600 pesos , creación de i-¿ de Setiembre , cuyos números se ignoran , endosados el 9 de Marzo por D. Luis Lafosse á favor de D. Bernardo de Peich , y el dia iq por este á-D. Juato «te Mfcurens : y habiéndose extraviado, quien sepa de ellos avisará á dicho D.. Ramonr de Vialen Santander , ó á</t>
  </si>
  <si>
    <t>Lafuente y Oquendo, Joaquín</t>
  </si>
  <si>
    <t>Joaquín Lafuente y Oquendo</t>
  </si>
  <si>
    <t>numeraria de la propia Chancillería á D. Joaquín Lafuente y Oquendo sin íueldo, pero con obcion á entrar en él luego que vaque alguna de número, ó la supernumeraria que obtiene el citado D. Antonio Valdecañas; y para otra supernumeraria oe Alcalde</t>
  </si>
  <si>
    <t>Lafuente, Antonio</t>
  </si>
  <si>
    <t>Antonio Lafuente</t>
  </si>
  <si>
    <t>io Mayoni: á Capitán de fusileros aí Ayudante D. Francisco Bertazoni: á Ayudante al primer Teniente D. Antonio Lafuente; á primeros Tenientes los segundos P. Nicolás Gallegos y D, Joseph Torralba: á segundo Teniente de granaderos al de fusileros D. Francisco Mendoza; á segundosTenientes de fusilero</t>
  </si>
  <si>
    <t>Lafuente, Juan</t>
  </si>
  <si>
    <t>Juan Lafuente</t>
  </si>
  <si>
    <t>D. Matías Hernández: en el primer batallón de Voluntarios'de Aragón á segundo Subteniente al Cadete D. Juan Lafuente; y en el de Nápoles á segundo Teniente al Subteniente de granaderos D. LuisDuboy,</t>
  </si>
  <si>
    <t>Laguna, Pedro Benito</t>
  </si>
  <si>
    <t>Pedro Benito Laguna</t>
  </si>
  <si>
    <t>ina Martel; y para la Ración de Mensa de la santa iglesia de Zaragoza, vacante por fallecimiento de D. Pedro Benito Laguna , á D. Mariano Seira. En el regimiento de Reales Guardias Españolas se ha servido promover el Rey á segundo Teniente al Alférez de granaderos D. Joseph María Magarola. En el de Re</t>
  </si>
  <si>
    <t>Laguna, Tomás</t>
  </si>
  <si>
    <t>Tomás Laguna</t>
  </si>
  <si>
    <t>os Ríos, á D. Santiago Hernández Milanés: para la de la catedral de Avila, vacante por premoción de D. Tomas Laguna á la Dignidad de Tesorero de Plasencia, á D. Juan Alonso Gorjon: para otra de la colegial del Salvador de Sevilla, vacante por fallecimiento de D. Juan Eusebio Perez de Huelva, á</t>
  </si>
  <si>
    <t>Laharpe</t>
  </si>
  <si>
    <t>ecibido coatraórden, y por ahora quedan en Holanda. Zurich ij de Enero. E 1 eic-Director Laharpe ha dirigido ! los Consejos una memoria justificativa de su conducta contra los varios cargos que le hiciéron. Refiere las persecuciones que padeció por sostene</t>
  </si>
  <si>
    <t>Lahorie, General</t>
  </si>
  <si>
    <t>General Lahorie</t>
  </si>
  <si>
    <t>ñó mucho el aviso de la renovación de las hostilidades, pues no la esperaba. Ayer llegó de París el General Lahorie, que .trae instrucciones del gobierno para las operaciones militares de esta campaña___ Hoy salió parte del cuerpo de guias de Moreau, y este General se dispone á salir para Bavie</t>
  </si>
  <si>
    <t>y es individuo del Senado conservador, ha llegado aquí. Tambi n Ha v nido el Genera! Moreau con el General Lahorie. Fué Moreau á presentarse al primer Cónsui, quien sa</t>
  </si>
  <si>
    <t>Lalande</t>
  </si>
  <si>
    <t>cias, exponiendo para ello su propia vida: pues en las cartas que ha escrito al ciud. Lalande,de París, dice que tiene pocas esperanzas de librarse de los peligros que le cercan; pero cuida de enviar el fruto de sus investigaciones por quantas ocasiones</t>
  </si>
  <si>
    <t>Lalane la Chímica de Morveau, Pedro</t>
  </si>
  <si>
    <t>Pedro Lalane la Chímica de Morveau</t>
  </si>
  <si>
    <t>números de los Anales de Historia Natural, y la misma, obra á B. Vicente Henriquez de Rodríguez; á D. Pedro Lalane la Chímica de Morveau en pasta; á D011 Pedro Ainsa lá Filosofía .botánica ; á B. Jo ¿chin Orozqueta la Chimica de Morveau ert pergamino ; á O. Francisco Antonio dé la Oliva el Sistema de los vegetales, y</t>
  </si>
  <si>
    <t>Lamarsaille, General</t>
  </si>
  <si>
    <t>General Lamarsaille</t>
  </si>
  <si>
    <t>gos, no léjos de Arigli mojla división del Teniente General Kaim. Habían rechazado á las tropas del General Lamarsaille, apoderándose de las alturas del col de Thion y de la aldea de S. Ambrosio; pero fueron luego rechazados con una pérdida considerable *. les cogimos 11 oficiales y 157 soldados pr</t>
  </si>
  <si>
    <t>Lambert, Marcos</t>
  </si>
  <si>
    <t>Marcos Lambert</t>
  </si>
  <si>
    <t>i primer Teniente de granaderos D. Mariano Bianconi ; á este empleo al primer Teniente de fusileros D. Marcos Lambert, y á su resulta aí segundo Teniente de granaderos D. Bartolomé Mendestre; á segundo Teniente de granaderos al de fusileros D. Juan Cabrol; á segundo Teniente de fusileros al Subte</t>
  </si>
  <si>
    <t>Lamberto L'honeux</t>
  </si>
  <si>
    <t>r; X segundo Ayudante al primer Teniente D. Francisco Salvador; á primeros Tenientes X los segundos D. Lamberto L'honeux y D. Antonio Miguel de Troncos; X segundos Tenientes á los primeros Subtenientes Don Joseph María de Lugo y D. Miguel Pulido; á estas resultas á los segundos Subtenientes D. Antonio J</t>
  </si>
  <si>
    <t>Lambí, Benito Joseph</t>
  </si>
  <si>
    <t>Benito Joseph Lambí</t>
  </si>
  <si>
    <t>Tesorero de la catedral de Cartagena , vacante por fallecimiento de, I). Joseph Payana y Delgado, á D. Benito Joseph Lambí, Canónigo Penitenciario de la misma catedral. El Rey se ha servido nombrar Secretario de Cámara y del Vireynato de Nueva-España á D. Joseph Ximenez',Contador de exército de la isl</t>
  </si>
  <si>
    <t>LanAe, General</t>
  </si>
  <si>
    <t>General LanAe</t>
  </si>
  <si>
    <t>ndondron con desorden el campo leTatalU-y alentados con esto los enemigos, esforzaron su ataque. El General LanAe^ peleó con ventaja. La línea descubierta en la llanura resistió i ía artt«eríaPy al ataque de la caballería; pero no pudo rechazar a los rZ forzalaSron dePChambe?.ac, que perdía t</t>
  </si>
  <si>
    <t>Lancáster, Agustín</t>
  </si>
  <si>
    <t>Agustín Lancáster</t>
  </si>
  <si>
    <t>bril á las nueve y tres quartos de ía noche falleció en esta corte, de edad de 70 años, el Exc. Sr, D. Agustín Lancáster, Duque de Lancáster, Grande de España de primera clase, Gentilhombre de Cámara de S. M. con exercicio, con honores de su Consejo de Estado, caballero</t>
  </si>
  <si>
    <t>Lances, General</t>
  </si>
  <si>
    <t>General Lances</t>
  </si>
  <si>
    <t>lería, y varios cañones. Batalla del Chíusella, 26 de Mayo. 'Siguiendo el camino de Turin, llegó el General Lances á orillas del Ch-usclhi para apoderarse de los puestos de. Romano. Di ose cí ataque en 3 puntos: el centro acometió el puente , y 2 batallones se echaron al rio expuestos Aúna llu</t>
  </si>
  <si>
    <t>Landa, Pedro</t>
  </si>
  <si>
    <t>Pedro Landa</t>
  </si>
  <si>
    <t>mo segunda línea con toda la tropa de auxilio de la Marina al mando del Brigadier de la Real Armada D. Pedro Landa ,que llegó como el Capitán de Fragata D. Diego de Pazos á las alturas con los últimos socorros. Dichas tropas de primera línea atacaron con admirable serenidad ,unión y valor 2 la</t>
  </si>
  <si>
    <t>Landaburu, Agustín</t>
  </si>
  <si>
    <t>Agustín Landaburu</t>
  </si>
  <si>
    <t>gones de Ca-r rabayllo del Perú se ha servido el Rey conferir la Comandancia del tercer esquadron á D. Agustín Landaburu: la Sargentía mayor á D. Lorenzo de la Puente: compañías á D. Hermenegildo y D. Manuel de la Puente; y Tenencia á D. Manuel Salazar. En el de Milicias urbanas de caballería de Cam</t>
  </si>
  <si>
    <t>Lander, Domingo</t>
  </si>
  <si>
    <t>Domingo Lander</t>
  </si>
  <si>
    <t>oseph Francisco López Mendez: para la Tesorería al Canónigo D. Baltasar Moreno: para esta resulta á D. Domingo Lander, cesándole la pensión de 600 pesos que hasta este caso se le había señalado sobre esta Mitra: para la dignidad de Maestrescuela de la de Comayagua á Don Eugenio Recuenco; y para u</t>
  </si>
  <si>
    <t>o López Mendez: para la Maestrescolía al Tesorero D. Baltasar Moreno: para la Tesorería al Canónigo D. Domingo Lander; y para la Canongía que servia este á D. Pedro de Jesús Paredes, Canónigo'Magistral qué fue de la santa iglesia de Santo Domingo. r Condescendiendo el Rey con las justas instancia</t>
  </si>
  <si>
    <t>Landolphe</t>
  </si>
  <si>
    <t>despachada por una división de 3 fragatas y 5 cañoneras francesas al mando del ciud. Landolphe, el qual, según refiere Mr. Sellart, Capitán de la Diana , llevaba encargo de destruir todos los castillos de la costa; estaban sus buques armados para este ef</t>
  </si>
  <si>
    <t>a Secretaría del Despacho de Marina se ha publicado el siguiente artículo: ,,E1 ciud. Landolphe, Capitán de navio y comandante de una división despachada de Rochefort el 18 de Mayo de 1799 para una expedición en las costas de Africa, avisa que en las isla</t>
  </si>
  <si>
    <t>Langa, Ramón</t>
  </si>
  <si>
    <t>Ramón Langa</t>
  </si>
  <si>
    <t>del Sr. D. Pedro Inocencio Bejarano al obispado de Buenos-Ayres, y la segunda por fallecimiento de D. Ramón Langa, á D. Martin González de Navas y á Den Diego Fernandez Cerezo : para el Beneficio simple que tenia en la parroquia de Sta. Bárbara de la ciudad de Ecija, arzobispado de Sevilla, D</t>
  </si>
  <si>
    <t>Langeron</t>
  </si>
  <si>
    <t>áTerespool , en donde hizo maniobrar las tropas que hay allí: le acompañan los Generales Mileradowics y Langeron. El 29 debía S. A. revistar los regimientos que hay en Brzesc y sus contornos, y el 30 saldría para Kaminieck á fin de pasar revista á las tropas de Podolia» S</t>
  </si>
  <si>
    <t>Langlés</t>
  </si>
  <si>
    <t>an ráfagas de luz, euya brillantez era á veces muy débil, y otras ivMy vira. El ciud. Langlés, conservador de los manuscritos orientales de la biblioteca nacional, ha publicado una razón de las obras elementales manuscritas de lengua china , que se hall</t>
  </si>
  <si>
    <t>Lannes</t>
  </si>
  <si>
    <t>con sus divisiones. Aun no teníamos al otro lado del rio sino el cuerpo de los Generales Lannes y Víctor con 300 caballos y alguna artillería; pero conocía yo la importancia de cumplir vuestra intención de atacar sin pérdida de tiempo á los enemigos fatigados de u</t>
  </si>
  <si>
    <t>ardó en ceder por varias partes la línea enemiga : y aprovechándose de ello los Generales Víctor y Lannes, dieron orden á sus cuerpos para que todos á un tiempo atacasen. Los enemigos no pudieron resistir, y por todos lados se? retiraron, reynando en sus filas deso</t>
  </si>
  <si>
    <t>Lannes, General</t>
  </si>
  <si>
    <t>General Lannes</t>
  </si>
  <si>
    <t>468 Esta mañana salió de esta ciudad el General Lannes, que va á encargarse del mando de la vanguardia del exército de observación. .£ 1 General Berthíer acaba también de salir de-aquí á Lausana, para donde partirá esta noche el prime</t>
  </si>
  <si>
    <t>ería. lían transitado por aquí 2© hombres de la legión itálica, que han de formar la vanguardia del General Lannes, el qual sigue adelantándose por &lt;el gran monte de S. Bernardo. St rasburgo 2 O dé Mayo. U na coluna francesa paso el dia 14 el Rhin entre Worms y Manheim, y habiendo ocupado esta</t>
  </si>
  <si>
    <t>Os doy cuenta, ciudadano Cónsul, de la refriega que hubo ayer á las 6 de la tarde en Chat ilion. El General Lannes llego delante de este pueblo una hora antes de anochecer, y hallo á les enemigos en todas las alturas que le rodean. Intuito entretenerlos, esperando que el General Mulíer llegarí</t>
  </si>
  <si>
    <t>o de reserva se han publicado las siguientes noticias: „Aost 24 de Mayo. La vanguardia al mando del General Lannes pasó el monte de S. Bernardo el dia 16, y se dirigió hacia Aost. Un batallón húngaro, que quiso defender la entrada de la ciudad , fué derrotado y tuvo algunos muertos. El. 17 sig</t>
  </si>
  <si>
    <t>e, en el qual tuvimos 15 granaderos heridos y 4 muertos. Esta tarde llegó aquí el primer Cónsul. El General Lannes atacó hácia Chiavasso á los enemigos, que ocupaban ventajosos puestos al otro lado del Chíusela. Pasáron los franceses el rio por el puente y por dos vados, en que había 4 pies de</t>
  </si>
  <si>
    <t>imeros se hallan los xefes de batallón Dumont y Larret.__ Mientras que la vanguardia mandada por el General Lannes se adelantaba hacia el Po y Chivasso, la división del General Turreau atacabaálos enemigos enSuza;y el 22 acometió al puesto de Gravicres, cuyas alturas estaban guarnecidas con at</t>
  </si>
  <si>
    <t>e han publicado las siguientes noticias del exército de Italia. „ Milán 3 de Junio. La división del General Lannes marchó de vanguardia desde el mente pequeño S. Bernardo hasta Yvrea, y se adelantó hasta Chivasso para persuadir á los enemigos que nuestro intento era reunimos con el General Thu</t>
  </si>
  <si>
    <t>, quien desde luego mandó formar el bloqueo de la ciudadela. Toma de Pavía. Marchaba entre tanto el General Lannes hacia Pavía. Erl enemigo abandonó aquella ciudad , dexando en nuestro poder 200 piezas de artillería,que no tuvo tiempo de embarcar en el Po, 8© fusiles, 2© barriles de pólvora, u</t>
  </si>
  <si>
    <t>to dos ó tres de estas, que los enemigos tuviéron tiempo de cortar. El 6 á las 4 de ía madrugada el General Lannes dió un cañoneo en diferentes puntos de aquel rio, atraxo á ellos las fuerzas enemigas, y entre tanto pasó el Po por la aldea de Belgioso, y ocupó inmediatamente la célebre situaci</t>
  </si>
  <si>
    <t>eral Ott se adelantaba desde Génova con 30 batallones, y habia entrado ayer en Voghera, di orden al General Lannes para que saliese de los puestos de Broni, y atacase á Jos enemigos ¿ñ donde los encontrase, y al General Víctor para que le sostuviese coft su cuerpo. El General Watrin encontró l</t>
  </si>
  <si>
    <t>crivia con las tropas que formaban el bloqueo de Genova, entró en Voghera. Así que lo supe mandé al General Lannes saliese de Broni el 9 por la mañana, buscase á'M.ps austriacos, y los acometiese en qualquier parte en que los hallase. Di t|mbien orden al General Chamberlac para que siguiese es</t>
  </si>
  <si>
    <t>631 do, el'General Lannes se apoderaba de dicha villa por el camino real; y el General Gcncy estaba á las manos con los enemigos, que defendían tenazmente los puestos de su izquierda. La vanguardia seguia</t>
  </si>
  <si>
    <t>de Marengo; las demas componían el ala izquierda extendiéndose, hasta el: Bormida, y el cuerpo del General Lannes se colocó en el ala derecha* El exército en dos líneas tenia sus alas sostenidas por un crecido cuerpo de caballería* Los enemigos se desplegaron sucesivamente y se adelantaron en</t>
  </si>
  <si>
    <t>, y pamigos, muc a M o El General Víctor mando un movimiento Sár°" Ido »bre la re^rva;8y en esto el General Lannes se vio atacado retrogrado sob e cnoeriores* dos líneas de infantería se adelantaron Sídivisión de W.jin y I. „edi. SS 3 bngaua, «fíbrlion jo oota 1 con . las sostuvo «™en.. v en e</t>
  </si>
  <si>
    <t>rasladado á. LIqechst, y somos dueños de Jas alturas de Bregentz.” ' * :■ Hállase en esta ciudad el General Lannes, y ha presentado las banderas austríacas ganadas en Ja batalla de Marengo. ., , ....c.. Se han recibido cartas de Malta dél 15 de Junio : refieren que . varias embarcaciones carga</t>
  </si>
  <si>
    <t>Lanorie, General</t>
  </si>
  <si>
    <t>General Lanorie</t>
  </si>
  <si>
    <t>en las hostilidades luego que se concluyese el armisticio, adquiere mas fundamento con el viage del General Lanorie, que ha pasado por esta ciudad de vuelta al exército, y con la noticia de haber salido también de París el General Moreau. Granville ij de Noviembre. E 1 Comisario de Marina de es</t>
  </si>
  <si>
    <t>Lansdowov, Lord</t>
  </si>
  <si>
    <t>Lord Lansdowov</t>
  </si>
  <si>
    <t>los católicos de Irlanda, y que respecto á ellos equivalen á excluirlos del Parlamento. Le apoyó el Lord Lansdowov; pero el Lord Liverpool observó que-era mas conveniente dexar el examen de este importante punto al Parlamento imperial (es decir, ai Parlamento reunido de los tres Rey nos) que t</t>
  </si>
  <si>
    <t>Lanuse, General</t>
  </si>
  <si>
    <t>General Lanuse</t>
  </si>
  <si>
    <t>el de Moes, conmovido secretamente por el xcque Leskam: 1800 hombres se hallaban á las órdenes del General Lanuse para reforzar las guarniciones de Roseta, Abukir y Alexandría, y contener el Delta y el Bahiré: 1200 habían quedado en el Cayro y en Giza , y tenían que dar escoltas á los transpo</t>
  </si>
  <si>
    <t>Lanzarote, Carlos</t>
  </si>
  <si>
    <t>Carlos Lanzarote</t>
  </si>
  <si>
    <t>éreces á los Portaestandartes D. Jorge Zambrana y D. Jayme Goig, y á Portaestandartes á los Cadetes Don Carlos Lanzarote y D. Ildefonso Quintana : en el del Infante á segundo</t>
  </si>
  <si>
    <t>Lapfevalais</t>
  </si>
  <si>
    <t>ehamp y Ghatillbn, le perseguiremos con furor. Juzgo que también se someterá el xefe Lapfevalais, cuyos partidarios se mantienen en ei departamento de IlIe-y-Vilayna. El Gener.il en xefe Bruñe va á acometer á Georges con tal denuedo? que los golpes que le</t>
  </si>
  <si>
    <t>Laporte de Pierres, Antonio</t>
  </si>
  <si>
    <t>Antonio Laporte de Pierres</t>
  </si>
  <si>
    <t>do S. M. promover á Capitanes á los primeros Tenientes de granaderos D- Joseph Bassecourt de Mont y D, Antonio Laporte de Pierres; y ha nombrado Capellán del tercer batallón del de infantería de Valencia al Presbítero D. Santiago Póns y Pons, El Rey ha nombrado Cirujanos de los segundos batallones de los reg</t>
  </si>
  <si>
    <t>Lapoype, General</t>
  </si>
  <si>
    <t>General Lapoype</t>
  </si>
  <si>
    <t>guen marchando las tropas del General Moncey al monte de b. Gothavdo: la vanguardia, mandada por el General Lapoype , ha entrado ya en los bayliages italianos, y la división de í orge ha llegado á Airolo. Según cartas de Weissenhorn , en donde está el quartel general de Snint-Cyr, aquel exércit</t>
  </si>
  <si>
    <t>Lugano. Mañana obraré según los avisos qué reciba , y sacaré partido de las circunstancias. Ei General Lapoype én un reconocimiento que hizo delante de Bellinzona fue herido; pero tuvo la mayor fortuna, pues una bala fria le dio en la frente, y no hizo mas que rasgarle la piel, y hacerle u</t>
  </si>
  <si>
    <t>Laque</t>
  </si>
  <si>
    <t>n 12© rs. y renta 341. Doctor Toledano: una casa junto á las Monjas de Sta. Catalina, que habira el Dr. Laque, con 5300 pies, tasada en 27© rs. y renta'800. Doctor Monte: una casa calle de las Damas, que habita el Dr. Recio, con 13,454 pies, tasada en 40© rs. y renta 1200. Memoria de Orti</t>
  </si>
  <si>
    <t>Lara, Antonio</t>
  </si>
  <si>
    <t>Antonio Lara</t>
  </si>
  <si>
    <t>o Hernando, el primero, segundo y quarto de granaderos; á estos empleos á los primeros Subtenientes D. Antonio Lara, D. V entura Macía y Areni y D. Joseph Roca; á primeros Subtenientes á los segundos Don Joachín Aguilera, D. Agustin Amanda, D. Joseph Lariz, D. Gregorio Espinosa, D. Francisco Pi</t>
  </si>
  <si>
    <t>Lara, Diego</t>
  </si>
  <si>
    <t>Diego Lara</t>
  </si>
  <si>
    <t>entes del mismo Real cuerpo á D. Joseph Paulin , D. Fernando Márquez de la Plata , D. Manuel Minio, D. Diego Lara, D. Vicente Ros, D. Joseph González Pardo, D. Martin Zarandía, D. Ramón Gómez, D. Rafael Riesch, D. Francisco Calderón de la Barca, D. Luis Solana, D.Fernán.lo Navia,D. Miguei For</t>
  </si>
  <si>
    <t>Largo, Santiago Lorenzo</t>
  </si>
  <si>
    <t>Santiago Lorenzo Largo</t>
  </si>
  <si>
    <t>está clase al Subteniente de cazadores D. Domingo Morete, y su resulta al Subteniente de fusileros D. Santiago Lorenzo Largo: en el de Bujaknee la Subtenencia de cazadores á D. Joseph Valdelomar, Subteniente de fusileros: en el de Monterey Subtenencia de fusileros á D. Francisco López Romero; y en el de</t>
  </si>
  <si>
    <t>Lariz, Joseph</t>
  </si>
  <si>
    <t>Joseph Lariz</t>
  </si>
  <si>
    <t>i y D. Joseph Roca; á primeros Subtenientes á los segundos Don Joachín Aguilera, D. Agustin Amanda, D. Joseph Lariz, D. Gregorio Espinosa, D. Francisco Piadas, D. Vicente Amat y D. Gregorio Di.iz; y á segundos Subtenientes á los Cadetes D. Pedro Miguel de l¡z, D. Pascual Tomas Maupoey y D. Ilde</t>
  </si>
  <si>
    <t>Laroche de Basilea</t>
  </si>
  <si>
    <t>Larochefoucaúldt, Cardenal</t>
  </si>
  <si>
    <t>Cardenal Larochefoucaúldt</t>
  </si>
  <si>
    <t>ndará aquí durante dicho congreso. También se dispone un teatro público.” Han muerto en Alemania el Cardenal Larochefoucaúldt y el Obispo de Clermont,</t>
  </si>
  <si>
    <t>Larramendi, Santiago</t>
  </si>
  <si>
    <t>Santiago Larramendi</t>
  </si>
  <si>
    <t>ofia María Felipa de Llano y sin endoso alguno. Quien le halle ó sepa de él avisará en la tienda de D. Santiago Larramendi , red de S. Luis, junto á fa lotería.</t>
  </si>
  <si>
    <t>Larrañaga, Ignacio</t>
  </si>
  <si>
    <t>Ignacio Larrañaga</t>
  </si>
  <si>
    <t>hín Gainza, D. Francisco Xavier Larreandi, D. Francisco Ignacio Iturzaeta, D. Francisco Cardaveras, D. Ignacio Larrañaga, y D. Miguel Juan de Barcaiztegui; los primeros Tenientes D. Joseph Xavier de Lozano, D. Joseph Ramón de Zavala, D. Pedro Joseph de Baldenain y D. Juan Joseph de Lubelza; los segu</t>
  </si>
  <si>
    <t>Larreandi, Francisco Borja</t>
  </si>
  <si>
    <t>Francisco Borja Larreandi</t>
  </si>
  <si>
    <t>e Casares , D. Angel Ignacio de Alcain, D. Joachín Luis de Bermingham, D. Joseph Joachin de Atalay, D. Francisco Borja Larreandi . D. Bernardo de Arzac Parada y D. Ricardo Bermingham ; y los Subtenientes D. Miguel Antonio de Bengoechea, D. Francisco Otaegui, D. Juan Agustín de Arrieta, Don Martin de Echavc,</t>
  </si>
  <si>
    <t>Larreandi, Francisco Xavier</t>
  </si>
  <si>
    <t>Francisco Xavier Larreandi</t>
  </si>
  <si>
    <t>a plaza; los Capitanes D. Joachín de Yun y Barbia , D. Diego Echagiie, JD. Bernardo Joachín Gainza, D. Francisco Xavier Larreandi, D. Francisco Ignacio Iturzaeta, D. Francisco Cardaveras, D. Ignacio Larrañaga, y D. Miguel Juan de Barcaiztegui; los primeros Tenientes D. Joseph Xavier de Lozano, D. Joseph Ramó</t>
  </si>
  <si>
    <t>Larreandi, Gerónimo</t>
  </si>
  <si>
    <t>Gerónimo Larreandi</t>
  </si>
  <si>
    <t>rehenda. Antonio Azpurua, de su vecindario, 2 años con destino á obras de fortificación. Al difunto D. Gerónimo Larreandi, ilesa su memoria. Al testigo D. Fernando-Garayoa un mes en el castillo de la Mota; y el propio tiempo de arresto en otro castillo á D. Vicente Parga, primer Teniente de-infonterí</t>
  </si>
  <si>
    <t>Lasala, Antonio</t>
  </si>
  <si>
    <t>Antonio Lasala</t>
  </si>
  <si>
    <t>mer Subteniente D. Miguel Menoy. En el de Mallorca á'segundo Teniente de granaderos al de fusileros D. Antonio Lasala. En el de Aragón á segundo Subteniente al Cadete del de Córdoba D. Francisco Zavaja. En el de Extremadura á primer Teniente al segundo de granaderos, graduado de Capitán, D. Ramón</t>
  </si>
  <si>
    <t>Lasci, Feld Mariscal</t>
  </si>
  <si>
    <t>Feld Mariscal Lasci</t>
  </si>
  <si>
    <t>jo de Agosto. O. M. ha nombrado Presidente del Consejo de Guerra al Conde Colloredoj y ha pedido al Feld Mariscal Lasci asista á sus juntas. El Conde de Saint-Julien ha traido el ultimátum del primer Cónsul. Fiada se ha divulgado de su contenido; y solamente se dice que si no se hace la paz, se pro</t>
  </si>
  <si>
    <t>Lascy, General</t>
  </si>
  <si>
    <t>General Lascy</t>
  </si>
  <si>
    <t>reos: uno llevaba la orden para que Mr. Suwarow permaneciese en Alemania, y el otro iba dirigido al General Lascy, en Lithuania, mandándole se dispusiese á marchar con el exército de su mando para reforzar al de Súwarow. El mencionado Príncipe de Wurtemberg, al/restituirse de Petersburgo á Vi</t>
  </si>
  <si>
    <t>un exército ruso, que se embarcará pira Inglaterra___El cuerpo de la misma nación, que al mando del General Lascy estuvo destinado para reforzar el de Suwarow, ha recibido orden de Petersburgo para internarse en Rusia. Los Estados del Círculo de Franconia no han consentido en levantar tropas po</t>
  </si>
  <si>
    <t>de alianza entre esta corte y la de Petersburgo, un cuerpo auxiliar de 30® rusos, á las ordenes del General Lascy , irá á Alemania, y servirá durante la campaña próxima, formando parte del exército austríaco baxo el mando inmediato del General de estas ultimas tropas. Con fecha de 2 del corri</t>
  </si>
  <si>
    <t>Lasnes, General</t>
  </si>
  <si>
    <t>General Lasnes</t>
  </si>
  <si>
    <t>, iba á salir de este puerto quando recibió orden de suspender su partida. Paris /o de Febrero. E 1 General Lasnes, y no el General Murat, fue quien hizo el dia 8 la presentación de las banderas ganadas por el exército de Oriente. Todos los militares que han servido en Egipto asistieron á esta</t>
  </si>
  <si>
    <t>to de reserva.-_Han salido ya para Dijon los Generales Marescot y Murat. A este último reemplaza el General Lasnes en la comandancia ae la guardia de los Cónsules. Han decretado los Cónsules que todos los oficiales de ingenieros cisalpinos, piamonteses y napolitanos, que quedaron en los exército</t>
  </si>
  <si>
    <t>Laspeñas, Victoriano</t>
  </si>
  <si>
    <t>Victoriano Laspeñas</t>
  </si>
  <si>
    <t>él de voluntarios de Castilla á Capitán al Ayudante D. Pedro Ramírez; á Ayudante al primer Teniente D. Victoriano Laspeñas; á primer Teniente al segundo, graduado de Capitán, D. Francisco Ximenez; á segundo Teniente al Subteniente de granaderos D. Juan Sarralde; á Subteniente dé granaderos al primer S</t>
  </si>
  <si>
    <t>Lasque, Joseph</t>
  </si>
  <si>
    <t>Joseph Lasque</t>
  </si>
  <si>
    <t>os al de fusileros D. Tomas Benet; a primer leniente al segundo de granaderos, graduado de Capitán, D. Joseph Lasque-, ti; á segundo Teniente de granaderos al de fusileros D. Andrés Alcocer; á segundo Teniente al Subteniente de granaderos D. Joseph Alvarez; á Subtenientes de granaderos á los prim</t>
  </si>
  <si>
    <t>Lassala, Manuel</t>
  </si>
  <si>
    <t>Manuel Lassala</t>
  </si>
  <si>
    <t>e endecasílabo sobre el objeto de esta juntadla qual se concluyó eon otra poesía al mismo asunto de D. Manuel Lassala, presbítero, resonando la música, que había ocupado también los intermedios. Quedó abierta por algunos dias la sala de juntas ordinarias de la sociedad, donde con las obras premia</t>
  </si>
  <si>
    <t>Lassus, Pedro</t>
  </si>
  <si>
    <t>Pedro Lassus</t>
  </si>
  <si>
    <t>mental de las operaciones de cirugía', escrito en francés el afío de 9¿- por el ciudadano Pedro Lassus profesor de la junta de sanidad de Páris ,.y- al presente Bibliotecario del instituto , Catedrático de anatomía de operaciones , Cirujano que fue de las Prince</t>
  </si>
  <si>
    <t>Latasa y Ortin, Félix</t>
  </si>
  <si>
    <t>Félix Latasa y Ortin</t>
  </si>
  <si>
    <t>eses que florecieron desde el año de 164T hasta 1680 : tomo 3.0 : por el Dr. D. Félix Latasa y Ortin , Racionero de Mensa con honores de Canónigo de la metropolitana de Zaragoza , socio de mérito de la Real sociedad aragonesa &amp;c. Se hallará con los 2 tomos de la Biblioteca antigua y los 2 de</t>
  </si>
  <si>
    <t>Latino Fitzgerald</t>
  </si>
  <si>
    <t>Teniente de granaderos ai de fusileros D. Guillermo Marrast de Forgis; á primer Teniente ai segundo D. Latino Fitzgerald; á segundos Tenientes de granaderos á los¡ de fusileros D. Juan Fiztgerald y D. Jacobo Troche ; á segundos Tenientes al Subteniente dé granaderos D. Manuel Cleere, y á los primero</t>
  </si>
  <si>
    <t>Latorre, Francisco</t>
  </si>
  <si>
    <t>Francisco Latorre</t>
  </si>
  <si>
    <t>món Gutiérrez y D. Francisco de Oña; á primeros Subtenientes á los segundos 1&gt;. Pedro Torrequemada, D. Francisco Latorre, D. Francisco Collantes, D. Joseph Talens, D. Joseph Alemany y D. Manuel Arnaez, y á segundo Subteniente al Cadete D. Joseph Andeyro: en el de Asturias á Capitán aí Ayudante D. Fr</t>
  </si>
  <si>
    <t>cisco Recosa y D. Mariano Espatolero, graduado de Teniente ; á primeros Subtenientes á los segundos D. Francisco Latorre y D. Joachín Paño, y á segundos Subtenientes ai Sargento primero D. Joseph Gutiérrez y al Cadete D. Joseph María Orel!: en el regimiento de infantería de N «polos á Coronel al Tenient</t>
  </si>
  <si>
    <t>Latouche, Almirante</t>
  </si>
  <si>
    <t>Almirante Latouche</t>
  </si>
  <si>
    <t>, en donde espera algunos buques de guerra, que lo escolten hasta Brest. - Se asegura que el Contra-Almirante Latouche en vez de ir á Brest ha ido á Tolon con un destino que se ignora. El Correo de Egipto de 21 de Octubre incluye los siguientes artículos: ,, Mohammed Rachia-Eííendi, que el General B</t>
  </si>
  <si>
    <t>por Nántes para Brest. Para el mismo departamento de marina ha salido de París hace dias el Contra-Almirante Latouche. Han comunicado los Cónsules al Senado conservador, al Tribunado y al Cuerpo legislativo una proclama que dirigen á los franceses, encargándoles que por todos los medios concurran</t>
  </si>
  <si>
    <t>Latouche-Treviile, Almirante</t>
  </si>
  <si>
    <t>Almirante Latouche-Treviile</t>
  </si>
  <si>
    <t>donde también se halla el General Bernadotte, comandante en xefe del exército del Oest. .El Contra-Almirante Latouche-Treviile , que manda Ja esquadra francesa, les dio un convite de 70 cubiertos, al qual asistieron ios xefes del exercito nacional y del español. Desde el lazareto de Tolon ha escrito el Ge</t>
  </si>
  <si>
    <t>Latouche-TrevlIIe, Almirante</t>
  </si>
  <si>
    <t>Almirante Latouche-TrevlIIe</t>
  </si>
  <si>
    <t>8 de Tulio de 1800. Firmado \ J- Conde de Saint-Julien, General.__ Ch. Mr. Tajieyrand.” * El Contra-Almirante Latouche-TrevlIIe, comandante de la esquadra de Brest, ha escrito al Ministro de Marina la siguiente carta: ,,E1 i.° del corriente, 4 navios de línea enemigos entraron en la bahía de Douarnencz. La</t>
  </si>
  <si>
    <t>Latour-de Auvernia-Corret</t>
  </si>
  <si>
    <t>u pesca. El Ministro de la Guerra escribió el 25 de Abril la siguiente carta al ciud. Latour-de Auvernia-Corret: „A1 fixar la vista en los hombres que honran al exército, os vi, ciudadano,.y dixe al primer-Cónsul: „Latour-de Auvernia-Corret, nacido en la familia de Tv.rc</t>
  </si>
  <si>
    <t>Laudon, General</t>
  </si>
  <si>
    <t>General Laudon</t>
  </si>
  <si>
    <t>L os insurgentes del Val-de-Sobbia han sido derrotados y dispersos. No obstante , sostenidos por el General Laudon, que se ha retirado á Mantua, no dexan de presentarse en algunos parages. Las tropas los persiguen, y esperamos que en breve acabarán con ellos. La junta interina de policía de es</t>
  </si>
  <si>
    <t>Lauer, Feld-Mariscal</t>
  </si>
  <si>
    <t>Feld-Mariscal Lauer</t>
  </si>
  <si>
    <t>re. D ícese que el Archiduque Juan mandará en xefe el exército del Emperador, y baxo sus órdenes el Feld-Mariscal Lauer, Los Generales Príncipe de Rosemberg, Príncipe de Reuss, los dos Príncipes de Lorena, y Mrs. de NauendorfF, Klinglin, Lindenau, Bolza y Sporck se retiran de dicho exército; y altí</t>
  </si>
  <si>
    <t>Launai, General</t>
  </si>
  <si>
    <t>General Launai</t>
  </si>
  <si>
    <t>canos, sosteniendo que era contraria al armisticio,y pidiendo que por consiguiente lo evacuasen. El General Launai le contestó en estos términos: ,, Ocupando las tropas francesas el pais de Lúea no han contravenido á los artículos del convenio ajustado entre los dos exércitos. Yo mandé ocuparl</t>
  </si>
  <si>
    <t>Lava, General</t>
  </si>
  <si>
    <t>General Lava</t>
  </si>
  <si>
    <t>go : y todo aquel cuerpo-, austríaco que- venia de Donawert. quedó casi destruido.. La brigada d-el General Lava! emprendió su alcance. Faltaba hacer frente ai que se adelantaba desde. Hochstedt, Dillingen y Lavingen.. Al-cabo de varios ataques,. en que sobresalieron los carabineros,los regi</t>
  </si>
  <si>
    <t>Lavaggi, Nicolás</t>
  </si>
  <si>
    <t>Nicolás Lavaggi</t>
  </si>
  <si>
    <t>de exército de Aragón,que servia, á D. Julián Fernandez Navarrete; la que este obtenía en Galicia á D. Nicolás Lavaggi; y la que este desempeñaba en Ceuta á D. Pedro Melendez del Castillo. S. M. se ha servido conceder honores de Tesorero de exército á Don Francisco Ventüra Mayoli, Teniente Goberna</t>
  </si>
  <si>
    <t>Lavalette</t>
  </si>
  <si>
    <t>ve para Darinstadt, adonde va con el mismo carácter. En su lugar viene aíqui el ciud. Lavalette, edecán de Bonaparte, que le acompañó en Italia, Rastadt y Egipto.</t>
  </si>
  <si>
    <t>Lavallete, General</t>
  </si>
  <si>
    <t>General Lavallete</t>
  </si>
  <si>
    <t>n 700 hombres; pero á causa de una enfermedad epidémica que se padece en la plaza, ha trasladado el General Lavallete su quartel á Santa Catalina, dexando únicamente 400 hombres para, defender el paso, del coll de Fenestrella y de Picarello.. Por Trevisa han transitado 80 oficiales y 400 soldados</t>
  </si>
  <si>
    <t>Laviña, Luís</t>
  </si>
  <si>
    <t>Luís Laviña</t>
  </si>
  <si>
    <t>y D. Juan Azpiroz, segundo Teniente y primer Subteniente del regimiento de infantería de Mallorca: D. Luís Laviña, -segundo Teniente del 'de Asturias: D. Manuel Tomé, primer ¡ Subteniente del de Jaén : D. Joachin Grandona , Subteniente ¡de granaderos del de América: D. Felipe Montes y D. Juan</t>
  </si>
  <si>
    <t>Lawrence</t>
  </si>
  <si>
    <t>rmitiese la extracción de lanas de este Reyno para el de Irlanda---- Ayer peroró 3 horas y media el Dr. Lawrence contra el proyecto de la unión legislativa de ámbos países; pero á pluralidad de 182 votos contra 26 resolvió la Cámara que se procediese á la segunda lectura de las resoluciones</t>
  </si>
  <si>
    <t>Lázaro de Dou y de Bassols, Ramón</t>
  </si>
  <si>
    <t>Ramón Lázaro de Dou y de Bassols</t>
  </si>
  <si>
    <t>icular de Cataluña, y de las principales reglas de gobierno en qualquier estado: tomo 4.°; su autor D. Ramón Lázaro de Dou y de Bassols. Este tomo, aunque es parte dé dichas Instituciones, forma obra completa por sí, en quanto contiene una noticia circunstanciada de los magistrados ordinarios y privilegiados del r</t>
  </si>
  <si>
    <t>Lázaro de Dou, Ramón</t>
  </si>
  <si>
    <t>Ramón Lázaro de Dou</t>
  </si>
  <si>
    <t>Mencionado en el suplemento bibliográfico sin paginación impresa.</t>
  </si>
  <si>
    <t>Suplemento / anuncio bibliográfico</t>
  </si>
  <si>
    <t>Supl. 1</t>
  </si>
  <si>
    <t>a del particular de Cataluña , y de las primipales reglas de gobierno en qualquier estado: su autor Don Ramón Lázaro de Dou , y de Bassóls. Ei derecho real de España, como el de qualquier otro estado, debe distinguirse en dos partes : la una es relativa á cosas , en que el fin principal de las leyes es</t>
  </si>
  <si>
    <t>Lázaro de Horra, Francisco</t>
  </si>
  <si>
    <t>Francisco Lázaro de Horra</t>
  </si>
  <si>
    <t>ra, tradición, sagrados Concilios, decisiones pontificias, Santos Padres , é insignes teólogos, por D. Francisco Lázaro de Horra 1, presbítero de la Real congregación de Sacerdotes seculares del oratorio del Salvador. z=r Desengaño de los vicios y arrepentimiento del hombre. Escena entre Christo, el ángel ,</t>
  </si>
  <si>
    <t>Lázaro Ruiz</t>
  </si>
  <si>
    <t>ros D. Ambrosio Aloy y D. Manuel Gamindez; á Subtenientes de granaderos á los primeros Subtenientes D. Lázaro Ruiz y D. Rafael Espinosa, y á estas resultas á los segundos Subtenientes D. Andrés Chavarri y D. Isidro Gil: en el de Soria á segundo Teniente al Subteniente de granaderos D. Ventura Maci</t>
  </si>
  <si>
    <t>Lazcano, Joachín</t>
  </si>
  <si>
    <t>Joachín Lazcano</t>
  </si>
  <si>
    <t>, Administrador principal de las de aguardientes y naypes del propio Motnpox: esta administración á D. Joachin Lazcano, Contador principal de Iá renta de tabacos de Honda: esta resulta á D. Tiburcio Maqueyra: la plaza de Guarda-almacén de la aduana de la capital del Nuevo Reyno de Granada á D. Ped</t>
  </si>
  <si>
    <t>Lccourbe, General</t>
  </si>
  <si>
    <t>General Lccourbe</t>
  </si>
  <si>
    <t>ancia por Suiza, Stein, Ravenspurg y Mcmmingen. En fuerza de órdenes el idas sin consentimiento del General Lccourbe evacuaron ios franceses el distrito de Rheintha.1 y Bregentz; pero luego que lo supo dicho General mandó que volviesen á ocupar aquel país. Un cuerpo austríaco, que salió de Coira y</t>
  </si>
  <si>
    <t>Lcrge, General</t>
  </si>
  <si>
    <t>General Lcrge</t>
  </si>
  <si>
    <t>zas delante de Engen. La división de Delmas los arrojó de Weiterdengen y del bosque, al paso que el General Lcrge se apoderó de la altura de Mulnausen. La división mandada por el General Bastoul sostuvo perfectamente estos dos ataques. Al propio tiempo el General Richepanse se empeñó fuerteme</t>
  </si>
  <si>
    <t>Le Roux, Pablo</t>
  </si>
  <si>
    <t>Pablo Le Roux</t>
  </si>
  <si>
    <t>el Real sitio de Aranjuez en casa de D. Antonio Masarnauj y en Cádiz en la de D. Manuel Navarro. A ;D. Pablo Le Roux, del comercio de Sevilla , se le han extraviado dos vrles Reales , el uno de 300 pesos, creación de 10 de Abril de 99 , núm. 438,510, endosado por D. Ventura Aute, de Córdoba , al</t>
  </si>
  <si>
    <t>Leandro Gonzalo</t>
  </si>
  <si>
    <t>carnación de Madrid por ascenso de D. Juan Sánchez á la de número, que obtenía D. Joseph de Vela, á D. Leandro Gonzalo, con obeion á da primera vacante, y con la consignación hasta entonces de 200 ducados de vn. al año: para otra titular del mismo convento, vacante por muerte de D. Múreos Sanz, á</t>
  </si>
  <si>
    <t>Leandro Iriberri</t>
  </si>
  <si>
    <t>Asimismo Ira tenido S. M. á bien conceder.honores de Comisario ordenador de sos Reales exércitos á D Leandro Iriberri, Administrador general de-rentas en Galicia, á D. {u.m G-arri J Factor general de tabacos- del</t>
  </si>
  <si>
    <t>Lebrun</t>
  </si>
  <si>
    <t>o obedecieren, serán presos y echados del territorio de la República. El tercer Cónsul Lebrun dio también el dia 15 una fiesta en memoria de la llegada de Bonaparte de Egipto á Francia. Hubo comida * música é iluminación. El Senado conservador ha subscr</t>
  </si>
  <si>
    <t>nte la ausencia del mencionado ciud. Desportes. EfrprfhíéHDón&amp;uL acompañado del ciud. Lebrun tercer Cónsul, del Consejero de estado Benezech, del general Murat y de otras varias personas, pasó óm-oc -nror ol miicpn /-#&gt;rvirráí di» lasaVres. v désnues d</t>
  </si>
  <si>
    <t>Lecchi, General</t>
  </si>
  <si>
    <t>General Lecchi</t>
  </si>
  <si>
    <t>to, se asegura que formarán parte del exército que ha de mandar Bonaparte. Entre tanto las manda el General Lecchi. Musios oficiales italianos, que han quedado sin empleo, han solicitado y conseguido servir en calidad de voluntarios, los unos en esta legión , y los otros en el cuerpo de reserv</t>
  </si>
  <si>
    <t>Lecchy</t>
  </si>
  <si>
    <t>nos y piamonteses emi-t grados, pasará á reforzar dicho exército mandado por el ciud. Lecchy. París de Enero. H an publicado los Cónsules una orden que contiene los siguientes artículos: i.° ,,Se prohíbe á todos los Generales y empleados públicos tenga</t>
  </si>
  <si>
    <t>Lechi, General</t>
  </si>
  <si>
    <t>General Lechi</t>
  </si>
  <si>
    <t>n Lausana pasó revista á una coluna de lá legión itálica compuesta de 2® hombres, y maridada por el General Lechi. IiablóBonaparte á todos los oficiales y voluntarios,y muy satisfecho de aquel cuerpo le envió aj dia siguiente 2 cañones de campaña, escribiéndole una carta muy honorífica y liso</t>
  </si>
  <si>
    <t>os efectos cuyo inventario se espera. El número de heridos y enfermos austriacos asciende á 1®._—El General Lechi ha ido á Cassano con la legión cisalpina; y el General Duhesme con el cuerpo de su mando sigue á Lodi. La marcha de los franceses hacia Milán fue tan rápida , que el pueblo de est</t>
  </si>
  <si>
    <t>ndará el General Fino; y otra división de ias mismas se halla en la Valtelina baxo l?.s órdenes del General Lechi. Finalmente, algunos cuerpos franceses se dirigen al país de los Grisone?. Strashtrgo i $ de Setiembre, F ! cjn \rte! general del ala izquierda del ejército del Rliin se ha trasla</t>
  </si>
  <si>
    <t>segunda en la Romana » y la división de Mon*ier en Módena. La otra legión cisalpina» mandada por el General Lechi, que en vez» de haberse disuelto como se había dicho, se ha reforzado to</t>
  </si>
  <si>
    <t>Leclerc, General</t>
  </si>
  <si>
    <t>General Leclerc</t>
  </si>
  <si>
    <t>44^ General Leclerc, seguía á la primera; y la tercera, mandada por el General Richepanse ,• se dirigió á S. Blas, en donde encontró 4 batallones enemigos, los quales, no obstante su buena resistenci</t>
  </si>
  <si>
    <t>Lecmano</t>
  </si>
  <si>
    <t>22 de Jeisht del año Shidartez (ó 25 de Junio de 1799.) Huya 26 de Febrero. E 1 ciud. Lecmano , individuo de la primera Cámara del Cuerpo legislativo, ha propuesto en ella se pida al Directorio dé cuenta de la inversión de los caudales señalados el año</t>
  </si>
  <si>
    <t>Lecou, General</t>
  </si>
  <si>
    <t>General Lecou</t>
  </si>
  <si>
    <t>Después de varios reencuentros, con los cuales se obligó á los enemigos á replegarse hacia Ulm , el General Lecou/bc hizo aquel dia muestras de atacar por el puente de Dillingen, y en fuerza de sus reconocimientos resolvjó emprender seriamente al dia inmediato su ataque contra los de Geínshin</t>
  </si>
  <si>
    <t>Lecourbe</t>
  </si>
  <si>
    <t>un ataque muy vivo para impedir que los enemigos acometiesen con ventajas.á los Generales Lecourbe y Richepanse. Al anochecer nos hallábamos dueños de casi todos los puestos; y los enemigos acabáron de evacuarlos por la noche, retirándose hácia Moeskirch. Lo dilatado del</t>
  </si>
  <si>
    <t>Lécourbe, General</t>
  </si>
  <si>
    <t>General Lécourbe</t>
  </si>
  <si>
    <t>s quando la invasión de los anglo-rusos. Strasburgo 13 de Diciembre, P or haber marchado á Suiza él General Lécourbe queda Baraguey d'Hílliers con el mando del exército del Rhin hasta la llegada del General ei» Xefe Moreau. El armisticio ajustado entre el General Lecourbe, comandante de It izqui</t>
  </si>
  <si>
    <t>Lecourbe, General</t>
  </si>
  <si>
    <t>General Lecourbe</t>
  </si>
  <si>
    <t>del exército del Rhin ha entrado en quarteles de invierno; pero podrá reunirse al menor aviso*__ EL General Lecourbe ha. sentado su quartel en Zurich. Las tropas que de dicho exército del Rhin pasan al de Italia se regulan en 20$ hombres. Refieren algunos papeles: públicos que el Feld-Mariscal S</t>
  </si>
  <si>
    <t>entos de las fronteras de Francia, y el quartel general se ha trasladado á Basilea. Sin embargo, el General Lecourbe ha empezado á pasar revista al cuerpo de su mando, que forma el ala derecha del «exército del Rhin, y se extiende desde Colmar y Pontarlier hasta Sargans y Constanza. Strasbutgo z</t>
  </si>
  <si>
    <t>la paz sean restablecidos en sus anteriores derechos de soberanía y de República independiente. El General Lecourbe ha visitado los puestos que ocupa el ala derecha del exército del Rhin, cuyo quartel general permanece en Zurich.__ Halló á todas las tropas en el mejor estado. El General ruso He</t>
  </si>
  <si>
    <t>y Zurich. El General Sainte-Suzanne mandará el ala izquierda , el General Saint-Cyr el centro, y el General Lecourbe la derecha. Bruselas 14 de Marzo. P or cartas de Wesel se sabe que han llegado órdenes á Westphalia para que se formen en aquel pais grandes repuestos de víveres y forrages, así para la</t>
  </si>
  <si>
    <t>presentaciones del Enviado prusiano residente en Ratisbona. Hállase en Zurich el General Moreau. El General Lecourbe, que manda el ala derecha, transferirá en breve su quartel á Saint-Gall, á fin de abrir la campaña quanto ántes sea posible. Entre tanto siguen adelantándose tropas hacia el Rhin.</t>
  </si>
  <si>
    <t>ha apostado, teniendo su derecha en Newkirk, y su izquierda hácia Hallau, á orillas del Wutack. El General Lecourbe pasó el Rhin entre Schatt husa y Stein con prodigiosa celeridad; y los enemigos no le opusiéron resistencia sino en la aldea de Bussingen.__.El resultado de las acciones acaecidas</t>
  </si>
  <si>
    <t>atalla de Stoekach, dada el dia 3, acometió el General Kray con un cuerpo considerable de tropas al General Lecourbe, que aunque se defendió muy bien, tuvo que replegarse hácia el Rhin helvético. Volviéron los enemigos á ocupar á Stoekach; pero siendo luego batidos por el ala izquierda y por el</t>
  </si>
  <si>
    <t>Lecóúrbe, General</t>
  </si>
  <si>
    <t>General Lecóúrbe</t>
  </si>
  <si>
    <t>iso: „E1 General Morcan al Ministro de la Guerra. Iiuninga 16 de Mayo. Él ala derecha* ai mando del General Lecóúrbe , atacó el día 11 á los enemigos en sus puestos de Memniingen, y los derrotó. Nos hémos apoderado de Memmingen: bémos cogido mas de 20 prisioneros, y en el campo de batalla lia qu</t>
  </si>
  <si>
    <t>nza y la fortaleza de Hohentwiel con la República helvética. Se ha publicado la siguiente carta del General Lecourbe sobre la batalla de Stockach: „Los cuerpos de Moreau, Saint-Cyr y el mío se juntaron en la llanura entre Suroée y Stockach, lo qual se consiguió en fuerza de movimientos bien conc</t>
  </si>
  <si>
    <t>el Capitán Williams se vió precisado á huir, barrenó todas las embarcaciones y las echó á pique. El General Lecourbe, que manda el ala derecha del exército del Rhin, intenta, según parece, cortar la comunicación entre Ulm y Augsburgo. ___ Algunas tropas del ala izquierda han pasado el Danubio po</t>
  </si>
  <si>
    <t>monte de S. Bernardo; y la vanguardia del General Lannes entró el dia 16 en Aost. Se asegura que el General Lecourbe ha cortado la comunicación entre Ulm y Augsburgo. U11 cuerpo austríaco, que ocupaba el pais de los Grisones, mandado por el General Hiíler, y que recientemente habia sido reforzad</t>
  </si>
  <si>
    <t>ado de los ahnacenes del exército de reserva. , ' Basileq 2 (y de Mayo. P or haber caído enfermo el General Lecourbe manda en su lugar el General Vandamme el ala derecha del exército del Rhin. Parece que el cuerpo francés que el d¡a 15 tomó posesión de Coira, se propone adelantarse desde allí po</t>
  </si>
  <si>
    <t>o léjos de la misma plaza de Ulm___ Añade esta carta que un consejo de guerra formado por orden del General Lecourbe ha sentenciado á muerte á un Comisario de Guerra de primera clase, llamado Pommier, y fué pasado por las armas por haberse apropiado algunos frutos y algún dinero destinado para l</t>
  </si>
  <si>
    <t>las alturas de Ulm rodea muy de cerca aquella plaza.” Finalmente, del mismo exército se sabe que el General Lecourbe ha entrado en Augsburgo con parte del cuerpo de su mando. También se ha sabido por aviso telegráfico que 35 naves inglesas de guerra llegaron el dia 5 á las costas de la península</t>
  </si>
  <si>
    <t>mando del General Saint-Cyr, y tuvo que retirarse á la izquierda de dicho rio. Al propio tiempo el General Lecourbe rechazó á los austríacos apostados en la derecha del Wertach y en las inmediaciones de Schwabmunchen, y les obligó á repasar el Lech. Después de estoentráron los franceses en Augs</t>
  </si>
  <si>
    <t>tras tropas á evacuar á Oífemburgo. Los franceses han sido bien recibidos en Augsburgo, en donde el General Lecourbe tenia ya su quartel el dia i.° de este mes.__ Parece que Mr. Kray no está en ánimo de admitir lá batalla que el General Moreau se propone darle, pues ha destacado su ala izquierda</t>
  </si>
  <si>
    <t>dexan pasar. Lo propio se executa en Guntzburgo. Augs burgo j de Junto. E 1 27 de Mayo atravesó el General Lecourbe el Lech en Landsberg.siii hallar resistencia. El dia anterior habia hecho un reconocimiento, y cogió prisioneros 15 húsares del regimiento de Blankenstein. El 28 se adelantó rápidam</t>
  </si>
  <si>
    <t>¿1 General Montríchard escribió el dia 28 de Mayo desde este quartet general la siguiente carta al General Lecourbe: „ Me disteis orden de venir á esta ciudad, y he entrado en ella esta noche. Hallamos á los enemigos formados en batalla delante del pueblo. Un regimiento de húsares y dos de caba</t>
  </si>
  <si>
    <t>Richepanse r dio1 orden- al General Grenier para que le sostuviese. por el puente de-Kilmentz, y al General Lecourbe para que se apostase entre el Guntz y el Kamlack, en el camino Mef Babenhausen y de modo que cubr iese los desembocaderos que va-fr de Burga wu Augábatge, y por consiguiente ocupa</t>
  </si>
  <si>
    <t>urgo 2 o de Junio. E xpresan algunas cartas del exército del Rhin que parte del cuerpo que manda el General Lecourbe volvió á ocupar á Augsburgo el dia 12, y que otra parte de las mismas tropas ha atravesado el Lech. Dícese tambieri que el General Grenier, comandante del centro del exército, ha</t>
  </si>
  <si>
    <t>rse al Tirol, y enviar á Italia un cuerpo de. tropas que os habría molestado mucho : resolví que el;General Lecourbe maniobrase por las márgenes del Lech , esperando forzar de este modo á Mr.. Kray á que fuese á, cubrir. la; Báv.iera ; pero maniobró por nuestra espalda, y la. batalla del 5, que</t>
  </si>
  <si>
    <t>emos forzado á los enemigos á retirarse de delante de Ulm.” Sobre la referida batalla ha escrito el General Lecourbe á su hermano en estos términos: ,,Acabo de vengar los manes de los franceses vencidos en Hochstedt el año de 1704. A viva fuerza conseguí pasar el Danubio por Blindheim. Los enemi</t>
  </si>
  <si>
    <t>para recomponerlo, se retardó el movimiento general de nuestras tropas. Sin embargo, el cuerpo del General Lecourbe consiguiópasar la tarde del. 26 , y marchó el' día siguiente á.Baviera: Lv división del General Gudin se dirigió hacia Poetmest , y la del General Monrrichard hacia Neuburgo» Esta</t>
  </si>
  <si>
    <t>es que sirven á comprobar la conspiración, que ya se había descubierto.El ciud. Porcy, Ayudante del General Lecourbe, ha llegado aquí con las banderas cogidas á los austríacos en el paso del Danubio. Igualmente ha venido el General Zagg, xefe de la plana mayor del exército austríaco de Italia ,</t>
  </si>
  <si>
    <t>al Kray adelantado por Baviera mando el General Moreau que su exército siguiese el mismo camino. El General Lecourbe salid de Friedberg el dia 30 para Landshut. El General Decaen y que atravesó el Iser, se ha apoderado de la famosa altura de Gaststeigberg, á la derecha de aquel rio; y quizá marc</t>
  </si>
  <si>
    <t>ria y Francia: y no se duda de que habrá un armisticio general. París j$ de Julio. E 1 Ayudante del General Lecourbe, que ha traído 8 banderas ganadas á los austríacos en las acciones de ib y 19 de Junio, se llama el ciud. Yadeleux: tiene 22 años y otras tintas heridas, que ha recibido sirviendo</t>
  </si>
  <si>
    <t>ral Moreaii ha destacado las dos divisiones de Gudin y Montrichard, mandadas por el General Lecourbe , para una expedición al pais de los Grisones y al Vorarlberg. Por las orillas del Danubio lian ocupado nuestras tropas á Neustadt y á Llensbcrg; y les puestos avanzados no distan</t>
  </si>
  <si>
    <t>nexpugnable fortaleza.” Se ha publicado el siguiente aviso .telegráfico. „ Hiininga 16 de Julio. El General Lecóúrbe’ al Ministro tíe Guerra. El-ala derecha; de mi división se ha apoderado de Feldkirck ^Goira^ y-; de. todo el; pais.de .los Grisonesy y hemos arrojado á los icnemigos de todos-los p</t>
  </si>
  <si>
    <t>sa y sabiamente dirigida , y de apoderarse del Vorarlberg y dei país de los Grisones, ha logrado el General Lecourbe su comunicación con el ala izquierda del exército de Italia. Bruselas j (o de Julio. V arios cuerpos de tropas que vienen de las orillas del Mosa y del Mosela, como también de las</t>
  </si>
  <si>
    <t>rarse de aquella ciudad, el ala izquierda del exército francés en Baviera pasó también cMser---- Él General Lecourbe, que salió deLandsberg el dia 11, tenia ya el 14 su quartel general en Feldkirch. Fas tropas austríacas que manda el Príncipe de Reuss han entrado en el Tiroi para cubrir á Inspru</t>
  </si>
  <si>
    <t>aviera está nuestro exército sobre la defensiva hasta que vuelvan las divisiones despachadas con el General Lecourbe. Otro cuerpo francés ha entrado en el Ducado de Wurtemberg. Aunque se sabe por avisos de oficio que se ha concluido el armisticio entre los dos exércitos del Rhin, se ignoran toda</t>
  </si>
  <si>
    <t>ieron el alcance y entráron en Pludentz. Los austríacos se llevaron su artillería y sus bagages. El General Lecourbe, que dirigió estos ataques, hubo de pender la vida de un balazo de cañón, del qual le-libró un árbol que había delante de él : su Ayudante de campo Toulon fqé levemente herido , y</t>
  </si>
  <si>
    <t>del General Augereau mandará las tropas-francesas en. esta República.. -y-, Basilea 4 de Agosto. El General Lecourbe ha sentado su quartel en Kempten.__Se ha hechoalguna mudanza en la línea de armisticio del Tirol septentrional: los Eaneeses conservan los puestos cíe que se apoderaron el día ^14</t>
  </si>
  <si>
    <t>egado de Dijon á Feldkirch los húsares del exército de reserva, y forman parte de la vanguardia del General Lecourbe. El e-ército de Augercau es uno de los mas disciplinados y mejor arreglados que ha tenido la República en el discurso de esta guerra. Consta ya de 40Q hombres efectivos, y aun se</t>
  </si>
  <si>
    <t>fecho; y aseguran que rxo estas palabras: Espero que en breve tendremos par. El dia 4 llegó aquí el General Lecourbe. JÓublin 2 de Agosto. D espues de sancionar el Virey de Irlanda varios hiles .entre ellos el de la unión de este Reyno con la Gran Bretaña, puso hoy fin a las sesiones de este Par</t>
  </si>
  <si>
    <t>ji de Agosto. E 1 dia 26 salió de aquí el General Moreau para Augsburgo, de donde irá á Munich. El General Lecourbe se halla enfermo, y no saldrá á campaña hasta que esté restablecido. Todas las divisiones del exércitó tienen orden de reunirse en Baviera y en las fronteras del Tirol: y sin emba</t>
  </si>
  <si>
    <t>ntrando en este último país, reemplazará allí á estos últimos cuerpos. Durante la indisposición del General Lecourbe mandará el General Gúdin él ala derecha. En fin, todo está dispuesto para renovar las hostilidades en caso que el Emperador persista en no ratificar los preliminares que se asegur</t>
  </si>
  <si>
    <t>stro con motivo de la victoria conseguida por los españoles con-* tra los ingleses en el Ferrol. El General Lecourbe, que se halla ya mandando el ala derecha del exército del Danubio , va á forzar el paso de K.ufstein para penetrar hacia Inspruck. los franceses han pedido al Cantón de Berna 40 c</t>
  </si>
  <si>
    <t>1029 Strasburgo $ de Octubre. H a llegado á Basilea el General Lecourbe. El gobierno helvético ha nombrado ya dos individuos del Consejo legislativo , que son los ciudadanos Schmid y Glaire, para que vayan al congreso de Luneville á cuidar de los inte</t>
  </si>
  <si>
    <t>tour de Auvernia. Stuttgard 8 de Octubre. E 1 General de división Montrichard, que por ausencia del General Lecourbe mandi el ala derecha del exército francés, ha llegado á Kempren. Antes de ayer salieron de Ulm las últimas tropas del Imperio, que eran</t>
  </si>
  <si>
    <t>adaptada á las artes y á las fabricas.” Nancí JO de Octubre, A ntes de ayer pasó por esta ciudad el General Lecourbe que va á Parta Igualmente han transitado 3 correos despachados de París para Alemania,y ha pasado otro de Viena que va á Paris á pedir los pasaportes para el Conde de Cobentzel ,</t>
  </si>
  <si>
    <t>Entre estos individuos se elegirán los que hubieren de servir en los exércitos. Ha llegado aquí el General Lecourbe, restablecido enteramente de sus achaques. El Teniente General Dupont remitió aí General Bruñe con fecha de 25 de Setiembre la siguiente relación sobre las operaciones del ala der</t>
  </si>
  <si>
    <t>Lecourbe, Teniente General</t>
  </si>
  <si>
    <t>Teniente General Lecourbe</t>
  </si>
  <si>
    <t>ropas pasaron esta'mañana el Wutack, y estañen marcha hacia Newkirk, en donde se les incorporará el Teniente General Lecourbe, que pasa hoy el Rhin por Richlingen. No he recibido todavía avisos de oficio.”—„La segunda carta es un diario mas circunstanciado de las primeras operaciones de dicho exército, y</t>
  </si>
  <si>
    <t>ían reunidas allí todas sus fuerzas, fueron derrotados. Al dia siguiente no pudimos alcanzarlos. El Teniente General Lecourbe habia recibido orden de trasladarse desde Hohentwiel hacia Stokach, y de destacar por su izquierda parte de la división del General Lorge, á fin de impedir que les austríacos pene</t>
  </si>
  <si>
    <t>ierda del Uler con muchas tropas ^ y resultó un cañoneo bastante vivo. El- General en xefe mando al Teniente General Lecourbe (que por la derecha se- extendía hácia Lansberg y Augsburgo) se apoyase, sobre su izquierda para aproximarse al exército. En efecto,- juntó la mayor parte de su cuerpo á orillas d</t>
  </si>
  <si>
    <t>or el mero placer de Mr. Pitt. Y. St ras burgo 11 de Setiembre. a salió de aquí para el exército el Teniente General Lecourbe.</t>
  </si>
  <si>
    <t>Lecourt, Claudio</t>
  </si>
  <si>
    <t>Claudio Lecourt</t>
  </si>
  <si>
    <t>Claudio Lecourt, hijo de Claudio y María Noel...</t>
  </si>
  <si>
    <t>Lee, Capitán</t>
  </si>
  <si>
    <t>Capitán Lee</t>
  </si>
  <si>
    <t>residente en Londres, acaba de recibir un regalo del Sultán en el navio el Príncipe mandado por el Capitán Lee, que viene de Smirna: consiste en una muchacha circasiana de gran hermosura, á la qual vienen custodiando 6 eunucos negros. Estos la han acompañado todo el viage hasta la misma ca</t>
  </si>
  <si>
    <t>Leed</t>
  </si>
  <si>
    <t>tan impunemente atentados en un país en que yo mando. Espero vuestra respuesta. Firmado: Launai. P. D. Leed, Señor General, si gustáis, en el convenio firmado en Verona el 31 de Julio el artículo relativo á los viageros , y vereis que debemos protegerlos y hacerlos respetar.” Bolonia 22</t>
  </si>
  <si>
    <t>Leehi, General</t>
  </si>
  <si>
    <t>General Leehi</t>
  </si>
  <si>
    <t>General austríaco Laudon, que apenas tuvo tiempo de huir solo. La legión cisalpina, mandada por el General Leehi, se ha apoderada de la esquadrilla que los enemigos tenían, en el lago Mayor, atravesó luego el Adda por Lecco, se dirigió hacia Bérgamo , hizo 50 prisioneros, y cogió 4 cañones.</t>
  </si>
  <si>
    <t>Lefebvre</t>
  </si>
  <si>
    <t>prisioneros, cayó al agua una centinela arrebatada por el viento. Advirtiólo el ciud. Lefebvre, oficial francés prisionero, se arrojó al mar, y salvó al soldado. Así que el gobierno supo esta acción, envió á dicho oficial un pasaporte para que se restitu</t>
  </si>
  <si>
    <t>Lefebvre, General</t>
  </si>
  <si>
    <t>General Lefebvre</t>
  </si>
  <si>
    <t>que es la Je París; y el General Lefebvre, que manda una y otra, cuenta añora baxo sus ordenes de 30 á 3yd) combatientes, repartidos en el departamento del Sena y en otros 6 inmediatos. Se ha dado &lt;5rden para que 2 regimi</t>
  </si>
  <si>
    <t>an fciñopla, ha conferenciado con el Ministro de Relaciones, exteriores, y visitado á Bonaparte. El General Lefebvre, comandante en xefe de las divisiones 15.a y 17.a,' ha escrito al primer Cónsul una carta fecha en París á 27 de este mes, en que le dice: „Ciudadano Cónsul. Acabo de recibir noti</t>
  </si>
  <si>
    <t>sul que durante 10 días se ponga una gasa negra en las banderas y estandartes de la República.’* El General Lefebvre ha dirigido al primer Cónsul con fecha del 6 la si^ guíente carta t „ Ciudadano Cónsul. Habiendo sabido el General Chamberlhac que muchos xefes de chouanes se hallaban, reunidos e</t>
  </si>
  <si>
    <t>, importaba ofrecerlo todo para ganar tiempo; pero que no se debían nunca desarmar las tropas. ; El General Lefebvre comunicó al primer Cónsul la prisión de este xefe en carta del 16, diciéndole: „ Acabo de recibir avisos del General Chamberí hac , en que me participa que al fin consiguió coger</t>
  </si>
  <si>
    <t>una chalupa inglesa, municiones, fusiles y un fardo de libelos impresos en Londres.”__ Asimismo, el General Lefebvre ha escrito al General Bonaparte el dia 24 una carta en que substancialmente diceResulta de los avisos que acabo de recibir del General Gardanne que en los contornos de Chanú ha de</t>
  </si>
  <si>
    <t>a haya aprobado esta disposición. 7 Parts 3 de Abril. 1 J Senado conservador ha nombrado Senador al General Lefebvre. El Cuerpo legislativo suspendió sus sesiones el dia 30 del mes último; pero el Tribunado sigue todavía las suyas. Ha nombrado el primer Cónsul Bonaparte al General Berthier para</t>
  </si>
  <si>
    <t>Lefebvreuna, General</t>
  </si>
  <si>
    <t>General Lefebvreuna</t>
  </si>
  <si>
    <t>l General de brigada Chamberlhac, comandante de las tropas del departamento del-Orne, ha escrito ai General Lefebvreuna carta en que substancialmente dice: „Os comunico sin perdida de tiempo otra victoria. Llegué el 28 á Alenzon, y á l?,s 10 de la noche supe que se había ¡untado una partida bastant</t>
  </si>
  <si>
    <t>Lefevre de Rechtembourg</t>
  </si>
  <si>
    <t>parte y el Conde de Cobentzel, el qual á las 4 de la tarde despachó á Viena en calidad de correo á Mr. Lefevre de Rechtembourg, que es uno de sus secretarios. , xr • / Loríente 11 de Noviembre. Kl dia 5 por la mañana un navio ingles de línea, surto entre Belle-Isle y Groix, amaneció casi enteramente desar</t>
  </si>
  <si>
    <t>Legrand, General</t>
  </si>
  <si>
    <t>General Legrand</t>
  </si>
  <si>
    <t>en ellos cubos con agua. El 18 tenia Moreau su quartel general en Schelklingen , y la división del General Legrand se adelantó el 19 desde Blaubeuren y Laychingen, há</t>
  </si>
  <si>
    <t>eñidas, no produxéron ventajas á una ni otra parte. El General austríaco Staray lia impedido que el General Legrand cortase la comunicación entre el cuerpo del Príncipe de Hohenlohe y la plaza de Ulm: y á medida que este cuerpo se adelantaba por el camino de Stuttgard, se retiraban los francese</t>
  </si>
  <si>
    <t>obispado de Fulda. — El Teniente General Grenier ha salido de Ratisbona para Straubing, en donde el General Legrand tiene su quartel. El General Ney, que ha sentado el suyo en Neuburgo, manda las tropas del bloqueo de Ingolstadt. Muchos pueblos de Alemania se quejan del armisticio por las grand</t>
  </si>
  <si>
    <t>Lehrbach</t>
  </si>
  <si>
    <t>onal, y luego se restituirá á su exército, cuyo quartel está en Welz. Parece que el nomoramiento de Mr. Lehrbach á Ministro de Estado de la corte de Viena ocasionará álgun atraso en las negociaciones de paz: pues los pasaportes que se esperan de París para el Conde de Cobentzef, no pueden ll</t>
  </si>
  <si>
    <t>Lemarrois</t>
  </si>
  <si>
    <t>se transferirá á Luneville. Parts 29 de Noviembre. E 1 día 25 salió de aquí el ciud. Lemarrois, Ayudante del primer Cónsul. Unos dicen que va á Viena, y otros que á Milán. Se ha dado á luz un decreto de i.a de Octubre, que dice así: „Bdtiaparte, primer C</t>
  </si>
  <si>
    <t>Lemaur, Carlos</t>
  </si>
  <si>
    <t>Carlos Lemaur</t>
  </si>
  <si>
    <t>ía, D. Francisco de Castilla j Valcárcel , á quien se dio en premio la obra de matemáticas puras de Don Carlos Lemaur; en secciones cónicas, cálculo diferencial é integral, D. Joseph Cabeza de Vaca, que Obtuvo elExáinen marítimo de D. Jorge Juan ' y el Suplemento de la obra de D. Benito Bails; y</t>
  </si>
  <si>
    <t>Lemoine, General</t>
  </si>
  <si>
    <t>General Lemoine</t>
  </si>
  <si>
    <t>llevará al Cayro. Milán 7 de Enero. R efieren los avisos de Ceva que los franceses mandados por el General Lemoine y reforzados con tropas venidas de Niza, se apoderaron nuevamente de Ormea, Garesco, Calizana y otras ciudades del Apenino en los 'contornos de Ceva. La escasez que padecían Ies obl</t>
  </si>
  <si>
    <t>Leocadio Antonio de Echevarría</t>
  </si>
  <si>
    <t>s. Los profesores que quisieren ocuparla remitirán sus memoriales para el «jia 6 de Enero próximo á D. Leocadio Antonio de Echevarría, Prior mayordomo de la parroquial de Santa María de Ámoreyieta de Zornoza. ,¿ Los polvos vegetales para preservarse de la rabia contraída por herida ó sin ella por otros medios co</t>
  </si>
  <si>
    <t>León de Segrí, Joseph</t>
  </si>
  <si>
    <t>Joseph León de Segrí</t>
  </si>
  <si>
    <t>z de cazadores D. Joseph Navacerrada: en el de infantería de Africa á primer Subteniente al segundo Don Joseph León de Segrí: en el de Soria á Ayudante al primer Teniente Don Jacobo Oliva: en el de Córdoba á primeros Subtenientes á los segundos Dv Juan Riberiego y D. Joseph Isasy: en el de Sevilla á seg</t>
  </si>
  <si>
    <t>León Garavito, Juan</t>
  </si>
  <si>
    <t>Juan León Garavito</t>
  </si>
  <si>
    <t>ente D. Joseph Agustín Parodi : esta Tenencia al Subteniente D. Nicolás de Barros; y Subtenencias á D. Juan León Garavito y D. Joseph Vicente Frías, el primero Sargento distinguido del mismo cuerpo. Por Real resolución de S. M. á consulta de la Junta de Comercio,Moneda y Minas, de n de Noviembre del año</t>
  </si>
  <si>
    <t>León Gil de Palacio</t>
  </si>
  <si>
    <t>54&lt;S . de la misma D. León Gil de Palacio; y ha concedido grados de Tenientes de milicias Provinciales á D. Remigio de Argumosa y Bourke y á D. Joseph Martínez Hervas, agregados al Ministerio de S. M. en Prusia. S. M. se</t>
  </si>
  <si>
    <t>León Molero</t>
  </si>
  <si>
    <t>es Don Basilio Báyón. En el de infantería de Soria á segundo Teniente de granaderos al de fusileros D. León Molero: en el de Córdoba á Subteniente de granaderos al primer Subteniente D. Manuel Romeo: en el de Guadalaxara á primer Subteniente al segundo D. Lorenzo Casado; y á segundo Subtenient</t>
  </si>
  <si>
    <t>y Don Martin de Zaldivar : en el de infantería de Soria á primer Teniente al.jsegundo de granaderos D. León Molero; á segundo Teniente de granaderos al de fusileros P. Tadeo Aldea; á segundos Tenientes á los primeros Sub</t>
  </si>
  <si>
    <t>León, Antonio</t>
  </si>
  <si>
    <t>Antonio León</t>
  </si>
  <si>
    <t>upernumerario al Cadete D. Joseph de los Ríos: para el empleo de Cadete de número al supernumerario D. Antonio León, y por Cadete supernumerario al Guardia D. Juan Termens. En la compañía flamenca del mismo Real cuerpo ha conferido S. M. empleo de Cadete de número al supernumerario D. Santos Qu</t>
  </si>
  <si>
    <t>León, Pedro Antonio</t>
  </si>
  <si>
    <t>Pedro Antonio León</t>
  </si>
  <si>
    <t>86 nandez, D. Pedro Antonio León j Navarrete, y á D. Christóbal López de Alfaró-y D. Manuel Sánchez de la Peña. Asimismo ha conferido S. Ai. el'empleo de segundo Capitán de ¿a compañía suelta de fusileros volunta</t>
  </si>
  <si>
    <t>Leonardo de la Barga, Martín</t>
  </si>
  <si>
    <t>Martín Leonardo de la Barga</t>
  </si>
  <si>
    <t>lla de Utrera, en la diócesis de Sevilla, vacante por fallecimiento de D. Diego Mauricio Sánchez, á D. Martin Leonardo de la Barga, Gobernador, Provisor, Vicario general y Juez Metropolitano que ha sido del arzobispado de Valencia ; y para la Capellanía de Coro de la metropolitana de Toledo, vacante por falle</t>
  </si>
  <si>
    <t>Leoncio, Gerónimo</t>
  </si>
  <si>
    <t>Gerónimo Leoncio</t>
  </si>
  <si>
    <t>tería del Rey se ha servido S. M. conferir segundas, Subtenencias al Sargento primero de granaderos D. Gerónimo Leoncio y al Cadete D. Isidro.'Martínez.Toledano t Compañías' d'e fusileros en ei de Sevilla al primer Teniente de granaderos D. Joseph Bravo de A riza y al Ayud tito D. Jacinto de Ver,:; A</t>
  </si>
  <si>
    <t>Leonés y Hernández Reyilo, Joachín</t>
  </si>
  <si>
    <t>Joachín Leonés y Hernández Reyilo</t>
  </si>
  <si>
    <t>nuel de Cárdenas y Castillo de las Peñas, D. Juan Albornoz y Calafat, D. Joachín de Toledo y Parra, D. Joachín Leonés y Hernández Reyilo, D. Julián Leonés y Hernández Reyilo, D. Pedro Rato y Cisneros, D. Justo Salafranca y Matheus, D. Baltasar Cornelias y Rosiñol, D. Joseph Rodríguez Truxiilo y Lasqueti, D. Manuel</t>
  </si>
  <si>
    <t>Leonés y Hernández Reyilo, Julián</t>
  </si>
  <si>
    <t>Julián Leonés y Hernández Reyilo</t>
  </si>
  <si>
    <t>as, D. Juan Albornoz y Calafat, D. Joachín de Toledo y Parra, D. Joachín Leonés y Hernández Reyilo, D. Julián Leonés y Hernández Reyilo, D. Pedro Rato y Cisneros, D. Justo Salafranca y Matheus, D. Baltasar Cornelias y Rosiñol, D. Joseph Rodríguez Truxiilo y Lasqueti, D. Manuel Compains y Ochoa, D. Joseph Pereyra y</t>
  </si>
  <si>
    <t>Leonor del Carreto</t>
  </si>
  <si>
    <t>las memorias fundadas por la Excma. Sra. Doña María Teresa Juliana Por tocarrero , y la Excma. Sra. Doña Leonor del Carreto , Marquesas que fueron de M^ncera ; la una sita en la carrera de S. Francisco , núm. 2 , manz. 117, que</t>
  </si>
  <si>
    <t>Leonor Gómez de Vilíasis</t>
  </si>
  <si>
    <t>de Gregorio Ximenez Lúeas, en 330,512. Una í.nca, perteneciente al patronato fundado en.Sevilla por Doña Leonor Gómez de Vilíasis, en 13,750. Ocho fincas, pertenecientes á la hermandad del Santísimo eA la villa de Constantina, en 23,172. Una casa en Ja: calle de los Beatos, pertenéciente al patronato fundado</t>
  </si>
  <si>
    <t>Leopoldo, Príncipe</t>
  </si>
  <si>
    <t>Príncipe Leopoldo</t>
  </si>
  <si>
    <t>s caballeros Grandes cruces, entre los quales se hallan el Emperador de Rusia, el Príncipe Real, el Príncipe Leopoldo, el Almirante Nelson, el Príncipe Suwarow, el General Acton, el Príncipe Belmonte-Pignateü, el Cardenal Ruffo &amp;c.; y entre los Comendadores el Conmodoro ingles Townbridge , el Cap</t>
  </si>
  <si>
    <t>Lepellcy-Dumanoir, Almirante</t>
  </si>
  <si>
    <t>Almirante Lepellcy-Dumanoir</t>
  </si>
  <si>
    <t>adecía: énYNiza y Antibo. Y:&lt; .■ 5 Y Y. El Almirante Bruix, el Vice-Almirante Lacrosse, y el Contra-Almirante Lepellcy-Dumanoir, se. hallan en camino para Brest, y el día. 18 esta* ban en GranvilJe. r En el Havre se padeció el 22 nn huracán que causó grandes daños. "Varias embarcaciones se perdiéron á vist</t>
  </si>
  <si>
    <t>Lepere</t>
  </si>
  <si>
    <t>s á BelbeisyiSalehyeh, Katyeh, El-Árisch.y Suez, se envió-orden al ingeniero en xefe Lepere para que se aprovechase de esta ocasión y siguiese desde Bclbeis por el valle muy cultivado y fértil en que corría el canal antiguo, descubierto, por Bonapartc</t>
  </si>
  <si>
    <t>IfO que es quizá la antigua Híerópolis. El ciud. Lepere publicará el fruto de su* investigaciones luego que se restituya ai Cayro.” Turin $ de Enero. L a proposición que ha hecho ei General Melas al Gobierno francés</t>
  </si>
  <si>
    <t>Lernando y del General Conde de Guilay, Archiduque</t>
  </si>
  <si>
    <t>Archiduque Lernando y del General Conde de Guilay</t>
  </si>
  <si>
    <t>f se hubiese apostado en Wclsch-Engen, y hubiese enviado por la derecha las brigadas reforzadas del Archiduque Lernando y del General Conde de Guilay, para oponerse á la coluna enemiga que se habia adelantado por Scebrike y Neustadt. El mismo dia 2 supo también Mr. Kray que 3 numerosas divisiones enemigas se hallaban ya en la r</t>
  </si>
  <si>
    <t>Lerset, General</t>
  </si>
  <si>
    <t>General Lerset</t>
  </si>
  <si>
    <t>Cyr en S. Blas, y el cuerpo de reserva á orillas del Wutack. En esta marcha fué levemente herido el General Lerset. El mismo dia el cuerpo de Richepanse se reunió con el de reserva ; y el i.° de Mayo se habrá puesto en marcha el de Sainte-Suzanne hácia Newstadt y Lomngen. Saint-Cyr marchó á Sm</t>
  </si>
  <si>
    <t>Lesage</t>
  </si>
  <si>
    <t>mido lo que con titulo de Aventuras del joven Siciliano añadió el P. Isla , traductor de la obra de Mr. Lesage $ pero al fin se ha puesto la conclusión de dicha historia , para satisfacer la curiosidad del lector desde el punto en que Gil Blas , muerta su segunda muger y sus amigos , se re</t>
  </si>
  <si>
    <t>Lespardat, Juan</t>
  </si>
  <si>
    <t>Juan Lespardat</t>
  </si>
  <si>
    <t>. Se abrió el primero por un eloqüente elogio, que pronunció el profesor de humanidades castellanas D. Juan Lespardat, de D. Francisco de Paula Joveilanos, Capitán de Navio de la Real Armada, y primer director que fue del Real Instituto. En los cinco dias siguientes exercitáron por mañana y tarde</t>
  </si>
  <si>
    <t>Lethiers</t>
  </si>
  <si>
    <t>e tiene la obra , á 2 rs. Se está grabando en Paris una estampa dibuxada por el ciud. Lethiers, pintor de historia , bien conocido por los dibuxos de las célebres estampas de Virginio, de Bruto y otras. El asunto de esta es la acción heroyca de un Catala</t>
  </si>
  <si>
    <t>Levaillant</t>
  </si>
  <si>
    <t>Ministros, los Senadores y otras muchas personas asistieron á dicho festejo. El ciud. Levaillant, muy conocido por sus dos viages en lo interior del Africa, ha resuelto emprender otro á la misma parte ael mundo, que hasta ahora es la mas desconocida. Vario</t>
  </si>
  <si>
    <t>Leval, General</t>
  </si>
  <si>
    <t>General Leval</t>
  </si>
  <si>
    <t>n entregado otros 30 en Huninga. El oficial comandante de Oppenheim ha sido arrestado por orden del General Leval , y será juzgado en un consejo de guerra por no haber cumplido con su obligación quando entraron por sorpresa los austríacos e» aquel pueblo la noche del 27 del mes último. Brusél</t>
  </si>
  <si>
    <t>a.” t Antes de ayer tarde salieron de aquí los franceses para Spira. ■jp* Maguncia 20 de Mayo. Jtil General Leval, comandante de las tropas francesas de esta ciudad y sus contornos, hizo el 17 un reconocimiento en toda la línea. Atacados vigorosamente los enemigos por la vanguardia del Genera</t>
  </si>
  <si>
    <t>icnemigos de todos-los puestos que todavía ocupaban.” De .Maguncia • se ha recibidq una carta.;-del General Leval, en que incluye ía siguiente copia de; otra del General Sainte-Suzanne. 9iQuartel general de ídochheim 5 de Julio. La- jornada de.hoy ha*sido /muy,feliz : nos halla,mosen Rocdelhe</t>
  </si>
  <si>
    <t>Lew</t>
  </si>
  <si>
    <t>ipe Belmente Pignatelli con las insignias de la orden de San Andrés; y ha nombrado al Montero mayor Mr. Lew. SChew para que vaya á Nápoles y entregue las de las ordenes de Rusia á aquel Soberano, al Príncipe heredero y al primer Ministro caballero Acton. Copenhague 18 de Octubre. H a vu</t>
  </si>
  <si>
    <t>Lewaschew y Mr, Conde</t>
  </si>
  <si>
    <t>Conde Lewaschew y Mr</t>
  </si>
  <si>
    <t>ollin, ha solicitado su retiro á causa de su avanzada edad, y lo ha conseguido. Los Generales rusos Conde Lewaschew y Mr. de Meyendorff van á Italia; el segundo se encargará, según dicen, de! mando de las trapas de su nación que se hallan en Ancona y Ñápeles , las quales han de aumentarse mucho. ••</t>
  </si>
  <si>
    <t>Ley y Marqueti, Joseph</t>
  </si>
  <si>
    <t>Joseph Ley y Marqueti</t>
  </si>
  <si>
    <t>la Chica y Gutiérrez , D. Joseph Martínez de Velasco y Horcadas, D. Antonio de Montoro y Andrade , D. Joseph Ley y Marqueti, D. Mateo Plowes y Sevilla , D. Joseph Rubion y Gutiérrez de la Huerta, D. Domingo de Mesa y Wandcnhcde, D. Jacinto de Marcaida y Madariaga , D, Lorenzo Belon y Becerra, Don Tuan</t>
  </si>
  <si>
    <t>Lherbach</t>
  </si>
  <si>
    <t>9, conferenció también con dicho Ayudante francés, el qual tomó poco después el caminé de París, y Mr. Lherbach se restituyó á Viena.__ El General Saint-Julien pasó por Alt-Oetting el mismo dia 4, y sin detenerse siguió su viage 4 la misma ciudad de Viena. Bamberg 12 de Agosto. S e regula e</t>
  </si>
  <si>
    <t>Liancourt</t>
  </si>
  <si>
    <t>Francia sino después de repetidos ensayos y experimentos , acaba de publicar el ciud. Liancourt una subscripción para inocular según este método á 50 niños. Niza 24 de Febrero. U n convoy de mas de 50 velas, cargado de granos y todo género de víveres, pas</t>
  </si>
  <si>
    <t>Lias, Ramón</t>
  </si>
  <si>
    <t>Ramón Lias</t>
  </si>
  <si>
    <t>enez y D. Joseph Hernando García; y en el de Aragón á primer Teniente de granaderos al de fusileros D. Ramón Lias. 'En América. El Rey se ha servido conceder agregación de Teniente Coronel al regimiento provincial de las Tres ViHas, en-el Reyno de Nue-r ya-España, á D. Joachín del Castillo y</t>
  </si>
  <si>
    <t>Libeth</t>
  </si>
  <si>
    <t>puerto. El Rey de Suecia llegó por mar el dia 25 de Pomerania á Upsal. Su Se- ! cxetario de Estado Mr. Libeth es la única persona de su comitiyá que ha. quedado en Stralsund___Quando pasó dicho Soberano por esta ciudad había1 tomado el nombre de Teniente Hagen. Luego que llegó á Stralsund e</t>
  </si>
  <si>
    <t>Lichtenthurn</t>
  </si>
  <si>
    <t>de la conducta de las tropas austríacas, que los han despojado de quanto tenían. Un Capitán llamado Mr. Lichtenthurn se apoderó de algunos bienes declarados nacionales, y vendió la mayor parte de-ellos como si fuesen suyos propios. Se hicieron recuerdos á la corte de, Viena contra este procedimi</t>
  </si>
  <si>
    <t>Lidon, Joseph</t>
  </si>
  <si>
    <t>Joseph Lidon</t>
  </si>
  <si>
    <t>avo tono , con variedad de registros, para el dia de la Ascensión del Señor y octava de Corpus, pór D. Joseph Lidon , Organista de la Real Capilla de S. M.: obra a..'4 Se hallará en la librería de Gómez, calle de las Carretas: su precio ao rs. Seis quartetos de dos v ¡chines , viola y baxo por</t>
  </si>
  <si>
    <t>Ligero, Joseph</t>
  </si>
  <si>
    <t>Joseph Ligero</t>
  </si>
  <si>
    <t>Martínez de Aparicio. ‘En Toledo............. Sres. Chavarri y Posadillo. En Toro................. D. Joseph Ligero. En Valencia......... D. Francisco Peyrolon y compañía. En Valíadalid....... D. Francisco Durango é hijo mayor. En Zamora.......... D. Vicente Perez de Texada. En Zaragoza........</t>
  </si>
  <si>
    <t>Lilienschold, Capitán</t>
  </si>
  <si>
    <t>Capitán Lilienschold</t>
  </si>
  <si>
    <t>para Londres, y que se está disponiendo á toda priesa un barco muy velero que al mando del Teniente-Capitán Lilienschold se hará esta noche á la vela para Petersburgo. Aver salió igualmente de esta ciudad el Coronel de artillería Necklembourg para el castillo de Cronburgo. El Conde de Bernstoríf, Se</t>
  </si>
  <si>
    <t>Lilises Albcrgoti</t>
  </si>
  <si>
    <t>el!: en el regimiento de infantería de N «polos á Coronel al Teniente Coronel graduado de Brigadier D. Lilises Albcrgoti.</t>
  </si>
  <si>
    <t>Liminiana, Agustín</t>
  </si>
  <si>
    <t>Agustín Liminiana</t>
  </si>
  <si>
    <t>eniente de granaderos al de fusileros D. Antonio Angulo: á segundos Tenientes al primer Subteniente D. Agustín Liminiana, y al Subteniente de granaderos graduado de Capitán D. Joseph de Castro y Lucena: á Subtenientes de granaderos á los primeros Subtenientes D. Nicolás Garces y D. Antonio Rabanera,</t>
  </si>
  <si>
    <t>Liñan, Pedro</t>
  </si>
  <si>
    <t>Pedro Liñan</t>
  </si>
  <si>
    <t>teirin; y á Segundos Tenientes al Alférez de granaderos D. Antonio Roca Escorcia, y al de fusileros D. Pedro Liñan. En el de infantería inmemorial del Rey á segundo Subteniente al Cadete D. Juan Manuel Astorga: en el de Saboya i segundo Teniente al Subteniente de granaderos graduado de Tenient</t>
  </si>
  <si>
    <t>Linares y Taboadá, Salvador</t>
  </si>
  <si>
    <t>Salvador Linares y Taboadá</t>
  </si>
  <si>
    <t>te Garoz y D. Felipe Navarro: Tenientes de cazadores de los de Ronda y Plasencla á los de fusileros D. Salvador Linares y Taboadá y D. Julián Sarmiento y Corpa, este graduado de infantería: Subteniente de granaderos del mismo de Ronda al de fusileros D. Juan María García; y Subteniente de bandera del de Salamanc</t>
  </si>
  <si>
    <t>Lino Alfonso García Alambra</t>
  </si>
  <si>
    <t>de Mena: para otra de la Catedral de León, vacante por fallecimiento de D. Juan Joseph Martínez, á D. Lino Alfonso García Alambra, con retención de la Prestamera que goza en la villa de Tarancon, obispado de Cuenca: para la dignidad de Prior de la Colegial de Baza, diócesis de Guadix, vacante por muerte de D</t>
  </si>
  <si>
    <t>Lino Álvarez Maldonado</t>
  </si>
  <si>
    <t>Córdoba y Granada Subtenencias de bandera á D. Manuel Calvo de Trapacete y Agudo, D. Benito Lobora, D. Lino Alvarez Maldonado, D. Joseph Rafael Gómez de Figueroa y D. Antonio Narvaez y Porcel. También ha conferido S. M. compañía en el cuerpo de milicias urbanas de Alburquerque al Teniente del mismo cuerp</t>
  </si>
  <si>
    <t>Lino Salazar, Joseph</t>
  </si>
  <si>
    <t>Joseph Lino Salazar</t>
  </si>
  <si>
    <t>seph Montano, D. Francisco Franco Iglesias, D. Cipriano de la Cerna, D. Miguel Estéban de Irazoqui, D. Joseph Lino Salazar, Don Juan Miguel de Eguizabal y D. Juan de Echevarría: empleos de Alféreces á D. Manuel 4,e Fuentes, D. Joseph Eguizabal, D. Manuel Huete, Don Hilario Pó'nce,"D. Manuel Caballero,</t>
  </si>
  <si>
    <t>Lira, Antonio</t>
  </si>
  <si>
    <t>Antonio Lira</t>
  </si>
  <si>
    <t>de granaderos al de fusileros Don Juan S:n Martin; á segundo Teniente al Subteniente de granaderos D. Antonio Lira; á Subteniente de granaderos al primer Subteniente D. Francisco Pérez, y á primer Subteniente al segundo D. Juan Dahnansa: en el de Granada á Subteniente de granaderos al primer S</t>
  </si>
  <si>
    <t>Lisakewitz</t>
  </si>
  <si>
    <t>de las viruelas. Londres 3 de Octubre. S . M. ha hecho un regalo valuado en 4$ libras esterlinas á Mr. Lisakewitz, Encargado de Negocios de la corte de Rusia, el qual está nombrado para Ministro de su Soberano en Copenhague. Se ha aumentado mucho la esquadra inglesa destinada á cruzar en el m</t>
  </si>
  <si>
    <t>Listón</t>
  </si>
  <si>
    <t>a la paz con Francia. El Ministro de Guerra, Mr. Mac-Henry, ha hecho también dimisión de su empleo. Mr. Listón, Ministro de Inglaterra cerca de estos Estados, saldrá en Breve de aquí para ef Canadá, desde donde pasará á Inglaterra. Rezelando que se renueven los estragos de la fiebre: amari</t>
  </si>
  <si>
    <t>o de Inglaterra en la corte del Príncipe Regento de Portugal ha nombrado el Rey á Mr. Juan Hookham. Mr. Listón, Ministro británico en los Estados-Unidos de América, ha dexado su empleo , y le reemplaza Mr. Merri, Enc irg ido que fue de negocios de Inglaterra en Dinamarca.__ Han vuelto de d</t>
  </si>
  <si>
    <t>Liverpool, Lord</t>
  </si>
  <si>
    <t>Lord Liverpool</t>
  </si>
  <si>
    <t>, y que respecto á ellos equivalen á excluirlos del Parlamento. Le apoyó el Lord Lansdowov; pero el Lord Liverpool observó que-era mas conveniente dexar el examen de este importante punto al Parlamento imperial (es decir, ai Parlamento reunido de los tres Rey nos) que tratarlo en ios dos separ</t>
  </si>
  <si>
    <t>Liverpoold, Lord</t>
  </si>
  <si>
    <t>Lord Liverpoold</t>
  </si>
  <si>
    <t>esidad no era un grande que precisase á recurrir á tan extremados expedientes. Opinó contra esto el Lord Liverpoold dando por sentado que la escasez es absoluta, que la cosecha no produxo la quinta parte de los granos que se requieren para el consumo de Inglaterra, y que la introducción ha sido me</t>
  </si>
  <si>
    <t>Lizakewitz</t>
  </si>
  <si>
    <t>pasa al continente á recobrar su salud; y queda en calidad de Encargado de negocios de Petersburgo Mr. Lizakewitz, Secretario de Embaxada. Mr. Pitt propuso el dia 26 en la Cámara de los Comunes se concediese á S. M. una suma que no pasase de 566,688 libras esterlinas para el sueldo de 120 hom</t>
  </si>
  <si>
    <t>Lizana, María</t>
  </si>
  <si>
    <t>María Lizana</t>
  </si>
  <si>
    <t>de que mueren 12 ó 15 soldados cada dia. Doñ; Villa del Prado 29 de Abril. oña María Lizana, natural de la villa de Cadahalso, hija de Benito y de Mari:ía Ignacia Ramírez,se dedicó á estudiar la gramática latina b.,xo la dirección y estudio de D. Pedro Angel de Olaso, maestro de</t>
  </si>
  <si>
    <t>Llaas</t>
  </si>
  <si>
    <t>e, Klein , Colaud, Legrand, Thurreau, Hardy y otros. Ha venido aquí de Suiza el ciud. Llaas, comisionado por el gobierno helvético para recoger los cañones suizos que se hallan en estos almacenes. Ya se le han entregado otros 30 en Huninga. El oficial</t>
  </si>
  <si>
    <t>Llanas, Juan</t>
  </si>
  <si>
    <t>Juan Llanas</t>
  </si>
  <si>
    <t>s á D. Romualdo Yañez, y las demas á D. Nicolás de la Riva, D. Vicente Velazquez, D. Benigno Yañez, D. Juan Llanas, D. Gregorio Pan y D. Julián García. AlgcCiras 13 de Agosta, H oy á lafc 6 de la tarde fondeó en esta bahía el bergantín ingles el Alerta, de porte.de 140 toneladas, su Capitán Ja</t>
  </si>
  <si>
    <t>Llánes y Arguelles, Francisco</t>
  </si>
  <si>
    <t>Francisco Llánes y Arguelles</t>
  </si>
  <si>
    <t>ara la Canongía y Arcedianato de Ecija de la santa iglesia de Sevilla, vacante por fallecimiento de D. Francisco Llánes y Arguelles, á D. Sebastian de Gorvea, Capellán de la Real capilla de Sres. Reyes nuevos de la. ciudad de Toledo: para una Canongía de la Colegial de Arbas del Puerto,, en el obispado de Ovie</t>
  </si>
  <si>
    <t>Llano la Tenencia, Francisco</t>
  </si>
  <si>
    <t>Francisco Llano la Tenencia</t>
  </si>
  <si>
    <t>iente de cazadores; esta resulta al Teniente de fusileros D. Joseph de Nava, y al de la misma clase D. Francisco Llano la Tenencia de granaderos; Tenencias de fusileros á los Subtenientes D. Juan Manuel Andaya, D. Antonio Benavides y D. Juan Joseph Fonseca, y las Subtenencias de granaderos y cazadores á los Subt</t>
  </si>
  <si>
    <t>Llat, Juan</t>
  </si>
  <si>
    <t>Juan Llat</t>
  </si>
  <si>
    <t>se venden judicialmente , consiE,dente á lo resuelto, por Jos acreedores á la quiebra ó concurso de D. Juan Llat-.no , acuda ante el Señor Alcalde de casa y- corte D: Joseph Naeeero- y Vinal, .juez de ella , y por la) escribanía! dé provincia de-Di Redro. deUtglladzres.. Fincas enajenables en</t>
  </si>
  <si>
    <t>Llistar de Alegría, Manuel</t>
  </si>
  <si>
    <t>Manuel Llistar de Alegría</t>
  </si>
  <si>
    <t>entes á D. Agustín Escudar y D. Tomas Querol, Subtenientes del mismo, y á Subtenientes de bandera á D. Manuel Llistar de Alegría y á D. Pedro Cifre y García: en el de Alicante y Orihuela á Capitanes á D. Fernando Martínez Aguilar y D. joachín Germán, Capitanes agregados al mismo cuerpo, y á Tenientes á los ag</t>
  </si>
  <si>
    <t>Llórente, Sebastián</t>
  </si>
  <si>
    <t>Sebastián Llórente</t>
  </si>
  <si>
    <t>el Suplemento de la obra de D. Benito Bails; y en mecánica é hidráulica, el Dr. D, Joseph Badillo, D. Sebastian Llórente y D. Felipe Matheos, á los que se premió con la obra de fottifiéacion del ingeniero ingles Múller. El V&gt;ice-Di rector concluyó la junta exhortando á los premiados á la constancia y de</t>
  </si>
  <si>
    <t>Lluch, Francisco</t>
  </si>
  <si>
    <t>Francisco Lluch</t>
  </si>
  <si>
    <t>d y'Mag^.íleh^L, natural de Ciutadilláy'ÓóVregimibhtd de C.éPvéfa;...d 5 5. 30. Francisco Lluch , hijo de Sebastian y "Catalina , hUtural de^Torruellá, Corregimiento de Gerona ........................ 42. 25. Ramón Tuco, hijo de Joseph y María , natural de Ribert, Corregimiento de</t>
  </si>
  <si>
    <t>Lo, Mateo</t>
  </si>
  <si>
    <t>Mateo Lo</t>
  </si>
  <si>
    <t>rs. Un cempo.en la Limafia,e&amp; 17,957 rs. ** mrs. Otro en Rañillas, perteneciente á la capellanía de D. Mateo Lo pez ^ de Lobana,, en 18,735^5. * mrs. Otro en el Cascaro, i la cofradía de San Serapio, en 46,87* rs. 16 mrs. Una casa, calle de S. Miguel á la del Transñxo de Sacerdotes, en 16,9</t>
  </si>
  <si>
    <t>Lobato, Bartolomé</t>
  </si>
  <si>
    <t>Bartolomé Lobato</t>
  </si>
  <si>
    <t>de la Frontera, Tenencias á D. Pedro Pelaez Campománes, Subteniente de fusileros, y al de cazadores D. Bartolomé Lobato: en el de Bujalance las Subtenencias de granaderos y cazadores á los Subtenientes de fusileros D. Fernando Fernandez de Arroyo y D. Rafael Perez de Aguilar: en el de Burgos las Su</t>
  </si>
  <si>
    <t>Lobera, Santiago</t>
  </si>
  <si>
    <t>Santiago Lobera</t>
  </si>
  <si>
    <t>bteniente de granaderos D. Ventura Macia y Areni; á Subteniente de granaderos al primer Subteniente D. Santiago Lobera, y á primer Subteniente al segundo D. Andrés Rodríguez: en el de Córdoba á Teniente Coronel al de esta clase agregado al ae Granada, graduado de Coronel, D. Joachín de Gasaviella:</t>
  </si>
  <si>
    <t>Lobo y Marques, Vicente</t>
  </si>
  <si>
    <t>Vicente Lobo y Marques</t>
  </si>
  <si>
    <t>ra la Ración, vacante también en la referida iglesia por fallecimiento de D. Manuel de Arguelles, á D. Vicente Lobo y Marques: para la Canongía de la catedral de León, vacante por fallecimiento de D. Domingo Gastaña, á D. Francisco Xavier Chinchilla Chichina y Vilches: para otra Canongía de la catedral d</t>
  </si>
  <si>
    <t>Lobora, Benito</t>
  </si>
  <si>
    <t>Benito Lobora</t>
  </si>
  <si>
    <t>ca, Orense, Toro, Córdoba y Granada Subtenencias de bandera á D. Manuel Calvo de Trapacete y Agudo, D. Benito Lobora, D. Lino Alvarez Maldonado, D. Joseph Rafael Gómez de Figueroa y D. Antonio Narvaez y Porcel. También ha conferido S. M. compañía en el cuerpo de milicias urbanas de Alburquerque</t>
  </si>
  <si>
    <t>Loísaga, Pedro</t>
  </si>
  <si>
    <t>Pedro Loísaga</t>
  </si>
  <si>
    <t>antería fixo de Ceuta se ha servido el Rey promover á primer Teniente de granaderos al de fusileros D. Pedro Loísaga y á segundo Teniente al Subteniente de granaderos D. Vicente Carnicero. S. M. ha promovido á Ingeniero Director de sus exércitos, plazas y</t>
  </si>
  <si>
    <t>Loison, General</t>
  </si>
  <si>
    <t>General Loison</t>
  </si>
  <si>
    <t>ne su quartel en Vevav : la 2.a, baxo las órdenes'del General Thureau, en Gaiss: la 3.a, á las cíel General Loison, en S. Gall: la 4.a, mandada por el General Lorge, en Frauenfeld: la 5.a, por el General Mortier, en Basilea: la 6.a, por el General Bastad, en Soleure; y la 7.a, por el General M</t>
  </si>
  <si>
    <t>e lia conferido la comandancia de la plaza de Milán. ,, Parte del exército de reserva del dia 7. El General Loison , después de atravesar el Adda en Lodi , se apoderó de Crema, pasó el Oglio el dia 5 , y se hizo dueño de Orsinovi, plaza situada entre Brescia y el Po, que tiene una muralla regu</t>
  </si>
  <si>
    <t>Lombard</t>
  </si>
  <si>
    <t>erencia con el Rey en Potsdam, á la qual asistió también el Ministro de gabinete Conde de Haugwitz. Mr. Lombard acompaña á dicho Plenipotenciario ; pero no se sabe en que calidad. Raiisbona 2 1 de Octubre. A .visan de Ulm que todo está dispuesto para empezar á demoler las fortificaciones de</t>
  </si>
  <si>
    <t>Lope María Romillo</t>
  </si>
  <si>
    <t>............ La Viuda de Isla. En la Coruña........ D. Manuel Antonio de Elzaurdi. En Gtiadalaxara. D. Lope María Romillo. En Oviedo............... D. Josef Santiago Suarez.</t>
  </si>
  <si>
    <t>López Altam, Carlos</t>
  </si>
  <si>
    <t>Carlos López Altam</t>
  </si>
  <si>
    <t>á sirviendo interinamente: para la de Oidor de la Audkncia de?Sevilla, vacante por fallecimiento de D. Carlos López Altam.ranó á D Pedro Creux y Ximenez , Ministro honorario de Mallorca. &lt; Igualmente ha nombrado S. M. para el Corregimiento político de la ciudad de Xerez de la Frontera al Marques de l</t>
  </si>
  <si>
    <t>López Andreu, Miguel</t>
  </si>
  <si>
    <t>Miguel López Andreu</t>
  </si>
  <si>
    <t>rle jubilación con la mitad del sueldo de su plaza, y ha nombrado para servirla con la otra mitad á D. Miguel López Andreu, Abogado de los Reales Consejos. El dia 12 de es-te mes falleció en esta corte á los 72 anos de edad el $r. D. Juan Antonio Paz Merino, deb CcEseió Real. Sirvió á S. M. 30</t>
  </si>
  <si>
    <t>López Berrio, Joseph</t>
  </si>
  <si>
    <t>Joseph López Berrio</t>
  </si>
  <si>
    <t>aboada y Valenzuela, D. Joachín Xencrio y Giles, D. Ramón de Ayala y Silveyra, D. Antonio Callejas, D. Joseph López Berrio, D. Valentín Antonio Gutiérrez, D. Joseph Martin Ruiz y Lúeas y„D. Pedro Alcántara Alamanzon. Él Rey se ha servido nombrar para el Corregimiento, de capá y espada de Canaria , vac</t>
  </si>
  <si>
    <t>López Ca, Fernando</t>
  </si>
  <si>
    <t>Fernando López Ca</t>
  </si>
  <si>
    <t>de Santiago á Don Bernardo Manuel Velarde y Amarilla., El Rey se ha servido conceder al presbítero D. Fernando López Ca' maño la gracia de Capellán honorario de los buques correos, con Jos mismos fueros y privilegios que gozan los actuales, en atención ¿ los servicios que contrajo quando lo fué en p</t>
  </si>
  <si>
    <t>López de Ayala, Ignacio</t>
  </si>
  <si>
    <t>Ignacio López de Ayala</t>
  </si>
  <si>
    <t>era de S. Gerónimo. ' Vida de Gonzalo Fernandez de Aguilar y Córdoba, llamado el Gran Capitán, jpor D. Ignacio López de Ayala : un tomito en 8.° Se hallará en rústica en la librería de Ortega , calle angosta de Majaderitos. En la librería de Escribano, calle de las Carretas, se hallan tres quadernos dé m</t>
  </si>
  <si>
    <t>López de Cárdenas, Fernando</t>
  </si>
  <si>
    <t>Fernando López de Cárdenas</t>
  </si>
  <si>
    <t>, Cura beneficiado de Lucena, contra la injusta censura del Compendio analítico del Cura de Montoro D. Fernando López de Cárdenas y los malos Argumentos del folleto que acaba de publicar D. Rafael de Giles y Leyva: por el mismo D. Fernando Ramirez de Luque. = Respuestas que á los Argumentos del Br. D. Rafael de Gi</t>
  </si>
  <si>
    <t>López de Castro, Gregorio</t>
  </si>
  <si>
    <t>Gregorio López de Castro</t>
  </si>
  <si>
    <t>an Alvarez: para otra de la catedral de Tarazona, vacante por fallecimiento D. Juan Ignacio Asco, á D. Gregorio López de Castro: para la Dignidad de Tesorero primera silla de la colegial de Baeza, diócesis de Jaén, vacante por fallecimiento de D. Juan Joseph Valdes, á D. Joseph de Torres Aybar, Dignidad de</t>
  </si>
  <si>
    <t>López de Fando, Juan Manuel</t>
  </si>
  <si>
    <t>Juan Manuel López de Fando</t>
  </si>
  <si>
    <t>21, tasada en 57,g6o rs. Otra en la calle de Peregrinos, núm. 1 , manzana 384, en 88,93g. Por la de D. Juan Manuel López de Fando una casa en la calle de Toledo, núm. ix , manzana 144, tasada en 130,474 rs* Otra en la Platería , núm. 778, manzana 41 g , en 231,078. Otra en la costanilla de Santiago, mím. 20</t>
  </si>
  <si>
    <t>López de Huerta, Pedro</t>
  </si>
  <si>
    <t>Pedro López de Huerta</t>
  </si>
  <si>
    <t>e de León; y otro también de 1 ¿o pesos, de la misma creación de Marzo, núm. 227,805 , en cabeza de D. Pedro López de Huerta. Quien supiere de ellos avisará á qualquiera de dichos sugetos. A virtud de providencia del limo. Sr. Marqués de Roda , del Consejo y Cámara , compatrono de las pías memorias fund</t>
  </si>
  <si>
    <t>López de la Barrera y Cotarelo, Manuel</t>
  </si>
  <si>
    <t>Manuel López de la Barrera y Cotarelo</t>
  </si>
  <si>
    <t>onzález de la Riva y Vivanco, D. Francisco del Hoyo y Ortiz, D. Francisco del Solar y los Corrales, D. Manuel López de la Barrera y Cotarelo, D. Juan Patino y Acevedo, D. Juan de Sotomayor y Barranco, D. Joseph de Soubiran y Montealm, D. Fernando Muñoz y Abreu,D. Aii toni'o Tacón y Rosique, D. Salvador Spadafora,D. Ram</t>
  </si>
  <si>
    <t>López de la Huerta, Joseph</t>
  </si>
  <si>
    <t>Joseph López de la Huerta</t>
  </si>
  <si>
    <t>RID DEL MARTES 14 DE OCTUBRE DE 1800. Stockolmo de Agosto» 'A ___ yer noche llego aquí el caballero D. Joseph López de la Huerta, nueto Enviado de S. M. Católica cerca de S. M. Sueca. # En la ciudad de Calmar, en la provincia de Stnaaland, ha habido un incendio en que ardieron 150 casas, siendo considerable</t>
  </si>
  <si>
    <t>López de la Torre Ayllon, Joseph</t>
  </si>
  <si>
    <t>Joseph López de la Torre Ayllon</t>
  </si>
  <si>
    <t>para la Canongía de la metropolitana de Granada, vacante por fallecimiento de D. Joseph de Hita, á D. Joseph López de la Torre Ayllon: para dos Canongías de la Real iglesia de San Isidro de Madrid, vacantes la primera por la promoción del Sr. D. Pedro Inocencio Bejarano al obispado de Buenos-Ayres, y la segunda</t>
  </si>
  <si>
    <t>López de Lizaga, Julián</t>
  </si>
  <si>
    <t>Julián López de Lizaga</t>
  </si>
  <si>
    <t>ileros al .Subteniente de granaderos D. Joseph Villanueva; ésta resulta al Subteniente de fusileros D. Julián López de Lizaga, y Subtenencia de fusileros á D. Gregorio Pedro Naharro: en el de León Compañía de fusileros al Teniente de granaderos D. Antonio Castañcn; su resulta á • D. Francisco García Bern</t>
  </si>
  <si>
    <t>López de Mier, Pedro</t>
  </si>
  <si>
    <t>Pedro López de Mier</t>
  </si>
  <si>
    <t>a a D. Pi ancisco de la Pe— drueza y Carranza. , _ . T t En América. S. M. se ha servido conceder a D. Pedro López de Mier., Ministro Tesorero de las Reales Caxas de la Puebla de ios Angeles, los honores de Comisario ordenador de sus exéircitos. También se ha servido el Rey promover á Sargentos mayore</t>
  </si>
  <si>
    <t>López de Peñalver, Juan</t>
  </si>
  <si>
    <t>Juan López de Peñalver</t>
  </si>
  <si>
    <t>del mismo autor. Gonzalo de Córdoba , ó la conquista de Granada : novela de Florian , traducida por D. Juan López de Peñalver : contiene una pintura del valor de los españoles en la conquista de Granada , y presenta al natural el carácter y costumbres de los moros y de los españoles de aquellos tiempos.</t>
  </si>
  <si>
    <t>López de Salazar, Antonio</t>
  </si>
  <si>
    <t>Antonio López de Salazar</t>
  </si>
  <si>
    <t>. Sra. Duquesa de Alba, sita en la plazuela de S. Miguel, quarto z.° Por la escribanía de número de D. Antonio López de Salazar ,se están subastando las fincas siguientes: Una casa en la calle de Ministriles , niím. 12, manzana 43, con 2433£ pies de - sitio, tasada en £2,&lt;&gt;45 rs. Otra en Ja calle de los Tu</t>
  </si>
  <si>
    <t>sionados para la venta de ellas , que son por lo correspondiente á la villa de Pozuelo de Alarcon á D. Antonio López de Salazar , para las de Griñón á Don Luis Perez Peñuelas, y para las de Cubas á D. Joachin González de Castro. {Se concluirá. ) EN LA IMPRENTA REAL.</t>
  </si>
  <si>
    <t>lla de Barajas y Moratilla D. Julián González Saez, y para las de Moraleja de en medio y Polvoranca D. Antonio López de Salazar*: ( Se concluirá.) EN LA IMPRENTA REAL</t>
  </si>
  <si>
    <t>nados para la venta de ellas, que son por lo correspondiente á la villa de Alcobendas y Serranillos D. Antonio López de Salazar, y para las de la villa del Alamo D. Joachín González de Castro. Fincas de obras pias enagenables en la Intendencia de Toledo. Partido de Alcalá Corpa: 11 fanegas dé tierra, perte</t>
  </si>
  <si>
    <t>López de Sálazar, Antonio</t>
  </si>
  <si>
    <t>Antonio López de Sálazar</t>
  </si>
  <si>
    <t>isiere hacer postura á quálqwiera de dichas fincas acuda ante el Escribano de número de eáta" Villa D. Antonio López de Sálazar. r r : CarmenaiSHospiíal de-1 la Santísima Trinidad de la villa deTorrijos: primera-mente en Bfoaniila uña labranza para sembradura, con su casa dentro de ella, de g30 fanegas y z</t>
  </si>
  <si>
    <t>López de Silazar, Antonio</t>
  </si>
  <si>
    <t>Antonio López de Silazar</t>
  </si>
  <si>
    <t>e Albóndiga, Mazuecos , Quijorna y Pozo de Almogüera D. Julián González Saez, y para las de Drieves D. Antonio López de Silazar. \ Mii.— 1 ------------------------------------------------------------------- ■ ——x—nr*^^ . ¿. * * EN LA IMPRENTA REAL. * •*</t>
  </si>
  <si>
    <t>López del Castillo, Antonio</t>
  </si>
  <si>
    <t>Antonio López del Castillo</t>
  </si>
  <si>
    <t>edo, á D. Francisco Díaz de Parga, D. Juan Domingo Lozano, Don Trifon Antonio de Ibarrola Layse.ca, D. Antonio López del Castillo, Don Francisco María. González Ares y Ron,, D. Juan Joseph Marina y D.'.Jc)^' iejiiríMaría Qrtég^.. ....'ó:j) . ‘ . . Ó • EhJ.aten¿i.ó.n4’lo&amp;^¿rLtos.y^t!yicr5js, deD. . Jósjeph Gl</t>
  </si>
  <si>
    <t>López del Vallado, Joseph</t>
  </si>
  <si>
    <t>Joseph López del Vallado</t>
  </si>
  <si>
    <t>urdia, D. Luis Mornard, D. Toribio Cifuentes, D. Claudio Fernandez, D. Felipe Fernandez San Miguel, D. Joseph López del Vallado y D. Agustín Sánchez Cifuentes, En las quatro primeras ciases de dicho estudio, y ademas en cosmografía, navegación, maniobra y artillería de mar, D. Teodoro de Condres, D. Tomas Rodr</t>
  </si>
  <si>
    <t>López Fando, Juan</t>
  </si>
  <si>
    <t>Juan López Fando</t>
  </si>
  <si>
    <t>nio Santa María § Teniente Corregidor de esta villa. Quien quisiere hacer mejora acuda al oficio dé D, Juan López Fando, Escribano del número dé la mis$ná , .que se admitirán las que hicieren. Real dirección de abastos de Madrid hizo saber al público por aviso de jg de Octubre de 99 que admitiría l</t>
  </si>
  <si>
    <t>a en la calle del Rosario, núm. ir, manzana 119, valuada en 30,845 rs. 12 mrs. , acuda al oficio de D. Juan López Fando, Escribano del número de esta villa. Por providencia del Sr. D. Juan Antonio Santa María , Teniente Corregidor de esta villa ,an,te D. Antonio Fernandez , Escribano del número, se</t>
  </si>
  <si>
    <t>nte Corregidor de esta villa, a las ia de la mañana. Quien quisiere hacer mejora acuda al oficio de D. Juan López Fando, escribano de número.—.También está sen tado para remate de otra casa ,sita en la calle de las Huertas y Santa IVlaría, núm .7, man*. 140, tasada en 147,34* rs., y dan la misma ca</t>
  </si>
  <si>
    <t>la calle Mayor, portal de Roperos, núm. 14, manzana 194, valuada en 108,040 rs., acuda al oficio de D. Juan López Fando, Escribano de número de esta villa , en el término de 30 dias. D. Luis Andrés Bucellis, cirujano latino romano titular de estuche de la villa de Torrejon de Ardoz, á conseqtíencia</t>
  </si>
  <si>
    <t>u mañana en la audiencia del Sr. Teniente Corregidor D. Juan Antonio Sta. María, acuda al oficio de D. Juan López Fando, Escribano del número, que se admitirán las pujas y mejoras que se hicieren. Por providencias del Sr. D. Pedro González- Calderón , Teniente Corregidor de esta villa , se han vuel</t>
  </si>
  <si>
    <t>iere hacer postura á una ú otra, á lo menos en la quarta parte, acuda á la escribanía del número de D. Juan López Fando dentro de 30 dias. A conseqiiencia de las Reales resoluciones de S. M. se saca á pública subasta, como perteneciente á. la V. Congregación dei Espíritu Santo de esta corte,, por térm</t>
  </si>
  <si>
    <t>López Fardo, Juan</t>
  </si>
  <si>
    <t>Juan López Fardo</t>
  </si>
  <si>
    <t>, Teniente Corregidor de esta villa. Quien quisiere hacer mejora acuda hasta dicho dia al oficio de D. Juan López Fardo, Escribano del número, que se admitirá.=Quien quisiere comprar otra casa (llamada Mesón de la Encomienda ) en esta corte, calle de Alcalá , núm. 9 , manzana &lt;i$6 , tasada en 3^3,1</t>
  </si>
  <si>
    <t>López García, Francisco</t>
  </si>
  <si>
    <t>Francisco López García</t>
  </si>
  <si>
    <t>El 7 de Abril remitió D. Francisco López García á Doña Juana Gómez Faxardo, viuda, vecina de Munguía en el señorío de Vizcaya, con varios papeles un vale Real de igo pesos de rg de Marzo, mím. 241,624 , con solo un endoso á fav</t>
  </si>
  <si>
    <t>López Mendez, Joseph Francisco</t>
  </si>
  <si>
    <t>Joseph Francisco López Mendez</t>
  </si>
  <si>
    <t>la Chantría al Tesorero D. Antonio Patricio de Alcalá: para la Maestrescolía al Canónigo Magistral D. Joseph Francisco López Mendez: para la Tesorería al Canónigo D. Baltasar Moreno: para esta resulta á D. Domingo Lander, cesándole la pensión de 600 pesos que hasta este caso se le había señalado sobre esta Mit</t>
  </si>
  <si>
    <t>López Ontiveros, Pedro</t>
  </si>
  <si>
    <t>Pedro López Ontiveros</t>
  </si>
  <si>
    <t>e -de cazadores D. Joachín de Tapia; esta resulta al Teniente de fusileros, graduado de infantería, D. Pedro López Ontiveros; Tenencias de fusileros á D. Juan Antonio Peñalosa y D. Pascual de Coca, Subtenientes de granade ros* y fusileros, y la Subtenencia de granaderos al Subteniente de fusileros D. Jo</t>
  </si>
  <si>
    <t>López Quevedo, Juan</t>
  </si>
  <si>
    <t>Juan López Quevedo</t>
  </si>
  <si>
    <t>uel de la Revilla y Don Blas Bielsa: en el de Extremadura á segundo Subteniente al Sargento primero D. Juan López Quevedo: en el de Málaga á segundos Tenientes de granaderos á los de fusileros D. Antonio Cartas y D. Francisco Sanz; á primer Subteniente al segundo D. Juan Cavanillas; y á segundos Subt</t>
  </si>
  <si>
    <t>López Romero, Francisco</t>
  </si>
  <si>
    <t>Francisco López Romero</t>
  </si>
  <si>
    <t>ores á D. Joseph Valdelomar, Subteniente de fusileros: en el de Monterey Subtenencia de fusileros á D. Francisco López Romero; y en el de Sevilla Subtenencia de bandera á D. Gaspar de Torrejon y Valdes. \ Correspondiendo el Consejo á los vivos deseos de S. M. ha acordado á</t>
  </si>
  <si>
    <t>López Salazar, Antonio</t>
  </si>
  <si>
    <t>Antonio López Salazar</t>
  </si>
  <si>
    <t>María y D. Pedro González Calderón se están subastando las fincas siguientes : por la escribanía de D. Antonio López Salazar una casa en la calle de S. bernardo , barrios de S. Lorenzo , núm. *3 , manzana 3$ , tasada en 33,817 rs. Otra en dicha calle, núm. 9, manzana 36, en 68,368. Otra en dicha calle,</t>
  </si>
  <si>
    <t>an hecho varias posturas: quien quisiere mejorarlas acuda por lo respectivo á las dos primeras ante D. Antonio López Salazar, y las otras dos á D. Joaquín González de Castro, Escribanos del número de esta villa, quienes admitirán las que se hkieren.icrclgualmente por providencia del mismo D. Manuel Ange</t>
  </si>
  <si>
    <t>López Soldado, Luis</t>
  </si>
  <si>
    <t>Luis López Soldado</t>
  </si>
  <si>
    <t>se ha servido nombrar para la Canongía de la metropolitana* de Toledo, vacante por fallecimiento de D. Luis López Soldado, á D. Pablo Nicolás de S. Pedro, con retención del Curato de su Real Palacio, que: obtiene; y para el Préstamo de Corvacera y el de Casasola, anexo del Beneficio de Castroverde en</t>
  </si>
  <si>
    <t>López, Antonio</t>
  </si>
  <si>
    <t>Antonio López</t>
  </si>
  <si>
    <t>era de d°ch!s finías acuda ante el Escribano de numero de esta villa comisionado niM enas aue lo es D. Antonio López de balazar. p pira el remate de’varias fincas existentes en término de Brúñete, Belmente de Tajo , Val de Santo Domingo, Carmena, Torrejon de Velasen, Santa Cruz: del Retamar v Alame</t>
  </si>
  <si>
    <t>López, Bernardo</t>
  </si>
  <si>
    <t>Bernardo López</t>
  </si>
  <si>
    <t>mo se ha dignado S. M. nombrar Ayudante Veterano del regimiento provincial de dragones de S. Luis á D. Bernardo López, Tenienté también Veterano del mismo cuerpo. También ha nombrado S. M. Interventor de la administración del tabaco de Chihuahua , en las provincias internas de Nueva-España, á Don</t>
  </si>
  <si>
    <t>López, Felipe</t>
  </si>
  <si>
    <t>Felipe López</t>
  </si>
  <si>
    <t>giienza; y para quptro Succentorías de la c tedr I de Segorbe á D. Joseph Solanés, D. Joseph Broch, D. Felipe López y D. Vicente Ctrvera. En el regimiento de infantería del Rey se ha servido S. M. conferir segundas, Subtenencias al Sargento primero de granaderos D. Gerónimo Leoncio y al Cadete D. I</t>
  </si>
  <si>
    <t>López, Francisco</t>
  </si>
  <si>
    <t>Francisco López</t>
  </si>
  <si>
    <t>dra; y para otro servidero de la de S. Boal de la ciudad de Salamanca, vacante por fallecimiento de D. Francisco López, á D. Pedro Paz, con obligación de residir-' lo por sí mismo. En el regimiento de Reales Guardias Españolas se ha servido el Rey promover á segundo Teniente al Alférez de cazadore</t>
  </si>
  <si>
    <t>n el de Húsares al segundo D. Gregorio Cácercs; y á Alférez en el de la Costa de Granada al Alférez D. Francisco López , Sargento del propio cuerpo. Asimismo ha promovido el Rey á Ingeniero extraordinario de sus exércitos, plazas y fronteras al Ayudante de Ingeniero L&gt;. Joseph Morete. D. Antonio F</t>
  </si>
  <si>
    <t>López, Francisco Santiago</t>
  </si>
  <si>
    <t>Francisco Santiago López</t>
  </si>
  <si>
    <t>acias á D. Manuel de Salas: para el de Fiel de almacenes de la de los Llanos, Reyno de Goatemala, á D. Francisco Santiago López: para el de Oficial mayor de la contaduría de la factoría de la renta del tabaco de la Puebla de los Angeles á D. Joseph Joachín de Mendiola: para el de Oficial segundo de la mism</t>
  </si>
  <si>
    <t>López, Gabriel</t>
  </si>
  <si>
    <t>Gabriel López</t>
  </si>
  <si>
    <t>oseph Guardamuro, Capitán del regimiento de infantería de Granada, y al Teniente Coronel, graduado, D. Gabriel López, Ayudante del mismo cuerpo de milicias de Plasencia. S. M. se ha servido conceder honores de la Cámara al limo. Sr. Don Juan Francisco de Cáceres, Fiscal d i Consejo Real. En Amér</t>
  </si>
  <si>
    <t>López, Juan</t>
  </si>
  <si>
    <t>Juan López</t>
  </si>
  <si>
    <t>ado de Teniente: para Alféreces al agregado en la misma clase D. Manuel Ordoñez, á los Portaguiones D. Juan López, D. Manuel Garavo y D. Joseph Arenas, y ai Cadete Vicente Asco; y para Portaguiones á los Cadetes D. Juan Rondeau, D. Andrés Ordoñez, y al Sargento graduado de Alférez D. Joachin</t>
  </si>
  <si>
    <t>López, Juan Antonio</t>
  </si>
  <si>
    <t>Juan Antonio López</t>
  </si>
  <si>
    <t>D. Vicente de Vargas: en el de Navarra á segundo Subteniente al Cadete del de las Ordenes Militares D. Juan Antonio López: en el de Hibernia á segundo Subteniente al Cadete del dé Sabóya D. Joseph Aguado y Oquendo: en el de Aragón á segundos Subtenientes á los Cadetes D. Manuel de la Revilla y Don Bl</t>
  </si>
  <si>
    <t>López, Pedro</t>
  </si>
  <si>
    <t>Pedro López</t>
  </si>
  <si>
    <t>e de gastadores al de cazadores D. Francisco Matis : á segundo Teniente al Subteniente de tiradores D. Pedro López; y á Subteniente de tiradores al de cazadores D. Ramón Carbonero. . ' En el de-caballería de Algarbe se ha servido S. M. promover también á Capitán al Ayudante D. Nicanor Ricaud:</t>
  </si>
  <si>
    <t>López, Tomás</t>
  </si>
  <si>
    <t>Tomás López</t>
  </si>
  <si>
    <t>nte al Asia, Africa y Europa , después de la formación de los primeros imperios conocidos: su autor Don Tomas López. Se seguirá con los demas quadernos hasta completar el Atlas, que tendrá 26 ó 27 mapas , y pueden servir para la inteligencia de los autores clásicos. Se hallará en [a calle de At</t>
  </si>
  <si>
    <t>. D. Manuel de Latorre, Canónigo penitenciario, y censor segundo de la sociedad, D. Serapio Sinués, D. Tomas López, D. Juan Polo y Catalina, D. Joseph Duaso y D. Pedro Gregorio de Echeandía, catedrático de botánica, en calidad de examinadores, á presen</t>
  </si>
  <si>
    <t>López, Vicente</t>
  </si>
  <si>
    <t>Vicente López</t>
  </si>
  <si>
    <t>Moreno; á segundo Teniente al primer Subteniente D. Joseph Suñez; á primer Subteniente* al segundo D. Vicente López, y a segundo Subteniente al Sargento primero de granaderos D. Manuel González: en el de Guadalaxara á primer Subteniente al segundo D. Pascual Pous, y á segundos á los Cadetes D.</t>
  </si>
  <si>
    <t>LopezLispereuer, Francisco</t>
  </si>
  <si>
    <t>Francisco LopezLispereuer</t>
  </si>
  <si>
    <t>on la mitad de su sueldo, y para esta plaza se ha servido, nombrar, con el sueldo de su dotación, a D. Francisco LopezLispereuer, que la está sirviendo interinamente: para la de Oidor de la Audkncia de?Sevilla, vacante por fallecimiento de D. Carlos López Altam.ranó á D Pedro Creux y Ximenez , Ministro hono</t>
  </si>
  <si>
    <t>Lord Keith, Almirante</t>
  </si>
  <si>
    <t>Almirante Lord Keith</t>
  </si>
  <si>
    <t>gos.” Nodación para la evacuación de Génova por el ala derecha del exército francés , entre el Vice-Almirante Lord Keith , comandante en xefe de la esquadra inglesa, el Teniente General Barón de Qtt, comandante del bloqueo9 y el General en xefe francés Massena. Artículo i.° El ala derecha del exérci</t>
  </si>
  <si>
    <t>Lord Seymour, Almirante</t>
  </si>
  <si>
    <t>Almirante Lord Seymour</t>
  </si>
  <si>
    <t>"20 navio Príncipe de Gales de 98 cañones, mandado por el Vice-Almirante Lord Seymour. El 24 por la noche se despachó un extraordinario con pliegos para ei Lord Elgin, Embajador ingles en Constantinopla; y otro el dia 28. En Irlanda ha ofrecido el gobierno 100 libr</t>
  </si>
  <si>
    <t>Lorenza Ron</t>
  </si>
  <si>
    <t>todas rea-' tas de la provincia de Murcia. En la gazeta anterior r pág^ 347, lín- n , donde se díxo D. Lorenza Ron, debe leerse Bou. Por providencias del Sr. D. Pedro González Calderón , Teniente Corregidor de esta villa, se subastan 4 casas en esta corte. Una en la plazuela de Matute, núm. 6</t>
  </si>
  <si>
    <t>Lorenza Salvador</t>
  </si>
  <si>
    <t>e al público para que por este pretexto todo el que tenga necesidad no se prive de aquel remedio. A Doña Lorenza Salvador, hija de D. Miguel, Agente'de negocios que fué en esta corte, pertenece cierta herencia por muerte de su tio'el Dr. D. Jayme Salvador, acaecida en la villa de Alberique, Reyno de</t>
  </si>
  <si>
    <t>Lorenzana, Joseph</t>
  </si>
  <si>
    <t>Joseph Lorenzana</t>
  </si>
  <si>
    <t>dianato, de Alcaraz y Ganongía de la iglesia metropolitana de Toledo, yacantés por fallecimiento de Don Joseph Lorenzana, á D. Juan de Escoiquiz: para una Canongía de la catedrill de Salamanca, vacante por muerte de D. Joseph Perez Mesía, á Don Isidro Masquiaran, Canónigo de Zamora; y para el Medio</t>
  </si>
  <si>
    <t>Lorge, General</t>
  </si>
  <si>
    <t>General Lorge</t>
  </si>
  <si>
    <t>el General Thureau, en Gaiss: la 3.a, á las cíel General Loison, en S. Gall: la 4.a, mandada por el General Lorge, en Frauenfeld: la 5.a, por el General Mortier, en Basilea: la 6.a, por el General Bastad, en Soleure; y la 7.a, por el General Muller, en Berna. Quizá tomará nuevas disposiciones</t>
  </si>
  <si>
    <t>trasladarse desde Hohentwiel hacia Stokach, y de destacar por su izquierda parte de la división del General Lorge, á fin de impedir que les austríacos penetrasen entre su ataque y el que debia dar hacia Engen el cuerpo que mandaba el General en xefe. Las divisiones de Delmas y Bastoul, que er</t>
  </si>
  <si>
    <t>da: 400 hombres de caballería se adelantaron hasta Cremona, en donde los atacó la media brigada del General Lorge, y los echó de la ciudad. El dia.13 un destacamento;crecidio: salió de Pizzighiione, llegó á Crema, y-alarmó todos los contornos. Algunas partidas austríacas, que se habían adelan</t>
  </si>
  <si>
    <t>francés ocupa ya todos los puestos militares fixados en el convenio de Alexandría : la división del General Lorge está en Carpí, Ja de Loison en Brescia, la de Miollis en Bolonia &amp;c. Siendo la ciudadela de Milán una de las que se desmantelan, se ha dado</t>
  </si>
  <si>
    <t>Lorrain, Santiago</t>
  </si>
  <si>
    <t>Santiago Lorrain</t>
  </si>
  <si>
    <t>Autrey; tiene una vaca, y todos los dias la lleva á pastar. Su marido, llamado Santiago Lorrain, murió hace poco tiempo á los 109 años de edad. Madrid 31 de Octubre. ül Rey se ha servido nombrar para el Arciprestazgo de Santibañez de Zirbuda de las Agujas, en la diócesis de Burgos,</t>
  </si>
  <si>
    <t>Lorrison</t>
  </si>
  <si>
    <t>ral en xefe Macdonald ha revistado todas las tropas de estas dos divisiones. El ciud. Lorrison, Ayudante del primer Cónsul, ha llegado al quartel de dicho General, el qual se trasladó el dia 16 á Zurich. La mayor parte Je las tropas del exército de reser</t>
  </si>
  <si>
    <t>Lorset, General</t>
  </si>
  <si>
    <t>General Lorset</t>
  </si>
  <si>
    <t>destacamentos de caballería y otras tropas, que vienen de lo interior de Francia. Está nombrado el General Lorset para mandar la vanguardia del exército del Rhin; y restablecido ya de sus heridas no tardará en salir. El Teniente General Saint-Cyr y el Inspector general Yiilemancy van al segun</t>
  </si>
  <si>
    <t>Losada, Gregorio</t>
  </si>
  <si>
    <t>Gregorio Losada</t>
  </si>
  <si>
    <t>tán del de 1^ misma clase de la Reyna; y ha tenido á bien nombrar Alférez en el de Villa* viciosa á D. Gregorio Losada, agregado en la propia clase al mismo cuerpo^ En consideración á los méritos y servicios de D. Gárlos Viola, y al acierto con que ha desempeñado las comisiones de los Reales empré</t>
  </si>
  <si>
    <t>Lozano, Agustín</t>
  </si>
  <si>
    <t>Agustín Lozano</t>
  </si>
  <si>
    <t>incial de Chinchilla Compañía de fusileros á D. Pedro Flores, Teniente de cazadores: esta resulta á D. Agustín Lozano, Teniente de fusileros: Tenencias de esta cíase á D. Joseph Rodríguez de Vera, D. Francisco Amores, D. Fernando González y D. Pedro Vicente Jareño, Subtenientes, los primeros de g</t>
  </si>
  <si>
    <t>Lozano, Antonio Joachín</t>
  </si>
  <si>
    <t>Antonio Joachín Lozano</t>
  </si>
  <si>
    <t>Oficiales en las compañías Urbanas acordaron la referida acta y diputación, D. Fcrmin de Claesens, D. Antonio Joachín Lozano, y D. Juan Joseph Ibañez de Zavala, que en ningún tiempo puedan tener empleos de Ayuntamiento, ni ser conceiantes los dos primeros, y el tercero Zavala que le sirva solamente de c</t>
  </si>
  <si>
    <t>Lozano, Joseph Antonio</t>
  </si>
  <si>
    <t>Joseph Antonio Lozano</t>
  </si>
  <si>
    <t>uos de Ayuntamiento que acordaron el acta y diputación, el Regidor D. Juan Joseph Cardón, el Jurado D. Joseph Antonio Lozano, y el Síndico: Procurador general D. Sebastian de Urrutia; los dos primeros que nunca puedan tener empleos de A juntamiento, ni ser concejantes, y el tercero Urrutia que solamente</t>
  </si>
  <si>
    <t>Lozano, Juan Domingo</t>
  </si>
  <si>
    <t>Juan Domingo Lozano</t>
  </si>
  <si>
    <t>Betanzós, Alcázar de-S* Juan, Avila, Chinchilla, Valladolid y Toledo, á D. Francisco Díaz de Parga, D. Juan Domingo Lozano, Don Trifon Antonio de Ibarrola Layse.ca, D. Antonio López del Castillo, Don Francisco María. González Ares y Ron,, D. Juan Joseph Marina y D.'.Jc)^' iejiiríMaría Qrtég^.. ....'ó:</t>
  </si>
  <si>
    <t>Lozano, Juan Mateo</t>
  </si>
  <si>
    <t>Juan Mateo Lozano</t>
  </si>
  <si>
    <t>e Valdemojones, de una fan. y 6 cel. en 300. Otra id. en Vallehermoso, de 6 fan. en 340. Memoria de D. Juan Mateo Lozano : una tierra en las Zarzas de Vicente , de una fanega , en 100 rs. Otra id. término de Humera Cabrera Valladáres , de una fan. y 6 cel. en 100. Otra término de Pozuelo en los Horc</t>
  </si>
  <si>
    <t>Lozano, Juan Nepomuceno</t>
  </si>
  <si>
    <t>Juan Nepomuceno Lozano</t>
  </si>
  <si>
    <t>pciedad económica celebró ¡unta general en su casa de labor y piedad, dando principio su secretario D. Juan Nepomuceno Lozano, Abogado de los Reales Consejos , con un discurso gratulatorio por haberse dado en este año social 16,523 premios y socorros á las niñas y jóvenes que incesantemente se ocupan en</t>
  </si>
  <si>
    <t>Lozano, Pedro</t>
  </si>
  <si>
    <t>Pedro Lozano</t>
  </si>
  <si>
    <t>. En geometría elemental y práctica £&gt;, Luis Cacho, Alférez de Milicias provinciales de Artillería, D. Pedro Lozano, D.Benito María Alvarado y D. Joseph Ranero y Gil. En trigonometría plana y esférica D. Antonio Gil de Santiso. En cosmografía y navegación D. Pedro Conde y D. Joseph Cansobre. En</t>
  </si>
  <si>
    <t>Lozano, Salvador</t>
  </si>
  <si>
    <t>Salvador Lozano</t>
  </si>
  <si>
    <t>y 0. Francisco de Paula Basques y Rivero: en el de Alicante y Orihuela á los Subtenientes agregados D. Salvador Lozano y D. Juan Bautista Campos : en el de Compostela á D. Juan Joseph de la Vega y Calo Vallo de Porras: en el de. Sigíienza al Cadete D. Joseph María de Ariza y Taboada; y en el de Alcira</t>
  </si>
  <si>
    <t>Ltíienlkjrn, General</t>
  </si>
  <si>
    <t>General Ltíienlkjrn</t>
  </si>
  <si>
    <t>erno los Condes de Wachtmeister y de Ugglás, Mr. de Ehrenheim , primer Ministro de Estado, el Mayor General Ltíienlkjrn y el Contra-Almirante Cronstedt. El vecindario de esta capital ha hecho acuñar una medalla en celebridad de la coronación dei Rey. ■ : .. Se ha dado á luz el estado de las rentad desd</t>
  </si>
  <si>
    <t>Luchesini</t>
  </si>
  <si>
    <t>á Cracovia, en donde al mismo tiempo se hallará el Emperador de Alemania. Dícese que el encargo que Mr. Luchesini lleva á París es de la mayor importancia, y que quizá tiene relación con los preparativos que hace la Rusia. Quizá también va á concertar con el primer Cónsul las indemnizaciones</t>
  </si>
  <si>
    <t>á Mr. de Dohm, que según dicen va al congreso de Luncville en nombre del Rey de Prusia, al paso que Mr. Luchesini permanecerá en París, y Mr. Sandoz-Roilin se retirara de aquella capital á Neuchatel. París 7 de Noviembre. G ion motivo de haber publicado algunas gazetas de París que la entrada</t>
  </si>
  <si>
    <t>Lucía García Ruiz</t>
  </si>
  <si>
    <t>en el sitio de Navallacer, de caber 46 fanegas, en venta 120© rs. y en renta 2300. De la memoria de Doña Lucía García Ruiz: el cercado de la Joachina,- en el sitio de las Llanadillas, de caber 14 fanegas , en venta 7© rs. y en renta 200. De la memoria- de Andrés Berrocal : una cerca de paste y labor e</t>
  </si>
  <si>
    <t>Lúea, Martín</t>
  </si>
  <si>
    <t>Martín Lúea</t>
  </si>
  <si>
    <t>dad, de la execucion de D. Martin Tomas Mateo, en 14^ id. = Cutanda: un huerto , de la execucion de D. Martin Lúea , tasado en 9396 rs. de 16 quartos. z=z Fuentes de Ebro : nueve caberlas de agua, de la capellanía de D. Juan Domingo Pelegrin , tasadas en 14,400 rs. de 16 quartos. zzzFronchon :</t>
  </si>
  <si>
    <t>Lúeas Briz</t>
  </si>
  <si>
    <t>Cadete D. Carlos Montero: en el de Granada á segundo Subteniente al Sargento primero de granaderos D. Lúeas Briz;y ha conferido también el empleo de Coronel del de las Ordenes Militares al Coronel D. Juan Carlos de Areizaga, Teniente Coronel del de infantería de» Córdoba. D. Martin Brusein,</t>
  </si>
  <si>
    <t>Lúeas Gómez Negro</t>
  </si>
  <si>
    <t>stos en francés por el Abate Pará de Fanjas, presbítero de la extinguida compañía, y traducidos por D. Lúeas Gómez Negro, Estos elementos son singulares por su mérito entre quantos andan en manos d« los jóvenes ; y los mas excelentes así por la multitud de materias , orden y distribución de ellas, c</t>
  </si>
  <si>
    <t>Lúeas González</t>
  </si>
  <si>
    <t>do de bienes de difuntos de México, en que consta fallecí® en el Real de Zultepeque de Nueva España D. Lúeas González, casado con Dofia Madalena Muñoz de Costilla, en quien tuvo una hija, sin haber hecho disposición testamentaria, que sus bienes consistieron en 117 pesos, los quales se hallan dep</t>
  </si>
  <si>
    <t>Luengas, Manuel</t>
  </si>
  <si>
    <t>Manuel Luengas</t>
  </si>
  <si>
    <t>ias D. Severo de OHver y e- Teniente de Navio D. Agustín Matute. Los heridos los Alféreces de Navio D. Manuel Luengas y D. Antonio Balzoná; y los de Fragata D. Rafael Basabe y D. Tomas de Gana, y el Teniente de granaderos de Monterey D. Joseph Yañez. Los muertos en la segunda el Alférez de Fragata D.</t>
  </si>
  <si>
    <t>Luengo y Álderetc, Matías</t>
  </si>
  <si>
    <t>Matías Luengo y Álderetc</t>
  </si>
  <si>
    <t>es de ella D. Jos§ph Angulo y Marques de S'aii Martin ; de Alférecés^i D. Juan Joseph Es-* pinosa y D, Matías Luengo y Álderetc, Carabineros de distinción de la mis^ma, á 4 Antonio, de,la Cuesta,,Sargento de ella, y á D-.Dionisio Picado y Angulo y B. Paulino Vicente, Alféreces, el primero del regimiento de</t>
  </si>
  <si>
    <t>Luis, Príncipe</t>
  </si>
  <si>
    <t>Príncipe Luis</t>
  </si>
  <si>
    <t>que se hacen en esta capital, y emprenderá luego un viage por sus estados de Polonia y Silesia. El Príncipe Luis, hijo del Príncipe Fernando de Prusia, permanece todavía arrestado en el castillo de Magdeburgo. La causa de su castigo fué haber dexado su guarnición sin licencia del Rey para ir</t>
  </si>
  <si>
    <t>Luisa de Hesse-Darmstadt, Princesa</t>
  </si>
  <si>
    <t>Princesa Luisa de Hesse-Darmstadt</t>
  </si>
  <si>
    <t>ísimo dé las tropas de S. M. Fidelísima. El 28 de Julio se celebró en Darmstadt el matrimonio de la Princesa Luisa de Hesse-Darmstadt con el Príncipe Luis de Anhalt-Coeten. Léese en la gazeta de Praga que la Prusia y ía Rusia envían 50© hombres cada una como mediadoras armadas para obligar á la Francia á modear</t>
  </si>
  <si>
    <t>Luisa González de Perineo</t>
  </si>
  <si>
    <t>rres f sus descendientes, en tercero: á Doña Ana María González de Torres y los suyos, en qnarto: á Doña Luisa González de Perineo y sus descendientes, en quinto lugar; y últimamente á Doña Ana María González de Bermeo y los suyos, hijas estas dos últimas de D. Juan Antonio González, de Torres, corresponden cie</t>
  </si>
  <si>
    <t>Luisa González de Torres</t>
  </si>
  <si>
    <t>os del Sr. D. Francisco de Morales Salazar, del Consejo cjue fue de S. M. en el Real de Hacienda: á Doña Luisa González de Torres f sus descendientes, en tercero: á Doña Ana María González de Torres y los suyos, en qnarto: á Doña Luisa González de Perineo y sus descendientes, en quinto lugar; y últimamente á</t>
  </si>
  <si>
    <t>Luisa Nufíez Varela de Ruibanes</t>
  </si>
  <si>
    <t>e cada mes. En autos de inventario formados de oficio por el Corregidor de la Cornfía por muerte de Doña Luisa Nufíez Varela de Ruibanes, que murió abintestato el 1$ de Marzo último en dicha ciudad , donde era vecina, se mandó llamar por edictos á los que se contemplen con derecho á su herencia, y en especial á D.</t>
  </si>
  <si>
    <t>Luisa y María Isabel, María</t>
  </si>
  <si>
    <t>María Luisa y María Isabel</t>
  </si>
  <si>
    <t>mpleaños del Sr. Infante Príncipe de Parma; y antes de ayer por el cumpleaños de las Sras. Infantas Doña María Luisa y Doña María Isabel. S. M, se ha servido nombrar para el Deanato primera silla de la Cate* dral de Ciudad-Rodrigo, vacante por fallecimiento de D. Joseph Xerez, á D, Tomas Aparicio Santin, con retenc</t>
  </si>
  <si>
    <t>Luisa, María</t>
  </si>
  <si>
    <t>María Luisa</t>
  </si>
  <si>
    <t>n del palacio de esta villa al Real sitio de S. Ildefonso' los Reyes Ntros. Srefc., la Sra. Infanta Doña María Luisa, con su esposo el; Sr; Infante Príncipe de Parma, y las Sras. Infantas Doña María Isabel y Doña María Josepha. Igualmente el Príncipe Ntro. Sr&gt; y las demas personas de la Real fam</t>
  </si>
  <si>
    <t>limentaron á SS. MM. y AA. con tan plausible motivo, y el de ser igualmente dias de la Sra. Infanta Doña María Luisa, y del Sr. Infante Prínci- ■ pe de Parma. 'El Rey se ha servido nombrar para el Arcedianato mayor dé Santa María, dignidad de la metropolitana de Zaragoza, á D. Marian Sostre y Al</t>
  </si>
  <si>
    <t>Luna, Francisco</t>
  </si>
  <si>
    <t>Francisco Luna</t>
  </si>
  <si>
    <t>artolomé Valero: á segundo Teniente en el de la misma clase de húsares españoles al Alférez segundo D. Francisco Luna; y ha tenido á bien conferir compañía en el de dragones de la Reyna al Capitán agregado al propio cuerpo D. Mariano Marín. En América. En el regimiento de infantería de Puebla se</t>
  </si>
  <si>
    <t>Luxan, Antonio</t>
  </si>
  <si>
    <t>Antonio Luxan</t>
  </si>
  <si>
    <t>o de Córdoba á Sargento mayor al Capitán de granaderos del de Burgos, graduado de Teniente Coronel, D. Antonio Luxan; y en el Real cuerpo, de Artillería á Capitán al Teniente D. Félix Bustos. En el regimiento de caballería de Montesa se ha servido 'también S. M. promover á Alférez al Portaestand</t>
  </si>
  <si>
    <t>Luxan, Cárlos</t>
  </si>
  <si>
    <t>Cárlos Luxan</t>
  </si>
  <si>
    <t>Alba: en el de infantería de Jaén á Coronel al Teniente Coronel del de Saboya, graduado de Coronel, D. Cárlos Luxan: en el de granaderos Voluntarios de Estado á Ayudante al primer Teniente del de Córdoba, graduado de Teniente Coronel, D. Domingo Pirez: en el de cazadores Voluntarios de la Coron</t>
  </si>
  <si>
    <t>Luzuriaga, Joachín</t>
  </si>
  <si>
    <t>Joachín Luzuriaga</t>
  </si>
  <si>
    <t>tes á los Sargentos primeros de granaderos D. Joseph de Palma y D.. Juan de Porras, y á los Cadetes D. Joachin Luzuriaga, D. Gaspar y D. Luis Pelegero, y D. Antonio Marín Fernandez. También ha conferido S. M. en el regimiento provincial de Chinchilla Compañía de fusileros á D. Pedro Flores, Teniente</t>
  </si>
  <si>
    <t>Luzuriaga, Juan</t>
  </si>
  <si>
    <t>Juan Luzuriaga</t>
  </si>
  <si>
    <t>D. Atanasio Revuelta y D. Julián Zurita; á primeros Subtenientes á los segundos D. Carlos Vinuesa, D. Juan Luzuriaga, L&gt;. Casimiro Bastarrachea , D. Fernando Aívarez , D. Joseph Campo y D. Agustín Otermin, y á segundos Subtenientes al Sargento primero de granaderos D. Gavino Martínez, y á los Ca</t>
  </si>
  <si>
    <t>L’ Escolie, Juan</t>
  </si>
  <si>
    <t>Juan L’ Escolie</t>
  </si>
  <si>
    <t>Real iglesia de S. Isidro de Madrid, que se halla vacante por fallecimiento de D. Isidoro Somoza, á D. Juan L’ Escolie , Salmista de la misma Real iglesia ; y para el Curato derdespoblado de Buzarabaxo y su anexo Majazul, en el arzobispado de Toledo, vacante por fallecimiento de D. Juan Vimercati</t>
  </si>
  <si>
    <t>L’Abbé Barthelemi</t>
  </si>
  <si>
    <t>s. Voyage du jeune Anacharsts en Orece, dans le milieu du quatriéme siécle avant Tere vulgaire: par Mr. L’Abbé Barthelemi: 9 tomos en 8.° prolongado. Esta célebre obra reúne la instrucción y la variedad de conocimientos propios de un filósofo, siendo el mas verdadero modelo de la historia de los país</t>
  </si>
  <si>
    <t>Ma, Santiago</t>
  </si>
  <si>
    <t>Santiago Ma</t>
  </si>
  <si>
    <t>Canarias á primer Teniente de granaderos al de fusileros D. Santiago Ma5'9 dan: i primeros Tenientes al segundo de granaderos D. Joseph Delahanty y al secundo Ayudante D. Buenaventura del Campo ; i segundo Teniente de granaderos al de fusileros D. Jua</t>
  </si>
  <si>
    <t>Mac-Henry</t>
  </si>
  <si>
    <t>mo una especie de satisfacción dada al partido que desea la paz con Francia. El Ministro de Guerra, Mr. Mac-Henry, ha hecho también dimisión de su empleo. Mr. Listón, Ministro de Inglaterra cerca de estos Estados, saldrá en Breve de aquí para ef Canadá, desde donde pasará á Inglaterra. Rezela</t>
  </si>
  <si>
    <t>Macario Higuera</t>
  </si>
  <si>
    <t>ort; á primer Subteniente al segundo D. Francisco Paul; y á segundo Subteniente al Sargento primero D. Macario Higuera: en el regimiento de cazadores de la Corona á primer Teniente al segundo de tiradores D. Amonio Ponce; á segundo Teniente de tiradores al de cazadores D. Joachin del Campillo; á s</t>
  </si>
  <si>
    <t>Macartney, Lord</t>
  </si>
  <si>
    <t>Lord Macartney</t>
  </si>
  <si>
    <t>tro de su padre, llamado Ho-chung-taung, que por miras particulares impidió tuviese la embaxada del Lord Macartney él efecto que se deseaba.. Le reemplaza el Mandarín Man-tadg-inn, que por orden del difunto Emperador acompañó al mencionado Embaxador , y acreditó ser amigo de los ingleses. Ha l</t>
  </si>
  <si>
    <t>semejante hecho. Añaden estos avisos que el objeto de la embaxada inglesa en la China encargada al Lord Macartney se malogró únicamente porque el planetario 6 máquina celeste, que decian los ingleses se habia hecho expresamente en Inglaterra para regalar á aquel Emperador, era una máquina ya</t>
  </si>
  <si>
    <t>Maccris, Almirante</t>
  </si>
  <si>
    <t>Almirante Maccris</t>
  </si>
  <si>
    <t>ada otra esquadra rusa compuesta de 10 navios de línea, ana fragata y un cúter, mandada por el Vice-Almirante Maccris. Vienen en ella muchas tropas rusas de las que estaban en Ingla-r</t>
  </si>
  <si>
    <t>Macdonaid, General</t>
  </si>
  <si>
    <t>General Macdonaid</t>
  </si>
  <si>
    <t>i unánimemente dicha respuesta sin alteración. Basilea jp de Noviembre* E n fuerza de una orden del General Macdonaid se han puesto en marcha las tropas francesas que estaban acantonadas en Suiza; parte de ellas se dirige hacia los Grisones, y parte al Vorarlberg: y allí esperarán Ja orden de emp</t>
  </si>
  <si>
    <t>Macdonal, General</t>
  </si>
  <si>
    <t>General Macdonal</t>
  </si>
  <si>
    <t>lir de París con el Senador Barthelemí; pero no se dice adonde van. Ha nombrado el primer Cónsul al General Macdonal para comandante «n xefe del exército ae reserva % en lugar del General Bruñe. En el campamento que se forma á media legua de Amiens hay un cuerpo escogido, compuesto todo de grana</t>
  </si>
  <si>
    <t>Macdonald, General</t>
  </si>
  <si>
    <t>General Macdonald</t>
  </si>
  <si>
    <t>Parte de sus tropas marcha hacia Lausana, y parte hacia Ivernun. El General en xefe Macdonald se halla ya en Berna. Parece que en Francia se formará otro exército de reserva, que será el 3.0 en ménos de un año. Se trata de crear un cuerpo numeroso de tr</t>
  </si>
  <si>
    <t>ceses del exército de reserva, que sigue entrando en Suiza; y hoy el General en xefe Macdonald cumplimentó á la esposa de dicho Ministro con motivo de la victoria conseguida por los españoles con-* tra los ingleses en el Ferrol. El General Lecourbe, que</t>
  </si>
  <si>
    <t>para el cuartel general de Cremona. Esta noche ó mañana empezarán las hostilidades si un correo del General Macdonald que acaba de llegar, no trae aviso de haberse prolongado el armisticio. Se asegura que pasa de io9 hombres el número de enfermos que tiene el exército austríaco en Italia: los lle</t>
  </si>
  <si>
    <t>sado por esta ciudad y sus contornos, dirigiéndose al Vorarlberg. El General en xefe Macdonald ha revistado todas las tropas de estas dos divisiones. El ciud. Lorrison, Ayudante del primer Cónsul, ha llegado al quartel de dicho General, el qual se trasla</t>
  </si>
  <si>
    <t>grafo, y maltrataron al que lo dirige.* Basilea jo de Setiembre. E 1 General en xefe Macdonald ha vuelto á Zurich con el General Mateo Dumas, xefe de la plana mayor de sü exército, y pasará el otoño en aquella ciudad. En el cantón de Leman y en algunos b</t>
  </si>
  <si>
    <t>2© en los eclesiásticos. Ratisbona 6 de Octubre. E I General en xefe Moreau llegó aquí ayer con el General Macdonald: y sin embargo de ser las diez de la noche quando hizo su entrada, fué recibido con varias salvas de artillería. Aunque la ciudad le había preparado alojamiento en una casa perten</t>
  </si>
  <si>
    <t>seguran que un oficial de plana mayor despachado por el General Bruñe ha llegado con cartas para el General Macdonald, en que Je avisa que se había roto en Italia el armisticio, y que de consiguiente se renovarían quanto ántes las hostilidades; pero hasta ahora no hay avisos de oficio que confirm</t>
  </si>
  <si>
    <t>® ae haberse concluido el armisticio.__ Por hallarse indispuesto el General en, xefe Macdonald , y no haber podido salir de Zurich , manda interinamente en su lugar el General Morlot. París 25 de Noviembre* P arece que ao está enteramente cortada la corr</t>
  </si>
  <si>
    <t>es de Coira á Ragatz. lía llegado de París aquí el General Dumas. El General en xefe Macdonald, aunque enteramente restablecido, permanece en esta ciudad, de la qual se dice no saldrá hasta saberse si habrá paz ó seguirá la guerra: pues añaden que en est</t>
  </si>
  <si>
    <t>1221 -'» Berna i $ de "Noviembre, I Í'l General en xefe Macdonald ha salido de Zurich para Rheinek._.Ef General Montehoisí, que manda las tropas francesas en Suiza, ha comunicado de oficio al gobierno helvético, que ya se ha</t>
  </si>
  <si>
    <t>Macdonell, Juan</t>
  </si>
  <si>
    <t>Juan Macdonell</t>
  </si>
  <si>
    <t>n al primer Teniente de gr.msderos D. Andrés Debox; á primer Teniente de granaderos al de fusileros D. Juan Macdonell; á primeros Tenientes á los segundos de granaderos D. Juan Fitz-Gerald y D. Jacobo Troche; á segundos Temen-, tes de granaderos á los de fusileros D. Armando Franqucn y D. Pedro F</t>
  </si>
  <si>
    <t>Macé</t>
  </si>
  <si>
    <t>iosidades naturales enviado del Bengala á este museo de Historia natural por el ciud. Macé, médico naturalista, y traído de Dinamarca por el Ministro plenipotenciario Gróuvelíe, contiene entre otras preciosidades muchos insectos, entre los quales hay</t>
  </si>
  <si>
    <t>Machín, Joachín</t>
  </si>
  <si>
    <t>Joachín Machín</t>
  </si>
  <si>
    <t>segundo Subteniente al Sargento primero D. Mariano Araiz: en el de Zaragoza á Capitanes al Ayudante Don Joachín Machín, y al primer Teniente de granaderos D. Vicente Agulló; á Ayudante al primer Teniente de granaderos D. Ramón González de Bernedo; X primeros Tenientes de granaderos á los de fusile</t>
  </si>
  <si>
    <t>Macia y Areni, Ventura</t>
  </si>
  <si>
    <t>Ventura Macia y Areni</t>
  </si>
  <si>
    <t>D. Andrés Chavarri y D. Isidro Gil: en el de Soria á segundo Teniente al Subteniente de granaderos D. Ventura Macia y Areni; á Subteniente de granaderos al primer Subteniente D. Santiago Lobera, y á primer Subteniente al segundo D. Andrés Rodríguez: en el de Córdoba á Teniente Coronel al de esta clase</t>
  </si>
  <si>
    <t>Mack</t>
  </si>
  <si>
    <t>propuesto el gobierno dé aquella República, ha respondido Ja corte imperial, que en atención á que Mr. Mack íué arrestado contra el derecho de gentes ( supuesto que había conseguido pasaportes del General Championnet), no puede considerarse como prisionero de Osuerra. Las proposiciones</t>
  </si>
  <si>
    <t>tarse para defender é impedir á los franceses la entrada de Lombardía.__ Por otra parte se dice que Mr. Mack ha ido á Praga para conferenciar con el Archiduque Cárlos. Reyna la mayor desavenencia entre las tropas alemanas y los paisanos á quienes han armado por fuerza. Estos se quejan de</t>
  </si>
  <si>
    <t>del Consejo de Guerra, encargado de recibir las declaraciones y los papeles que quiera comunicarle Mr. Mack. El Papa y el Rey de Cerdeña han renovado sus instancias para poder transferirse á sus respectivos estados; y se dice queda respuesta ha sido que acaso podrá verificarse su viage</t>
  </si>
  <si>
    <t>Mack, General</t>
  </si>
  <si>
    <t>General Mack</t>
  </si>
  <si>
    <t>dichos prisioneros. El Ministro les dirigió á todos la siguiente carta: „Supuesto, Señores, que el General Mack no ha creído indecoroso abandonar á sus compañeros, y faltar á la confianza del gobier-110* que le dexaba gozar de su libertad en medio de esta capital, no habéis de padecer por u</t>
  </si>
  <si>
    <t>l Metas, que por su edad y sus achaqües no puede aguantar las fatigas de la guerra. Aseguran que el General Mack ha llegado á Viena, en donde fué muy bien recibido: que se propone publicar su justificación como General del exército napolitano; y que el Emperador le confiará el mando de un cu</t>
  </si>
  <si>
    <t>ico dinero y otros socorros que necesitaba, y restablecer en ella el buen orden y la disciplina. El General Mack no ha alcanzado licencia para venir á esta ciudad, de la qual se despachó á Lintz un subalterno del Consejo de Guerra, encargado de recibir las declaraciones y los papeles que qui</t>
  </si>
  <si>
    <t>neral austríaco Lauer para Ulm, en dónde mandará la artillería---- Ha llegado finalmente á Viena el General Mack • con los oficiales de su plana mayor.. Siguen acudiendo tropas austríacas á las cercanías del Mein y del Necker¿ Francfort 13 de Junio. I ... os franceses se apoderaron de Schwal</t>
  </si>
  <si>
    <t>Bellegarde se restituye á Viena por haber sido nombrado ayo del Príncipe heredero, y añaden que el General Mack le sucede en el mando del exército de Italia. Por intervención de Mr. Harnier, Encargado de negocios de Prusia en Munich , se ha rebaxado á 400© francos la contribución de medio m</t>
  </si>
  <si>
    <t>Mackenzie, General</t>
  </si>
  <si>
    <t>General Mackenzie</t>
  </si>
  <si>
    <t>granos de los puertos de la Pomerania prusiana y de la Frisia oriental. Una brigada mandada por el General Mackenzie , que había ido de Dubliirá Cowe para embarcarse y formar parte de la expedición que se dispone en aquel puerto, ha recibido orden de restituirse á dicha capital de Irlanda. Roter</t>
  </si>
  <si>
    <t>Mackeon, Lorenzo</t>
  </si>
  <si>
    <t>Lorenzo Mackeon</t>
  </si>
  <si>
    <t>9^3 vacante por fallecimiento de D. Francisco Valbuena, á D. Lorenzo Mackeon: para otra de la colegial deUbeda, en la diócesis de Jaén, vacante por fallecimiento de D. Manuel del Olmo, á D. Andrés de Anaya y Rivas: para la Ración de la santa iglesia de Tuy</t>
  </si>
  <si>
    <t>Macoris, Tomás</t>
  </si>
  <si>
    <t>Tomás Macoris</t>
  </si>
  <si>
    <t>e de granaderos al de fusileros D. Alexandro O-Donntll; á primer Teniente* al segundo de granaderos D. Tomas Macoris; á segundo Teniente de granaderos al de fusileros D. Ricardo Butler; á segundo Teniente al Subteniente de granaderos D. Santiago Lorenzo; á Subteniente de granaderos al primer Sub</t>
  </si>
  <si>
    <t>Madalena Carrasco</t>
  </si>
  <si>
    <t>do, y el accésit Cecilio Ayllon. Por último se adjudicó un premio extraordinario de segunda clase á Doña Madalena Carrasco, debido, con otros dos de la primera y tercera clase, á la liberalidad del Exc. Sr. protector, como alguno de los restantes al zelo de varios consiliarios. Este acto, que llenó ae</t>
  </si>
  <si>
    <t>Madama de Stael-Holstein</t>
  </si>
  <si>
    <t>ra intitulada: La literatura considerada en sus relaciones con la política; por Madama de Stael-Holstein, hija de Mr. Necker, y esposa del Embaxador de Suecia que fué en París, la qual ha publicado ya otras obras. Un oficial de marina, que estaba en Tolon y necesitaba venir á París, no pud</t>
  </si>
  <si>
    <t>Madera, Antonio</t>
  </si>
  <si>
    <t>Antonio Madera</t>
  </si>
  <si>
    <t>ífo , D. Alfonso María5 Ximenéz &lt;y í&gt;; Pedro Tóríequémada ; á primeros*Subtenientes ¿ lós iségdndbs D. Antonio Madera y°Guzman, D. Antonio &gt;Rüi?z, D. Raífael ComlhiD. Pabló Andeyro, I&gt;. Joseph Andeyro, D. Manuel González y D. Manuel Corlantes; y á Segundos Subtenientes á los Sargentos primeros D. J</t>
  </si>
  <si>
    <t>Madr, Juan</t>
  </si>
  <si>
    <t>Juan Madr</t>
  </si>
  <si>
    <t>chin de Santa Mana: para la de 1 ucrto Ke.,I a U. Ped r/ J , V J nin la ael Puerto de S?nt i Mana a D. Juan Madr° Manuel. Lazcai .pj Janacio Pablo SanJino; y ha prorogado nue.l Lubet: para la de Cariota a u. . r Manuel-de Abad S: M. por otro sexenio en la de la v,l!a de B dl- Ab'ld ■V Cisme-</t>
  </si>
  <si>
    <t>Madrigal, Ventura</t>
  </si>
  <si>
    <t>Ventura Madrigal</t>
  </si>
  <si>
    <t>ertenecían al mismo D. Cipriano , y ahora pertenecen á su hermana Doña Xeonarda de Campos, muger de D. Ventura Madrigal, de la villa de lllescas , sin que se sepa si estaban endosados , ó si se hallaban con firmas en blanco. Quien supiere de ellos avisará á’dichoD. Ventura Mádrigal en lllescas, ó á</t>
  </si>
  <si>
    <t>Madriles, Juan</t>
  </si>
  <si>
    <t>Juan Madriles</t>
  </si>
  <si>
    <t>. de Guisóna i Corregimiento de Cervera........................ 88. 21. Gábo.. Juan Madriles, hijo de otro y Ana , natural de Altafuíla, Corregimiento de Tarragona..................... ............ ......... 1.59. 2. Otro... Juan Nadal, hijo de otro y Antonia, natural de Valida</t>
  </si>
  <si>
    <t>Maestre, Joachín</t>
  </si>
  <si>
    <t>Joachín Maestre</t>
  </si>
  <si>
    <t>rps á D. Agustín del Campo, Cadete de la misma compañía. En América. S. M. se ha servido conceder á D. Joachin Maestre, Ayudante de órdenes del Virey de Buenos-A yres, grado de Capitán de dragones* Por Real cédula de i.° de Noviembre de 1799 se na dignado S. M* conceder permiso y privilegio exclus</t>
  </si>
  <si>
    <t>Maffey, Cayetano</t>
  </si>
  <si>
    <t>Cayetano Maffey</t>
  </si>
  <si>
    <t>granaderos r al de fusileros D. Andrés Montruqui; á segunda Teniente al Subteniente de^ cranaderos D, Cayetano Maffey; á Subteniente de granaderos ab primer Subteniente D. Christóbal Saldivar; á primer Subteniente al segundo Don Francisco Espejo y Ramírez, y á segundo Subteniente al Cadete D. Man</t>
  </si>
  <si>
    <t>Magano, Tomás</t>
  </si>
  <si>
    <t>Tomás Magano</t>
  </si>
  <si>
    <t>valle de Valdegovia , en la diócesis de Burgos, vacante por fallecimiento de D. Julián de Roxas, á D. Tomas Magano. El Rey se ha servido promover á Teniente Coronel del regimiento de Reales Guardias Walonas al Teniente General D. Pedro Fort de St. Maurin, Sargento mayor del mismo cuerpo; y á T</t>
  </si>
  <si>
    <t>Magarola, Joseph María</t>
  </si>
  <si>
    <t>Joseph María Magarola</t>
  </si>
  <si>
    <t>Reales Guardias Españolas se ha servido promover el Rey á segundo Teniente al Alférez de granaderos D. Joseph María Magarola. En el de Reales Guardias Walonas á Capitanes al primer Ayudante</t>
  </si>
  <si>
    <t>Magín Boleda</t>
  </si>
  <si>
    <t>is, Corregimiento de Gerona....................... .................... 69.; t* Magín Boleda, hijo de Joseph y Lucía, natural de Valls, Corregimiento de Tarragona.......................................... 49* 3* Sevilla 3 de Octubre de 1800.== Joseph González.</t>
  </si>
  <si>
    <t>Magín Solá</t>
  </si>
  <si>
    <t>podre, por el Dr. D. Pedro Martelo Leonardo , traducida del latin al español por el Dr. de medicina D. Magín Solá , consultor honorario de la facultad reunida del exército, y catedrático del colegio de cirugía y medicina de Santiago. Se hallará en casa de Castillo, frente á las gradas de San</t>
  </si>
  <si>
    <t>Magon, Alonso</t>
  </si>
  <si>
    <t>Alonso Magon</t>
  </si>
  <si>
    <t>y en Char— lois, en Francia, por 499 rs. 17 mrs., de quatro partes en dos acciones números 37 y 38. D. Alonso Magon, 249 rs. 2g mrs., por una quarta parte de la acción núm. 28. Los que justifiquen pertenecerles las dos medias acciones de los números 19 y 28, percibirán 4561 rs. 11 mrs. Y los qu</t>
  </si>
  <si>
    <t>Magrans, Andrés</t>
  </si>
  <si>
    <t>Andrés Magrans</t>
  </si>
  <si>
    <t>endosados ei propio dia n de Agosto por los Sres. Galarza y hermanos á los mismos I&gt;ofi.a Teresa y Don Andrés Magrans, números 378,553, 378,937 y 412,998- Los sagétos en cayo poder obren estos vales ¡os presenrarán en esta corte á D. Bernardo Donienchina, que vive en la calle de Hortaleza , núm.</t>
  </si>
  <si>
    <t>Magrath, Melchor</t>
  </si>
  <si>
    <t>Melchor Magrath</t>
  </si>
  <si>
    <t>y á segundos Subtenientes á los Cadetes ]&gt;. Antonio García, D. Gerónimo Stermund, Di Ramón Urraca, Don Melchor Magrath y D. Joachín Calderónjr Losada, y á los Sargentos primeros D. Nicolás Petit, D. Camila Nazary y D. Pedro Spraeckmans: en el de Aragón á segundos Subtenientes al Sargento primero de gr</t>
  </si>
  <si>
    <t>Magues, Diego</t>
  </si>
  <si>
    <t>Diego Magues</t>
  </si>
  <si>
    <t>onzález: la Tenencia de granaderos del de Alcázar de S. Juan al de fusileros graduado de infantería D. Diego Magues: Tenencia de fusileros en el de Sevilla al Subteniente de granaderos D. Mariano Gorordo: Compañía de fusileros en el de Burgos al Teniente de la misma clase D. Fernando de León: l</t>
  </si>
  <si>
    <t>Maíast, Juan</t>
  </si>
  <si>
    <t>Juan Maíast</t>
  </si>
  <si>
    <t>y a Alférez al Portaestandarte D. Joseph Martinez : en el de España á segundo Teniente ál Alférez ’D. Juan Maíast: en el citado de Calatrava á Portaes</t>
  </si>
  <si>
    <t>Maire, Lord</t>
  </si>
  <si>
    <t>Lord Maire</t>
  </si>
  <si>
    <t>la libertad de los debates: que hallándose ya sin fuérzala autoridad civil, y conocie'ndoio así el Lord Maire, había puesto su poder y facultades en manos del Virey, quien en una ocasión tan crítica no quiso que el Parlamento quedase expuesto á la suerte que tuvieron los legisladores fran</t>
  </si>
  <si>
    <t>tas ofertas resuelto á observar la mas exacta neutralidad. Londres 24 de Febrero. A ver presentó el Lord Maire á la Cámara de Comunes una petición firmada por él, por los Regidores y la ciudad de Londres relativa á las proposiciones hechas por el gobierno francés para tratar de paz. Mr. Ju</t>
  </si>
  <si>
    <t>ecursos contra la unión,dirigidos por algunos Condados y por muchas ciudades, y uno de ellos por el Lord Maire, el Scheriff y vecinos de Dublin. También habia otro1 á favor de la unión firmado por los hacendados de Down. Pidió luego eí Lord Castlereagh que tratase la Cámara sobre dicha uni</t>
  </si>
  <si>
    <t>avales, destinada contra las costas de los enemigos, ha padecido dispersión por una tempestad. Para Lord Maire ó Corregidor de Londres ha sido nombrado Mr, Guillermo Staynes. Ayer se celebró en la fonda de Shakespeare el cumpleaños de la elección de Mr. Fox para parlamentario. Hizo este su</t>
  </si>
  <si>
    <t>Maister, Antonio</t>
  </si>
  <si>
    <t>Antonio Maister</t>
  </si>
  <si>
    <t>gundo D. Jorge Wochler ; á Capitán segundo al Ayudante D. Pedro Haltegg ; á este empleo al Teniente D. Antonio Maister, y á esta resulta al Subteniente D. Gerardo Hirschbach; y ha concedido grado deCapitan al Ayudante mas antiguo del mismo cuerpo D. Martin líallegg. En el batallón segundo de infan</t>
  </si>
  <si>
    <t>Maitiarid-que</t>
  </si>
  <si>
    <t>circunstanciás inopinadas sé*suspendréron bastada!noche del. 19;.» pero la mañana de este día supo: Mr. Maitiarid-que las fuerzas que. los ene-? rnigos ¡teniari en la.isla ascendían á 6© hombres; y así juzgó prudente.suspender, sus tentativas. Desde entonces, hasta, el 23 estuvieron nuestros soldados</t>
  </si>
  <si>
    <t>Maitland, Capitán</t>
  </si>
  <si>
    <t>Capitán Maitland</t>
  </si>
  <si>
    <t>ara que se desembarquen las que estaban ya á bordo. Antes de ayer tarde llegaron al Almirantazgo el Capitán Maitland y el Teniente Coronel Douglas, oficiales del navio Tigre, que manda Mr. Sidney-Smith, de quien traen pliegos con la noticia de la capitulación del exército francés de Egipto.—-Por car</t>
  </si>
  <si>
    <t>Maitland, General</t>
  </si>
  <si>
    <t>General Maitland</t>
  </si>
  <si>
    <t>as el de Parlamento imperial. En la fragata nombrada Támesis han vuelto de las costas de Francia el General Maitland, y el Coronel de ingenieros Tivis, enviados por el gobierno á Normandía para reconocer las fuerzas de los chouanes, y examinar que medios podrían emplearse para sostener su resist</t>
  </si>
  <si>
    <t>ias urbanas. • i-:.. a:‘ 1 i., .«r ■ . Londres 22 de Julio.y .... S e ha restituido á Inglaterra el General Maitland, comandante de las trompas empleadas en la expedición contra las costas de Bretaña: pues las disposiciones de íos franceses no le dqxan esperanza de sacar utilidad de sus empresas</t>
  </si>
  <si>
    <t>Makarow, Almirante</t>
  </si>
  <si>
    <t>Almirante Makarow</t>
  </si>
  <si>
    <t>rzas navales destinadas para dicha campaña estarán baxo las órdenes del Almirante Chanukow. £1 Vice-Almirante Makarow mandará la vanguardia, y el Vice-Almirante Baratinskoi la retaguardia.” Riga 14 de Setiembre. H; abiéndóse ajustado las desavenencias entre Dinamarca é Inglaterra, se ha levantado</t>
  </si>
  <si>
    <t>Malats, Segismundo</t>
  </si>
  <si>
    <t>Segismundo Malats</t>
  </si>
  <si>
    <t>xámenes públicos de las clases de'hiposteologia y la herradura, á cargo de los Directores i.° y 2.0 D. Segismundo Malats y D. Hipólito Estevez. Fueron presididos por el Exc. Sr. D. Antonio Cornel, Ministro de la Guerra, y abrió la sesión el Brigadier D. Félix Colon, Protector de dicha, escuela, con una</t>
  </si>
  <si>
    <t>as dei ganad ocaballar y demas animales , y otros puntos interesantes. Estas obras , compuestas por D. Segismundo Malats , Mariscal de las Reales caballerizas, de S. vi. , Alcalde examinador del tribunal del próto-albey— te rato , y primer Direct or de la Real escuela de veterinaria , de orden de S.</t>
  </si>
  <si>
    <t>Maldonado, Joseph</t>
  </si>
  <si>
    <t>Joseph Maldonado</t>
  </si>
  <si>
    <t>D. Angel de Toro; el que este dexa al Teniente D. Joseph Ignacio Barrero; Tenencias de fusileros á Don Joseph Maldonado y D. Joseph de la Roca, Subtenientes de granaderos y fusileros; Subtenencia de granaderos á D. Joseph Villanueva, Su bren i en re de fusileros; este empleo al Sargento primero de gran</t>
  </si>
  <si>
    <t>Maldonado, Vicente</t>
  </si>
  <si>
    <t>Vicente Maldonado</t>
  </si>
  <si>
    <t>nto de Reales Guardias Españolas se ha servido el Rey promover á segundos Tenientes á Jos Alféreces D. Vicente Maldonado y D. Joachirr Mandía; y á Alféreces de-granaderos y cazadores á los de fusileros D. Pedro Zuloaga y D. Manuel de Urbina: en el de Reales Guardias Walonas á Alféreces de granaderos á l</t>
  </si>
  <si>
    <t>Malher</t>
  </si>
  <si>
    <t>s.siglos. Los dias 12 y iyse dirigieron de Bolonia á Logano los cuerpos ;de los Generales Malher, Monnier y Jablonowski. La división de Pino se. había adelantado hacia Scarica Lasino. Un batallón marchó por el camino de A^ergata, y una’media brigada ligera</t>
  </si>
  <si>
    <t>Malher, General</t>
  </si>
  <si>
    <t>General Malher</t>
  </si>
  <si>
    <t>lO'.Kl S.-iint-Cvr. El General Pino se dirigirá hacia Prato y Pistoya , y el General Malher á Liorna. Espero que medíame estas disposiciones se verificará prontamente el desanmmento de toda la Toscana. La Regencia cstxbleció aquí éin gobierno interino antes de su salida.</t>
  </si>
  <si>
    <t>s se reuniéron para sosegar la inquietud que se manifestó un rato en aquella ciudad miéntras que el General Malher marchaba á Liorna. El General Clement, á quien habia yo enviado un correo el dia 12 para que ocupase á Lúea, me avisó que había entrado felizmente en aquella ciudad: alaba mucho l</t>
  </si>
  <si>
    <t>Malo, Ignacio</t>
  </si>
  <si>
    <t>Ignacio Malo</t>
  </si>
  <si>
    <t>nas para formar un verdadero hombre de bien , escrita en francés por Mr. Bianchard, y traducida por D. Ignacio Malo, Secretario de la Patriarcal. Esta obra enseña el camino de la virtud y de la sabiduría, con estilo eloqüente y persuasivo; y se dirige á formar el carácter de un hombre de bien,</t>
  </si>
  <si>
    <t>Malroux, Capitán</t>
  </si>
  <si>
    <t>Capitán Malroux</t>
  </si>
  <si>
    <t>uerto, habiendo conseguido sus marineros recoger algunas personas de las dos tripulaciones; pero el Capitán Malroux pereció: y así concluyó desgraciadamente una acción tan gloriosa.’* Por orden del Ministro de Policía se han preso en las costas de Calais unos comerciantes ingleses, comisionados</t>
  </si>
  <si>
    <t>Man, Pedro</t>
  </si>
  <si>
    <t>Pedro Man</t>
  </si>
  <si>
    <t>racas á D. Rafael Manleon, Ayudante mayor de dicho batallón; esta resulta al Teniente de granaderos D. Pedro Man^ rique; la Tenencia de granaderos al de fusileros D. Bernardo Muros; la de fusileros al Subteniente D. Manuel Verdes, y Subtenencias de bandera á los Cadetes D. Juan Miguel de la</t>
  </si>
  <si>
    <t>Manalt, Francisco</t>
  </si>
  <si>
    <t>Francisco Manalt</t>
  </si>
  <si>
    <t>e 6 órdenes: un quaderno que comprehende 10 contradanzas: 6 sonatas de cámara de violin y baxo , de D. Francisco Manalt. Se hallarán en la librería de Campins , calle de las Carretas. EN LA IMPRENTA REAL.</t>
  </si>
  <si>
    <t>Mancebo, Antonio</t>
  </si>
  <si>
    <t>Antonio Mancebo</t>
  </si>
  <si>
    <t>D. Pedro Sánchez Griñan; á Subtenientes de fusileros á los dé bandera D. Joseph María de Tá Torre, D. Antonio Mancebo, D. Diego Olivares y D. Martin Florez Quixano, y á esta clase á Iqs Cadetes D.Juan Sánchez Grillan, D. Luis Trevejos, D. Pedro Branly, graduado de Subteniente, y D. Antonio Garbal</t>
  </si>
  <si>
    <t>Mancha, Joseph</t>
  </si>
  <si>
    <t>Joseph Mancha</t>
  </si>
  <si>
    <t>primeros Subtenientes X los segundos D. Joseph Fransoy, D. Francisco Gallardo, Don Joachin Navarro, D. Joseph Mancha y D. Christóbal Aguilar, y á segundos Subtenientes á los Sargentos primeros D. Antonio Merlo y D. Miguel Márquez, y á los Cadetes D. Joseph Rodríguez y D. Joseph Casaus: en el de Tole</t>
  </si>
  <si>
    <t>Maneiro, Francisco</t>
  </si>
  <si>
    <t>Francisco Maneiro</t>
  </si>
  <si>
    <t>de Guevara, y Subtenencias al Teniente de las milicias urbanas y á los Cadetes de las disciplinadas D. Francisco Maneiro, Don Ramón de Silva, D. Ramón Perez y D. Francisco Aguado. Asimismo ha nombrado S. M. segundo Ayudante de las milicias disciplinadas de mía atería del Reyno de Goatemala al Subten</t>
  </si>
  <si>
    <t>Manglano, Alexandro</t>
  </si>
  <si>
    <t>Alexandro Manglano</t>
  </si>
  <si>
    <t>y á esta resulta al Cadete D. Ramón Calderón de la Barca: en el del Príncipe á Capitán ai Ayudante D. Alexandro Manglano; á Ayudante al primer Teniente D. Miguel de Nueros; á esti resulta al primer Teniente agregado D. Juan Dupac , y á segundo Teniente .al Alférez D. Melchor Rengel: en el del Infant</t>
  </si>
  <si>
    <t>Manglano, Francisco</t>
  </si>
  <si>
    <t>Francisco Manglano</t>
  </si>
  <si>
    <t>rnaez, y á segundo Subteniente al Cadete D. Joseph Andeyro: en el de Asturias á Capitán aí Ayudante D. Francisco Manglano; á Ayudante al primer Teniente Don Francisco de Bouligni; á primer Teniente al segundo de granaderos DonDiego'Lorenzo; á segundo Teniente de granaderos al de fusileros D. Eugenio</t>
  </si>
  <si>
    <t>Mangourit</t>
  </si>
  <si>
    <t>á medio dia; y d exando tina corta guarnición ^marcharon los demás i Liorna. El ciud. Mangourit, Ayudante del General Monnier, ha,llegado con la ñotici i dé haber sido completamente derrotados lbs aretinos: pues la ciudad de Arezzo, no obstante la resiste</t>
  </si>
  <si>
    <t>Manleon, Rafael</t>
  </si>
  <si>
    <t>Rafael Manleon</t>
  </si>
  <si>
    <t>América. El Rey se ha servido conferir compañía en el batallón veterano de infantería de Caracas á D. Rafael Manleon, Ayudante mayor de dicho batallón; esta resulta al Teniente de granaderos D. Pedro Man^ rique; la Tenencia de granaderos al de fusileros D. Bernardo Muros; la de fusileros al Subt</t>
  </si>
  <si>
    <t>Manrique de Lara, Joseph</t>
  </si>
  <si>
    <t>Joseph Manrique de Lara</t>
  </si>
  <si>
    <t>D. Joseph Blanco: á primer Teniente y Portaestandarte en el de Borbon al segundo Teniente y Cadete D. Joseph Manrique de Lara y D. Isidro de Rueda; y á primer Teniente en el de España al segundo D. Antonio Coma. , . Asimismo ha tenido el Rey á bien nombrar Alférez en el regimiento de dragones de Lusitania al</t>
  </si>
  <si>
    <t>Manso, Joseph María</t>
  </si>
  <si>
    <t>Joseph María Manso</t>
  </si>
  <si>
    <t>D. Ramón de Melgarejo y D. Manuel Francisco Jáuregui; á Comandante de cazadores al primer Teniente\D, Joseph María Manso; á primeros Tenientes á los segundos D. Manuel de Arredondo, graduado de Teniente Coronel, y D. Francisco Galvez; y . á segundo Teniente al Alférez de. cazadores Don Basilio Báyón</t>
  </si>
  <si>
    <t>Manthey</t>
  </si>
  <si>
    <t>ro plenipotenciario de Badén: ciud. Bocardi, Ministro plenipotenciario^ de la República liguriana : Mr. Manthey, Encargado de negocios, de Dinamarca: Mr. Kopp j Encargado de negocios de Hesse-Cassel: Mr. Signeul, Agente general del comercio y Encargado de negocios de Suecia 5 y Mr. Classen,</t>
  </si>
  <si>
    <t>Manuei Medrano</t>
  </si>
  <si>
    <t>ión cíe la Canongía que obtiene en Ja misma iglesia: para dos Canongías de la catedral de Segorve á D. Manuei Medrano y á D. Vicente Rutz Vallejo; para un Beneficio servidero de la parroquia de la villa de Grazaíema, en el obispado de Malaga, á Don Antonio Ronnn Naranjo: para la Capellanía Doctoral</t>
  </si>
  <si>
    <t>Manuel</t>
  </si>
  <si>
    <t>endizage, en algún arte ú oficio, á mayor número de muchachos., no siendo ménos de doce.__ El mismo D. Manuel ofrece dos premios de una onza de oro cada uno á los dos primeros gremios de esta ciudad que establezcan exámenes de todos los oficiales y aprendices en su gremio: dicha onza se r</t>
  </si>
  <si>
    <t>niente D. Domingo Figueroa; y á segundos Subtenientes al Sargento primero, graduado de Subteniente, D. Manuel\ico, y al Cadete de la compañía de Getares D. Joseph de Robledo: en el de Zaragoza á segundo Subteniente al Cadete D. Ramón de Cfuells: en el de ;Toledo á Capitán de granaderos al</t>
  </si>
  <si>
    <t>Manuel Martín Mateo</t>
  </si>
  <si>
    <t>los individuos que componen su tripulación, se ha dignado el Rey ascender á Cabrera y á su segundo D. Manuel Martin Mateo á sus clases inmediatas, y acordar proporcionalmente á los demas individuos de la tripulación y guarnición otras gracias, extendiéndolas á las viudas, huérfanos y padres de los qu</t>
  </si>
  <si>
    <t>Manuela del Alamo, María</t>
  </si>
  <si>
    <t>María Manuela del Alamo</t>
  </si>
  <si>
    <t>dríguez,, se han mandado subastar por término de 30 dias dos casas pertenecientes á las memorias de Doña María Manuela del Alamo, sitas en esta corte , una en la calle de S. Bernabé, mím. 4, manz. ngj comprehende su sitio 7530^ pies* quadrados superficiales, tasada en 196,809 rs., y renta 13,910, y la otra</t>
  </si>
  <si>
    <t>las memorias de a. _ » A a. M I .a n d n M A a A A m MM Mh A mm A w —. n ^ . a — A ^ ^ fl _ — — * I Doña María Manuela del Alamo , que se está subastando por la audiencia del Señor Alcalde D. Domingo Fernandez de Campománes, y escribanía de provincia de D. Domingo Rodríguez . se ha señalado el iúnes it del</t>
  </si>
  <si>
    <t>Manuela Fernández</t>
  </si>
  <si>
    <t>niente Coronel Don Rafael de Velarde , Doña María Muñoz , ei Teniente Coronel D. Tomas Daquindehan, Doña Manuela Fernandez, D. Miguel Romero dorador, D. Vicente Ortiz de Salgousen, Doña Manuela Medina, Doña Ignacía Soto y Conde, Francisco del Riego , Lorenza Medina, y otras : vive dicha Doña Victoria</t>
  </si>
  <si>
    <t>Manuela Fernández de Córdoba, María</t>
  </si>
  <si>
    <t>María Manuela Fernández de Córdoba</t>
  </si>
  <si>
    <t>o sean festivos. El 6 de Febrero último falleció en esta corte á los 49 años de edad la Excma. Sra. Doña María Manuela Fernandez de Córdoba, Condesa de Torralba y de Talara, Marquesa de Fuentes, y Adelantada mayor de ía$ islas de Canarias, Condesa viuda de Torrejon. Su amor á los pobres y susdemas prendas de virtud y</t>
  </si>
  <si>
    <t>Manuela Medina</t>
  </si>
  <si>
    <t>Tomas Daquindehan, Doña Manuela Fernandez, D. Miguel Romero dorador, D. Vicente Ortiz de Salgousen, Doña Manuela Medina, Doña Ignacía Soto y Conde, Francisco del Riego , Lorenza Medina, y otras : vive dicha Doña Victoria plazuela de S. Ildefonso,núm. 13 , quarto principal; y cura á los pobres de li</t>
  </si>
  <si>
    <t>Manuela, María</t>
  </si>
  <si>
    <t>María Manuela</t>
  </si>
  <si>
    <t>en esta corte en la calle del Medio dia grande, núm. io, mana, ug , perteneciente á las memorias de Doña María Manuela de! Alamo , valuada en 110,331 rs. , se ha señalado nuevamente el miércoles 37 del corriente á las 11 de su mañana en la audiencia del Sr. Alcalde Don Domingo Fernandez de Campománes</t>
  </si>
  <si>
    <t>Manzanilla, Juan</t>
  </si>
  <si>
    <t>Juan Manzanilla</t>
  </si>
  <si>
    <t>cibido en estos dias otros 5 caxones de producciones colectadas por el referido Tafalla y su alumno D. Juan Manzanilla en las cabeceras del Marañon, por las montañas de Chicoplaya y Monzon, y márgenes del caudaloso rio Huallaha, que contienen esqueletos de raras y corpulentas plantas y semillas, cor</t>
  </si>
  <si>
    <t>Manzano, Manuel Dionisio</t>
  </si>
  <si>
    <t>Manuel Dionisio Manzano</t>
  </si>
  <si>
    <t>e la Libertad de ésta corte, señalada con el mim. i.° de la manzana 30Ó , propia de las memorias de D. Manuel Dionisio Manzano , tasada en*. *23,920 rs. , por término de. 30 dias, conttdos desde 2g de este mes. Se halla vacante el partido de Médico de la villa deCedilla , provincia de Toledo y su partido,</t>
  </si>
  <si>
    <t>a calle de S. Máteos , esquina á la de la Libertad , núm. . , manz. 30S , propia de las memorias de D. Manuel Dionisio Manzano, tasada en 223,920 rs., á la que se ha hecho postura por el todo de esta tasación , y se ha señalado para su remate el 21 del corriente en dicha audiencia desde las doce á la una</t>
  </si>
  <si>
    <t>Manzanos y Castillo, Francisco Xavier</t>
  </si>
  <si>
    <t>Francisco Xavier Manzanos y Castillo</t>
  </si>
  <si>
    <t>nombrado el Rey para la Alcaldía mayor de la provincia de Totonicapán, en el Reyno de Guatemala, á D. Francisco Xavier Manzanos y Castillo; y para la de la provincia de Zapatitlán y Suchitepeques, en el mismo Reyno, á D. Tadeo Cerda. Igualmente se ha dignado S. M. conferir el empleo de Contador Vista de la administra</t>
  </si>
  <si>
    <t>Mapuei Dronda</t>
  </si>
  <si>
    <t>Marzo, números 499,580 y 447,106 , ambos endosados á favor del expresado Catalina , el primero por D. Mapuei Dronda, y el segundo por D. Juan Luis Martin y.compañía: y habiéndose extraviado , quien los haya hallado ó sepa de ellos los remitirá ó dará aviso en Calatayud á D. Juan Pablo Catalina</t>
  </si>
  <si>
    <t>Mar, General</t>
  </si>
  <si>
    <t>General Mar</t>
  </si>
  <si>
    <t>tillería. El monte de S. Bernardo estaba.cubierto de nieve, y la subida es en extremo pendiente. El General Mar-, üio'nt, comandante de la artillería, empleó para ello dos medios: el primero fué cortar árboles, excavarlos á modo de artesas, y colocar en ellos las piezas de á 8 y los obuses:</t>
  </si>
  <si>
    <t>Marbot, General</t>
  </si>
  <si>
    <t>General Marbot</t>
  </si>
  <si>
    <t>as. Parece que trata el gobierno de hacer alna nueva división del territor&gt;&gt; de la República. " Jil General Marbot, comandante de.Génová, estaba nombrado Gen ral de una división del exército del Rhin; peío posteriormente se le ha mandado pase á Tolon, y espere allí nuevas ¿rdenes sobre su dest</t>
  </si>
  <si>
    <t>123 mandará interinamente el General Marbot el exército de Italia hasta la llegada de Massena.__ La epidemia que se padece en Niza se extiende por aquellos contornos, y.jon muchas las personas que mueren de ella. Parts 19 de</t>
  </si>
  <si>
    <t>Se han tomado las precauciones necesarias pata impedir la propagación del mal. Ha salido de aquí el General Marbot para Niza:, donde está, el quartel general de aquel exército, y allí esperará la llegada del General Massena. Permanecen ios exércitos en su anterior situación: los franceses cons</t>
  </si>
  <si>
    <t>ar de ellos, sacrificando de este modo su libertad para salvarles-la vida. «. Fiza 22 de Enero. E 1 General Marbot, á quien Championnet había encargado el mando eñ xefe del exército de Italia, ha salido de aquí para Genova, después de ba**</t>
  </si>
  <si>
    <t>surdas. No es mas verdadero lo que se ha dicho de que los austríacos habían cercado á Gavi; pues el General Marbot, que visitó ántes de ayer todos aquellos puestos, ha reconocido que los alemanes no se han acercado á aquella fortaleza. Tienen no obstante cortada toda comunicación entre el pais</t>
  </si>
  <si>
    <t>antheaume, nombrado Consejero de Estado. A principios de Abril murió en Genova de fiebre maligna el.General Marbot. Tenia 44 años de edad. q Niza 2 6* de Abril. G-egun cartas de Genova del 23 puede esperarse que los enemigos no se apoderen de aquella plaza, pues el General en xefe adopta todas</t>
  </si>
  <si>
    <t>Marcel, Antonio</t>
  </si>
  <si>
    <t>Antonio Marcel</t>
  </si>
  <si>
    <t>ín Antonio de Lequerica. En Cuenca............. D. Pedro Venancio de Velaunde. En Mallorca......... D. Antonio Marcel. En Murcia............. D. Baltasar Visto. En Pamplona........ La Caxa de Descuento. En S. Sebastian... D. Miguel Juan de Barcaízteguí. En Soria................. D. Andrés Martíne</t>
  </si>
  <si>
    <t>Marcelina</t>
  </si>
  <si>
    <t>los Sres. Miquelitorena 'hermanos: en Cádiz á D. Juan Joseph deTriarte, ó ~e¡r S. Sebastian á dicha Doña Marcelina.</t>
  </si>
  <si>
    <t>Marcelo Francisco Dávila</t>
  </si>
  <si>
    <t>da; y las dos de bandera á 0. Estanislao Gutiérrez Tenajas y D. Marcelo Francisco Dávila : la Tenencia de cazadores del de Santiago á D. Silvestre de Novoa , Teniente de fusileros-. la Subtenencia de granaderos del de Monterey á D. Joseph María Casanova, Subteniente d</t>
  </si>
  <si>
    <t>March, Miguel</t>
  </si>
  <si>
    <t>Miguel March</t>
  </si>
  <si>
    <t>do D. Antonio Bucareli: ‘.para una Tenencia al Alférez D. Juan Gamero: para un empleo de Alférez tá D. Miguel March, Alférez del regimiento de dragones del Rey: para es¿a. resulta á D. Joseph Barrenechea, Carabinero de distinción de la brigada ; y para la ae Capitán del regimiento de dragones d</t>
  </si>
  <si>
    <t>Marco Lario, Juan Francisco</t>
  </si>
  <si>
    <t>Juan Francisco Marco Lario</t>
  </si>
  <si>
    <t>, menos al que sea Capellán mayor; y se ha servido nombrar para la referida Capellanía mayor al Sr. D. Juan Francisco Marco Lario. El Rey se ha servido nombrar para la Canongía de la metropolitana de Granada, vacante por fallecimiento de D. Joseph de Hita, á D. Joseph López de la Torre Ayllon: para dos Canon</t>
  </si>
  <si>
    <t>Marco y Royo, Joseph</t>
  </si>
  <si>
    <t>Joseph Marco y Royo</t>
  </si>
  <si>
    <t>de granaderos al de fusileros D. Francisco Fortun ; á segundo Teniente al Subteniente de granaderos Don Joseph Marco y Royo; á Subteniente de granaderos al primer Subteniente D. Vicente Ruiz Cubero, y á primer Subteniente al segundo D. Juan María Cumplido: en el de León á segundo Subteniente al Subteni</t>
  </si>
  <si>
    <t>Marco, Juan Bautista</t>
  </si>
  <si>
    <t>Juan Bautista Marco</t>
  </si>
  <si>
    <t>o Martin Cortes: para otra de la colegiata de Alicante, diócesis de Orihuela, vacante por muerte de D. Juan Bautista Marco, á D. Joseph Gervasio Gozalvez: para otra de Palencia, vacante por fallecimiento de D. Mariano Iglesias de los Ríos, á D. Santiago Hernández Milanés: para la de la catedral de Avi</t>
  </si>
  <si>
    <t>Marechal, Pedro</t>
  </si>
  <si>
    <t>Pedro Marechal</t>
  </si>
  <si>
    <t>eloxería , para los que cuidan los reloxes de torre, y para los que los hacen de sol: compuesto por D. Pedro Marechal , artífice reloxero en esta corte. Se hallará á 2 rs. en la librería de Bravo, calle de las Carretas , en los puestos del diario , calle de Atocha , frente á Santo Tomas y plazuel</t>
  </si>
  <si>
    <t>Marescot</t>
  </si>
  <si>
    <t>Comandante de artillería del exército de reserva.-_Han salido ya para Dijon los Generales Marescot y Murat. A este último reemplaza el General Lasnes en la comandancia ae la guardia de los Cónsules. Han decretado los Cónsules que todos los oficiales de ingenieros ci</t>
  </si>
  <si>
    <t>Marescot, General</t>
  </si>
  <si>
    <t>General Marescot</t>
  </si>
  <si>
    <t>stará baxo las órdenes directas del primer Cónsul. El General Saint-Remy mandará la artillería,y el General Marescot el cuerpo de ingenieros. Los varios regimientos y conscriptos de que ha de componerse este exército, se pondrán inmediatamente en marcha para Dijon, y se aquartelarán en las ciudade</t>
  </si>
  <si>
    <t>Margarita de Maguregui</t>
  </si>
  <si>
    <t>dos vales Real* s, uno de i$o pesos, creación de ig de Setiembre, mím. 174,484, endosado á favor de Doña Margarita de Maguregui, y el otro de 300 pesos, de</t>
  </si>
  <si>
    <t>María</t>
  </si>
  <si>
    <t>as, 115 rs 2 mrs. Infanta, en 30 de'Abril de 1.79a, Por 194 pesos por D. Juan Bautista de Cuba para Doña María ‘Ruíz* Cabrera , 357a rs. 11 mrs. Cantabria, .en de Setiembre de 1794. Por ai pesos i|-rs. plata por D. Félix de la Roáa para Doña Petronila Amores , 387 rs. 13 mrs. Carrera de la</t>
  </si>
  <si>
    <t>María Ventura</t>
  </si>
  <si>
    <t>mrs. , de dos quartas partes de las acciones números 47 y 50. Doña María Antonia Lope/. de Tejida y Doña María Ventura su hermana, por 998 rs. 33! mrs. , de la acción núm. 36. Los herederos de D. Fausto Bustamante , por 998 rs. 33Í mrs. , de la acción núm&gt; 67. Mr. de la Troche Dupiase , vecino de</t>
  </si>
  <si>
    <t>Marian Sostre y Alayeto</t>
  </si>
  <si>
    <t>rvido nombrar para el Arcedianato mayor dé Santa María, dignidad de la metropolitana de Zaragoza, á D. Marian Sostre y Alayeto, Cura mas antiguo de aquella ciudad en la parroquia de S. Miguel de losíNavarros: para la Dignidad de Tesorero de la catedral de Valladolid,' vacante por muerte de D. Manuel Ferna</t>
  </si>
  <si>
    <t>Mariana de Albarado</t>
  </si>
  <si>
    <t>7W Otra callejuela de la Xabonería, de id. en 254,415. Otra calle de las Carreta^ de:l Patronato de Doña Mariana de Albarado, en 89,915. Otra calle del Holeo, Jc id, en 144,605. Otra calle del Angel, de la hermandad del Sto. Christo de 1\ j ffuiiriildad y Paciencia, en 1.28,995. Otra callejón de los Des</t>
  </si>
  <si>
    <t>Mariana Fernández, Joseph</t>
  </si>
  <si>
    <t>Joseph Mariana Fernández</t>
  </si>
  <si>
    <t>ar Alférez en el regimiento de caballería de Húsares al agregado al mismo cuerpo en la propia clase D. Joseph Mariana Fernandez, y Teniente en el de dragones de Numancia al Alférez D. Andrés Perdió; y ha tenido á bien conferir compañía en el de Lusitania al Capitán D. Pascual Ortiz, Ayudante del mismo regi</t>
  </si>
  <si>
    <t>Mariano Amo</t>
  </si>
  <si>
    <t>ancisco Antonio dé la Oliva el Sistema de los vegetales, y la misma obra á D. Mariano; Serrefc, y á D. Mariano Amo-» ribiétá los dos tomos del Gürso elemental de botánica* Concluida lá distribución el Sr- Dean, que presidia la junta general de sociedad, hizo á los alumnos un discurso enérgico p</t>
  </si>
  <si>
    <t>Mariano Araiz</t>
  </si>
  <si>
    <t>D. Joseph Diaz, D. Juan de Serra y D. Domingo Navarro, y á segundo Subteniente al Sargento primero D. Mariano Araiz: en el de Zaragoza á Capitanes al Ayudante Don Joachín Machín, y al primer Teniente de granaderos D. Vicente Agulló; á Ayudante al primer Teniente de granaderos D. Ramón González</t>
  </si>
  <si>
    <t>Mariano Arribaspíata</t>
  </si>
  <si>
    <t>s urbanas de caballería de S. Pablo de Chalaquez, Tenencia á D. Mitías Díaz , y empleo de Alférez á D. Mariano Arribaspíata. En el de Milicias urbanas de dragones de Palma en Jauja, Tenencia á Don Luis García. En el de igual clase de caballería de Huamalies, Ayudantía á I). Bernabé Arisa; Tenencias á D</t>
  </si>
  <si>
    <t>Mariano Barreneche</t>
  </si>
  <si>
    <t>D. Salvador Melgar, y á sey u. remando Arraga' ríos de Aragón á segundo Ayudante al primer Teniente D. Mariano Barreneche ; á primer Teniente al segundo D. Pedro Ortiz; á segundo Teniente al primer Subteniente D. Joseph délos Hoyos; á primer Subteniente al segundo D. Teodoro Nogues, y á segundo Subte</t>
  </si>
  <si>
    <t>ente Coronel - Don Francisco Xavier Cornel; á Capitán segundo al primer Teniente y segundo Ayudante D. Mariano Barreneche; á segundo Ayudante al primer Teniente D. Pedro Ortiz; á primer Teniente al segundo D. Juan Baptista; á segundo Teniente al primer Subteniente, graduado de Teniente, D. Vicente Ri</t>
  </si>
  <si>
    <t>Mariano Beaumont y Bretón</t>
  </si>
  <si>
    <t>, uno de peo rs., dos de á 240 , y varias obras muy aprcciables D. Antonio Osteret y Nario, el Lie. D. Mariano Beaumont y Bretón, Abogado de los Reales Consejos, D. Telesforo de Ibarrola, D. Elias Mariategui, D. Francisco Palacip Velarde, D. Isidro López Alban,D. Joseph Hernández San,u Cruz, Don Manuel Gonz</t>
  </si>
  <si>
    <t>de car ¡dad, que asistió al acto : el qual se concluyó con una oración laudatoria que dixo el Lie. D. Mariano Beaumont y Bretón, Abogado de los Reales Consejes , y alumno premiado en el anterior curso. En la gazeta núm. 96, pág. 1105, línea 28, donde dice vacante por fallecimiento léase por ascenso. ir - •</t>
  </si>
  <si>
    <t>Mariano Bianconi</t>
  </si>
  <si>
    <t>naderos al de fusileros D. Antonio Cardoso; á Capitán de fusileros ai primer Teniente de granaderos D. Mariano Bianconi ; á este empleo al primer Teniente de fusileros D. Marcos Lambert, y á su resulta aí segundo Teniente de granaderos D. Bartolomé Mendestre; á segundo Teniente de granaderos al de</t>
  </si>
  <si>
    <t>Mariano Cherta</t>
  </si>
  <si>
    <t>nte al Cadete D. Agustín Wanherck : en el de Guacialaxara á segundo Subteniente al Sargento primero D. Mariano Cherta : en el de Aragón á Coronel al Teniente Coronel del de Valencia, graduado de Coronel, D. Joseph Amar: en el de Extremadura á segundo Teniente al Subteniente de granaderos, graduad</t>
  </si>
  <si>
    <t>Mariano Colomer</t>
  </si>
  <si>
    <t>undo Ayudante al segundo Teniente D. Marcos Aurelio Monty; á segundo Teniente al primer Subteniente D. Mariano Colomer; á primer Subteniente al segundo, graduado de Teniente, D. Christobai Mestres; y á segundo Subteniente al de esta clase del primer batallón de Voluntarios de Cataluña D. Pedro de</t>
  </si>
  <si>
    <t>Mariano de Aguilera</t>
  </si>
  <si>
    <t>nando Perezj. y para la Prestamera de S. Pedro de. las. Cabezas,, en. el. arzobispado de Sevilla, á D. Mariano de Aguilera. En atención á los. méritos y dilatados buenos servicios contraídos por D. Joseph dé Roxas en eJ gobierno' de las- minas del Almadén, ha venido el Rey en concederle plaza efectiva</t>
  </si>
  <si>
    <t>Mariano de Cárdenas</t>
  </si>
  <si>
    <t>en el de Málaga al Teniente de granaderos D. Nicolás de Forres, y Subtenencia de bandera al Cadete D. Mariano de Cárdenas: la Tenencia de granaderos del de Salamanca al Teniente de fusileros, graduado de infantería, D. Benito de la Riva* la de cazadores del de Sevilla á D. Mateo VaJbuena, Teniente de</t>
  </si>
  <si>
    <t>Mariano de la Mega</t>
  </si>
  <si>
    <t>r. El Rey se ha servido conferir empleo de Capitán de la Milicia Urbana del Puerto de Santa María á D. Mariano de la Mega: y en los regimientos provinciales de la península ha promovido en el de León á Capítan de cazadores al de fusileros D. Manuel Olarte: en el de Toledo á Subteniente de bandera á D</t>
  </si>
  <si>
    <t>Mariano de las Penas</t>
  </si>
  <si>
    <t>y al primer Subteniente D. Andrés Treiles; á Subtenientes de granaderos á los primeros Subtenientes D. Mariano de las Penas, D. Ambrosio Villaba y D. Manuel López; :t primeros Subtenientes á Jos segundos D. Joseph de Miranda, D. Mariano Villanova, D. Christóbal Estévez, D. Vicente Cabrera y D. Ignacio</t>
  </si>
  <si>
    <t>Mariano del Rio</t>
  </si>
  <si>
    <t>ncisco Ximenez de la Isla y D. Manuel Bayo, Cadetes de los de. Guadaiaxara, Princesa y Ñapóles, y á D. Mariano del Rio, Subteniente ael provincial de Segovia. El Rey se ha servido conferir las dos Tesorerías de Exército de Andalucía, vacantes por fallecimiento de los que las servían, á D. Mateo de</t>
  </si>
  <si>
    <t>Mariano Díaz, Manuel</t>
  </si>
  <si>
    <t>Manuel Mariano Díaz</t>
  </si>
  <si>
    <t>zelo de este cuerpo de ciudad, mediante, la actividadde sus comisarios I). .Rodrigo García Puerta y D. Manuel Mariano Díaz , Veinticuatros. Estas pruebas de la utilidad y necesidad de observar el método con que se dirige la escuela pía del cargo de D. Christóbal de Urbína, empeñan ai gobierno de Grana</t>
  </si>
  <si>
    <t>Mariano Galindo</t>
  </si>
  <si>
    <t>graduado de Teniente ; á primeros Subtenientes a los segundos D. Mariano Ribas , D. Domingo Tierra, D. Mariano Galindo, D. Antonio.Castañon y D Manuel Gerbela; Marot^D. FranciscoVViñas á segundos Subtenientes , D. Antonio a losy Cadetes Casanoves D. Rafael D, Manuel Cadabid, y al Sargento primero</t>
  </si>
  <si>
    <t>Mariano Garóes</t>
  </si>
  <si>
    <t>Francisco Roca; para esta resulta al Subrigadier D. Christóbal Montes ; para esta resulta al Cadete D. Mariano Garóes; para el empleo de Cadete de número al supernumerario D. Joseph Barsi; para Cadete supernumerario ai Guardia D. Gerónimo Pietry; y para una Capellanía de número del mismo Real cue</t>
  </si>
  <si>
    <t>Mariano Gorordo</t>
  </si>
  <si>
    <t>de infantería D. Diego Magues: Tenencia de fusileros en el de Sevilla al Subteniente de granaderos D. Mariano Gorordo: Compañía de fusileros en el de Burgos al Teniente de la misma clase D. Fernando de León: la Subtenencia de cazadores del de Lugo á D. Alonso Carvajal y Valle, Subteniente de fusi</t>
  </si>
  <si>
    <t>Mariano Herrando</t>
  </si>
  <si>
    <t>ael Crespo, D. Vicente Royo, D. Francisco Rimont, D; Juan Antonio Ochotarena y D. Antonio Seta; y á D. Mariano Herrando un libro del Jardinero instruido, enquadernado en pasta, costeando estos premios la generosidad del presidente Dean de esta santa Iglesia, que arengó á los alumnos, y manifestó la</t>
  </si>
  <si>
    <t>Mariano Iglesias de los Ríos</t>
  </si>
  <si>
    <t>Bautista Marco, á D. Joseph Gervasio Gozalvez: para otra de Palencia, vacante por fallecimiento de D. Mariano Iglesias de los Ríos, á D. Santiago Hernández Milanés: para la de la catedral de Avila, vacante por premoción de D. Tomas Laguna á la Dignidad de Tesorero de Plasencia, á D. Juan Alonso Gorjon: para o</t>
  </si>
  <si>
    <t>Mariano Lacosta</t>
  </si>
  <si>
    <t>a extraviado un vale Real de 60o pesos, creación de 10 de Abril, mím.' 4ri,458, renovado á favor de D. Mariano Lacosta, y- endosado por este al dicho' D. Ramón. Quien lo tuviere lo remitirá al mismo Gayan en Paniza, ó á Don Francisco Bibiano Cantin en Zaragoza, ó á D. Juan García de Mutiloa en Ma-</t>
  </si>
  <si>
    <t>Mariano Luis de Urquijo</t>
  </si>
  <si>
    <t>gezira, Kurdistafvt Armenia , Georgia , Chipre, parte de Siria &amp;c. Compuesto y dedicado al.Exc. Sr. D. Mariano Luis de Urquijo, por el geógrafo D. Tomas Mauricio López. Se hallará con las demas obras del autor , las de su padre y hermano, calle de Atocha, junto á Sto. Tomas. SUPLEMENTO.</t>
  </si>
  <si>
    <t>amente todas las rarezas del citado fenómeno, lo ha dirigido en el modo correspondiente al Exc. Sr. D. Mariano Luis de Urquijo, para que si fuere del Real agrado de S. M. se colocase, como efectivamente se ha colocado de su Real orden, entre las demas preciosidades del gabinete de Historia natural; habién</t>
  </si>
  <si>
    <t>Historia ha tenido el honor de presentar á SS. MR/, y demas Perspnas Reales, por mano del Exc. Sr. D. Mariano Luis de Urquijo el tomo 3.0 de sus Memorias que acaba de imprimir. Véndese con los dos primeros en la librería de Sancha , calle del Lobo, y en la de Baylo, calle de las Caí retas. ■ A conseqiienci</t>
  </si>
  <si>
    <t>careciendo de fondos para dotar maestros que la mejorasen, sé dirigió á S. M. por mano del Exc. Sr. D. Mariano Luis de Urquijo, suplicándole se dignase conceder las rentas de una memoria de dicha ciudad para dotar un buen maestro de primeras letras y una maestra de ninas , y atenderá los demas objetos de</t>
  </si>
  <si>
    <t>Mariano Madramany</t>
  </si>
  <si>
    <t>Havana. Asimismo se ha servido S. M. nombrar para la Vara de Alcalde mayor de la ciudad de Málaga á D. Mariano Madramany: para la de Sepúlveda á D. Joseph Nicolás Zarco: para la primera de la ciudad de Córdoba á Don Benito Saiz de Villegas: para el corregimiento de letras de Lacena, que este dexa, á</t>
  </si>
  <si>
    <t>Mariano Marín</t>
  </si>
  <si>
    <t>tenido á bien conferir compañía en el de dragones de la Reyna al Capitán agregado al propio cuerpo D. Mariano Marín. En América. En el regimiento de infantería de Puebla se ha servido el Rey nombrar para el empleo de Sargento mayor al Capitán de granaderos graduado de Teniente Coronel D. Robert</t>
  </si>
  <si>
    <t>Mariano Merino</t>
  </si>
  <si>
    <t>á D. Rosendo Cal y Babamonde, Capitán de correos marítimos en la Havana r de Capitán á los Pilotos D. Mariano Merino y D. Manuel Hernández: de Tenientes al Capitán de correos en Puerto-Rico Don Manuel Balay y al Piloto segundo D. Luís Abello; y de Subtenientes á Jos Pilotines D. Manuel Barruti y D.</t>
  </si>
  <si>
    <t>Mariano Mirálles</t>
  </si>
  <si>
    <t>o D. Blas Teruel; y en el de las Ordenes Militares á segundo Teniente de granaderos al de fusileros D. Mariano Mirálles; y á segundo Teniente al Subteniente de .granaderos, del fixo de Ceuta D. Joachín Cortes.</t>
  </si>
  <si>
    <t>Mariano Moreno</t>
  </si>
  <si>
    <t>e,"D. Manuel Caballero, D. Buenaventura Sanz, D. Juan Moreno, D. Joseph Perochena, D. Joseph Saenz, D. Mariano Moreno, Don M irtin de Arambulo y D. Pablo Gaona y Jáuregui; y empleos de Portaestandartes á D. Diego de Vega, D. Pedro Merino, D. Urbano Sugasti y D. Bartolomé Estrada. A consulta del s</t>
  </si>
  <si>
    <t>Mariano Nipho, Francisco</t>
  </si>
  <si>
    <t>Francisco Mariano Nipho</t>
  </si>
  <si>
    <t>s por un docto y re «notable religioso Benedictino de la congregación de S. Mauro, y traducidas por D. Francisco Mariano Nipho. Se hallarán en la librería -de Campo, calle de Alcalá, frente al Buen-Suceso. Anteojo de larga vista para todas las edades } y aviso á los contrayentes de futuro matrimonio, en v</t>
  </si>
  <si>
    <t>Mariáno Recacoechea, Joseph</t>
  </si>
  <si>
    <t>Joseph Mariáno Recacoechea</t>
  </si>
  <si>
    <t>ó: para Oficial segundo de ella á D. Joseph Joachín de Villar; y para Oficial tercero de la misma á D. Joseph Mariáno Recacoechea: para Visitador del resguardo de la factoría de Guadalaxara á D. Carlos Pozo: para Teniente Visitador de ella á D. Vicente Dávalos; y para Guardas de las factorías de Puebla, Oaxa</t>
  </si>
  <si>
    <t>Mariano Ribas</t>
  </si>
  <si>
    <t>e Ben y D. Francisco Xavier González ^graduado de Teniente ; á primeros Subtenientes a los segundos D. Mariano Ribas , D. Domingo Tierra, D. Mariano Galindo, D. Antonio.Castañon y D Manuel Gerbela; Marot^D. FranciscoVViñas á segundos Subtenientes , D. Antonio a losy Cadetes Casanoves D. Rafael D</t>
  </si>
  <si>
    <t>Mariano Rodenas de la Barcena</t>
  </si>
  <si>
    <t>ustas causas. Concluido dicho exámen, se adjudicó el premio de una medalla de oro de quatro onzas á D. Mariano Rodenas de la Barcena, Doctor en ambos derechos, y vecino de Riela en Aragón, autor de una memoria sobre el problema: » Si para la conservación de los olivos, y mejorar la calidad del aceyte conviene e</t>
  </si>
  <si>
    <t>Mariano Ruiz de Cárdenas</t>
  </si>
  <si>
    <t>uardias Walonas se ha servido el Rey promover á primeros Tenientes de granaderos á los de fusileros D. Mariano Ruiz de Cárdenas y D. Carlos Reynaldo de Coupigfly: y en el Real cuerpo de Artillería á Teniente al Subteniente D. Fernando Cacho ; habiendo nombrado también Capellanes de los regimientos de infanterí</t>
  </si>
  <si>
    <t>Mariano San Gil</t>
  </si>
  <si>
    <t>o almudes de tierra: confronta con acequia madre , pieza de la colegial, y otra de los herederos de Don Mariano San Gil, tasada en 155 libras y 5 sueldos jaqueses, y renta un cahíz y tres hanegas de trigo. Otra pieza de Asensio , término de la misma , de tres hanegas de tierra , que confronta con c</t>
  </si>
  <si>
    <t>Mariano Sánchez de Figueroa</t>
  </si>
  <si>
    <t>eph Martínez; á primer Subteniente al segundo D. Olaguer de León, y á segundo Subteniente al Cadete D. Mariano Sánchez de Figueroa: en el de Córdoba á primer Subteniente al segundo D. Lorenzo Cervera; y á segundo Subteniente al Cadete D. Antonio Villafranca : en el de Sevilla á segundo Subteniente al Cadete D</t>
  </si>
  <si>
    <t>Mariano Sarrasqueta</t>
  </si>
  <si>
    <t>ete del de Santiago D. Francisco de Paula Márquez: en el de Alcántara á Ayudante al primer Teniente D. Mariano Sarrasqueta ; á esta resulta al primer Teniente agregado al de Calatrava D. Andrés Marín , y a Alférez al Portaestandarte D. Joseph Martinez : en el de España á segundo Teniente ál Alférez ’D</t>
  </si>
  <si>
    <t>Mariano Seira</t>
  </si>
  <si>
    <t>n de Mensa de la santa iglesia de Zaragoza, vacante por fallecimiento de D. Pedro Benito Laguna , á D. Mariano Seira. En el regimiento de Reales Guardias Españolas se ha servido promover el Rey á segundo Teniente al Alférez de granaderos D. Joseph María Magarola. En el de Reales Guardias Walonas</t>
  </si>
  <si>
    <t>Mariano Senespleda</t>
  </si>
  <si>
    <t>do Ayudante al primer'Teniente, graduado de Capitán, Di Joseph Panigo; á primer Teniente al segundo Don Mariano Senespleda; á segundo Teniente’ al primer Subteniente D. Ramón Virues; á primer Subteniente al seguido D&gt; Joscph Virues, ¡ y á segundo Subteniente^ D* Pedro Calva*,. Cadete. del batallón de</t>
  </si>
  <si>
    <t>Mariano Serret</t>
  </si>
  <si>
    <t>cisco Antonio Olivas y O. Miguel Antonio íuentes: en segundo D. Joseph Ainsa, D. Joachin Orozqueta, D. Mariano Serret, D* Pedro Lalane y D. Bernardo Ximeno; y en tercer Jugar D. Pedro Sebastian , D. Manuel Royo y D. Pedro Anaya. La sociedad determinó premiar el mérito de los discípulos; y en junt</t>
  </si>
  <si>
    <t>Mariano Sicilia</t>
  </si>
  <si>
    <t>llero, del Consejo de S. M., su Alcalde decano de la sala del Crimen de esta Chancillería, y el Dr, D. Mariano Sicilia, catedrático de filosofía moral en esta universidad , leyeron do-s discursos; y los comisarios distribuyeron los premios, que consistían en bandas y en libros de buen ousto bella</t>
  </si>
  <si>
    <t>Mariano Spadafora</t>
  </si>
  <si>
    <t>, Don Tuan de Lanz y Norris , D. Juan Alvarez Faxardo y Ruiz Mateos, Don Toachín de Vierna é Isla , D. Mariano Spadafora,D. Antonio de Arcens y Faleons, D. Tuan Bustamante y González del Rivero, D. Felipe de Zavas v LaudaD. Toseph Buitragoy Granados, D. Francisco Agraz y Fernandez, D. Antonio Gandar</t>
  </si>
  <si>
    <t>Mariano Torres y Arboles, Joseph</t>
  </si>
  <si>
    <t>Joseph Mariano Torres y Arboles</t>
  </si>
  <si>
    <t>........ D. Evaristo Ortiz. En Vitoria.............. D. Fausto María x\steasu. En Zaragoza......... D. Joseph Mariano Torres y Arboles. En Badajoz.,»...... D. Manuel de la Peña. En Cddiz................ D. Josef María Vincenti y O-Rian. En Ciudad Real... D. Ramón Antonio Pico. En Córdoba............ Señores Barci</t>
  </si>
  <si>
    <t>Mariano Villanova</t>
  </si>
  <si>
    <t>. Ambrosio Villaba y D. Manuel López; :t primeros Subtenientes á Jos segundos D. Joseph de Miranda, D. Mariano Villanova, D. Christóbal Estévez, D. Vicente Cabrera y D. Ignacio Cavero; y á segundos Subtenientes á los Sargentos primeros D. Gines García, de granaderos, y Don Matías Melero, y á los. Ca</t>
  </si>
  <si>
    <t>Mariano Villolas de Mola</t>
  </si>
  <si>
    <t>ha dignado nombrar para la Vara de Alcalde mayor de la ciudad de Palma, en el Reyno de Mallorca, á D. Mariano Villolas de Mola : para la de Cinco-Villas, en el Reyno de Aragón, á D.Manuel Vindel y Muñoz; y ha conferido á D. Fermín Nebot, Asesor de la Intendencia dé Valencia, honores de Alcalde del crimen</t>
  </si>
  <si>
    <t>Mariano y María</t>
  </si>
  <si>
    <t>... ................................... 55. 30. Cabo.. Bartolomé Cuiné, hijo de Mariano y María , natural de Igualada, Corregimiento de Villafranca....................... 100. 6» Otro... Jacinto Siados, hijo de otro y Rosa, natural de Barcelona , Corregimiento idetn...................</t>
  </si>
  <si>
    <t>Mariano, Antonio</t>
  </si>
  <si>
    <t>Antonio Mariano</t>
  </si>
  <si>
    <t>............. D. Pedro Esponera. En S. Lorenzo....... D. Valentin de Velasco. En Malaga............ D. Antonio Mariano. En Sevilla........ ...... La Caxa de Descuento. En Toledo............... D. Pedro Velez Salcedo Palomeque. Y finalmente desde este dia dará principio la venta de billetes en esta</t>
  </si>
  <si>
    <t>............. D. Pedro Esponera. En León............... D. Pedro Gil de Texada. En Málaga.......... D. Antonio Mariano. En Murcia........... Sres. Moreda y Ladalid. En Palenda......... D. Nicolás Calonge. En Palma........... D. Martin Mayol. En Salamanca..... Sres. Gutiérrez y Mora!. En Santander.</t>
  </si>
  <si>
    <t>.......... D. Pedro Esponera. En León............... D. Pedro Gil de Texada. 1 En Malaga........... D. Antonio Mariano. En Murcia........... Sres. Moreda y Ladalid. En Falencia.......... D. Nicolás Calonge. En Palma............ D. Martin Mayo!. En Salamanca..... Sres. Gutiérrez y Moral. En Santand</t>
  </si>
  <si>
    <t>Mariano, Christobal</t>
  </si>
  <si>
    <t>Christobal Mariano</t>
  </si>
  <si>
    <t>ente D. Joseph Sandoval: en el de Carabineros dé la Reyna María Luisa á Capitán al primer Teniente. D. Christobal Mariano; y en el de la Costa de Granada á Alférez, al agregado en esta clase, graduado de Teniente, D. Francisco de Mena, • &gt; Tamblen ha nombrado S. M. Capellán del primer batallón del de</t>
  </si>
  <si>
    <t>Mariano, Rafael</t>
  </si>
  <si>
    <t>Rafael Mariano</t>
  </si>
  <si>
    <t>ey á Alférez al Portaestand irte D. Ildefonso de Villar: en el del Príncipe á Capitán al : Ayudante D. Rafael Mariano: en el de Alcántara á Capitán al primer Teniente D. Antonio Marín, y á Ayudante al primer Teniente D. Francisco rA!zainóra; y en el del Infurte á Capellán á D. Francisco Soler, qu</t>
  </si>
  <si>
    <t>Marigní, General</t>
  </si>
  <si>
    <t>General Marigní</t>
  </si>
  <si>
    <t>on valor las aldeas de Grensheim,Blindheim, Eangenaw y Schavinger, en donde fue levemente herido el General Marigní. Pero dicha brigada hubiera tenido el mayor trabajo en defender aquellas aldeas, no obstante su extremada intrepidez, á no haber sido un acometimiento sumamente vigoroso dado por</t>
  </si>
  <si>
    <t>Marimon, Ramón</t>
  </si>
  <si>
    <t>Ramón Marimon</t>
  </si>
  <si>
    <t>Extremadura al Presbítero D. Francisco Bastida: del segundo batallón de Voluntarios de Barcelona á D. Ramón Marimon; y del tercer batallón del de infantería de Nápoles á Fr. Agustín de Egaña, religioso del orden de S. Francisco. S. M. se ha dignado nombrar para la Vara de Alcalde mayor de la ci</t>
  </si>
  <si>
    <t>Marín Fernández, Antonio</t>
  </si>
  <si>
    <t>Antonio Marín Fernández</t>
  </si>
  <si>
    <t>e Palma y D.. Juan de Porras, y á los Cadetes D. Joachin Luzuriaga, D. Gaspar y D. Luis Pelegero, y D. Antonio Marín Fernandez. También ha conferido S. M. en el regimiento provincial de Chinchilla Compañía de fusileros á D. Pedro Flores, Teniente de cazadores: esta resulta á D. Agustín Lozano, Teniente de</t>
  </si>
  <si>
    <t>Marín Josepha</t>
  </si>
  <si>
    <t>se vistió la corte de gala en el Real sitio de Aranjucz con motivo de los di as de la Sra. Infanta Doña Marín Josepha. Satisfecho el Rey dei zelo, servicios y mérito que hi contraido D. Alfonso de Aguirre y Loldi en los varios destinos que ha tenido en las legaciones del Haya y Rusia, en lis Secr</t>
  </si>
  <si>
    <t>Marín Ordoñez, Joseph</t>
  </si>
  <si>
    <t>Joseph Marín Ordoñez</t>
  </si>
  <si>
    <t>ros D. Domingo Quadrado y D. Isidoro Acevedo; á segundos Tenientes de granaderos á los de fusileros D. Joseph Marín Ordoñez y D. Manuel Otero; á segundos Tenientes á los Subtenientes de granaderos D. Joseph María Araujo, graduado de Teniente, y Don Juan Garzón; á Subtenientes" de granaderos á los primeros</t>
  </si>
  <si>
    <t>Marín, Alonso</t>
  </si>
  <si>
    <t>Alonso Marín</t>
  </si>
  <si>
    <t>y , graduado de Capitán, D. Joachín de Alba y D. Juan Manuel Pereyra; á segundo Teniente al Alférez D. Alonso Marín ; á Alféreces á los Portaestandartes D. Jorge Zambrana y D. Jayme Goig, y á Portaestandartes á los Cadetes Don Carlos Lanzarote y D. Ildefonso Quintana : en el del Infante á segun</t>
  </si>
  <si>
    <t>Marín, Ambrosio</t>
  </si>
  <si>
    <t>Ambrosio Marín</t>
  </si>
  <si>
    <t>no que ha sido de la catedral de la isla de Menorca: para otra de la de Osma, vacante por muerte de D. Ambrosio Marín, á D. Juan Francisco de Cárlos, Canónigo que también ha sido de la misma de Menorca: para cera de la colegial de la ciudad de Vitoria, en la diócesis de Calahorra, vacante por mue</t>
  </si>
  <si>
    <t>Marín, Andrés</t>
  </si>
  <si>
    <t>Andrés Marín</t>
  </si>
  <si>
    <t>primer Teniente D. Mariano Sarrasqueta ; á esta resulta al primer Teniente agregado al de Calatrava D. Andrés Marín , y a Alférez al Portaestandarte D. Joseph Martinez : en el de España á segundo Teniente ál Alférez ’D. Juan Maíast: en el citado de Calatrava á Portaes</t>
  </si>
  <si>
    <t>Marín, Antonio</t>
  </si>
  <si>
    <t>Antonio Marín</t>
  </si>
  <si>
    <t>Príncipe á Capitán al : Ayudante D. Rafael Mariano: en el de Alcántara á Capitán al primer Teniente D. Antonio Marín, y á Ayudante al primer Teniente D. Francisco rA!zainóra; y en el del Infurte á Capellán á D. Francisco Soler, que lo era del de infantería del 'Príncipe: en el do dragones de !a</t>
  </si>
  <si>
    <t>Marin, Joseph</t>
  </si>
  <si>
    <t>Joseph Marin</t>
  </si>
  <si>
    <t>ra Subtenencia al segundo de esta clase D. Diego Márquez, y segunda Subtenencia al Sargento primero D. Joseph Marin: y ha nombrado Capellán del tercer batallón del de Navarra al Presbítero D. Juan Ximenez Rosillo. También en el de caballería de la Reyna se ha servido el Rey promover á Ayudante</t>
  </si>
  <si>
    <t>Marín, Joseph</t>
  </si>
  <si>
    <t>Joseph Marín</t>
  </si>
  <si>
    <t>otra Canongía de la catedral de Falencia, vacante por promoción de D. Francisco Mulero Delgado , á D. Joseph Marín: para la Ración de la colegial de Antequera, diócesis de Málaga, vacante por promoción de D. Tomas de Molina Martel á una Canongía de la catedral deOrihuela, á D. Francisco de Ara</t>
  </si>
  <si>
    <t>Marín, Juan</t>
  </si>
  <si>
    <t>Juan Marín</t>
  </si>
  <si>
    <t>la de la de Comayagua á Don Eugenio Recuenco; y para una Media-Ración de la metropolitana de Lima á D. Juan Marín. El Rey ha concedido á D. Joseph de Vargas, Cirujano del regimiento de infantería de Borbon, igual empleo en el fixo de Cartagena. En el batallón de milicias disciplinadas de Volu</t>
  </si>
  <si>
    <t>Marín, Nicolás</t>
  </si>
  <si>
    <t>Nicolás Marín</t>
  </si>
  <si>
    <t>primer i ementóle gastaaores D. Francisco Garbayo; á primer Teniente de gastadores al oc cazadores D. Nicolás Marín; á primer Teniente al segundo de gastadores D. Luis Oriandys á segundo Teniente de gastadores al de cazadores D. Francisco Matis : á segundo Teniente al Subteniente de tiradores D</t>
  </si>
  <si>
    <t>Marina, Juan Joseph</t>
  </si>
  <si>
    <t>Juan Joseph Marina</t>
  </si>
  <si>
    <t>nio de Ibarrola Layse.ca, D. Antonio López del Castillo, Don Francisco María. González Ares y Ron,, D. Juan Joseph Marina y D.'.Jc)^' iejiiríMaría Qrtég^.. ....'ó:j) . ‘ . . Ó • EhJ.aten¿i.ó.n4’lo&amp;^¿rLtos.y^t!yicr5js, deD. . Jósjeph Glavijo Faxardo,- Di-* rector del Real gabinete.; de Historia; natural,</t>
  </si>
  <si>
    <t>Marinelerena, Antonio</t>
  </si>
  <si>
    <t>Antonio Marinelerena</t>
  </si>
  <si>
    <t>bteniente a! Cadete D. Joseph Rodríguez: en el de Burgos á primer Teniente ai segundo de granaderos D. Antonio Marinelerena: en el de Asturias á segundo Teniente de granaderos al de fusileros D. Vicente Cevallós; y á segundo Teniente al Subteniente de granaderos, graduado de Teniente, D* Juan Antonio A</t>
  </si>
  <si>
    <t>Marino de la Barrera, Juan</t>
  </si>
  <si>
    <t>Juan Marino de la Barrera</t>
  </si>
  <si>
    <t>la junta de Señoras de honor y mérito. Se dió principio con un discurso que pronunció el linio. Sr. D. Juan Marino de la Barrera, del Consejo y Cámara de S. M., Director de dicho Real •uerpo, alusivo al objeto do esta junta. El segundo Secretario í). Ramón María Zuazo leyó después las actas de la sociedad;</t>
  </si>
  <si>
    <t>Mariscal, Joseph María</t>
  </si>
  <si>
    <t>Joseph María Mariscal</t>
  </si>
  <si>
    <t>ontera, en el arzobispado de Sevilla, vacante' por fallecimiento de D. Francisco Celis y Vázquez, á D. Joseph María Mariscal; y para el Beneficio simple servidero de la parroquia de Santiago de la villa de Talavera , en la diócesis de Toledo, vacante por fallecimiento de D. Agustín Domínguez de León, á</t>
  </si>
  <si>
    <t>Marmont, General</t>
  </si>
  <si>
    <t>General Marmont</t>
  </si>
  <si>
    <t>ragata Danae mandada por ei Lord Proby , y de haberla conducido á Brest. Amsterdam jo de Marzo. E 1 General Marmont, Consejero de Espado de Francia, llegó aquí con credenciales del Embaxadoc de Holanda en París para esta municipalidad. Posteriormente se ha publicado en la gazeta de Amsterdam el</t>
  </si>
  <si>
    <t>legislativo se convocará y empezará sus sesiones ántes del tiempo señalado por la constitución. El General Marmont está nombrado Comandante de artillería del exército de reserva.-_Han salido ya para Dijon los Generales Marescot y Murat. A este último reemplaza el General Lasnes en la comandancia</t>
  </si>
  <si>
    <t>x estaba formada en . dos líneas flanqueadas en su derecha por 12 piezas de artillería al mando del General Marmont, y sostenidas en su izquierda por la caballería del General Kellerman. El primer ¡Cónsul, expuesto á un fuego vivísi1110, recorrió las filas para alentar á los soldados, y detener</t>
  </si>
  <si>
    <t>el xefe de batallón Maucune, Ayudante del General .Watrin. Finalmente, se halla también en Paris el General Marmont, comandante del cuerpo de artillería del exército francés de Italia. El valeroso Latour de Auvernia fué muerto en el mismo ducado de Bavieraien que-eLMarisgaf de Turena , de cuya</t>
  </si>
  <si>
    <t>al General Menou el mundo en xefe en propiedad del exército de Oriente-----También está nombrado el General Marmont. para Comandante én xefe de artillería en el exército de Italia. Ademas de las cartas del General Menou insertas en la gazeta última* se han publicado muchas noticias de Egipto sa</t>
  </si>
  <si>
    <t>General de los exér—' citos de S. M. él Emperador, por una parte, y por otra el ciud. Marmont, Consejero de Estado y General de división, Comandante en xefe de lá ar-f tillerfa del exércíto francés en Italia: teniendo ;lás plenipotencias de sus Ger aéra</t>
  </si>
  <si>
    <t>ronteras del Reyno de Ñapóles. 'j Florencia ti de Noviembre. J d«I dia 6 llegaron á esta capital el General Marmont, comandante en xefe de artillería del exército de Italia, v el ciud. Petiet,Concejero de Estado y Presidente de la consulta legislativa cisalpina. Igualmente se ha restituido á es</t>
  </si>
  <si>
    <t>ral Clement. También ha venido de Florencia el General Miollis, y se espera al Ministro Petiet y al General Marmont. ^ r Tienen los ingleses bloqueado este puerto, y envían a Manon o a Fortoferrayo quantas embarcaciones quieren entrar en él.</t>
  </si>
  <si>
    <t>Maroux de Oubfake</t>
  </si>
  <si>
    <t>es fueron rechazados hasta baxo el canon de la plaza. El 28 del mes último falleció en esta capital Mr. Maroux de Oubfake!, Consejero de Estado y Presidente dél supremo Consejo de Flándes. ' De Petersburgo escriben que en la capilla de Gratschina se hicieron solemnes exequias por Pió VI. oficiando lo</t>
  </si>
  <si>
    <t>Marques de Avensleben</t>
  </si>
  <si>
    <t>e Hanau escriben que el Embajador de Rusia en Berlín ha comunicado de-oficio al Marques de Avensleben, Ministro de'negocios extranjeros dePrusia, que el Emperador su amo ha dado orden al General Su\varo\r para que vuelva á Rusia con su exército. Berna 14 de Febrero. E 1 ciud. Pichón , Encar</t>
  </si>
  <si>
    <t>Marques de Campo-hermoso, Coronel</t>
  </si>
  <si>
    <t>Coronel Marques de Campo-hermoso</t>
  </si>
  <si>
    <t>uchv. Ja segunda Comandancia de lis compañías Je infantería fixa de la costa de Granada al Teniente Coronel Marques de Campo-hermoso, Capitán de la segunda compañía de Almería: la Tenencia de la compañía suelta de fusileros Voluntarios dé Aragón al segundo Subteniente de la misma D, Félix Cortés: Subtenencia de</t>
  </si>
  <si>
    <t>Marques de Fuerte-Híjar</t>
  </si>
  <si>
    <t>so enérgico sobre la organización y progresos de este cuerpo patriótico. El Sr. Marques de Fuerte-Híjar, secretario , leyó el extracto de actas; y el Dr. Don Joseph Fernandez Vallejo, presbítero, pronunció otro discurso sobre las grandes empresas de la sociedad y sus ideas sólidas de beneficenc</t>
  </si>
  <si>
    <t>Marques de Luchesini</t>
  </si>
  <si>
    <t>de la República, y como tales han quedado apresadas.” El dia 8 por la mañana el Marques de Luchesini, Ministro plenipotenciario y Enviado extraordinario de S..M- el Rey de Prusia cerca del g©^ tierno de la República francesa, fué introducido en la audiencia que el primer Cónsul da dos vece</t>
  </si>
  <si>
    <t>Márquez de la Plata, Fernando</t>
  </si>
  <si>
    <t>Fernando Márquez de la Plata</t>
  </si>
  <si>
    <t>matemáticas, ha venido el Rey en promover á Subtenientes del mismo Real cuerpo á D. Joseph Paulin , D. Fernando Márquez de la Plata , D. Manuel Minio, D. Diego Lara, D. Vicente Ros, D. Joseph González Pardo, D. Martin Zarandía, D. Ramón Gómez, D. Rafael Riesch, D. Francisco Calderón de la Barca, D. Luis Solana</t>
  </si>
  <si>
    <t>Márquez, Diego</t>
  </si>
  <si>
    <t>Diego Márquez</t>
  </si>
  <si>
    <t>a resulta al primer Subteniente D. Manuel Gamindez; la primera Subtenencia al segundo de esta clase D. Diego Márquez, y segunda Subtenencia al Sargento primero D. Joseph Marin: y ha nombrado Capellán del tercer batallón del de Navarra al Presbítero D. Juan Ximenez Rosillo. También en el de cabal</t>
  </si>
  <si>
    <t>Márquez, Luis</t>
  </si>
  <si>
    <t>Luis Márquez</t>
  </si>
  <si>
    <t>eros D. Francisco Fortnn y D. Antonio Tomas ; segundas Tendió cías de granaderos i los de fusileros D. Luis Márquez y tí. Juan de Dioé Perez; estas resultas á los Subtenientes de granaderos D. Joseph Ximenez y D. Joseph Antonio Cabezón; Subtenencias de granaderos á los primeros Subtenientes D. Jo</t>
  </si>
  <si>
    <t>Márquez, Marcos</t>
  </si>
  <si>
    <t>Marcos Márquez</t>
  </si>
  <si>
    <t>á segundo Teniente de granaderos al de fusileros D. Manuel Casaus; á primer Subteniente al segundo D. Marcos Márquez ; y á segundo Subteniente al Cadete D. Vicente de Vargas: en el de Navarra á segundo Subteniente al Cadete del de las Ordenes Militares D. Juan Antonio López: en el de Hibernia á</t>
  </si>
  <si>
    <t>Marra Rodríguez Caballero</t>
  </si>
  <si>
    <t>hijo del JO. -Blas, que parece falleció el .afio?de ^785 en 1.a,. ¿ciudad de ^artobelp y .eí otro i Doña Marra Rodríguez Caballero , muger que fué de D. Diego de la Peña'.,-vecinos'de ja villa de Arenas j é hija asimismo,del pr.opip D. Blas ¡..se hace saber dicha existencia á las referidas Doña Catalina y r P</t>
  </si>
  <si>
    <t>Marrón, Joseph</t>
  </si>
  <si>
    <t>Joseph Marrón</t>
  </si>
  <si>
    <t>Monjas de S. Juan, Calixto Faiencíano, con 837 pies, en 3500, y renta 11c. Otra calle de Santiago, D. Joseph Marrón , con 4741 pies, en 20©, y renta 600. Otra calle Empedrada, Juan Pérez, con 2186 pies, en 5©, y renta 1 pe. Otra , y es la de la huerta del Campillo, con 3300 pies. en 7©, y renta</t>
  </si>
  <si>
    <t>Marrufo, Juan</t>
  </si>
  <si>
    <t>Juan Marrufo</t>
  </si>
  <si>
    <t>á D. Joseph Villanueva, Su bren i en re de fusileros; este empleo al Sargento primero de granaderos D. Juan Marrufo, y el de Subteniente de bandera al Cadete D. Pedro Medina, todos individuos del mismo batallón. Asimismo ha nombrado S. M. en el esquadron de dragones de América fixlo de la Havan</t>
  </si>
  <si>
    <t>Marshall</t>
  </si>
  <si>
    <t>una quarta parte mas que si hubiese abundancia de los demas comestibles. Desde Gibraltar escribe el Dr. Marshall que ha inoculado la vacina con el mejor éxito á los soldados y á los niños de aquella guarnición que no habían tenido viruelas;:y observa que no obstante la diferencia del clima,</t>
  </si>
  <si>
    <t>Marshall, General</t>
  </si>
  <si>
    <t>General Marshall</t>
  </si>
  <si>
    <t>pasionado, y en cuyo recuerdo vivirá siempre, tributar á su memoria los honores convenientes.”__ El General Marshall, después de expresar con mucha sensibilidad el profundo sentimiento de los Estados-Unidos por esta pérdidanacional, propuso : p,° Que la Cárnea de Representantes pasase á casa del</t>
  </si>
  <si>
    <t>Martín Tomás Mateo</t>
  </si>
  <si>
    <t>de la cofradía del Sacramento , tasada en 10,087 rs. de 16 quartos. Una heredad, de la execucion de D. Martin Tomas Mateo, en 14^ id. = Cutanda: un huerto , de la execucion de D. Martin Lúea , tasado en 9396 rs. de 16 quartos. z=z Fuentes de Ebro : nueve caberlas de agua, de la capellanía de D. Juan</t>
  </si>
  <si>
    <t>Martín, Capitán</t>
  </si>
  <si>
    <t>Capitán Martín</t>
  </si>
  <si>
    <t>de los franceses: el Mayor general Pigot, comandante de las tropas inglesas y de sus aliados, y el Capitán Martin, comandante de los buques de S. M. Británica y de sus aliados delante de Malta, por parte de los ingleses. „ Artículo i.° La guarnición de Malta y castillos dependientes saldrá pa</t>
  </si>
  <si>
    <t>Martín, Coronel</t>
  </si>
  <si>
    <t>Coronel Martín</t>
  </si>
  <si>
    <t>os. Ayer riñeron el Lord Ormond, que está por la unión, y Mr. Gould; y hoy riñó el Lord Colé con el Coronel Martin, que es también partidario de la unión. Londres 2 de Marzo. C jomo este gobierno ha manifestado su resolución de continuar la guerra, vuelve á hablarse en el público de expedicion</t>
  </si>
  <si>
    <t>Martincz, Juan Joseph</t>
  </si>
  <si>
    <t>Juan Joseph Martincz</t>
  </si>
  <si>
    <t>iudad de Cascante, en la diócesis de Tarazona, vacante por fallecimiento de D. Francisco Vallejo, á D. Juan Joseph Martincz: para el Medio-Préstamo de la parroquia de Sta. Cecilia de la villa de Medellin , en la diócesis de Plasencia, vacante por fallecimiento de D. Antonio Andrés Perez, á D. Antonio M</t>
  </si>
  <si>
    <t>Martínez Aguilar, Fernando</t>
  </si>
  <si>
    <t>Fernando Martínez Aguilar</t>
  </si>
  <si>
    <t>. Manuel Llistar de Alegría y á D. Pedro Cifre y García: en el de Alicante y Orihuela á Capitanes á D. Fernando Martínez Aguilar y D. joachín Germán, Capitanes agregados al mismo cuerpo, y á Tenientes á los agregados en esta elase D. Antonio Bernabeu y D. Joachín Cortés; y en el de Valencia á Capitán al Tenient</t>
  </si>
  <si>
    <t>Martínez Capaza, Joachín</t>
  </si>
  <si>
    <t>Joachín Martínez Capaza</t>
  </si>
  <si>
    <t>ueva , calle del Prado, mím. 11, quarto principal, frente las tapias de Santa Ana, en S. Clemente á Don Joachin Martínez Capaza, Abogado de los Reales Consejos, ó en la Alberca á dicho Cura párroco. A D. Ramón Gayan, vecino del lugar de Paniza, corregimiento de Daroca, serle ha extraviado un vale Real de 6</t>
  </si>
  <si>
    <t>Martínez Concha, Martín</t>
  </si>
  <si>
    <t>Martín Martínez Concha</t>
  </si>
  <si>
    <t>Flor: en el de milicias disciplinadas dfe caballería del Cuzco á Teniente Coronel al de caballería D. Martin Martínez Concha, Comandante de esquadron ; á Alférez ai agregado D. Manuel Perez Narezo, y á Portaestandartes á los Sargentos primeros D. Pedro Dueñas y Don Rafael González: en el batallón de mil</t>
  </si>
  <si>
    <t>Martínez de Antezana, Juan</t>
  </si>
  <si>
    <t>Juan Martínez de Antezana</t>
  </si>
  <si>
    <t>,150. Otra plazuela de la "Vireyna , de id. en 604,891. Otra calle del Empedrador, del patronato de D. Juan Martínez de Antezana , en 235,730. Otra plazuela de Santiago , de id. en 220,186. Otra calle de S. Joseph , del patronato de Doña Ana Montero, en 368,871. rzz: Puerto de Santa María : una huerta del p</t>
  </si>
  <si>
    <t>Martínez de Aparicio, Andrés</t>
  </si>
  <si>
    <t>Andrés Martínez de Aparicio</t>
  </si>
  <si>
    <t>La Caxa de Descuento. En S. Sebastian... D. Miguel Juan de Barcaízteguí. En Soria................. D. Andrés Martínez de Aparicio. En Valencia........... D. Evaristo Ortiz. En Vitoria.............. D. Fausto María x\steasu. En Zaragoza......... D. Joseph Mariano Torres y Arboles. En Badajoz.,»...... D. Manue</t>
  </si>
  <si>
    <t>nuel Ramiro y Martin. En Sevilla............ D. Joseph Antonio Gómez é hijo. En Soria.............. D. Andrés Martínez de Aparicio. ‘En Toledo............. Sres. Chavarri y Posadillo. En Toro................. D. Joseph Ligero. En Valencia......... D. Francisco Peyrolon y compañía. En Valíadalid....... D. Fran</t>
  </si>
  <si>
    <t>uel Ramiro y Martin. En Sevilla............ D. Joseph Antonio Gómez é hijo. En Soria............... D. Andrés Martínez de Aparicio. En Toledo............. Sres. Chavarri y Pasadillo. En Toro................ I). Joseph Ligero. En Valencia.......... D. Francisco Peyrolon y compañía. En Valladolid....... D. Fran</t>
  </si>
  <si>
    <t>Martínez de Baños, Juan</t>
  </si>
  <si>
    <t>Juan Martínez de Baños</t>
  </si>
  <si>
    <t>nombrar para el Corregimiento, de capá y espada de Canaria , vacante por haber cumplido su sexenio D. Juan Martínez de Baños', á D. Antonio Aguirre; para el de letras de la ciudad de Andújar á XX joseph Guillen de Toledo ; para el de Betánzos á D. Joseph Manuel Picado ; para el de la villa de Madrigal á</t>
  </si>
  <si>
    <t>Martínez de Hermosilla, Juan Antonio</t>
  </si>
  <si>
    <t>Juan Antonio Martínez de Hermosilla</t>
  </si>
  <si>
    <t>ce-censor D. Gerónimo Arbizu: tres por el vice-archivero D. Joseph Vicente Ibarra: dos por eí socio D. Juan Antonio Martínez de Hermosilla ; y dos por otros socios. Iguales premios recibieron cinco discípulos de la Real academia de S. Carlos, que siendo oficiales 6 aprendices de •varios gremios ó fabricas han acredit</t>
  </si>
  <si>
    <t>Martínez de Hervás, Juan Francisco</t>
  </si>
  <si>
    <t>Juan Francisco Martínez de Hervás</t>
  </si>
  <si>
    <t>. Madrid 12 de Agosto. E l.Rey se ha servido nombrar para una Canongía de la catedral de Oríhuela á D. Juan Francisco Martínez de Hervás ; para una Ración de la ca</t>
  </si>
  <si>
    <t>Martínez de Hoz, Francisco</t>
  </si>
  <si>
    <t>Francisco Martínez de Hoz</t>
  </si>
  <si>
    <t>esta corte á D. Bernardo Donienchina, que vive en la calle de Hortaleza , núm. 9 , quarto principal D. Francisco Martínez de Hoz remitió el 29 de Agosjto desde la villa de Poza, en la Rioja, á esta corte á D. Anselmo García un vale Real de 150 pes s, creación de 15 de Setiembre , núm. ai 1,311 , con endoso</t>
  </si>
  <si>
    <t>Martínez de Ilervas, Juan Francisco</t>
  </si>
  <si>
    <t>Juan Francisco Martínez de Ilervas</t>
  </si>
  <si>
    <t>cla, vacante por promoción de D. Pablo Nicolás de San Pedro á otra de Ja santa Iglesia de Toledo, á D. Juan Francisco Martínez de Ilervas: para otra de la misma catedral, vacante por fallecimiento de Don Joachín del Barco, á D. Antonio Martin Cortes: para otra de la colegiata de Alicante, diócesis de Orihuela, vacan</t>
  </si>
  <si>
    <t>Martínez de la Escalera, Francisco</t>
  </si>
  <si>
    <t>Francisco Martínez de la Escalera</t>
  </si>
  <si>
    <t>s estudios de esta corte tuvieron el 15 de este mes ejercicio público de matemáticas puras y mixtas D. Francisco Martínez de la Escalera, Teniente de brulote graduado de la Real armada, D. Pedro Dale sme,D. Joseph María García Rodrigo y D. Joseph Cortines Espinosa, Cadete del regimiento de voluntarios de Castilla :</t>
  </si>
  <si>
    <t>Martinez de la Rosa, Francisco</t>
  </si>
  <si>
    <t>Francisco Martinez de la Rosa</t>
  </si>
  <si>
    <t>xamen de doctrina christiana, historia sagrada y ortología, terminó esta parte del •acto una oda de D. Francisco Martinez de la Rosa, alumno que fué de esta escuela, y colegial en el de S. Miguel. Siguió el eximen.de calografía, en el que los discípulos demostraron las reglas del arte, y presentaron las planas.</t>
  </si>
  <si>
    <t>Martínez de Ortega, Joseph</t>
  </si>
  <si>
    <t>Joseph Martínez de Ortega</t>
  </si>
  <si>
    <t>Angeles á D. Joseph Joachín de Mendiola: para el de Oficial segundo de la misma, que este servia, á D. Joseph Martínez de Ortega: para Interventor de la fábrica de puros y cigarros de la citada factoría á D. Miguel María González ; para Escribiente de la misma fábrica á D. Cayetano Hermenegildo Rubio: para</t>
  </si>
  <si>
    <t>Martínez de Salazar, Manuel</t>
  </si>
  <si>
    <t>Manuel Martínez de Salazar</t>
  </si>
  <si>
    <t>D. Alonso Gome* Alvarez, que debe estar sin endoso alguno , y se ha echado de menos, lo entregará á D. Manuel Martínez de Salazar , del comercio de hierro en Puerta Cerrada. Razón de fincas enagenables. Intendencia de Cataluña. Partido de la ciudad de Gerona: una huerta y casa de Farnes , perteneciente á la</t>
  </si>
  <si>
    <t>bina. En la de Antón Martin, en casa de D. Josef Gómez del Helguera. En Puerta cerrada , en casa de D. Manuel Martínez de Salazar. En los portales de Sta. Cruz, en la tienda de D. Domingo de Larrizagá. En la calle de la Luna , en la lonja titulada de Echenique. En la de Fuencarral, junto á los Agonizantes, e</t>
  </si>
  <si>
    <t>Martínez de Vallejo, Francisco</t>
  </si>
  <si>
    <t>Francisco Martínez de Vallejo</t>
  </si>
  <si>
    <t>smo dia. Quien quisiere hacer mejora acuda á la escribanía del número de D. Juan Antonio de Urraza. D. Francisco Martínez de Vallejo, Marques del Castillo de S. Felipe, avisó en la gazeta de 9 de Abril del año anterior, que habiendo hace años encargado á D. Lorenzo de la Quintana, vecino de la Mavana, dispusies</t>
  </si>
  <si>
    <t>Martínez de Velasco y Horcadas, Joseph</t>
  </si>
  <si>
    <t>Joseph Martínez de Velasco y Horcadas</t>
  </si>
  <si>
    <t>5°3 del Rio y Navarro, D. Antonio García de la Chica y Gutiérrez , D. Joseph Martínez de Velasco y Horcadas, D. Antonio de Montoro y Andrade , D. Joseph Ley y Marqueti, D. Mateo Plowes y Sevilla , D. Joseph Rubion y Gutiérrez de la Huerta, D. Domingo de Mesa y Wandcnhcde, D. Jacinto de</t>
  </si>
  <si>
    <t>Martínez de Viilela, Ignacio</t>
  </si>
  <si>
    <t>Ignacio Martínez de Viilela</t>
  </si>
  <si>
    <t>abrid el 4 de Marzo de este año, y se concluyo ^n igual Jia del mes último. Presidid el acto el Sr. D. Ignacio Martínez de Viilela, del Consejo de S. M., Alcalde de su Real casa y corte , Juez-Protector de este nuevo establecimiento; y fué muy numeroso y lucido el concurso. Por la mañana se abrid el certamen</t>
  </si>
  <si>
    <t>Martínez Espinal, Pedro</t>
  </si>
  <si>
    <t>Pedro Martínez Espinal</t>
  </si>
  <si>
    <t>úmero al supernumerario D. Joseph Gutiérrez de los Ríos; y para Exento supernumerario al J&amp;rigadier D. Pedro Martínez Espinal. Para fin Basten de Exento de número de la Americana al supernumerario D. Francisco Carmena; y para dos Bastones supernumerarios al Brigadier D. Félix Calvin©, y al Cadete Conde d</t>
  </si>
  <si>
    <t>Martínez Hervas, Joseph</t>
  </si>
  <si>
    <t>Joseph Martínez Hervas</t>
  </si>
  <si>
    <t>; y ha concedido grados de Tenientes de milicias Provinciales á D. Remigio de Argumosa y Bourke y á D. Joseph Martínez Hervas, agregados al Ministerio de S. M. en Prusia. S. M. se ha dignado nombrar primer Teniente en el regimiento de caballería de Calatrava al segundo D. Juan de Grassa. En atención á lo</t>
  </si>
  <si>
    <t>Martínez Marina, Manuel</t>
  </si>
  <si>
    <t>Manuel Martínez Marina</t>
  </si>
  <si>
    <t>ón se reserva para la conclusión de cada curso respectivo. El primer premio de dibuxo se adjudicó á D. Manuel Martínez Marina, y el segundo á D. Diego de San Pedro. Los premios distribuidos en ámbos certámenes fueron para matemática, exemplares del Curso abreviado de D. Benito Bails y de Ja Aritmética de</t>
  </si>
  <si>
    <t>Martínez Marina, Miguel</t>
  </si>
  <si>
    <t>Miguel Martínez Marina</t>
  </si>
  <si>
    <t>taron diferentes pasages de la Historia de la Religión por el Fleuri, todo á dirección del profesor D. Miguel Martínez Marina. Concluido el certamen, y dados al descanso los dias del carnaval, se procedió en la mañana del miércoles 26 á la adjudicación de los premios; y el Exc. Sr. promotor, después de h</t>
  </si>
  <si>
    <t>Martínez Mazas, Joseph</t>
  </si>
  <si>
    <t>Joseph Martínez Mazas</t>
  </si>
  <si>
    <t>los individuos de esta sociedad, singularmente su Director D. Fernando María de Valenzuela y Prado, D. Joseph Martínez Mazas, Dean de esta santa iglesia, el Arcediano de Jaén D. Joseph Gómez , D.Fernando y D. Juan joseph de Aranda, hermanos,caballeros maestrantes, y D. Andrés de Üjedma, Coronel de exére</t>
  </si>
  <si>
    <t>Martínez Muxica, Gerónimo</t>
  </si>
  <si>
    <t>Gerónimo Martínez Muxica</t>
  </si>
  <si>
    <t>Hoya, en la diócesis de Tuy, que resulta vacante oor fallecimiento de D. Lorenzo Fernandez Cueto, á Don Gerónimo Martínez Muxica. En el regimiento de Reales Guardias Walonas se ha servido el Rey promover á primer Teniente de granaderos al de fusileros D. Manuel de la Barre; á primer Ayudante mayor al primer</t>
  </si>
  <si>
    <t>Martínez Orosa, Antonio</t>
  </si>
  <si>
    <t>Antonio Martínez Orosa</t>
  </si>
  <si>
    <t>dez, D. Manuel Santiago Rengel y 2&gt;. Francisco de Coniferas; á primeros Subtenientes á los segundos D. Antonio Martínez Orosa , D. Ramón de Vidondo , D. Juan Osorno, D. Manuel Teresa Vázquez, D. Vicente Moreno y D. Salvador Melgar, y á sey u. remando Arraga' ríos de Aragón á segundo Ayudante al primer Te</t>
  </si>
  <si>
    <t>Martínez Toledano, Luis</t>
  </si>
  <si>
    <t>Luis Martínez Toledano</t>
  </si>
  <si>
    <t>teniente de granaderos al primer Subteniente D. Luis Perez de Anda; á primer Subteniente al segundo D. Luis Martínez Toledano, y á segundo Subteniente al Cadete D. Eustaquio Yerro de Olavarria: en el de Córdoba á Ayudante al primer Teniente D. Juan de la Mata; á primeros Tenientes á los segundos de grana</t>
  </si>
  <si>
    <t>Martínez Vados, Francisco</t>
  </si>
  <si>
    <t>Francisco Martínez Vados</t>
  </si>
  <si>
    <t>io de S. Nicolás de la ciudad de Cuenca, vacante por fallecimiento de D. Isidro Hernández Huerta, á D. Francisco Martínez Vados: para la Prestamera de la villa de Montalbo, en la misma diócesis de Cuenca, vacante por muerte de D. Martin Trasviña, á D. Francisco Arias Ximenez, mediante no poder tener efecto</t>
  </si>
  <si>
    <t>Martínez Vallejo, Ramón</t>
  </si>
  <si>
    <t>Ramón Martínez Vallejo</t>
  </si>
  <si>
    <t>ero: Subtenencias de granaderos y cazadores en los de Laredo y Lugo á los Subtenientes de fusileros D. Ramón Martínez Vallejo y D. Antonio Gayoso Montenegro: Subtenencia de granaderos en el de Toro á D. Antonio Conde Süarez, Subteniente de fusileros; y Subtenencias de bandera en los de Logroño, Grana</t>
  </si>
  <si>
    <t>Martínez Valsa, Domingo</t>
  </si>
  <si>
    <t>Domingo Martínez Valsa</t>
  </si>
  <si>
    <t>ca á D. Cayetano Hermenegildo Rubio: para Contador de la factoría de la misma renta en Vadladolid á D. Domingo Martínez Valsa: para Oficial mayor de dicha contaduría á D. Benito Ib. arrendó: para Oficial segundo de ella á D. Joseph Joachín de Villar; y para Oficial tercero de la misma á D. Joseph Mariáno</t>
  </si>
  <si>
    <t>Martínez, Bartolomé</t>
  </si>
  <si>
    <t>Bartolomé Martínez</t>
  </si>
  <si>
    <t>de Alcira al Subteniente agregado D. Miguel Castell y á D. Cárlos Torres: en el de Lorca al Cadete D. Bartolomé Martínez: en el de Avila á D. Diego Castrillon: en el de Alicante y Orihuela ai Subteniente agregado D.. \ icente Escolano; y en el de Orense á D. Luis Senra. Asimismo lia nombrado S. M. S</t>
  </si>
  <si>
    <t>Martínez, Cayetano</t>
  </si>
  <si>
    <t>Cayetano Martínez</t>
  </si>
  <si>
    <t>do el Rey conferir los empleos siguientes: el de Ayudante del regimiento provincial de Valladolid á Don Cayetano Martínez, Ayudante del de infantería de Granada; y al segundo Teniente de granaderos de este mismo cuerpo D. Joseph de la Cruz, igual empleo en el provincial de Pontevedra: el de Ayudante</t>
  </si>
  <si>
    <t>Martínez, Felipe</t>
  </si>
  <si>
    <t>Felipe Martínez</t>
  </si>
  <si>
    <t>e Bernarda Martínez Hevia , natural de la villa del Escuria.1, hija legítima de Felipe Martínez, natural de la villa de Fuentes de Ebro, en el Reyno de Aragón, y.de Jacinta de Hevia, de la Pola de Siero, obispado de Oviedo, muger que fue de Vicente Baquer ? morador de dicho Real siti</t>
  </si>
  <si>
    <t>Martínez, Fernando</t>
  </si>
  <si>
    <t>Fernando Martínez</t>
  </si>
  <si>
    <t>Joseph María Sánchez : en el de Chinchilla Compañías de fusileros á los Tenientes D. Joseph Cutoli, D. Fernando Martínez y D. Sebastian García, el primero de cazadores; y Tenencia de fusileros ai Subteniente D. Julián González: la Tenencia de granaderos del de Alcázar de S. Juan al de fusileros graduado</t>
  </si>
  <si>
    <t>l primer Teniente de granaderos D. Fernando Morett; á primer Teniente de granaderos al de fusileros D. Fernando Martínez; á primeros Tenientes á los segundos de granaderos D. Santiago Montero y D. Joseph Montero; á segundos Tenientes de granaderos á los de fusileros D. Manuel Fernandez de Olarte, D.</t>
  </si>
  <si>
    <t>Martínez, Joachín</t>
  </si>
  <si>
    <t>Joachín Martínez</t>
  </si>
  <si>
    <t>e S. Juan de Letran en Valladolid: para otra de la colegial de Alfaro, vacante por fallecimiento de D. Joachín Martínez, á D. Joseph María de Mesa, Capellán que fue de la Armada; y para una de las quatro Capellanías menores del Real monasterio de la Visitación de Madrid, vacante por renuncia de D.</t>
  </si>
  <si>
    <t>Martínez, Jorge</t>
  </si>
  <si>
    <t>Jorge Martínez</t>
  </si>
  <si>
    <t>Préstamo de la parroquia de Vaíde-Nuño, en este arzobispado, vacante por haber contraído matrimonio D. Jorge Martínez, á D. Andrés Saturnino Duarte. ; En el Real cuerpo de Ingenieros del exército ha promovido S. M. á Ingeniero en xefe á D.Francisco Villarocl, que era Ingeniero en segundo; á este</t>
  </si>
  <si>
    <t>Martínez, Joseph</t>
  </si>
  <si>
    <t>Joseph Martínez</t>
  </si>
  <si>
    <t>bandera á D. Alfonso Ximenez : en el de Sevilla las Subtenencias de bandera al Soldado distinguido, D. Joseph Martínez y D. Gerónimo García Valladares y Rioja; y en los de’</t>
  </si>
  <si>
    <t>Martinez, Joseph</t>
  </si>
  <si>
    <t>Joseph Martinez</t>
  </si>
  <si>
    <t>esulta al primer Teniente agregado al de Calatrava D. Andrés Marín , y a Alférez al Portaestandarte D. Joseph Martinez : en el de España á segundo Teniente ál Alférez ’D. Juan Maíast: en el citado de Calatrava á Portaes</t>
  </si>
  <si>
    <t>uintanar, D. Joseph Antonio de Jos Heros y D. ígnacio Ormachea, y á Portaguiones á D. Joseph Solis, D. Joseph Martínez y D. Manuel Rubio. El Consejo á consulta de la Comisión gubernativa, y con aprobación de S. M. ha acordado la qnarta amortización de 888 Vales de 300 pesos.de la creación de 10 de Abr</t>
  </si>
  <si>
    <t>Martínez, Juan Joseph</t>
  </si>
  <si>
    <t>Juan Joseph Martínez</t>
  </si>
  <si>
    <t>la misma D. Vicente Rodrigo de Mena: para otra de la Catedral de León, vacante por fallecimiento de D. Juan Joseph Martínez, á D. Lino Alfonso García Alambra, con retención de la Prestamera que goza en la villa de Tarancon, obispado de Cuenca: para la dignidad de Prior de la Colegial de Baza, diócesis</t>
  </si>
  <si>
    <t>El Rey se lia servido conferir el empleo de Sargento mayor del regimiento provincial de Salamanca á D. Juan Joseph Martínez, Capitán del de infantería de España; y ha tenido á bien exonerar á D. Juan Cazorla del de Secretario de la Capitanía General de Andalucía, nombrando para que lo sirva en propieda</t>
  </si>
  <si>
    <t>Martínez, Juan Manuel</t>
  </si>
  <si>
    <t>Juan Manuel Martínez</t>
  </si>
  <si>
    <t>ien tuviese alguna noticia de qualquiera de los expresados ó de sus herederos , Ja comunicará al P. D. Juan ManueLMartinez , presbítero en la congregación del Oratorio de dicha villa. El D. Tadeo se hallaba el afio de 1754 cabo de esquadra del regimiento de Lombardía , y de bandera en la ciudad de Cal</t>
  </si>
  <si>
    <t>Martínez, Manuel</t>
  </si>
  <si>
    <t>Manuel Martínez</t>
  </si>
  <si>
    <t>Joseph de Mérida Ximenéz; y la de Administrador particular de aguardientes del sitio del Corozal á D. Manuel Martínez. Correspondiendo el Consejo á los vivos deseos de S. M. ha acordado á consulta de la Comisión gubernativa de Consolidación de Vales y Caxas de Extinción y Descuentos, que desde lu</t>
  </si>
  <si>
    <t>Martínez, Martín</t>
  </si>
  <si>
    <t>Martín Martínez</t>
  </si>
  <si>
    <t>e Soria, graduado de Coronel, D. Vicente Martorell; á primer Teniente de granaderos al de fusileros D. Martin Martínez; á primer Teniente al segundo de granaderos D. Joseph Nieto ; á esta resulta al segundo Teniente D. Joachin de Magarola; á segundo Teniente al Subteniente de granaderos D. Vicente</t>
  </si>
  <si>
    <t>Martínez, Pedro</t>
  </si>
  <si>
    <t>Pedro Martínez</t>
  </si>
  <si>
    <t>segundo Teniente al Subteniente de granaderos D. Angel Carril; á esta resulta al primer Subteniente D. Pedro Martínez ; á primer Subteniente al segundo D. Francisco Matute Rubio, y á segundos Subtenientes al Cadete D. Gregorio Sanz de Santuola y al Sargento primero de granaderos Don Francisco Per</t>
  </si>
  <si>
    <t>l adelantamiento:\é Instrucción que habían adquirido en el curso. Los que salieron premiados fueron D. Pedro Martínez con el arte de D. Torquato Torio de la Riva (primer premio del aula): Don Juan Perez de Marure con el Diccionario de la Real academia que franqueó la generosidad del Sr. President</t>
  </si>
  <si>
    <t>Martínez, Pedro Miguel</t>
  </si>
  <si>
    <t>Pedro Miguel Martínez</t>
  </si>
  <si>
    <t>tedral de Caracas á D. Joseph Carballo y Banguemert: para el Arcedianato, que este dexa, al Chantre D. Pedro Miguel Martínez: para la Chantría al Tesorero D. Antonio Patricio de Alcalá: para la Maestrescolía al Canónigo Magistral D. Joseph Francisco López Mendez: para la Tesorería al Canónigo D. Baltasa</t>
  </si>
  <si>
    <t>i para vivir cón mas libertad y economía. . .Madrid 22 de Agostof ( E I Rey se ha servido nombrar á D. Pedro Miguel Martínez , Arcediano de la catedral de Caracas, en América, para el Deanato de la misma: para esta resulta al Chantre D. Antonio Patricio de Alcalá: pira la Chantría al Maestrescuela D: Jo</t>
  </si>
  <si>
    <t>Martínez, Sebastián</t>
  </si>
  <si>
    <t>Sebastián Martínez</t>
  </si>
  <si>
    <t>general D. Pedro Roca, para que en las enfermedades ó legítimas ausencias del actual Tesorero mayor D, Sebastian Martínez,^ le substituya en la firma, poniendo ántes de ella el motivo per que lo executa.. T.endráse entendido en la Tesorería general para su cumplimiento. 3Señalado de la Real mano en A</t>
  </si>
  <si>
    <t>Rey expedir el decreto siguiente: „ Sin embargo de las reiteradas instancias de mi Tesorero general D. Sebastian Martínez para que le relevase de su empleo, he dilatado el condes cender á ellas, esperando que restablecido de su grave enfermedad podría continuar sus útiles y distinguidos servicios; pe</t>
  </si>
  <si>
    <t>endo con el mayor. Y se previene ai público que sin embargo de haberse dignado S. M. jubilar al Sr. D. Sebastian Martínez, y relevarle de las penosas tareas de la Tesorería general en consideración al notorio quebranta de su salud , saldrán cori su firma no solamente los referidos vafes de la renovac</t>
  </si>
  <si>
    <t>endo con el mayor. Y se previene al público que sin embargo de haberse dignado S. M. jubilar al Sr. D. Sebastian Martínez, y-relevarle de las penosas tareas de la Tesorería general en consideración1 al notorio quebranto de su salud, saldrán con su firma no solamente los referidos vales de la renovaci</t>
  </si>
  <si>
    <t>Martorell, Vicente</t>
  </si>
  <si>
    <t>Vicente Martorell</t>
  </si>
  <si>
    <t>Teniente Coronel al Comandante de! tercer batallón del de infantería de Soria, graduado de Coronel, D. Vicente Martorell; á primer Teniente de granaderos al de fusileros D. Martin Martínez; á primer Teniente al segundo de granaderos D. Joseph Nieto ; á esta resulta al segundo Teniente D. Joachin de</t>
  </si>
  <si>
    <t>Marull, Pedro</t>
  </si>
  <si>
    <t>Pedro Marull</t>
  </si>
  <si>
    <t>e Figueras, Corregimiento de Gerona.................... ............... 55. 30. Pedro Marull, hijo de otro y Reparada, natural de San Pol, Corregimiento de Gerona...................................... 52. 19. Josejph Culell, hijo de otro y María, natural de Ridaura, Corregimien</t>
  </si>
  <si>
    <t>Mas, Joseph</t>
  </si>
  <si>
    <t>Joseph Mas</t>
  </si>
  <si>
    <t>atural de Riüdarenas , Corregimiento de Gerona........... ............. 5$. 30. Joseph Mas , hijo de Gregorio y Francisca , natural de Furiosos, Corregimiento de Mataró......... .................... 41* 17* Ramón Boix , hijo de Estéban y Margarita , natural de Caimmajó, Correg</t>
  </si>
  <si>
    <t>Mas, Juan Bautista</t>
  </si>
  <si>
    <t>Juan Bautista Mas</t>
  </si>
  <si>
    <t>s escuelas de las casas de huérfanos de S. Vicente, Ntra. Sra. de la Misericordia, y fundaciones de D. Juan Bautista Mas: dos por el censor Don Joseph Ribero: quatro por el contador D. Manuel de Velasco: «eis por</t>
  </si>
  <si>
    <t>uelas de las casas cíe huérfanos de S. Vicente, nuestra Señora de la Misericordia, y fundaciones de D. Juan Bautista Mas, baxo las mismas condiciones y examen. Agricultura. 300 rs. al que presentase el método de mejorar el aceyte, reducido á práctica de modo que iguale al de Aix, é indique como pudi</t>
  </si>
  <si>
    <t>Masarnau, Antonio</t>
  </si>
  <si>
    <t>Antonio Masarnau</t>
  </si>
  <si>
    <t>ará desde el ju-tes en el despacho de la imprenta Rjpl: en el Rqal ,-ritió de Aran juez en .casa de D. Antonio Masarnau j, y en .Cádiz en la. de IX WLanmel Navarro. Por providencias del Sr.. D. JüaA Antonio Santa MaríaTeniente Corregidor de esta villa, se subastan $ casas en ésta corte. Una en la c</t>
  </si>
  <si>
    <t>allará desde el jueves en el despacho de ia imprenta Real : en el Real sitio de Aranjuez en casa de D. Antonio Masarnau; y en Cádiz en la de D. Manuel Navarro. Se desea saber el paradero de la viuda de Pedro Ventura; este murió habrá 10 años , habiendo pasado unos 6 en el término de Cañamás r obisp</t>
  </si>
  <si>
    <t>de Junio se hallará en el despacho de la imprenta Real, en el Real sitio de S. Ildefonso en casa de D. Antonio Masarnau, y fcn Cádiz en casa de D. Manuel Navarro* El 3$ de este mes por la mañana , desde la tesorería, por las Platerías, Plaza mayor hasta la calle del Lobo, se perdió un libramiento d</t>
  </si>
  <si>
    <t>hallará desde mañana en el despacho de la imprenta Real, en el Real sitio de S. Lorenzo en casa de D. Antonio Masarnau, y en Cádiz en la de D. Manuel Navarro. Los subscriptores á la Apología de la Teología escolástica del R. P. Castro* que no hubiesen recogido los últimos tomos, acudirán á recoger</t>
  </si>
  <si>
    <t>Masarnauj, Antonio</t>
  </si>
  <si>
    <t>Antonio Masarnauj</t>
  </si>
  <si>
    <t>ico de Marzo se hallará en el despacho de la imprenta Real; en el Real sitio de Aranjuez en casa de D. Antonio Masarnauj y en Cádiz en la de D. Manuel Navarro. A ;D. Pablo Le Roux, del comercio de Sevilla , se le han extraviado dos vrles Reales , el uno de 300 pesos, creación de 10 de Abril de 99 , núm.</t>
  </si>
  <si>
    <t>Mascareñas, Manuel</t>
  </si>
  <si>
    <t>Manuel Mascareñas</t>
  </si>
  <si>
    <t>El Rey fia conferido en los regimientos provinciales el empico de Coronel del dé Monterey á D. Manuel Mascareñas, Teniente Coronel del mis-' mo cuerpo, graduado de infantería; la compañía de cazadores del de Jaénal Capitán de fusileros D. Luis de Martos Villareal; empleo de Capitán de fusile</t>
  </si>
  <si>
    <t>Masdevall, Joseph</t>
  </si>
  <si>
    <t>Joseph Masdevall</t>
  </si>
  <si>
    <t>orregimientos y partidos, con ti método feliz pronto y seguro de curar semejantes enfermedades: por Don Joseph Masdevall. Sa hallará en el despacho.de la imprenta Rea; ; en Cádiz en la librarla de Quintana , y en Sevilla en la de Blanchard y compañía. _ El ti de Agosto ar timo se extraviaron 17 vale</t>
  </si>
  <si>
    <t>Mask</t>
  </si>
  <si>
    <t>r431 no lie gó hasta el 21 á Maguncia. El 22 salió de aquí Mr. Mask para Viena. Londres 26de Abril. A caba de ajustarse un nuevo tratado entre esta corte y la sublime Puerta, por el qtial se obligan las dos partes contratantes á no hacer separadam</t>
  </si>
  <si>
    <t>Massena</t>
  </si>
  <si>
    <t>resumirá el mando del ala derecha del de Italia. Hoy llego aquí el General eri xefe Massena, y fue recibido con salva de. artillería. __ Mañana se esperan 3$) hombres de tropas que vienen de Suiza. Milán $ como Los austríacos miran al Emperador de Ene</t>
  </si>
  <si>
    <t>Massena, General</t>
  </si>
  <si>
    <t>General Massena</t>
  </si>
  <si>
    <t>ede destinarlas sin anuencia del Cuerpo legislativo. ■ * 1 Zurich 28 de Noviembre, A yer recibió el General Massena un correo con aviso de estar nombrado el General Moreau para reemplazarle en el mando del exército del J Rhin; y saldrá de aquí mañana para ponerse al frente del de Italia yendo á</t>
  </si>
  <si>
    <t>ones y mucha artillería. Ya no se habla del ajuste de un armisticio entre el Archiduque Carlos y el General Massena. París 8 de Diciembre. L os rehenes de Toscana y Lúea, que están en Dijon, han escrito al Cónsul Buonaparte solicitando permiso para restituirse á su patria. Se ha aprovechado de</t>
  </si>
  <si>
    <t>El General Thureau , Comandante de la segunda división , pasa al exército de Italia á solicitud del General Massena. strasburgo 3 de Enero de 1800. E 1 día último del año llegó á esta plaza el quartel general del ala izquierda del exército del Rhin. También ha venido de Haguenau el General Bara</t>
  </si>
  <si>
    <t>ición hecha prisionera en Goni llegó aquí el 25 de Diciembre. __Cinco diás después llegó también el General Massena, y el i.°del corriente siguió su marcha al exército de Italia. El General de brigada Gilly, que manda en esta ciudad, ha recibido or-r den de ir al exército del Rhin. A causa de u</t>
  </si>
  <si>
    <t>Marbot para Niza:, donde está, el quartel general de aquel exército, y allí esperará la llegada del General Massena. Permanecen ios exércitos en su anterior situación: los franceses conservan la línea de Stori, que se extiende hasta mas allá de Chiavari. Los aus-: íriacos se han acercado algo á</t>
  </si>
  <si>
    <t>, entre Loano y la Pietra 400, en Finale 3®, y cerca de 4® en Savona y sus contornos. Dícese que el General Massena llegará en breve á la ribera de levante con 4® granaderos. Génova 14 de Enero, L os austríacos, que habían evacuado la mayor parte de la ribera de levante , han vuelto á adelantar</t>
  </si>
  <si>
    <t>, acudía allí grandísimo número de gente de los pubblos inmediatos. ~ Se ha publicado una ó/den del General Massena de 26 de Enero, que substancialmentc dice: „Informado el Geñeral en xefe de que algunos carabineros, granaderos y soldados de lá í8.a media brigada de mié n te ría ligera. y de otras</t>
  </si>
  <si>
    <t>Massená, General</t>
  </si>
  <si>
    <t>General Massená</t>
  </si>
  <si>
    <t>e con el de Herschell, que tiene mas de 40 pies de largo. ■ Con fecha de 3 del corriente escribe el General Massená al Ministro de la Guerra que la brigada del General Darnaud marchó el 26 de Enero hacia Chíavari y Sestri de levante ; cogió 30 prisioneros, y se apoderó de un repuesto de granos</t>
  </si>
  <si>
    <t>s hay 150 especies no conocidas hasta ahora. Genova 12 de Febrero. E 1 dia 8 llegó á esta ciudad el General Massena: fue recibido con salva de artillería, y por la noche hubo iluminación en el teatro. Con su llegada</t>
  </si>
  <si>
    <t>an, estaríamos sin inquietud en quanto á los intentos de los enemigos. De resultas de la venida del General Massena se han hecho varias mudanzas en la comisión ó junta de gobierno, y se ha nombrado al ciud. Corvetto para Ministro de Relaciones exteriores, y Comisario del ‘gobierno cerca de dich</t>
  </si>
  <si>
    <t>ue les envió el General austríaco Klenau, y están dirigidos por oficiales austríacos. Por orden del General Massena han salido 2 batallones para Torriglia,</t>
  </si>
  <si>
    <t>do auxilios para ir á Niza. Con el mismo objeto de disminuir el numero de bocas inútiles, intimó el General Massena á todos los franceses, que no sirven en el exército, se alejen también de esta ciudad. Madrid 8 de Abril. E I Rey se ha servido nombrar para el Magisterio de la capilla del conven</t>
  </si>
  <si>
    <t>Genova 1 de Marzo. E i primer Cónsul de la República francesa ha confirmado el nombramiento que el General en xefe Massena hizo de los Generales Soult y Suchet para Tenientes Generales de su exército. El primero mandará el ala derecha, y tiene su qiiartel en Genova. El segundo, que manda el centro, ti</t>
  </si>
  <si>
    <t>sacos de granos y otras vituallas. Los insurgentes de Fontana-Bona respondiéron á las proclamas del General Massena y de esta Junta de gobierno, que no se habían armado contra los franceses ni contra los genoveses, sino contra los que saqueaban su pais, y para defender sus hogares y familia. Por consi</t>
  </si>
  <si>
    <t>raídas en campaña no puedan servir en los exércitos, y puedan emplearse en el servicio interior. El General Massena ha escrito al Ministro de Guerra la siguiente carta fecha en el quartel general de Genova á 16 de Marzo: „ De Jos reductos de Montenesino despachó el dia 13 el General Gardanne un</t>
  </si>
  <si>
    <t>34) Genova 26 de Marzo. E 1 General Massena fue á visitar el castillo de Gavi, y le halló bien provisto de municiones y víveres, guarnecido con mucha artillería, y en estado de sostener largo tiempo un sitio. Han enviado lo</t>
  </si>
  <si>
    <t>niente causa general descontento.. Como vuelve á sentirse aquí la carestía de granos, ha enviado el General Massena uno de- sus Ayudantes á Niza y á Marsella para que envíen quanto ántes los que puedan, i-» Madrid 2 de Mayo. JLLl Rey se ha servido nombrar para una Canongía de la catedral de Bar</t>
  </si>
  <si>
    <t>mas apriesa de lo que se había adelantado, é hizo prisionera mas de la mitad de aquella gente.__ El General en xefe Massena ha reconcentrado todas sus fuerzas en la ribera de Génova ; pero envió una media brigada á aquella ciudad. El plan de guerra adoptado por el gobierno consiste en mantener todas la</t>
  </si>
  <si>
    <t>ollis atacado en la ribera de levante, y tuvo por entonces que replegarse; pero el 7 acudió allí el General Massena, derrotó á los austríacos, y cogió 2500 prisioneros, entre los quales se halla el Mayor general Barón de Aspres___ El 10 atacó el mismo General á los enemigos por Sasella y por Al</t>
  </si>
  <si>
    <t>erra. Hacia aquellos puntos liabian desembarcado tropas inglesas, que reforzaron á los enemigos. El General Massena se hallaba cerca de Genova con las divisiones i.a, 2.a y 3.a; y en fuerza del movimiento del enemigo estaba bloqueado, y sin comunicación con las divisiones 4.a y 5.a, que ocupaba</t>
  </si>
  <si>
    <t>el xefe de la plana mayor Oudinot la siguiente carta al primer Cónsul : „ Mi General. Hallándose el General Massena en continuo movimiento desde el dia 6, y no pudiendo por consiguiente escribiros, suplo yo esta falta. Los enemigos nos atacaron dicho dia por toda la línea, y fuéron rechazados en</t>
  </si>
  <si>
    <t>austríacos, parte de ellos hechos en la derecha de Génova, y parte en las alturas de Savona: qué el General Massena está hácia el monte de Santiago, cuyo puesto conservamos: y que los enemigos ocupan á Final y Savona; pero no la ciudadela de esta última plaza: y que entre las dos ciudades quedaba</t>
  </si>
  <si>
    <t>: „Escriben de Niza que habiendo los enemigos presentado fuerzas muy crecidas, no pudo conseguir el General Massena que abandonasen sus puestos, por lo qual acordó replegarse á Genova. El 23 de Abril tenia dicho General sus puestos avanzados en Cornigliano, y todas las alturas de Genova estaban</t>
  </si>
  <si>
    <t>general del Conde Hohenzollern se hallaba el 15 en Lavezzari, entre la Bocchétta y Campo-Maron. El General Massena ha reconcentrado sus tropas al rededor de Genova. De Novi escriben que parte del cuerpo que manda el General Ott ha dexado la ribera de levante para reunirse con el exército princ</t>
  </si>
  <si>
    <t>arta: .„Las noticias que he recibido del exército de Italia con fecha de 3 de Mayo contienen que el General Massena se defiende como un león en Genova, y los enemigos no se atreven á, bloquear todavía aquella ciudad sino desde '.puntos muy distantes. En una salida que hizo’dicho General cogió 1</t>
  </si>
  <si>
    <t>mo mandaba, atacaron también 3 veces al General Barón de Latrermann en sus puestos de Arbizzola. El General Massena estaba al frente de sus tropas; pero fueron infructuosos sus ataques, pues los valerosos granaderos de Schiaífínetti, Paar, y Weber, consiguieron rechazar las tentativas que hiciero</t>
  </si>
  <si>
    <t>a fuerza militar. 4.0 Se observará este decreto por espacio de 8 dias.”__ Acompaña una proclama del General Massena al pueblo ligúriano, en que expone que esta providencia es indispensable para asegurar la República y la ciudad de Genova contra los esfuerzos de los austríacos. Madrid &lt;f de Juni</t>
  </si>
  <si>
    <t>ro carácter en testimonio dei aprecio y de L perfecta consideración con que quedo &amp;c.V Respondió el General Massena en estos términos: i%Qttartel general de Génova 21 de Abril. Señor General: He recibido la c rta con que me habéis honrado, y en la qual me ofrecéis una capitulación honrosa. No me</t>
  </si>
  <si>
    <t>ltimas noticias que se han recibido cíel exército de Mr. Melas contienen en suma lo siguiente: „ El General Massena hizo dos ó tres salidas de Genova con suerte varia. En una de ellas quedó prisionero, segun dicen, la mayor parte del regimiento aletnan de Teutschmeister. Prosiguen</t>
  </si>
  <si>
    <t>isposiciones para retirarse. Los avisos de las fronteras de Italia expresan con fecha del 18 que el General Massena se defiende todavía en Genova. Quizá dará tiempo á que entren en Italia los franceses: y en ta! caso quedará libre dicho General, y aun podrá obrar ofensivamente contra el exércit</t>
  </si>
  <si>
    <t>a. „Ntza io de Mayo. Tengo la honra de comunicaros las favorables noticias que acabo de recibir del General Massena. En la noche del 3 al 4 hizo una salida contra Voltri, derrotó completamente á los enemigos, y les cogió 1800 prisioneros; y en la noche del 4 al' 5 hizb otros 3©: los quales, jun</t>
  </si>
  <si>
    <t>ad. París 11 de Junio. S e ha publicado una correspondencia del General Suchet, en que da cuenta al General Massena de lo acaecido en territorio de Niza desde el 8 de’ Mayo. Refiere la entrada de los austriacos, y los varios ataques que sostuvo Suchet con unas fuerzas sumamente inferiores. Al fin</t>
  </si>
  <si>
    <t>que llegó aquí el juéves 26 de Junio, se supo que la ciudad de Génova Labia capitulado el dia 5. El General Massena escribió á los Cónsules la siguiente carta con fecha dél jt.. „ Ciudadanos Cónsules. Tengo la honra de remitiros los convenios ajustados para la evacuación de la ciudad de Génova po</t>
  </si>
  <si>
    <t>tropas francesas, así mientras esten en esta ciudad como durante su marcha. Resp. Concedido. 15. El General Massena enviará á Piamonte, ó á otra parte que quiera, un oficial al primer Cónsul para avisarle de la evacuación de Génova; y se le dará pasaporte y salvo-conducto. Resp. Concedido. 16. Lo</t>
  </si>
  <si>
    <t>ismo dia que se despachó la orden al General Ott para que levantase ei bloqueo de Genova , pidió el General Massena capitulación por la total falta de víveres. Parece que Massena tiene io© combatientes baxo sus órdenes : el General Suchet tiene casi otros tantos; y si ambos cuerpos se han reuni</t>
  </si>
  <si>
    <t>no tendrán por objeto los enemigos la conservación de Italia , sino su retirada á las fronteras. Ki General Massena se habrá ya juntado con el: General Suchet, habrá llegado á Oneilla , y no tardará en entrar en Píamente.” Exército del Rhin.■ El General de división Dcssollé ha escrito substanci</t>
  </si>
  <si>
    <t>s en la ribera de Génova se devuelven con igual libertad de poder servir desde luego.” Añade que el General en xefe Massena salió de Génova la noche del 4 al 5 en una fragata ingLsa para las costas de Francia. La primer coluna de la guarnición salió la mañana siguiente: los austríacos tomaron posesión</t>
  </si>
  <si>
    <t>6 2 "I •friñcc'es desde el 30 de Mayo en estos departamentos’. ' . FT General Massena desembarcó el día 7 en Antibo, desde donde vino a KÍ7'i F1 General Garnier salió á recibirle con una compañía de granaderos austríacos; y Massena se embarco aquí el día 8 para Puerto</t>
  </si>
  <si>
    <t>timas noticias de los exércitos publicadas de oficio son las siguientes : ,, Exército de Italia. El General en xefe Massena al Ministro de la Guerra. Quart el general de Final iG de Junto. Las operaciones militares-se</t>
  </si>
  <si>
    <t>reserva y de Italia forman ya uno solo baxo el nombre de exército de Italia. Lo mandará en xefe el General Massena. £1 General Berthier ha llegado á Turin para arreglar el gobierno de Piamonte. El General Suchet ocupó el dia 23 todos los castillos de Génova. Se ha encontrado allí toda la artil</t>
  </si>
  <si>
    <t>s barcos dar $óo® francos al Almirante ingles para que los dexase libres. . Milán j ° de Julios E I General Massena está arreglando á íoda priesa ;su exército, el qual consta de 8 divisiones de infantería y 2 de ¿abacería, que así que se completen formarán un total de 160® hoknbresi t; /. rr, ; :</t>
  </si>
  <si>
    <t>donde los transfirieron á Verona mientras se daba la batalla de Marengo; y que en vista de esto el General Massena detiene á los empleados austriacos que habia aquí, y retarda dar la artillería y las municiones que conforme al tenor del armisticio debe entregar á los austriacos. Los austriacos qu</t>
  </si>
  <si>
    <t>aint-Julien llegó de Vicna á París el dia 21: pasó por Milán, y viene acompañándole un Ayudante Jei General Massena. Está encargado por S. M. el Emperador de arreglar con el gobierno francés las condiciones de un armisticio general, y tratar de varias circunstancias ocurridas en el cumplimiento</t>
  </si>
  <si>
    <t>les, que estaba en Liorna, tuvo algún rezelo, y se retiró á bordo del navio del Almirante Keith. El General Massena publicó hoy. una orden en que substancialmente dice: „ Sabiendo que la ciudad y país de Luca han ultrajado con actos públicos á la República francesa, á su gobierno, y á muchos ci</t>
  </si>
  <si>
    <t>Madrid en calidad de Embaxadór extraordinario.. Milán 24.de Julio.. A ntes de ayer salió de aquí el General Massena para Turin, en donde pasará -revista á la parte de su exército, que está en aquel paísLos franceses fortifican las orillas del Po y del Oglio^pero h« el col de Tenda, como lo han</t>
  </si>
  <si>
    <t>l primero.” Milán de Julio. E n conseqüerieia de un convenio ajustado entre los Generales Massena y Melas, está enteramente libre la navegación del Po. La comunicación de los habitantes de Bolonia y Ferrara con el país de Mantua se permite también por Borgoforte y</t>
  </si>
  <si>
    <t>nacionales en todas las ciudades de Piamonte. La junta interina de este gobierno envió diputados al General Massena en Milán para hacerle presente el estado lastimoso en que ios austríacos han dexado este pais, y para concertar con él las disposiciones que se requieran á fin de atender á las nece</t>
  </si>
  <si>
    <t>o de S. Angel. El Sto. Padre ha despachado á Monseñor Spina, Prelado genoves, á conferenciar con el General Massena: se asegura que su encargo es de la mayor importancia. El Cardenal Rutfo , después de acompañar á la Reyna de Ñapóles hasta Ancona, ha ido á Roma en calidad de Ministro plenipoten</t>
  </si>
  <si>
    <t>es. _ Parts 23 de Agosto. Kl General en xefe Bruñe va á Italia á mandar aquel exército en lugar del General Massena, que parece se retira del servicio por enfermo. Antes de dexar Bruñe el mando del exército de reserva, dispuso que algunas de sus tropas marchasen á Italia. El General Canclaux qu</t>
  </si>
  <si>
    <t>gencia las plazas que ocupan las tropas francesas; de lo qual, y de otras disposiciones que toma el General Massena, quieren algunos inferir que no tardarán las hostilidades en romperse. El caballero D. Nicolás Blasco de Orozco, Ministro plenipotenciario de España en la República cisalpina, pre</t>
  </si>
  <si>
    <t>cuerpos de tropas, que después de descansar algunos dias salen para varios puntos de la línea.. El General en xefe Massena ha visitado las fortificaciones que se hacen en Lecco y en otros parages á orillas del Adda. En la fachada de la catedral y del palacio del Arzobispo de esta ciu^ dad, en el lugar</t>
  </si>
  <si>
    <t>e exper -dirán órdenes para seguir la guerra con nuevo empeño. Ha llegado de Milán á esta ciudad el General Massena. Se asegura que el 31 de Agosto llegáron á París 4 correos de Londres en el discurso de 4 horas. Copia traducida del turco de ¡a respuesta de JSIr.Sidney Smith al Crerneral Menoii</t>
  </si>
  <si>
    <t>sp. Concedido según justicia.__ Hecho y concluido en Malta &amp;c.” Titrin 20 de Setiembre. A demas del General Massena han sido retirados del exército 6 Generales de división, 22 Generales de brigada y 12 Ayudantes generales. Uno de los primeros es el General Chabran, que mandaba aquí. Le reemplaz</t>
  </si>
  <si>
    <t>Mathieu, General</t>
  </si>
  <si>
    <t>General Mathieu</t>
  </si>
  <si>
    <t>, é hicimos prisioneros un General y 1500 soldados.” 9íOtro aviso telegráfico. Brest 8 de Junio. El General Mathieu al Ministro de Guerra. No ha producido efecto el desembarco que los ingleses» han hecho en Quiberon. Los enemigos volviéron á embarcarse, y .todo está» sosegado en las costas del</t>
  </si>
  <si>
    <t>haberse hundido un piso que estaba muy recargado, y cedió al demasiado peso. _ París 14 de Jumo. El General Mathieu ha dirigido por el telégrafo el siguiente aviso al Ministro de Guerra. Brest u de Junio. „ En Penmarc se hicieron señales de que los ingleses habían efectuado otro desembarco; per</t>
  </si>
  <si>
    <t>Matis, Francisco</t>
  </si>
  <si>
    <t>Francisco Matis</t>
  </si>
  <si>
    <t>Teniente al segundo de gastadores D. Luis Oriandys á segundo Teniente de gastadores al de cazadores D. Francisco Matis : á segundo Teniente al Subteniente de tiradores D. Pedro López; y á Subteniente de tiradores al de cazadores D. Ramón Carbonero. . ' En el de-caballería de Algarbe se ha servido</t>
  </si>
  <si>
    <t>Mattra</t>
  </si>
  <si>
    <t>occio obliguen á toda la esquadra á retirarse de las aguas de Brest, y acogerse á nuestros puertos. Mr. Mattra há escrito al Lord Grenville la siguiente carta fecha en Gibraltar el 29 de Julio: ,,Según los últimos avisos que he tenido de la costa de Africa, mueren en Tánger de 20 á 30 pers</t>
  </si>
  <si>
    <t>Matute Rubio, Francisco</t>
  </si>
  <si>
    <t>Francisco Matute Rubio</t>
  </si>
  <si>
    <t>el Carril; á esta resulta al primer Subteniente D. Pedro Martínez ; á primer Subteniente al segundo D. Francisco Matute Rubio, y á segundos Subtenientes al Cadete D. Gregorio Sanz de Santuola y al Sargento primero de granaderos Don Francisco Peralta: en el primer batallón de infantería ligera de Cataluña</t>
  </si>
  <si>
    <t>Matute, Agustín</t>
  </si>
  <si>
    <t>Agustín Matute</t>
  </si>
  <si>
    <t>a del 26 tuvimos 75 heridos de todos cuerpos, y muertos por parte de la marina el Teniente de Navio D. Agustín Matute, y el Alférez de Fragata D. Miguel Godoy, que se portaron con bizarría. El Comandante general del departamento hace un particular elogio de la actividad y acierto con que el Maris</t>
  </si>
  <si>
    <t>§44 Capitán de granaderos de Asturias D. Severo de OHver y e- Teniente de Navio D. Agustín Matute. Los heridos los Alféreces de Navio D. Manuel Luengas y D. Antonio Balzoná; y los de Fragata D. Rafael Basabe y D. Tomas de Gana, y el Teniente de granaderos de Monterey D. Joseph</t>
  </si>
  <si>
    <t>Matute, Joseph</t>
  </si>
  <si>
    <t>Joseph Matute</t>
  </si>
  <si>
    <t>mas Uson. . Asimismo ha conferido S. M. el empleo de Capellán del regimiento de dragones de Pavía á D. Joseph Matute , que obtenía el mismo en el de in~ •fantería de Sevilla. En América. En el cuerpo de caballería de Blandengues de Buenos-Ayres ■se ha servido S. M. promover á Capitán al Teniente</t>
  </si>
  <si>
    <t>Maure, Juan Bautista</t>
  </si>
  <si>
    <t>Juan Bautista Maure</t>
  </si>
  <si>
    <t>do Teniente ai Subteniente de granaderos D. Fernando Sangenis; á esta resulta al primer Subteniente D. Juan Bautista Maure ; á primer Subteniente al segundo D. Joachin Fontán, y á segundo Subteniente al Cadete D. Joseph Pardo: e'n e! de Jaén á segundo Teniente al primer Subteniente D. Francisco Munarr</t>
  </si>
  <si>
    <t>Mauri, Cardenal</t>
  </si>
  <si>
    <t>Cardenal Mauri</t>
  </si>
  <si>
    <t>asando por Mittau, en donde fué presentado al Pretendiente. Añaden que también irá á Petersburgo el Cardenal Mauri luego que se cierre el cónclave; pues el Iímperador de Rusia se propone consultarlos sobre todos los asuntos relativos á Erancia. Léese en la gazeta de Praga que el Conde de Suwar</t>
  </si>
  <si>
    <t>Mauri, Ignacio</t>
  </si>
  <si>
    <t>Ignacio Mauri</t>
  </si>
  <si>
    <t>chín de Aguilar, D. Manuel María Cervantes, D. Joseph Salazar, D. Joseph García, D. Gabriel Gala» y D. Ignacio Mauri. Deseando S. M. reformar los teatros, y proporcionar ai pueblo una decente y honesta recreación, desterrando de la escena todas las representaciones que puedan influir en la corru</t>
  </si>
  <si>
    <t>Mauricio Chone de Acha, Joseph</t>
  </si>
  <si>
    <t>Joseph Mauricio Chone de Acha</t>
  </si>
  <si>
    <t>adjudicaron los premios siguientes: una medalla de plata de 4 onzas y patente de •socio de mérito á D. Joseph Mauricio Chone de Acha, Comisario ordenador de los Reales exércitcs, por la memoria que presentó sobre el problema 3.0 de los propuestos en dicha gazeta por el Exc. Sr. Conde de Fuentes, acerca del esta</t>
  </si>
  <si>
    <t>Mauricio de Armfeld, Barón</t>
  </si>
  <si>
    <t>Barón Mauricio de Armfeld</t>
  </si>
  <si>
    <t>stinado para el Mediterráneo. Se asegura que ha conferido S. M. el gobierno general de Pomeránia aí Barón Mauricio de Armfeld. El dia 4 se hizo en Norkoping la coronación del Rey. Créese que la Dieta concluirá sus tareas á tiñes de este mes.</t>
  </si>
  <si>
    <t>Mauricio Ignacio Francisco de Boyer</t>
  </si>
  <si>
    <t>en su puesto , calle de Alcalá. Método fácil para leer y hablar francés sin socorro de maestro; por D. Mauricio Ignacio Francisco de Boyer. Los que se dedican al estudio de las lenguas vivas saben que se adquiere mas fácilmente el conocimiento del idioma, que el uso de su pronunciación : lo primero se consigue con la</t>
  </si>
  <si>
    <t>Mauricio Keating</t>
  </si>
  <si>
    <t>es D* Juan Peirson y D. Guillermo Douning; á Subtenientes de granaderos á los primeros Subtenientes D. Mauricio Keating y D. Pedro Sarsiieid; á primeros Subtenientes á los segundos D. Garlos Montignany, D. Joseph Boery, D. Mateo Colingh, D. Manuel Motes y D. Joseph María Rindelan; y á segundos Subtenie</t>
  </si>
  <si>
    <t>os D. Armando Franqucn y D. Pedro FitzGerald; á segundos Tenientes á los Subtenientes de granaderos D. Mauricio Keating y D. Pedro Sarsfield; á Subtenientes de granaderos á los primeros Subtenientes D. Antonio Peirson y D. Lope Ortiz; á primeros Subtenientes á los segundos D. Pedro Onis y D. Miguel Pei</t>
  </si>
  <si>
    <t>Mauricio López, Tomás</t>
  </si>
  <si>
    <t>Tomás Mauricio López</t>
  </si>
  <si>
    <t>re, parte de Siria &amp;c. Compuesto y dedicado al.Exc. Sr. D. Mariano Luis de Urquijo, por el geógrafo D. Tomas Mauricio López. Se hallará con las demas obras del autor , las de su padre y hermano, calle de Atocha, junto á Sto. Tomas. SUPLEMENTO.</t>
  </si>
  <si>
    <t>han publicado en Paris: obras de mucho mérito, compuestas por Haydn. Mapa de la isla de Malta, por D. Tomas Mauricio López: se hallará coa todas sus obras, las de su padre y hermano, en la calle de Atocha, frente á la casa de los Gremios. EN LA IMPRENTA REAL.</t>
  </si>
  <si>
    <t>Mauricio Pascual Ventura</t>
  </si>
  <si>
    <t>e infantería de Zaragoza al Presbítero D. Rafael Velazquez Romero; y del de las Ordenes Militares á D. Mauricio Pascual Ventura, Capellán de la Real Armada. En los regimientos provinciales se ha servido el Rey conferir los emples siguientes: las compañías de granaderos y cazadores del de Castellón de la Pl</t>
  </si>
  <si>
    <t>Mauricio Sánchez, Diego</t>
  </si>
  <si>
    <t>Diego Mauricio Sánchez</t>
  </si>
  <si>
    <t>rroquial de Santiago de la villa de Utrera, en la diócesis de Sevilla, vacante por fallecimiento de D. Diego Mauricio Sánchez, á D. Martin Leonardo de la Barga, Gobernador, Provisor, Vicario general y Juez Metropolitano que ha sido del arzobispado de Valencia ; y para la Capellanía de Coro de la metropol</t>
  </si>
  <si>
    <t>Mauriz, Manuel Martín</t>
  </si>
  <si>
    <t>Manuel Martín Mauriz</t>
  </si>
  <si>
    <t>ero de la parroquial de S. Julián y Sta. Basilisa de la ciudad de Salamanca, vacante por ascenso de D. Manuel Martin Mauriz á una Ración de la catedral de Segovia, a D. Diego de Bartolomé, con la obligación también de precisa y personal residencia, reteniéndole por esta razón la- renta eclesiástica que</t>
  </si>
  <si>
    <t>Mauson</t>
  </si>
  <si>
    <t>a ciudad pasará por París. En calidad de Secretario dé legación le acompaña; el ciud. Mauson. •p Milán S de Octubre. £&lt;n conseqüencia del convénio de Hoheníinden de 20 de Setiembre sobre la prorogacion de la tregua, se ajustó entre los dos exércitos de</t>
  </si>
  <si>
    <t>Maximiliano de Dos-Puentes, Príncipe</t>
  </si>
  <si>
    <t>Príncipe Maximiliano de Dos-Puentes</t>
  </si>
  <si>
    <t>á su sueldo se reunirán con las del Archiduque Carlos en número dé 12,500 hombres, y las mandará el Príncipe Maximiliano de Dos-Puentes, que era Coronel de un regimiento aleman que estaba al servicio de Francia. Wesel 21 de Febrero. U n cuerpo crecido de tropas hannoverianas se reunirá quanto antes con el exército</t>
  </si>
  <si>
    <t>Maximiliano de DosPuentes, Príncipe</t>
  </si>
  <si>
    <t>Príncipe Maximiliano de DosPuentes</t>
  </si>
  <si>
    <t>as de Stutgard» en donde recibirán instrucciones sobre su posterior destino. Las mandará en xefé el Príncipe Maximiliano de DosPuentes* Se ha enviado de Viena á Petersburgo la sentencia dada por el Consejo de guerra al General Froelich.. Hállase este General privado todavía de todo mando. Otros; oficiales austría</t>
  </si>
  <si>
    <t>Maximino’ Velez</t>
  </si>
  <si>
    <t>spectivas pUzas^dr magisterios presentarán memoriales al Secretario de Ayuntamiento de dicha ciudad D. Maximino’ Velez ,exponiendo sus méritos, y concurrirán á la oposición ó examen á ia misma en los días 2,9 y 3° Octubre. ........ ' V Colección de Cartas histórico-críticas, én que se, convence qu</t>
  </si>
  <si>
    <t>Mayo, Martín</t>
  </si>
  <si>
    <t>Martín Mayo</t>
  </si>
  <si>
    <t>a........... Sres. Moreda y Ladalid. En Falencia.......... D. Nicolás Calonge. En Palma............ D. Martin Mayo!. En Salamanca..... Sres. Gutiérrez y Moral. En Santander...... Sres. Vial é hijo y compañía. En Segovia........... Sres. viuda de D. Joseph Manuel Ramiro y Martin. En Sevilla....</t>
  </si>
  <si>
    <t>Mayol, Martín</t>
  </si>
  <si>
    <t>Martín Mayol</t>
  </si>
  <si>
    <t>rcia........... Sres. Moreda y Ladalid. En Palenda......... D. Nicolás Calonge. En Palma........... D. Martin Mayol. En Salamanca..... Sres. Gutiérrez y Mora!. En Santander...... Sres. Vial é hijo y compañía. En Segovia........... Sres. viuda de D. Joseph Manuel Ramiro y Martin. En Sevilla.....</t>
  </si>
  <si>
    <t>Mayoli, Francisco Ventüra</t>
  </si>
  <si>
    <t>Francisco Ventüra Mayoli</t>
  </si>
  <si>
    <t>ta á D. Pedro Melendez del Castillo. S. M. se ha servido conceder honores de Tesorero de exército á Don Francisco Ventüra Mayoli, Teniente Gobernador del Real sitio de San Fernando; y honores de Comisario ordenador de los Reales exércitos á Don Joseph de lmaz, Administador general de Rentas reunidas de Mála</t>
  </si>
  <si>
    <t>Mayoli, Ramón</t>
  </si>
  <si>
    <t>Ramón Mayoli</t>
  </si>
  <si>
    <t>tenientes á los segundos D. Joachín Rujas y P. Juan Veguer; y á segundos Subtenientes á Jos Cadetes D. Ramón Mayoli y D. Joseph Muro, que lo es del de infantería de Extremadura, y al Sargento primero de granaderos D. Juan Gómez. En el de Córdoba á primeros Tenientes á los segundos de granaderos y f</t>
  </si>
  <si>
    <t>Mayoni, Antonio</t>
  </si>
  <si>
    <t>Antonio Mayoni</t>
  </si>
  <si>
    <t>ento de infantería de .Navarra se ha servido S. M. promover á Capitán de granaderos al de fusileros D. Antonio Mayoni: á Capitán de fusileros aí Ayudante D. Francisco Bertazoni: á Ayudante al primer Teniente D. Antonio Lafuente; á primeros Tenientes los segundos P. Nicolás Gallegos y D, Joseph To</t>
  </si>
  <si>
    <t>Mayor Serrano</t>
  </si>
  <si>
    <t>adía de Animas, tasada en 17,895 rs. y renta 330. Otra situada en calle Porcuna, de la. obra pía de Doña Mayor Serrano , tasada 60.34,476 rs. Un olivar en el camino que va á Lopera , término de dicha villa , con 114 pies, de dicha obra pia,, tasado en 19,360 rs. y renta 341. Una haza de 36 fanegas</t>
  </si>
  <si>
    <t>ente á Ja cofradía del Santísimo, en 9,750. Otra en id. de 14 fan. , perteneciente á la obra pia de Doña Mayor Serrano, en iz,200. Un olivar en el sitio llamado pago de Tragonera , perteneciente al santuario de Ntra. Sra. de la Cabeza , en 374,626. =Torre de Don Ximeno ; una tierra de 21 fanegas e</t>
  </si>
  <si>
    <t>Mazuelo, Dionisio María</t>
  </si>
  <si>
    <t>Dionisio María Mazuelo</t>
  </si>
  <si>
    <t>D. Juan I asaña, D. Antonio Quartas de Castro, D. Francisco Fernandez Rábago, D. Pedro Perez Tagle, D. Dionisio María Mazuelo, D. Pedro Agustín Roncaii, D, Antonio Sacristán y D. Ignacio Vicente Unzeta. En el de infantería de Mallorca á segundo Teniente al Subteniente de granaderos Dbit Jo'epli Mana Gonz</t>
  </si>
  <si>
    <t>Mcerfeld, General</t>
  </si>
  <si>
    <t>General Mcerfeld</t>
  </si>
  <si>
    <t>ho vestuario para la tropa. La situación de los exércitos era el dia 8 en esta forma: el cuerpo del General Mcerfeld , que es parte del ala izquierda austríaca, estaba apostado á dos leguas de Augsburgo, y tenia su quartei general en Goeggingen,. El ala derecha del exército francés se hallaba en</t>
  </si>
  <si>
    <t>Meany, Diego</t>
  </si>
  <si>
    <t>Diego Meany</t>
  </si>
  <si>
    <t>niente al Subteniente de tiradores Don Rafael Mor¡anó? y á esta resulta al Subteniente de cazadores D. Diego Meany: en el batallón de Voluntarios de Tarragona á segundo Ayudante al segundo Teniente D. Marcos Aurelio Monty; á segundo Teniente al primer Subteniente D. Mariano Colomer; á primer S</t>
  </si>
  <si>
    <t>Medina y Urbina, Francisco Antonio</t>
  </si>
  <si>
    <t>Francisco Antonio Medina y Urbina</t>
  </si>
  <si>
    <t>Reyno, á D. Francisco Castro; y el destino de Interventor de la misma factoría, que este obtenía, á D. Francisco Antonio Medina y Urbina. Por Real orden de 31 de Octubre de 1799» que se insertó en la gazeta del viernes i.° de Noviembre siguiente, se sirvió el Rey de conceder á las viudas ó hijos de ambos sexos hast</t>
  </si>
  <si>
    <t>Medina, Joseph</t>
  </si>
  <si>
    <t>Joseph Medina</t>
  </si>
  <si>
    <t>el Rey Cadete de numero al supernumerario D. Rafael Pasqual, y por Cadete supernumerario al Guardia D. Joseph Medina. En atención al distinguido mérito y servicios de D. Pedro Joachin de Murcia, Ministro del Consejo Real, y Colector general de espolios y vacantes, ha venido el Rey en concederle</t>
  </si>
  <si>
    <t>Medina, Pedro</t>
  </si>
  <si>
    <t>Pedro Medina</t>
  </si>
  <si>
    <t>empleo al Sargento primero de granaderos D. Juan Marrufo, y el de Subteniente de bandera al Cadete D. Pedro Medina, todos individuos del mismo batallón. Asimismo ha nombrado S. M. en el esquadron de dragones de América fixlo de la Havana á Teniente al Alférez D. Juan Fernandez; y esta resulta</t>
  </si>
  <si>
    <t>Meerfedt, General</t>
  </si>
  <si>
    <t>General Meerfedt</t>
  </si>
  <si>
    <t>e dicho rio cerca de Augsburgo. En Aicha ha entrado mucha caballería austríaca» Ulm 2 de Junio. E 1 General Meerfedt ha salido de Meszaros con un regimiento de ühíanos y húsares hácia Augsburgo. Igualmente el Príncipe Carlos de Lorena se ha adelantado hácia Donawert con dos regimientos de caball</t>
  </si>
  <si>
    <t>Meerfeld, General</t>
  </si>
  <si>
    <t>General Meerfeld</t>
  </si>
  <si>
    <t>uendorf manda el centro, el qual se extiende hacia Basilea. No léjos de allí se halla el cuerpo del General Meerfeld,que observa á Kell y á Brisac: su quartel general está en Olfemburgo. El Mayor general Conde de Giulay manda todo el cordon de puestos avanzados del Rhin.El cuerpo del General Sta</t>
  </si>
  <si>
    <t>Gaststeigberg, á la derecha de aquel rio; y quizá marchará contra Inspruck. El cuerpo austríaco del General Meerfeld sigue retrocediendo. La división deí General francés Gudin se halla en las cercanías de Ingolstadt; la de Montrichard se ha adelantado hacia Freisingen; y la de Grenier está entre</t>
  </si>
  <si>
    <t>Meerfeldt</t>
  </si>
  <si>
    <t>cia Aicha y Alzhausen, y los franceses se adelantaron hasta Greisbach y Alfingen; pero ayer recibió Mr. Meerfeldt un refuerzo de 3© hombres, y al instante retrocedió en busca de los enemigos. Stutgard 77 de Junio. J2il cuerpo francés que desde Friedberg se habia adelantado hasta Greisbach y A</t>
  </si>
  <si>
    <t>Meerfeldt, General</t>
  </si>
  <si>
    <t>General Meerfeldt</t>
  </si>
  <si>
    <t>ríaco que se dirige al Tirol para reforzar el cuerpo del Príncipe de Reuss. Las tropas que manda el General Meerfeldt se habian retirado el dia 13 hácia Aicha y Alzhausen, y los franceses se adelantaron hasta Greisbach y Alfingen; pero ayer recibió Mr. Meerfeldt un refuerzo de 3© hombres, y al in</t>
  </si>
  <si>
    <t>roclamas atestadas de toda suerte de ciertas, cada qúal mas lisonjera,’* 'Stutgard 27 de Jimio. E 1 General Meerfeldt ataco el dia 20 á los franceses, y se adelantó hacia Friedberg-; pero' recibiendo aquellos un gran refuerzo, los rechazaron coa pérdida. : -Ha propuesto el General Moreau á Mr. Kr</t>
  </si>
  <si>
    <t>Mejendez y Bruna, Luis</t>
  </si>
  <si>
    <t>Luis Mejendez y Bruna</t>
  </si>
  <si>
    <t>ts : a dé su mañana. Quien quisiere.hacer postura acuda ante el Sr. Áícafdé de la Real casa/y corte Dr Luis Mejendez y Bruna y por la escribanía de provincia de D. Juan Antonio'Diaz Noriega.</t>
  </si>
  <si>
    <t>Melas, General</t>
  </si>
  <si>
    <t>General Melas</t>
  </si>
  <si>
    <t>de¿ vecindario. Manda en aquella fortaleza el General Clement. Habiéndole intimado la rendición el General Melas, le respondió': Soy francés, y los franceses no se rinden hasta estar vencidos. ” ¿l'exércitoTrances se ha dividido, y ocupa algunos puestos que cubren, á Génova y toda la ribera</t>
  </si>
  <si>
    <t>imavera próxima un exército de 480© combatientes; y desde luego envía un refuerzo de 20® hombres al General Melas que manda en Italia. Expresan también que el Emperador reconocerá y adoptará la neutralidad de Suiza propuesta por la Francia.__ La gazeta de aquella capital refiere que no se han</t>
  </si>
  <si>
    <t>es relativas á Ja paz, hechas al Emperador por el gobierno francés, y remitidas por. Championnct al General Melas. Berna $ de Diciembre. H áblase dé trasladar de esta ciudad á Lucerna el Directorio y el Cuerpo legislativo, helvético. ........... - ■ Como se ha retirado de aquí el ciud. Vizcor</t>
  </si>
  <si>
    <t>ón. Viena $ de Diciembre. S e ha publicado el extracto de una relación muy dilatada remitida por el General Melas sobre las acciones de los dias 3 y 4 de Noviembre. Su principal disposición consistió en dirigir todo el exército imperial contra el ala izquierda de los enemigos, para lo qual tu</t>
  </si>
  <si>
    <t>pueden disponer los austríacos para proseguir la campaña por este país, no llegan á 40® hombres: el General Melas manda 20©; el General Kray, que se ha retirado áNovi, tiene de 8 á 9© baxo sus órdenes; y casi igual número el General Klenau. En sus hospitales hay mas de 16&amp; hombres entre herid</t>
  </si>
  <si>
    <t>investigaciones luego que se restituya ai Cayro.” Turin $ de Enero. L a proposición que ha hecho ei General Melas al Gobierno francés sobre cangear prisioneros de aquella nación por los rehenes piamonteses, que se enviaron á Francia antes que se retirase el exército republicano, ha sido á sol</t>
  </si>
  <si>
    <t>del General Barón de Kray con una hacienda en Hungría, que vale 185® florines. Asimismo ha dado al General Metas una pensión de 8© , de la qual, después de su muerte, gozará su esposa. Por orden de Paulo I ha declarado su Ministro en Berlín al Rey de Prusia, que aunque sus tropas se han reti</t>
  </si>
  <si>
    <t>granaderos Walones irán á incorporarse con sus banderas en el exército del Archiduque Carlos. . El General Melas saldrá de Turln el dia 28 con su quartel general. Parece que se dirige á Acqui. Todas aquellas tropas han sido revistadas, y están prontas á obrar___ Llegan de Alemania á la misma</t>
  </si>
  <si>
    <t>encias que contribuyeron á la rendición de la plaza. Tarín 24 de Marzo. E 1 dia 21 salió de aquí el General en xefe Mclas, y llegó la misma tarde á Alexandría, en donde ha sentado su quartel general. Publicó luego un aviso á ias tropas diciéndolas que va á abrirse la campaña, y las exhorta á que renu</t>
  </si>
  <si>
    <t>Seravalle á las alturas de Lúea : 2® en Turin: 3® en Alexandría, en donde tiene su quartel general Mr. Melas: 3® entre Suza y Piñerpl: 2® en Aoste ; y 3® desde Tortona á Pavía y Plasencia. D, Segovia jo de Abril. on Antonio de Urueña, maestro de primeras letras aprobado por el Real y sup</t>
  </si>
  <si>
    <t>edición que parece se dispone entre ingleses y austríacos contra Tolon, y según dicen la mandará el General Melas. Prosigue el gabinete ingles haciendo sus esfuerzos para t^ner en el Im</t>
  </si>
  <si>
    <t>4io directamente. El 6 del corriente ataco el General Melas las alturas de Savona. El Teniente General Soult, que mandaba aquel puesto, sostuvo todo el día los ataques de los enemigos en Cadiborna y Montenotte, á fin de dar lugar de que se int</t>
  </si>
  <si>
    <t>se abra la campaña, y hacia allí se ha dirigido en efecto la mayor parte de las tropas que manda el General Melas. El .Conde de Bellegarde, comandante de una colima, se ha adelantado de Cherasco para ocupar el coll de Siete-Termas. Ayer mañana se oyó un cañoneo hácia Jas fronteras del territo</t>
  </si>
  <si>
    <t>Staray con 8 batallones de tropas de línea del imperio.—El General Kray na recibido dos correos de Mr. Melas, General del exército de Italia, con la noticia de haberse abierto la campaña por aquella parte: también comunica el resultado de sus primeras operaciones militares. El 24 de este</t>
  </si>
  <si>
    <t>hácia Savona. El Atrevido con el convoy y parte de la esquadra se dirigió hácia- allí. Hallámos al General Melas en posesión de las alturas y de la ciudad de Savona; pero no de la ciudadela. No ha tenido pérdida alguna. Dícese que Massena se halla en las cercanías de Génova con 16© hombres: su</t>
  </si>
  <si>
    <t>n que retirarse después de padecer mucho. El cuerpo principal del exército austríaco mandado por el General en xefe Melas atacó el 8 las alturas de Santiago, de Melogno y de Settepani, y se apoderó de ellas, como también de la ciudad de Savona y del castillo de Vado. El General Conde de Hohenzoílern</t>
  </si>
  <si>
    <t>Massena con fuerzas muy inferiores disputó el terreno desde las 10 de la mañana hasta la noche. El General Meías ha escrito que los austríacos no hicieron sino 200 prisioneros.__ Del 11 al 16 (añaden dichas gazetas) no acaeció suceso de importancia. Tolon 23 de AbriL D e unos dias á esta par</t>
  </si>
  <si>
    <t>Keith, en Liorna, y que venia en el navio de dicho Almirante , llegó al quartel general é informó á Mr. Melas que el Lord Keith traía 7 transportes cargados de harina, arroz, bizcocho y aguardiente, y esperaba que nuestro General avisase en donde habían de desembarcarse estos víveres. Aña</t>
  </si>
  <si>
    <t>es, el principal cuerpo del exército imperial ocupaba todavía el 16 los puestos que tenia el 10; el General Melas tenia su quartel en Savona: y hasta que se entregue el castillo de aquella ciudad no adelantará sus operaciones contra Genova; pero se consideraba como muy próxima la rendición de</t>
  </si>
  <si>
    <t>fecha del 20 se ha publicado en el quartel general de Sestri de Poniente la siguiente relación del General en xefe Melas: ,,El 15 por la mañana me puse en marcha con 5 brigadas divididas en 3 colunas, y me dirigí hácia Jas cumbres mas elevadas del Armeta y al pais de Sasello, en donde los enemigos s</t>
  </si>
  <si>
    <t>ación, con tal que la guarnición francesa y los patriotas entrasen libremente en Francia , y que el General Melas desechó estas condiciones. Pero estas noticias necesitan confirmación. Según avisos de Milán del 25 hizo Massena el 23 una salida con muchas fuerzas para recobrar algunos puestos for</t>
  </si>
  <si>
    <t>mente incurrió en la desgracia del Emperador. Viena g de Mayo. C on fecha de 22 de Abril escribe el General Meías desde Setri de Poniente, que dexaba descansar sus tropas acampadas delante de Genova, pues estaban sumamente fatigadas de sus continuas marchas y casi diarias batallas, y que entre t</t>
  </si>
  <si>
    <t>reencuentros muy reñidos, en ios quales los enemigos han sido rechazados.” Génova 27 de Abril. E 1 General Melas escribió áMassena la siguiente carta: „General: La fortuna no ha coronado vuestro valor, el qual os hace digno de mi aprecio y del de todo el mundo. Con el corto número de hombres q</t>
  </si>
  <si>
    <t>istancia ; pero poco después se viéren los enemigos forzados á replegarse hacia la ciudad. Prosigue Mr. Melas reforzando el bloqueo de Genova con atrincheramientos, y los guarnece de piezas de campaña que ha llevado la esquadra inglesa. Los enemigos estuvieron quietos sin salir de Génova</t>
  </si>
  <si>
    <t>ar á Italia un cuerpo de 20© hombres al mando del General Abercrombie para sostener al exército del General Melas.----Asegura otra gazeta que las nuevas fortificaciones añadidas á las antiguas de Ulm hacen muy fuerte aquella plaza, y podrá sostener un sitio reglado de 2 meses mediante una com</t>
  </si>
  <si>
    <t>án precisados á echar mano de sus tropas de reserva para socorrer al General Kray; y el exército de Mr. Melas en Italia , después de haber perdido mucha gente en las ultimas- aciones , se verá atacado por otro nuevo exército francés. En efecto, mediante las victorias de Moreau pueden los fr</t>
  </si>
  <si>
    <t>n la qual conseguirían hacer una poderosa diversión á favor del exército de Italia, y obligarían al General Melas á destacar una parte considerable del suyo para guardar sus espaldas, y evitar hallarse entre dos fuegos. Tal es el pían que se supone aquí al primer Cónsul de Francia; y aunque p</t>
  </si>
  <si>
    <t>tillo hasta nueva orden. Milán 6 de Mayo. *as últimas noticias que se han recibido cíel exército de Mr. Melas contienen en suma lo siguiente: „ El General Massena hizo dos ó tres salidas de Genova con suerte varia. En una de ellas quedó prisionero, segun dicen, la mayor parte del regimien</t>
  </si>
  <si>
    <t>e el qual conseguirán dominará dicho monte. ' / Ttmri'6de Mayo. H ¡ ■' •' • . ' ’ - /- ' ■ a dexado Mr. Melas* delante dé Génová á.'Ios-Generales Ott3y Hohén=zollern con cerca de- 50 batallones 'para que sigan él sitio;-y ‘con‘otros1 28 batallones ha salido pará Saíitiago-,-á fin :dé. reu</t>
  </si>
  <si>
    <t>s: y en ta! caso quedará libre dicho General, y aun podrá obrar ofensivamente contra el exército de Mr. Melas. Milán 8 de Mayo. U na carta de I ¡orna del dia 2 refiere que se han presentado á la vista de aquel puerto dos bombardas y varias barcas cañoneras , que van á Génova para empezar</t>
  </si>
  <si>
    <t>ros 4 meses, gozarán premios extraordinarios de 3 á 6 por 100. Desde Final á i.° de Mayo escribe el General Melas que el General Ott se ha apoderado del puesto de Rivarolo-di-Sotto, cerca de Génova, y de unas fortiíicaciones llamadas los dos Hermanos. En la noche del 19 ai 30 del mes último s</t>
  </si>
  <si>
    <t>silvania están en marcha para Italia á fin de reemplazar las pérdidas que lia tenido el exército de Mr. Melas. Las tropas de Maguncia han vuelto á sus anteriores puestos á orillas del Mein y del Nidda. Se sostiene la voz de un tratado de alianza entre Rusia y Prusia; y aun dicen que su pr</t>
  </si>
  <si>
    <t>Minotauro á la altura de Génova el dia 10. El Almirante ingles, después de referir una victoria del General Melas, añade : ,, Espero que en breve llegarán las tropas: los buques de mi mando conducirán todas las que puedan llevar; pero como no es posible destacar otros navios del bloqueo, y es</t>
  </si>
  <si>
    <t>ue hay e(i Ancona, Bolonia, Ferrara y en las guarniciones de Toscana irán á reforzar el exército de Mr. Meías, Estas fuerzas componen un total de mas de 20® combatientes. Han llegado al Danubio algunos regimientos de infantería destinados al exército del General Kray. Delante de Munich se</t>
  </si>
  <si>
    <t>elly grandes almacenes de arroz, trigo y avena. Se han interceptado dos correos de los enemigos. El General Mclas permanece en Turin, adonde llegó en posta desde Niza. La mayor parte de- su exército, que había ido hácia aquel país, se acerca á marchas forzadas al Po. Ocupan las tropas frances</t>
  </si>
  <si>
    <t>ríncipe se halla detenido en Eriul, y su quartel general está en Pordenona. « Milán 79 de Mayo. hil General Melas se adelanta por el valle de Aost con 30© hombres, los quales reunidos con el cuerpo que manda el Geneial Wuctvassowich compondrán un total de 50© combatientes. Aritos de ayer se p</t>
  </si>
  <si>
    <t>i Posteriormente llegó, aquí en calidad de correo el Teniente Coronel Conde de Paar, con pliegos de Mr. Melas escritos en la Bordighera el día 11. Avisa que dispuso atrincherar el importante puesto de la Raja, á fin de sacar el posible partido de su situación. Añade que habiéndose retirado</t>
  </si>
  <si>
    <t>los demas á los exercitas. Dícese que dio motivo á este consejo la llegada de un extraordinario de Mr. Melas. —y Ratisbona jj de Mayo. JLXan entrado los franceses en Augsburg©, y se han adelantado hasta Friedberg. Una de sus colimas compuesta de M© hombres se ha puesto en marcha para Mun</t>
  </si>
  <si>
    <t>cos, y los varios ataques que sostuvo Suchet con unas fuerzas sumamente inferiores. Al fin entró el General Melas en Niza, y no creyendo ni pudiendo persuadirse que el exército de reserva fuese tan crecido como se decia, ni que pasase por el monte de San Bernardo, se detuvo en aquélla ciudad ha</t>
  </si>
  <si>
    <t>lir, yya no se avistaba desde las costas. -p. Turin 21 de Mayo. Xdespués de haber ocupado á Niza el General Melas, de dexar un cuerpo de i '5$ hombres en la' izquierda del V^ar, y de haber levantado atrincheramientos enfrente del puente , se puso en marcha con 20© hombres para ei Mont-Ceñís.</t>
  </si>
  <si>
    <t>hecho bastante para vivir en la memoria de la posteridad. Al dia siguiente de la batalla propuso el General Melas un armisticio , cuyas condiciones se arreglaron por el General Berthier el 27 de Prairial (16 de Junio) en los términos que á continuación se insertan. La carta en que el primer C</t>
  </si>
  <si>
    <t>l Po. La mayor parte del exército francés se reunirá en. los puestos de Stradella. Ya no le queda á Mr. Melas mas recurso que una. batalla, ni mas retirada que á una de las plazas de Tortona ó Alexandría. El General Murat atravesó esta mañana el Po en Nocetto.----La guarnid cion de la ciu</t>
  </si>
  <si>
    <t>n Plasencia todos los almicenes del exército: hizo mis de 2® prisioneros; é interceptó un correo de Mr. Metas, con pliegos sumamente importantes dirigidos á la corte de Viena, y en los quales avisaba que en el momento en que iba orden al General Ott para levantar el bloqueo, despachaba Ma</t>
  </si>
  <si>
    <t>aparte á los otros dos Cónsules de la República la siguiente carta desde Milán: „ Por las cartas de Mr. Melas, que se interceptaron é incluí en-mi anterior, habréis visto que el mismo dia que se despachó la orden al General Ott para que levantase ei bloqueo de Genova , pidió el General Ma</t>
  </si>
  <si>
    <t>Mélás, General</t>
  </si>
  <si>
    <t>General Mélás</t>
  </si>
  <si>
    <t>o de 15® hombres de los que bloqueaban aquella plaza , y fue reforzado- por otro de 4 á 5® r que el General Mélás habia destinado para defender el Fo- Cerca dé medio dia se encontrárort las vanguardias dé los dos exércltos. Los enemigos ocupaban una altura inmediata a Casteggio.. Duró la, acc</t>
  </si>
  <si>
    <t>Melás, General</t>
  </si>
  <si>
    <t>General Melás</t>
  </si>
  <si>
    <t>lases, y cogimos 5 cañones y 60 prisioneros. La derrota de los enemigos fué completa. Parece que el General Melás ha evacuado á Turin, y concentra todas sus fuerzas en Alexandría. Perseguimos á Jos enemigos hasta mas- allá de Móntebello. Un General enemigo fué muerto , y otros varios quedaron</t>
  </si>
  <si>
    <t>6°5 dia 7; y acaba de saberse que todas las tropas quedaban atravesando el Pó para atacar al General Meías antes que reuniese sus fuerzas* fr T Roma 18 de Mayo. Ü?.n llegado aquí de Venecia varios Cardenales , como también varios prelados que estaban en Ñapóles. Algunos de estos lian v</t>
  </si>
  <si>
    <t>mismo tiempo por las riberas del Danubio y por las fronteras del Tirol.__ En Italia las tropas del General Melas se hallan sin poder obrar, al paso que las francesas se reúnen casi á su vista para atacarlas de una vez todas juntas. París 21 de Junio. H a sido preso é interrogado el xefe de l</t>
  </si>
  <si>
    <t>risioneros, y en 400 heridos también austríacos.” Se han publicado las cartas cogidas al correo del General Melas interceptado por los franceses. Todas son de principios de Junio, y por consiguiente contienen hechos ya publicados en quanto á los sucesos de la guerra. Una de las cartas es de M</t>
  </si>
  <si>
    <t>, el qual no tardará en completarse.” Otra carta de esta correspondencia interceptada es del propio General Melas al Mayor general Mosel, en Plasencia, á quien en suma dice: „ Alexatidría es el solo y único punto de donde el exército puede sacar víveres hasta la mudanza probablemente muy inme</t>
  </si>
  <si>
    <t>egló el convenio de que incluyo copia, el qual se firmó por la noche entre el General Berthier y el General Melas. Espero que el pueblo francés estará satisfecho de su exército.” (El convenio es el mismo que se publicó en la gazeta y capítulo de Madrid de i.° de Julio.) Ademas de las'circunst</t>
  </si>
  <si>
    <t>hicimos 3® prisioneros. No tardó mucho en cogerse el fruto de la victoria, pues el dia 15 pidió el General Melas un armisticio cuyas condiciones os comunican los Cónsules. Una sola jornada ha restituido al poder de los franceses la ciudad de Genova, la de Turin, y todas lis plazas de Piamont</t>
  </si>
  <si>
    <t>to enemigo volverá inmediatamente á la línea que debía ocupar por el tratado de Campo-Eormio.” Tuvo Mr. Melas que ceder á esta proposición, porque habíamos reducido á los enemigos á morir de hambre. Gqnova , Ceva, Savona, Coni, Tortona, ^lexandría, Milán, y todas las plazas fuertes que de</t>
  </si>
  <si>
    <t>rse sucesivamente con las tropas de los Generales Elsnitz y Bellegarde. Por otra parte sabia yo que Mr. Melas habia reunido todas sus fuerzas en Alexandría; era importante impedir sus movimientos sucesivos , y todo se dispuso para conseguirlo. Podían los enemigos dirigirse hacia Genova y</t>
  </si>
  <si>
    <t>alia, y la ceremonia fue magestuosa en todas sus partes. Exército de reserva. Milán tilde Junto. El General Melas salió de Alexandría el dia 18 , é hizo noche en Voghera con su plana mayor y la primer coluna de su exército compuesta de xo® hombres ; el 19 durmió en Stradella, y el 20 en Plase</t>
  </si>
  <si>
    <t>después despachó muchos correos extraordinarios.__ Ya diceim gjiie se formará consejo de guerra al General Melas para ser juzgado poor descaído ó falta de previsión culpable. Otros atribuyen á los inglesess &lt;¡stos infaustos acontecimientos, por quanto amenazaron no dar víveres aíj eiercíto q</t>
  </si>
  <si>
    <t>el puesto de la linterna y el del muelle. De esta suerte no se alterarán las órdenes que teneis del General en xefe Melas, y yo podré impedir la ruina total de un estado harto infeliz ya. Espero de la lealtad austríaca, y de la vuestra en particular, que responderéis de un modo que me satisfaga.” . R</t>
  </si>
  <si>
    <t>14 teatro de uno de los mayores sucesos militares que pueden ilustrar á las armas francesas. Viendo Mr. Melas cortada su líne&amp; de comunicación, y temiendo que el General Berthier le atacase por el frente r al paso que Massena marchase por su espalda para encerrarle entro el Po , el Tanaro</t>
  </si>
  <si>
    <t>mó las posibles medidas para que llegase en derechura á manos de $, M. Imperial. Bonaparte regaló á Mr. Melas un precioso sable traído de Egipto, enviándoselo por su Ayudante general Lacuée. Mr. Melas le dixo: „ Deseo se haga quanto ántes la paz para ir á ver al General Bonaparte á París.</t>
  </si>
  <si>
    <t>duda de que si el gabinete austríaco no se aprovecha del armisticio para tratar de paz, atacará el General Melas á los franceses luego que haya reunido todas sus tropas, cuyo total ascenderá á 60$ com^ batí entes'Ñapóles 2 de Junio*. N o solo los cañones, municiones y armas que habia en esta</t>
  </si>
  <si>
    <t>a que el Príncipe de Ligne mandará el cuerpo de reserva que se forma para sostener en Italia ai del General Melas. Los que opinan que el Emperador hará la paz creen que perderá el estado de Venecia ; pero que se resarcirá de esta pérdida á costa de algunos estados del Imperio. Filadelfia i $</t>
  </si>
  <si>
    <t>a que el Archiduque Carlos no tardará en venir de Praga aquív E! 23 llegó un correo con pliegos del General Melas, que los. envió desde Asti á .Eerrara-r ydde ¡allí se despacharon á esta corte por extraordinario. LmegOi se ppbliciaron las siguientes noticias, que son algo atra» sadas: „ El. r</t>
  </si>
  <si>
    <t>e la corte varias noticias de las operaciones de nuestros exércitos. La primer relación, que es del General Melas , dice: „ E1 14 de Junio por la mañana el exército imperial pasó el Bormida, y se formó en 3 líneas, teniendo á sus espaldas un cuerpo de reserva destinado á sostener el flanco de</t>
  </si>
  <si>
    <t>o querian evacuar laValtclina alegando que las tropas que Ja ocupaban no eran parte del exército de Mr. Melas, y por consiguiente no podían ser comprehendidas en el tratado de armisticio. Bícese igualmente que rehúsan devolver los patriotas que estaban presos en Milán, de donde los transf</t>
  </si>
  <si>
    <t>noticias dé nuestros exércitos que las que incluye el siguiente aviso: „ El General* de caballería Mr. Metas- escribe con fecha del 22 de Junio que en fuerza de las mudanzas acaecidas en1 Italia-, y publicadas últimamente, el exército que</t>
  </si>
  <si>
    <t>ponderan como muy ventajosa para los aliados, es precisamente la que Ies señaló el General francés. Mr. Meías estaba vencido. Bonaparte consintió en un ajuste* y le entregaron las plazas mas fuertes de Italia. Como vencedor hubiera podido usar de mayor severidad, y sacar mas ventajas; pero</t>
  </si>
  <si>
    <t>austríaco del General Ott, y muy pócos dias ántes de saber la derrota aun mas fatal del exercito de Mr. Melas. Los 2 millones de esterlinas deben reembolsarse á razón de 20$ libras anuales: de suerte que se necesitan 100 años para concluir el pago. El empeño que contraen los dos gabinetes</t>
  </si>
  <si>
    <t>y otros efectos.'militares y de campamento, como si tuviesen que evacuar el territorio de Venecia. Mr. Mclas hace disposiciones para que dos franceses no corten su ¡'línea en caso de romperle las hostilidades. Entre tanto, las tropas francesas y cisalpinas ocupan toda la extensión de est</t>
  </si>
  <si>
    <t>889 Estacaría produxo el efecto que se proponía el General Monnier, pues Mr. Melas envió orden á los comandantes austríacos que habían entrado en la Romaña, para que evacuasen todo el país eomprehendido en la línea de demarcación, é intimasen á los insurgentes se</t>
  </si>
  <si>
    <t>Austria, y destinado a reforzar al del General Kray en caso de necesidad. El de Italia mandad# por Mr. Melas se ha aumentado en solo dos meses con 18 batallones de infantería, un regimiento de corazas y otro de dragones, ademas de gran número de reclutas, qué han ido y siguen llegando pa</t>
  </si>
  <si>
    <t>94f El General Melas pidió licencia para venir algunos dias á esta capiul, y se le negó. Desde que se han puesto en circulación billetes de crédito de uno, dos y tres florines, ha desaparecido enteram</t>
  </si>
  <si>
    <t>r en ambas fortalezas. El General Kray ha obtenido su retiro con 8© florines de pensión. Parece que Mr. Melas no ha sido tratado tan favorablemente. El Elector de Baviera se halla en Bayreuth, adonde ha ido desde Amberg con su familia, su corte, una numerosa comitiva y los Ministros de mu</t>
  </si>
  <si>
    <t>General Moreau. ' Mr. de Béllegarde, nombrado General en xefe del exército de Italia eri lugar de ¡Mr. Meías, ha salido de Vieoa para dicho exército. Augs burgo 16 de Setiembre. T res medias brigadas francesas, ^regimientos de caballería, y otras muchas tropas han pasado ya el Isér; todo</t>
  </si>
  <si>
    <t>ado mas que 3 dias para repetirla con fuerzas tres veces mayores que el Austria; y sabido es que el General Melas no tenia víveres sino para 14 dias.” Convino el Lord Holland en que la paz tiene el inconveniente de dexar el poder de la Francia considerablemente aumentado; pero en su dictamen</t>
  </si>
  <si>
    <t>Melendez del Castillo, Pedro</t>
  </si>
  <si>
    <t>Pedro Melendez del Castillo</t>
  </si>
  <si>
    <t>avarrete; la que este obtenía en Galicia á D. Nicolás Lavaggi; y la que este desempeñaba en Ceuta á D. Pedro Melendez del Castillo. S. M. se ha servido conceder honores de Tesorero de exército á Don Francisco Ventüra Mayoli, Teniente Gobernador del Real sitio de San Fernando; y honores de Comisario ordenador</t>
  </si>
  <si>
    <t>Melendez Valdes, Juan</t>
  </si>
  <si>
    <t>Juan Melendez Valdes</t>
  </si>
  <si>
    <t>za efectiva togada en el mismo Consejo, con el sueldo de su d0t Admismo ha venido S. M en jubilar á D. Juan Melendez Valdes, Fiscal de la Sala de corte, con la mitad de su sueldo, y para esta plaza se ha servido, nombrar, con el sueldo de su dotación, a D. Francisco LopezLispereuer, que la está sirvien</t>
  </si>
  <si>
    <t>Melendez y Bruna, Luis</t>
  </si>
  <si>
    <t>Luis Melendez y Bruna</t>
  </si>
  <si>
    <t>77^ Ante el Sr. Alcalde de casa y corte D. Luis Melendez y Bruna, y por la escribanía de provincia de D. Juan Antonio Diaz Noriega, está mandado sacar á publica subasta, por término de 30 días, una casa sita en la calle de Cabestreros mím. 8, m</t>
  </si>
  <si>
    <t>enas que se expresan. Se hallará á real en el despacho de la imprenta Real. Por providencia dei Sr. D. Luis Melendez y Bruna, del Consejo de S. M., au Alcalde de casa y corte, de 19 dé Julio último, y por la escribanía de provincia de D&gt; Juan Antonio Díaz Nori^ga, se han mancado sacar é pública subasta</t>
  </si>
  <si>
    <t>Mélendez y Bruna, Luis</t>
  </si>
  <si>
    <t>Luis Mélendez y Bruna</t>
  </si>
  <si>
    <t>Miguel del Valle, y últimamente se ha mandado publicar por i«* dias mas ; acuda ante el Sr. Alcalde D. Luis Mélendez y Bruna y escribanía de provincia de D. Juan Antonio Díaz Noriega. Se desea saber el paradero de D. Joseph González de Bustamonte, presbítero, Magistral de la colegiata de Santillana, que se</t>
  </si>
  <si>
    <t>á los indigentes qué socorría, y generalmente á todos los que le trataron. Por providencia del Sr. D. Luis Melendez y Bruna , del Consejo de S. M., Alcalde de su Kfeal casa y corte , y Ú instancias del defensor y acreedores del concurso de Joseph Herranz , está mandado sacar á pública subasta por 30 di</t>
  </si>
  <si>
    <t>Melendéz y Bruna, Luis</t>
  </si>
  <si>
    <t>Luis Melendéz y Bruna</t>
  </si>
  <si>
    <t>ctubre se hallará en el despacho de la imprenta Real. 9 Por providencia de 23 del corriente del Sr. D. Luis Melendéz y Bruna, del Consejo de S. M., Alcalde de su Real casa y corte, se ha mandado sacar á pública subasta por término de 30 dias , á voluntad de su dueño, una casa huerta, con todas sus habit</t>
  </si>
  <si>
    <t>Melendez, Félix</t>
  </si>
  <si>
    <t>Félix Melendez</t>
  </si>
  <si>
    <t>, D. Atanasio Revuelta y D. Julián Zurita; á Subtenientes de granaderos á los primeros Subtenientes D. Félix Melendez, D. Joseph Nevado y D. Narciso González; á primeros Subtenientes á los segundos D. Josepn Villaescusa, D. Vicente Garrido , D. Gavino Martínez y D. Manuel Esquer; y á segundos Sub</t>
  </si>
  <si>
    <t>Melendez- Váidas, Juan</t>
  </si>
  <si>
    <t>Juan Melendez- Váidas</t>
  </si>
  <si>
    <t>, en Málaga ea la. de Iglesias y Martínez.,. y e» Zaragoza en la de Polo y Monge.. Poesías del Br.. D. Juan Melendez- Váidas :: tres volúmenes- en; 8.° de bella impresión el primero; contiene quanto se com prehendió en la primera edición} pero» corregido, mejorado y aumentado : los otros&gt; dos consran de</t>
  </si>
  <si>
    <t>Melendro, Antonio</t>
  </si>
  <si>
    <t>Antonio Melendro</t>
  </si>
  <si>
    <t>Felipe Fernandez de Argüí, Don Bernardo Reboles , D. Ignacio Balbin, D. Manuel Gutiérrez de Teran, Don Antonio Melendro , y al Oficial tercero de número D. Joseph Moreno Martínez. Honores de Tesorero de Exército á D. Joseph Henriquez de Otero, xo* fe de mesa de la Tesorería general, y Caxero princi</t>
  </si>
  <si>
    <t>Melero, Matías</t>
  </si>
  <si>
    <t>Matías Melero</t>
  </si>
  <si>
    <t>gnacio Cavero; y á segundos Subtenientes á los Sargentos primeros D. Gines García, de granaderos, y Don Matías Melero, y á los. Cadetes D. Alberto Falcó y Alvarez, D. Joseph de Misa y D. Pedro Guerrero; en el de España á Capitanes á los primeros Tenientes D. Agustín de Aragón, de granaderos, y D.</t>
  </si>
  <si>
    <t>Melgar, Pedro</t>
  </si>
  <si>
    <t>Pedro Melgar</t>
  </si>
  <si>
    <t>ntonio Fernandez de Obregon : en el de Bujalance la Tenencia de granaderos al Teniente de fusileros D. Pedro Melgar, y Subtenencia de bandera á D. Alfonso Ximenez : en el de Sevilla las Subtenencias de bandera al Soldado distinguido, D. Joseph Martínez y D. Gerónimo García Valladares y Rioja; y</t>
  </si>
  <si>
    <t>Melgarejo, Francisco</t>
  </si>
  <si>
    <t>Francisco Melgarejo</t>
  </si>
  <si>
    <t>800. Por extraordinarios que el Comandante general interino del de* parta mentó de marina de Ferrol D. Francisco Melgarejo des* pacho con fechas de 2$, 26 y 27 del corriente, ha tenido el Rey las noticias siguientes sobre el desembarco hecho por los ingleses en la playa de Doniños situada en las inmediac</t>
  </si>
  <si>
    <t>on de acuerdo con el mismo Comandante general de la esquadra, despachó el interino del departamento D. Francisco Melgarejo á las 9 de la noche un correo extraordinario para informar á S. M. de todo lo ocurrido hasta aquel punto. El primer movimiento de los enemigos fue tomar las alturas de Brion y Bal</t>
  </si>
  <si>
    <t>. M., que ha sabido todo esto con un gozo extraordinario, ha mandado manifestar en su Real nombre á D. Francisco Melgarejo lo complacido y satisfecho que está de su distinguida conducta, como de las atinadas medidas que tomó; y no menos de la del Comandante general del Reyno, de D. Juan Moreno, demas</t>
  </si>
  <si>
    <t>y el de 500 hombres de tropa mas que le facilitaron el Comandante general interino del departamento Don Francisco Melgarejo, y el de la esquadra, y unas partidas descubridoras de la plaza , formó Donadío el designio de atacar al enemigo al amanecer del dia siguiente 26 , pareciéndole imposible llegase</t>
  </si>
  <si>
    <t>Melíton de Menige, Francisco</t>
  </si>
  <si>
    <t>Francisco Melíton de Menige</t>
  </si>
  <si>
    <t>HÓ4 critr por el Dr. D. Francisco Melíton de Menige, Canónigo Magistral que fue de la Sta. Iglesia catedral de la misma ciudad. Con motivo de haberse renovado el culto de estos santos mártires en Cádiz se formó una ilustre Congregación para</t>
  </si>
  <si>
    <t>Meliton Zorrilla de San Martín</t>
  </si>
  <si>
    <t>rtuño: para el Arcedianato de G.disteo, que este obtiene en la misma iglesia y resultará vacante, a D. Meliton Zorrilla de San Martin: para la Canongia de la catedral de Tuy, vacante por fallecimiento de D. Ambrosio Telmo Piñeyro, á Don Bernardo Valdivieso, Capellán del regimiento de Búrgos: para la que se halla</t>
  </si>
  <si>
    <t>Mella y Carvajal, Nicolás Antonio</t>
  </si>
  <si>
    <t>Nicolás Antonio Mella y Carvajal</t>
  </si>
  <si>
    <t>de la ciudad de Toledo á D. Tomas Casanova de Arnuero y Rada: para el de los Pedroches de Córdoba á D. Nicolás Antonio Mella y Carvajal: para la vara de Alcalde mayor de la ciudad de Cartagena á D. Gerónimo Serbent; y para la de la de Badajoz á D. Joseph Manuel Calderón de Guevara. El Rey se ha servido nombrar par</t>
  </si>
  <si>
    <t>o nombrar para el Corregimiento de letras de los Pedroches de Córdoba, vacante por fallecimiento de D. Nicolás Antonio Mella y Carvajal, i D. Andrés Carpintero y Esgueva. En América El Rey ha conferido compamas en las milicias disciplinadas de Infantería de la isla Margarita al Subteniente y Cadetes de dichas mili</t>
  </si>
  <si>
    <t>Melzi de Erüe</t>
  </si>
  <si>
    <t>lica cisalpina cerca del primer Cónsul de Francia, ha nombrado este gobierno al ciud. Melzi de Erüe. El ciud. Scarabaloi, Diputado cisalpino cerca del Duque de Parma, tuvo el dia 11 la primera audiencia de S. A. R. Ha vuelto á abrirse la navegación del Po. Se</t>
  </si>
  <si>
    <t>Mendestre, Bartolomé</t>
  </si>
  <si>
    <t>Bartolomé Mendestre</t>
  </si>
  <si>
    <t>al primer Teniente de fusileros D. Marcos Lambert, y á su resulta aí segundo Teniente de granaderos D. Bartolomé Mendestre; á segundo Teniente de granaderos al de fusileros D. Juan Cabrol; á segundo Teniente de fusileros al Subteniente de granaderos D. Gabriel O Rian; á este empleo al primer Subtenien</t>
  </si>
  <si>
    <t>Méndez de la Vega, Juan Francisco</t>
  </si>
  <si>
    <t>Juan Francisco Méndez de la Vega</t>
  </si>
  <si>
    <t>e merced de la catedral de la Havana á D. Ambrosio dé las Citévas: para la Ración, que este dexa, á D. Juan Francisco Méndez de la Vega; y para la Media-Ración, que este obtenia, á D. Gregorio Ramírez Caívo. Para la Tesorería de la de Arequipa á D. Cipriano Villota: parada Canongía, que este dexa, al Racionero D.</t>
  </si>
  <si>
    <t>Méndez, Fernando</t>
  </si>
  <si>
    <t>Fernando Méndez</t>
  </si>
  <si>
    <t>imeros Subtenientes D. Baltasar del Valle y D. Juan Estéban; á primeros Subtenientes a los segundos D. Fernando Méndez, y D. Francisco Frías; y á segundos Subtenientes al Sargento primero D. Sebastian Torrente y al Subteniente de la compañía de in-r fantería ñxa de Velez-Málaga D. Antonio de la Az</t>
  </si>
  <si>
    <t>Mendez, Juan</t>
  </si>
  <si>
    <t>Juan Mendez</t>
  </si>
  <si>
    <t>también secantes,, barnices y demás cosas pertenecientes á la pintura , y ademas papel pintado: por D. Juan Mendez , fabricante de dichos géneros. Tratado completo de aritmética , ó método para aprender á contar por principios por D:. Juan Gérard , presbítero , ex- Catedrático de: matemáticas</t>
  </si>
  <si>
    <t>Mendieta, Francisco</t>
  </si>
  <si>
    <t>Francisco Mendieta</t>
  </si>
  <si>
    <t>a Tenencia de granaderos al Teniente D. Blas de Castro: para Tenientes ai Subteniente de granaderos D. Francisco Mendieta, y al de fusileros D. Miguel Santos: para Subteniente de granaderos al de fusileros D. Bartolomé Guilloto; y para Subtenientes de bandera á los Cadetes D. Joachín González de la T</t>
  </si>
  <si>
    <t>Mendieta, Pedro</t>
  </si>
  <si>
    <t>Pedro Mendieta</t>
  </si>
  <si>
    <t>h délos Hoyos; á primer Subteniente al segundo D. Teodoro Nogues, y á segundo Subteniente ai Cadete D. Pedro Mendieta : en el batallón de Cazadores Voluntarios de Barbastro á Capitán primero al segundo D. Francisco Merino; á Capitán segundo al primer Teniente graduado de Capitán D. Santiago Porta</t>
  </si>
  <si>
    <t>Mendiguren, Pedro</t>
  </si>
  <si>
    <t>Pedro Mendiguren</t>
  </si>
  <si>
    <t>infantería de Saboya se ha servido promover el ey á primer Teniente al segundo graduado de Capítan D. Pedro Mendiguren ; á segundo Teniente al Subteniente de granaderos D. Pedro ^Guerra; á Subtenientes de granaderos á los primeros Subtenientes D. Baltasar del Valle y D. Juan Estéban; á primeros Su</t>
  </si>
  <si>
    <t>Mendiri, Francisco Xavier</t>
  </si>
  <si>
    <t>Francisco Xavier Mendiri</t>
  </si>
  <si>
    <t>ferir en los regimientos de Milicias,provinciales de la península la Sargentía mayor del de Soria á D. Francisco Xavier Mendiri, que servia igual empleo del de Ecija: la Compañía de granaderos y la segunda de fusileros del de Salamanca á D. Benigno Osorio y Caballero, y á D. Juan de la Huelga, Capitán y Te</t>
  </si>
  <si>
    <t>Mendoza, Francisco</t>
  </si>
  <si>
    <t>Francisco Mendoza</t>
  </si>
  <si>
    <t>segundos P. Nicolás Gallegos y D, Joseph Torralba: á segundo Teniente de granaderos al de fusileros D. Francisco Mendoza; á segundosTenientes de fusileros á los primeros Subtenientes D.. Juan Egaña y D. Alexandro Tovar; 3 primeros Subtenientes á los segundos D. Felipe íessé y D&lt; Antonio Bausa: ' á s</t>
  </si>
  <si>
    <t>Mendoza, Joseph</t>
  </si>
  <si>
    <t>Joseph Mendoza</t>
  </si>
  <si>
    <t>do Té Óten te D. Miguel de Cuzey : en el aé infantería del Príncipe á primer Subteniente al segundo D. Joseph Mendoza; y á esta resulta al Cadete del de Extremadura D. Manuel de Luna:* en el de Valencia á Teniente Coronel al Comandante del tercer batallón del do infantería dé Saboya, graduado de</t>
  </si>
  <si>
    <t>Menendez de Luarca, Rafael Tomás</t>
  </si>
  <si>
    <t>Rafael Tomás Menendez de Luarca</t>
  </si>
  <si>
    <t>Kalendario , calles de Barrionuevo y del Carmen , á 1 rs. en rústica. Carta pastoral del limo. Sr. D. Rafael Tomas Menendez de Luarca, Obispo de Santander, exponiendo y declarando el breve que el Sumo Pontífice Pió VI expidió en la Cartuxa de Florencia á 14 de Enero, sobre que los fieles durante la guerra con lo</t>
  </si>
  <si>
    <t>Menéndez Jove, Manuel</t>
  </si>
  <si>
    <t>Manuel Menéndez Jove</t>
  </si>
  <si>
    <t>egundo Piloto de la Real Armada D. Cayetano Fernandez Villamil, los alumnos el Lie. D. Joseph Díaz, D. Manuel Menendez JoVe, D. Manuel González Villarmil, D. Vicente María Ezcurdia, D. Luis Mornard, D. Toribio Cifuentes, D. Claudio Fernandez, D. Felipe Fernandez San Miguel, D. Joseph López del Vallado</t>
  </si>
  <si>
    <t>Menendez Rodríguez, Juan</t>
  </si>
  <si>
    <t>Juan Menendez Rodríguez</t>
  </si>
  <si>
    <t>l de igo pesos , creación de ig de Setiembre , núm. 212,136, endosado por D. Fausto Sana á favor de D. Juan Menendez Rodríguez. Quien supiere de él avisará á dicho D. Juan Menendez Rodríguez , en Madrid , postigo de S. Martin , nüm. ag , quarto principal. María Juana Serrano , natural que fué de la villa</t>
  </si>
  <si>
    <t>Menendez Sala, Andrés</t>
  </si>
  <si>
    <t>Andrés Menendez Sala</t>
  </si>
  <si>
    <t>en la versión de lengua inglesa Don Luis Mornard, y en la de lengua francesa D. Joachin Campuzano, D. Andrés Menendez Sala, D. Manuel Osorio, D. Agustín Fernandez y D. Juan Alonso Viado. 8.° Estuvieron expuestas ai público todas las muestras que, baxo la dirección del profesor de dibuxo natural D. Ang</t>
  </si>
  <si>
    <t>Meneses, Joseph</t>
  </si>
  <si>
    <t>Joseph Meneses</t>
  </si>
  <si>
    <t>ivisión de granaderos y cazadores de los regimientos provinciales de Galicia al mando del Brigadier D. Joseph Meneses; y al Marques de Valladáres con el regimiento provincial de Orense á las que hay desde Serantes á la altura del Balón; contando con que se apostarían en las de la Graña las tropas</t>
  </si>
  <si>
    <t>Mengaud, General</t>
  </si>
  <si>
    <t>General Mengaud</t>
  </si>
  <si>
    <t>o ier peleaba en el puente del Mesubia, y derrotó á los enemigos. La 6.a división á las órdenes del General Mengaud intentó pasar el Var por S. Martin;, pero no lo logró. El 29 la 4.a división al mando del General Clausel, y la caballería baxo las órdenes del General Ouesnel, entraron en N iza_</t>
  </si>
  <si>
    <t>Mengs, Antonio Rafael</t>
  </si>
  <si>
    <t>Antonio Rafael Mengs</t>
  </si>
  <si>
    <t>1799 enquadernadas en dos tomos en rústica se hallarán en el despacho de la imprenta Real. Obras de D. Antonio Rafael Mengs , primer pintor de Cámara deí Sr. Rey' D. Cárlos III, nueva edición: un tomo en 4.0 marquilla : en papel á ai rs., y á 32en pasta. Este tratado de pintura fue publicado por el Exc</t>
  </si>
  <si>
    <t>Menocclio</t>
  </si>
  <si>
    <t>Arzobispo de Dida primer Secretado de los asuntos de gracia; y Sacristán de la capilla pontifical á Mr. Menocclio., Obispo de Hipona. ;S. S. vive con la misma sencillez que antes de ser elevado al pontificado: no tiene en suquarto mas muebles que los de su convento, y no ha querido admitir lo</t>
  </si>
  <si>
    <t>Menon Ja, General</t>
  </si>
  <si>
    <t>General Menon Ja</t>
  </si>
  <si>
    <t>las tropas y de los habitantes que habían asistido al entierro. Con fecha de 22 de Junio dirigió el General Menon Ja siguiente proclama al exército de Oriente. „Generales, oficiales, sargentos y soldados. .Conviene que sepáis la verdad sin disfraz. Habiendo el gobierno francés sabido el año 6.°</t>
  </si>
  <si>
    <t>Menou, General</t>
  </si>
  <si>
    <t>General Menou</t>
  </si>
  <si>
    <t>siríaca; y la última está en griego, y forma 54 lineas de letra bastante pequeña y bien grabada. El General Menou hizo traducir esta última: su contenido se reduce á decir que Ptolomeo Philopator mandó abrir todos los canales de Egipto, y empleó en ello considerable número de gente, sumas inm</t>
  </si>
  <si>
    <t>aquel convenio, apresó el navio Teseo un buque que salía de Alexandría, y en el qual se hallaba el General Menou con 150 franceses. El ministerio ha enviado instrucciones á Jos Almirantes Nelson y Keith sobre la conducta que han de tener con los franceses que se retiran de Egipto. Refieren l</t>
  </si>
  <si>
    <t>e la guardia de los Cónsules tiene orden de disponerse á marchár á campaña. -í , Se ha conferido al General Menou el mundo en xefe en propiedad del exército de Oriente-----También está nombrado el General Marmont. para Comandante én xefe de artillería en el exército de Italia. Ademas de las car</t>
  </si>
  <si>
    <t>lion, descendiente de la familia de Turena, que los prestó para esta ceremonia. En una carta que el General Menou dirigió al primer Cónsul desde Roseta, con fecha de 19 de Marzo y se lia publicado ahora, le dice: „E1 Lord Keith ha venido á encargarse del ruando del apostadero ingles en el Med</t>
  </si>
  <si>
    <t>ibido noticias de la costa de Egipto del 6 de Julio. Mr. Sidney Smith seguía correspondencia con el General Menou, y esperaba con impaciencia respuesta á los últimos pliegos que había enviado al Cavro por el Teniente Vngíu, El Gran Visir quedaba campado con 30© hombres. Entre los turcos y los</t>
  </si>
  <si>
    <t>a, baxo las órdenes del General Moreau, desde el Rhin al Danubio; y el Egipto, baxo las órdenes del General Menou , desde el mar hasta las cataratas del Niio: año notable para la ciudad de León, por la colocación que hizo el primer Cónsul Bonaparte de la primer piedra para reedificar la plaza</t>
  </si>
  <si>
    <t>para el establecimiento de sopas económicas en uno de ios barrios de esta capital. En la carta del General Menou á Mr. Sidney-Smith (publicada en la gazeta del 19 de Setiembre) se hace mención de un secretario del Lord Elgin y de las astucias de guerra que había aconsejado. Una gazeta de Lon</t>
  </si>
  <si>
    <t>franceses sacaron del buque ingles el Ciervo-marino, que se perdió en Cabo Burlos. No queriendo el General Menou ¡ tener comunicación alguna con los enemigos, no recibe ya sus parlamentarios.-__El Capitán Baxá no ha hecho hasta ahora ningún desembarco de tropas para auxiliar al Gran Visir; y</t>
  </si>
  <si>
    <t>Menoy, Miguel</t>
  </si>
  <si>
    <t>Miguel Menoy</t>
  </si>
  <si>
    <t>granaderos al de fusileros D. Rafael Espinosa; y a Subteniente de granaderos al primer Subteniente D. Miguel Menoy. En el de Mallorca á'segundo Teniente de granaderos al de fusileros D. Antonio Lasala. En el de Aragón á segundo Subteniente al Cadete del de Córdoba D. Francisco Zavaja. En el de</t>
  </si>
  <si>
    <t>Menta y Albornoz, Vicente</t>
  </si>
  <si>
    <t>Vicente Menta y Albornoz</t>
  </si>
  <si>
    <t>a, á D. Antonio de la Escalera; y para el de Chinchilla á.D. Joseph de Vargas. S. M. ha concedido á D. Vicente Menta y Albornoz, caballero Maestrante de la Real de Valencia, en atención á sus méritos y servicios, el título de Barón del Rey no, para sí, sus hijos y herederos, con la denominación de la Uxola</t>
  </si>
  <si>
    <t>Mer Busquets</t>
  </si>
  <si>
    <t>, natural de AÍcubé, Corregimiento de Tarragona........ ....... ........... 50. Mer Busquets, hijo de Baldomero y Francisca, natural de Fubliá , Corregimiento de Gerona......... .................. . 30, Juan Solé, hijo de Antonio y Serafina, natural de Barcelona, Corregimiento</t>
  </si>
  <si>
    <t>Mercafttin, General</t>
  </si>
  <si>
    <t>General Mercafttin</t>
  </si>
  <si>
    <t>irarse á sus antiguos puestos de Renti. Mr. Staray se halla todavía con sus tropas en Neumark; y el General Mercafttin ha retrocedido hacia las fronteras del Tirol. Inspruck n de Jimio. E 1 dia 17 publicó aquí el Conde de Bissingen el siguiente aviso : ,,Següfi las noticias de oficio que se recibe</t>
  </si>
  <si>
    <t>Merchante, Joseph</t>
  </si>
  <si>
    <t>Joseph Merchante</t>
  </si>
  <si>
    <t>os primeros Tenientes D. Rodrigo Machuca y D. Juan Courtoy: en el de Farnesio á Capitán al Ayudante D. Joseph Merchante: en el de España á segundo Teniente al Alférez D. Mateo Coreóles; y á Alférez al Portaestandarte D. Manuel Ruiz: en el de Algarbe. á primer Teniente al segundo D. Bartolomé Poiiib</t>
  </si>
  <si>
    <t>Mercier, Gabriel</t>
  </si>
  <si>
    <t>Gabriel Mercier</t>
  </si>
  <si>
    <t>D. Santos Quixano ; y ha nombrado por Cadete supernumerario de la misma compañía al Guardia de ella D. Gabriel Mercier. Ha conferido S. M. eí empleo de Teniente Coronel del regimiento provincial de Oviedo á D/ Pedro Alexandro Arguelles, Capitán de cazadores del mismo cuerpo: las Sargentías mayores</t>
  </si>
  <si>
    <t>Merino de Castro, Manuel</t>
  </si>
  <si>
    <t>Manuel Merino de Castro</t>
  </si>
  <si>
    <t>90 Se ha extraviado un vale Real de 300 pesos, creación de i.° de Julio, mim. 79,828 , renovado por D. Manuel Merino de Castro, vecino de Carrion de los Cor&gt;d?s. Quien lo hailare lo remitirá á dicho D. Manuel, ó en Madrid á su hermano D. Fablo, calle de Hortaleza , frente á la de S. Marcos, núm. 20, quart</t>
  </si>
  <si>
    <t>Merino y Zaldo, Miguel</t>
  </si>
  <si>
    <t>Miguel Merino y Zaldo</t>
  </si>
  <si>
    <t>conmutarle los: quatro años de Ceuta por igual tiempo en el hospicio de esta corte, donde se halla# D. Miguel Merino y Zaldo , de Cádiz , remitió el 11 de Julio último , con endoso á favor de D. Narciso Plandolit é hijo, de Barcelona, tres vales Reales de 600 peses , creación de Setiembre, números 134,3</t>
  </si>
  <si>
    <t>Merino, Francisco</t>
  </si>
  <si>
    <t>Francisco Merino</t>
  </si>
  <si>
    <t>Pedro Mendieta : en el batallón de Cazadores Voluntarios de Barbastro á Capitán primero al segundo D. Francisco Merino; á Capitán segundo al primer Teniente graduado de Capitán D. Santiago Porta ; á primeros Tenientes á los segundos D. Joseph García Flores y D. Juan Labari; á segundos Tenientes á</t>
  </si>
  <si>
    <t>Merino, Pedro</t>
  </si>
  <si>
    <t>Pedro Merino</t>
  </si>
  <si>
    <t>M irtin de Arambulo y D. Pablo Gaona y Jáuregui; y empleos de Portaestandartes á D. Diego de Vega, D. Pedro Merino, D. Urbano Sugasti y D. Bartolomé Estrada. A consulta del supremo Consejo de Castilla de io de este mes se ha 'dignado S. M. conceder facultad y licencia á la villa de Cervera del</t>
  </si>
  <si>
    <t>Merino, Santiago</t>
  </si>
  <si>
    <t>Santiago Merino</t>
  </si>
  <si>
    <t>n el ajuste dé cuentas de tales picos. Se hallarán en la calle Mayor, tienda de la viuda 'é hijo dé D. Santiago Merino, junto á la casa del Exc. Sr. Conde de Oñate. En la librería de Carapins, calle de las Carretas, se hallan las obrss de música siguientes: una pieza para guitarra compuesta de un</t>
  </si>
  <si>
    <t>Merita y Albornoz, Vicente</t>
  </si>
  <si>
    <t>Vicente Merita y Albornoz</t>
  </si>
  <si>
    <t>; y Portaestandarte en el de Algarbe al Cadete D. Sebastian Angli. " S. M. se ha dignado conceder á D. Vicente Merita y Albornoz, caballero Maestranté de la Reab de Valencia, el título de Barón , para sí y sus sucesores, con la denominación de la Uxola. En América. El Rey se ha servido nombrar á D. Agustín</t>
  </si>
  <si>
    <t>Merle, General</t>
  </si>
  <si>
    <t>General Merle</t>
  </si>
  <si>
    <t>del General Chamberíhac. Me comunica que después de reunirse y de combinar sus* operaciones con el General Merle, consiguieron ambos alcanzar á los chouanes. Empezó la acción cerca de Mortagne, y no finalizó hasta una legua mas alia de Merle-del-Sarte. Jamas ha habido una derrota mas complet</t>
  </si>
  <si>
    <t>Merlin</t>
  </si>
  <si>
    <t>fierno.----El oficial Dubois-Crancé, que poco tiempo ha casó con la hija del ex-Director Merlin, fue muerto de un pistoletazo por un oficial austríaco del regimiento de Latour, que huía, y á quien intimó que se rindiese. Se traxo aquí su cadáver, y se ent</t>
  </si>
  <si>
    <t>uyese á Florencia; en lugar de concederle el pasó: supuesto que el mismo dia el ciud. Merlin, uno :de mis Ayudan¿tes , encargado de una comisión para el General comandante de Ferrara, no logró ser admitido en aquella plaza. Pero olvidando el derecho de</t>
  </si>
  <si>
    <t>Merlo, Antonio</t>
  </si>
  <si>
    <t>Antonio Merlo</t>
  </si>
  <si>
    <t>varro, D. Joseph Mancha y D. Christóbal Aguilar, y á segundos Subtenientes á los Sargentos primeros D. Antonio Merlo y D. Miguel Márquez, y á los Cadetes D. Joseph Rodríguez y D. Joseph Casaus: en el de Toledo á Capitán al primer Teniente de granaderos D. Joseph Muñoz; á primer Teniente de granadero</t>
  </si>
  <si>
    <t>Merlo, Máximo</t>
  </si>
  <si>
    <t>Máximo Merlo</t>
  </si>
  <si>
    <t>itarra y flauta con variaciones. Se hallarán estas obras en la librería de Esparza, puerta deí Sol, D. Máximo Merlo tiene dispuesta la 3.* entrega de las obras de música del Capitán D. Federico Moretti, Alférez de Reales Guardias Walonas , autor de la obra Principóos para tocar la guitarra. Est</t>
  </si>
  <si>
    <t>un motete para antes de, los 3 dias , varios misereres , y el Stabat mater traducido al castellano. D. Máximo Merlo tiene dispuesta la 4.a entrega de las obras de música del Ca pitan D. Federico JMoretti, Alférez de Reales Guardias Walonas , autor de los Principios para la guitarra. Esta entreg</t>
  </si>
  <si>
    <t>azuela de Santo Domingo} en Cádiz en casa dePajáres,y en Toledo en la de Medina. Puede ir en carta. Don Máximo Merlo tiene ya dispuestas las entregas g.a y 6.a de las obras de música para guitarra compuestas por D. Federico Moretti , Alférez de Reales Guardias Walonas, y consta la g.a para canta</t>
  </si>
  <si>
    <t>Merri</t>
  </si>
  <si>
    <t>s con el Secretario de Estado Conde de Bernstorff. Mr. Dummond, que ha venido con él, reemplazará á Mr. Merri, como Encargado de negocios de S. M. Británica en esta corte. Acompañan al Lord Withworth un hermano suyo, que es Coronel, y el Secretario Wynn. El dia 9 dió este ministerio orden</t>
  </si>
  <si>
    <t>. Listón, Ministro británico en los Estados-Unidos de América, ha dexado su empleo , y le reemplaza Mr. Merri, Enc irg ido que fue de negocios de Inglaterra en Dinamarca.__ Han vuelto de dichos Estados-Unidos los comisarios que envió este gabinete para arreglar ciertos puntos con aquel go</t>
  </si>
  <si>
    <t>Meschitscherskoi, Príncipe</t>
  </si>
  <si>
    <t>Príncipe Meschitscherskoi</t>
  </si>
  <si>
    <t>iones que ha pedido. Han sido depuestos de sus empleos los Tenientes Generales Duque de Richelieu y Príncipe Meschitscherskoi, los Generales Schutz, Wvangel y Knorring, los Mayores generales Dolgouruckow y Juccate, y otros Generales y Coroneles. A todos se les permite usar el uniforme de su respectivo gr</t>
  </si>
  <si>
    <t>Mesías, Juan</t>
  </si>
  <si>
    <t>Juan Mesías</t>
  </si>
  <si>
    <t>ciones de la esquadra, al mando del Capitán de Navio D. Ramón Topete, y sus segundos los de Fragata D. Juan Mesías y D. Joseph Meneses, con prevención de que estuviesen á la orden de Donadío: los enemigos subieron á las alturas de Brion y la Grana, lo que disputaron con mucha firmeza y denuedo dic</t>
  </si>
  <si>
    <t>Mesnard, General</t>
  </si>
  <si>
    <t>General Mesnard</t>
  </si>
  <si>
    <t>, y se adelantó hasta Perus. El dia i.° hubo un ataque general. La 6.a división, cuyo mando tomó el General Mesnard, marchó con la 7.a á los famosos reductos del campo de Müle-Fourches, se apoderó de ellos, cogió 800 prisioneros, y se dirigió á Saorgio y Futon, con el objeto de cortar la comuni</t>
  </si>
  <si>
    <t>Mestre, Juan Francisco</t>
  </si>
  <si>
    <t>Juan Francisco Mestre</t>
  </si>
  <si>
    <t>acot. El Rey ha conferido el Gobierno de la plaza de Alburquerque al Brigadier é Ingeniero director D. Juan Francisco Mestre. En los cuerpos provinciales de la península ha conferido el Rey los empleos siguientes: en el de Ciudad-Rodrigo la compañía de cazadores al Capitán de fusileros D. Pedro Celestin</t>
  </si>
  <si>
    <t>Metas, General</t>
  </si>
  <si>
    <t>General Metas</t>
  </si>
  <si>
    <t>Franco-Condado. El Príncipe Cárlos con otro numeroso exército penetrará por Alsacia, al paso que el General Metas entrará al mismo tiempo en Provenza y el Delfinado por Niza y el valle de Barcelonnette.__ La Gran Bretaña ofreció al principio concurrir al éxito de este plan dando 30® hombres de</t>
  </si>
  <si>
    <t>ue los primeros desembarcasen en las costas de Provenza , al paso que los segundos, mandados por el General Metas, penetrarían por el Condado de Niza. El cuerpo de Condé había de embarcarse en Liorna, é incorporado con los ingleses formaría parte de las tropas destinadas al desembarco. Vuelve</t>
  </si>
  <si>
    <t>o y del Imperio á orillas del Rhin, y que MrKray irá á ponerse al frente del de Italia en lugar del General Metas, que por su edad y sus achaqües no puede aguantar las fatigas de la guerra. Aseguran que el General Mack ha llegado á Viena, en donde fué muy bien recibido: que se propone publica</t>
  </si>
  <si>
    <t>es sigue la construcción de gran número de cañoneras; para defensa de las lagunas.. El exército deL General Metas se ha reforzado con mas de 20© liom— tares. A Aíantua llegan también muchas tropas austríacas</t>
  </si>
  <si>
    <t>Metzguer, Joseph</t>
  </si>
  <si>
    <t>Joseph Metzguer</t>
  </si>
  <si>
    <t>hácia Génova. —Madrid 22 de Abril. lil Rey ha conferido al Teniente Coronel D. Joseph Metzguer, Teniente de Rey de la plaza de Dénia,la Tenencia de Rey de la de Valencia. Por jubilación del Contador de exército en Valencia D. Juan Miguel Camaño, se ha servido el Rey conferir este des</t>
  </si>
  <si>
    <t>Mexía de Tovar, Vicente</t>
  </si>
  <si>
    <t>Vicente Mexía de Tovar</t>
  </si>
  <si>
    <t>D, Tomas dé Sancha y Prado , á justificar su acción, y percibir el capital que se halla depositado. D. Vicente Mexía de Tovar, catedrático de primeras letras en la villa del Tomillos© ,. provincia de la Mancha, escritor general y agrimensor &amp;c., admite niños en clase de pupilos, y les enseñará á leer en</t>
  </si>
  <si>
    <t>Meyreles, Ramón</t>
  </si>
  <si>
    <t>Ramón Meyreles</t>
  </si>
  <si>
    <t>mbrado Subteniente de bandera d;el regimiento de milicia disciplinadas de infantería de la Hávana á D. Ramón Meyreles, Cadete del mismo cuerpo; y ha conferido la Gomándancia del de voluntarios de milicias del Misisipí en la Luisrana, con el grado de Capitán de infantería; á D. Luis Déclóuet, Teni</t>
  </si>
  <si>
    <t>Mhnó, Juan</t>
  </si>
  <si>
    <t>Juan Mhnó</t>
  </si>
  <si>
    <t>ique y Rita, natural de S. Quirse-, Corregimiento-de Vique...... ■........ . 47.Juan Mhnó, hijo-de Francisco y'María* natural de Ole</t>
  </si>
  <si>
    <t>Micaela de la Mota</t>
  </si>
  <si>
    <t>pública subasta una casa sita en esta corte, calle de la Bola, núm» i y 3, manzana 40(5, propia de Doña Micaela de la Mota: su sitio se compone de 70pies, construida de nueva planta ** tasada en venta en 898,773 rs. , y en renta 44,938; y se ha de verificar su remate (que nO'tendrá lugar á quarta ni o</t>
  </si>
  <si>
    <t>Michel, Almirante</t>
  </si>
  <si>
    <t>Almirante Michel</t>
  </si>
  <si>
    <t>l-Soberano de no cañones, Pompeyo de 8o, y otros. A la oficialidad y tripulación de la esquadra del Almirante Michel les correponden 200® libras esterlinas por su parte de presa de los buques holandeses cogidos en Helder. ; : Ayer fuéron á Blackwall Mr. Pitt y eí Lord Spencer, para asistir á la</t>
  </si>
  <si>
    <t>Michelson, General</t>
  </si>
  <si>
    <t>General Michelson</t>
  </si>
  <si>
    <t>drán á principios de la primavera mandados por el Almirante Chanukow. Ha conferido este Soberano al General Michelson la comandancia de la península de Crimea. El número de embarcaciones que en el discurso del año último entráron en este puerto no pasó de 779» que son 233 menos que das que aportaron</t>
  </si>
  <si>
    <t>Micolta, Francisco</t>
  </si>
  <si>
    <t>Francisco Micolta</t>
  </si>
  <si>
    <t>Oficial quarto primero: este destino á D. Cárlos Benedeti, Oficial quarto segundo; y esta resulta á D. Francisco Micolta. Desde 15 de Febrero próximo hasta 31 dé Marzo siguiente se admitirán para su renovación y pago de intereses los Vales Reales de 150 pesos de la creación de Aíarzo, que comienzan</t>
  </si>
  <si>
    <t>Midense, Joseph</t>
  </si>
  <si>
    <t>Joseph Midense</t>
  </si>
  <si>
    <t>mpleo de Teniente de Ministros principales de Comayagua, en lá Caxa de rescates de TeguL cigalpa, a D. Joseph Midense; y el de Guarda-Almacenes del puerto de Truxillo,enel propio Reyno, á D. Antonio Xiiñenez de Qrtega. , Con'íectia de 9 de este mes há obtenido la villa de Guate facultad Real para</t>
  </si>
  <si>
    <t>Mier y Teran, Juan</t>
  </si>
  <si>
    <t>Juan Mier y Teran</t>
  </si>
  <si>
    <t>granaderos á los Tenientes D. Luis Piernas y D. Fernando de Lizoro: á Tenientes á los Subtenientes D. Juan Mier y Teran, D. Juan Blanco , de : r» Dulcocr. D. Francislos Cadetes 6! Santiago de Morant, D. LuisDanoy, D. Luis Bouligny, n Luis Gavarre V D. Cirilo de Morant, y los Sargentos pr.meros Don</t>
  </si>
  <si>
    <t>Migtfel'Ruiz MóótenegVo</t>
  </si>
  <si>
    <t>nuel Navarro,”.. Con fecha de 28 de Marzo último xémitieron los Sresl ílomero, hermanos y sobrino á D. Migtfel'Ruiz MóótenegVo, vecino de Villañuevá de la'Serena, un vale de 300 pesos dé í.° de Febrero,’núm. T i¿,768 ; y habiéndose extraviado, quien lé hubiese encontradó’ le entregará al exprésádó Montene</t>
  </si>
  <si>
    <t>Miguei Forcalio</t>
  </si>
  <si>
    <t>Ramón Gómez, D. Rafael Riesch, D. Francisco Calderón de la Barca, D. Luis Solana, D.Fernán.lo Navia,D. Miguei Forcalio, Don Jacobo Gil de Avalle, D. Joachin Ponte, D.Francisco Arnau, D. Joachin Hidalgo y D. Luis de Sotomayor. El Rey se ha servido promover á Teniente Coronel del regimiento provinci</t>
  </si>
  <si>
    <t>Miguel Antonio</t>
  </si>
  <si>
    <t>gnacio de Armendarizj y el otro á la del mismo Jáuregui. Quien supiere de ellos avisará al referido D. Miguel Antonio en Vergara, ó en Madrid á D. Manuel García Malde, calle de Cantarínas, núm. 9, frente al pasadizo. Por la audiencia del Sr. D. Juan Antonio Santa María, Teniente Corregidor de esta</t>
  </si>
  <si>
    <t>Miguel Jorge</t>
  </si>
  <si>
    <t>éritos. En atención al mérito, servicios y circunstancias que concurren en Don. Miguel Jorge, Médico y Cirujano mayor de los correos marítimos, se hx&gt; servido el Rey concederle los honores de Medicó de su Real familia. Asimismo se ha servido S. M. conferir el empleo de Cirujano p</t>
  </si>
  <si>
    <t>Miguez, Agustín</t>
  </si>
  <si>
    <t>Agustín Miguez</t>
  </si>
  <si>
    <t>que tuviese dichos autos los entregase en la expresada escribanía de Marina, ó en Cádiz en casa de D. Agustín Miguez, apoderado ele dicho Sr. Marques. Y no habiendo acudido nadie á solicitar aquella cantidad, ni á la entrega de los expresados autos, se repite por última vez dicho aviso, apercibi</t>
  </si>
  <si>
    <t>Mijares, Félix</t>
  </si>
  <si>
    <t>Félix Mijares</t>
  </si>
  <si>
    <t>deros D. Eusebio Campos y D. Mateo Lambea: á Subtenientes de granaderos á los primeros Subtenientes D. Félix Mijares</t>
  </si>
  <si>
    <t>ente de granaderos al de fusileros D. Luis de Soto; á segundo Teniente al Subteniente de granaderos D. Félix Mijares; á Subteniente de granaderos al primer Subteniente D. Lorenzo Wullez; y á primer Subteniente al segundo D. Miguel Julián Royo: en el batallen' de voluntarios de Gerona á primer Su</t>
  </si>
  <si>
    <t>Milano, Francisco</t>
  </si>
  <si>
    <t>Francisco Milano</t>
  </si>
  <si>
    <t>el Beneficio de Castroverde en la diócesis de Salamanca, vacantes uno y otro-* por fallecimiento de D. Francisco Milano, á D. Benito de Torres, con retención de la demas renta eclesiástica que obtiene, para que asista á la galera y casa de reservadas, en ios términos que lo hace ahora. Habiéndose e</t>
  </si>
  <si>
    <t>Milar, Joseph</t>
  </si>
  <si>
    <t>Joseph Milar</t>
  </si>
  <si>
    <t>y Pia , tasada en 27,787 rs. y renta 59f. = Las Franquesas: un manso y heredad , de la causa pia de D. Joseph Milar , tasado en 145,680 rs. y renta 2551; -z=*Palou : una pieza de tierra, de la obra de la iglesia de dicho lngar , tasada en 537,08 x rs. y renta 4033.= Balaguer: una pieza de tierr</t>
  </si>
  <si>
    <t>Mileradowics</t>
  </si>
  <si>
    <t>Milet</t>
  </si>
  <si>
    <t>Milius, General</t>
  </si>
  <si>
    <t>General Milius</t>
  </si>
  <si>
    <t>or ahora todo el territorio de la República cisalpina, y que conservará la línea que ha formado. El General Milius, comandante de los austríacos en Ancona, ha enviado á Fano* ciudad distante 5 millas de Pesaro, algunos destacamentos con 8 piezas de artillería, los quales, según se dice, traen</t>
  </si>
  <si>
    <t>nte austríaco en Toscana, ha escrito al General Monnier respondiendo á la carta que este dirigió al General Milius relativamente á los insurgentes de Toscana, que durante el armisticio atacaron algunos puestos franceses en la Romana. Le dice que en Toscana no hay insurgentes, sino vasallos lea</t>
  </si>
  <si>
    <t>Milizia, Francisco</t>
  </si>
  <si>
    <t>Francisco Milizia</t>
  </si>
  <si>
    <t>ide Hamete Benengeli: á 6 rs. en pergamino y 8 en pasta‘.r=:El Teatro; obra escrita en italiano por D. Francisco Milizia; y traducida por D J. F. O. == Juguetes de la niñez y travesuras del ingenio de D. Francisco de Quevedo Villegas. = Historia y vida del Gran Tacaño, por el mismo: á 6 rs. en perga</t>
  </si>
  <si>
    <t>Mimo, Lord</t>
  </si>
  <si>
    <t>Lord Mimo</t>
  </si>
  <si>
    <t>, por el quál comunica S. M. á la Cámara de los Comunes copia de un tratado firmado en Viena por el Lord Mimo, Ministróle Inglaterra en aquella corte, y por el Barón de Thugut, Ministro del Emperador: ámbos competentemente autorizados para ello. Hallándose tan adelantadas las sesiones par</t>
  </si>
  <si>
    <t>Miñano y las Casas, Andrés</t>
  </si>
  <si>
    <t>Andrés Miñano y las Casas</t>
  </si>
  <si>
    <t>y para la plaza de Ministro de la Audiencia de Canarias, vacante por renuncia que ha hecho de ella D. Andrés Miñano y las Casas, á D. Francisco Alfonso de Tuero López Treviíío. También se ha servido S. M. nombrar para el Gobierno militar y político de las quatro villas de la costa de la mar á D. Tomas O-Do</t>
  </si>
  <si>
    <t>Mingo, Pedro</t>
  </si>
  <si>
    <t>Pedro Mingo</t>
  </si>
  <si>
    <t>yetano Lacalle y D. Joseph Torrelallebreta ; á segundos Tenientes á los Subtenientes de4j|ranaderos D. Pedro Mingo,-D. Christóbal Ordoñez y D. Antonio TomiTba, y á los primeros Subtenientes D. Juan Rabel y D. Serafín Oliver; á Subtenientes de granaderos á los primeros Subtenientes Don Juan Cal</t>
  </si>
  <si>
    <t>Minio, Manuel</t>
  </si>
  <si>
    <t>Manuel Minio</t>
  </si>
  <si>
    <t>romover á Subtenientes del mismo Real cuerpo á D. Joseph Paulin , D. Fernando Márquez de la Plata , D. Manuel Minio, D. Diego Lara, D. Vicente Ros, D. Joseph González Pardo, D. Martin Zarandía, D. Ramón Gómez, D. Rafael Riesch, D. Francisco Calderón de la Barca, D. Luis Solana, D.Fernán.lo Navi</t>
  </si>
  <si>
    <t>Minto</t>
  </si>
  <si>
    <t>aquel día en el Parlamento el examen del nuevo bilí de contribución sobre los bienes. Aseguran que Mr. Minto avisa que en Viena se esperaban quanto antes nue</t>
  </si>
  <si>
    <t>Minto, Lord</t>
  </si>
  <si>
    <t>Lord Minto</t>
  </si>
  <si>
    <t>n : Carolo a Linneo botanicorum principia amici et discipuli IJ9 8. Viena i.° de Enero de 1800. E I Lord Minto, Ministro de Inglaterra en esta corte, y el Teniente General Conde de Bellegarde, han salido de esta ciudad para Praga, á fin de conferenciar con el Conde Suwarow sobre asuntos im</t>
  </si>
  <si>
    <t>on muchos los correos rusos, ingleses y austríacos que recibe en Praga el Feld-Mariscal Suwarow. El Lord Minto, Enviado británico, que fue á verle con el General Bellegarde, llevaba encargo de arreglar todo lo relativo á la manutención de las tropas rusas durante la campaña próxima. El Arc</t>
  </si>
  <si>
    <t>i de Marzo. E n la gazeta de esta corte del día 4 *e habla de la toma de la plaza de El-Arisch, El Lord Minto ha recibido un correo del Embaxador británico en Constantinopla, por el qual le avisa que el Gran Visir concluyo, posteriormente á la conquista de aquella fortaleza, un armisticio</t>
  </si>
  <si>
    <t>baxo las órdenes del General en xefe. Añaden que dicho Príncipe irá á Viena para concertarse con el Lord Minto, Embaxador ingles, y con el ministerio austríaco, sobre las operaciones de esta campaña. Muchos oficiales emigrados de graduación servirán baxo las órdenes del Príncipe de Conde.</t>
  </si>
  <si>
    <t>ónsul ha repetido en medio de sus triunfos. Acaba de llegar un correo de gabinete despachado por el Lord Minto, Embaxador británico cerca del Emperador de Alemania. Sin duda sus pliegos son relativos ai apuro en que se halla aquella corte, forzada casi á la paz por las victorias de los fra</t>
  </si>
  <si>
    <t>Almirantazgo. De resultas de haber llegado estos días un extraordinario de Viená despachado por el Lord Minto, nuestro Embaxadór en aquella corte ,/se 'juntó el Consejo de gabinete para resolver sobre ei contenido de sus pliegos. Parece que no han desagradado á este ministerio: pues se di</t>
  </si>
  <si>
    <t>neral Nicoletti, que fue comandante de Milán, está nombrado para mandar en Padua. Se asegura que el Lord Minto, Embaxador ingles, acaba de recibir de Constantinopla noticias muy desagradables para su corte. El 18 del corriente hubo en Presburgo, capital de Hungría, un incendio en que queda</t>
  </si>
  <si>
    <t>or aquí un extraordinario ingles despachado de Constantinopla; y al instante se publicó en casa del Lord Minto que el General Kleber ha sido asesinado en Egipto por un oficial árabe ó mameluco. Berlín ix de Agosto. P asado mañana saldrá el Rey para Silesia con su Ministro el Conde de Haugw</t>
  </si>
  <si>
    <t>n no se ha ratificado el último tratado de subsidios firmado en Viena entre el Barón de Thugut y el Lord Minto. Prosiguen los franceses demoliendo con gran priesa las fortificaciones de Reriti, en la entrada del Tirol. Hácia el Brisgaw se han aumentado considerablemente las tropas francesa</t>
  </si>
  <si>
    <t>tado en la secretaría del Lord Grenville para exáminar pliegos recibidos de la corte de Viena y del Lord Minto, nuestro. Embarcador. cerca de S. M. Imperial* pícese que ha resuelto este gobierno consentir en que el Emperador ratifique los preliminares de paz firmados en su. nombre por el C</t>
  </si>
  <si>
    <t>Lunevilie. Igualmente se asegura que el último correo de Inglaterra recibido aquí por el Embaxador Lord Minto, traxo las últimas proposiciones que la Francia' ha hecho al gabinete de Londres, el qual las ha comunicado sin pérdida de tiempo á esta corte. » Berlín o, de Octubre. E iSte Sobe</t>
  </si>
  <si>
    <t>Miollis, General</t>
  </si>
  <si>
    <t>General Miollis</t>
  </si>
  <si>
    <t>rios cuerpos de tropas hacia Suiza y Tirol. Las tropas francesas ocupan á Reeco, Camogli y Ruta. El General Miollis, que manda la división de la ribera de levante, tiene su quartel en Altano. Los insurgentes de Fontana-Rona se muestran inclinados á dexar las armas. Los Comisarios que el gobiern</t>
  </si>
  <si>
    <t>hombres en el castillo de Savona; y al anochecer se retiró hacia Albisola----- El mismo dia fué el General Miollis atacado en la ribera de levante, y tuvo por entonces que replegarse; pero el 7 acudió allí el General Massena, derrotó á los austríacos, y cogió 2500 prisioneros, entre los quales</t>
  </si>
  <si>
    <t>emigos al valle de Albisola ;;y. quantos entráron en él quedaron prfc sioneros ó fuéron muertos. El General Miollis ocupa y manda en Genova. Los castillos de Savona y Gavi están provistos. En estas varias jornadas hizo el General Massena por sí solo 6© prisioneros, entre los quales hay un Gener</t>
  </si>
  <si>
    <t>siguiendo el alcance á los enemigos. Hoy hará noche en Vareggio el General en xefe.” Igualmente, el General Mioilis , comandante de Genova, ha escrito al Ministro francés cerca del gobierno liguriano, diciéndole: „Os remito los pliegos del General en xefe, que acabo de recibir por un extraordin</t>
  </si>
  <si>
    <t>l Emperador que restituye al Papa sus estados incluye estas palabras: Hasta las tres legaciones. El General Miollis, que está en Bolonia, recibió el dia 10 orden de salir de allí para otro destino que se ignora. Turin 2 8 de Julio. P or disposición del gobierno de Francia se formarán inmediatam</t>
  </si>
  <si>
    <t>y al instante pasó á la junta de sanidad con el .General Clement. También ha venido de Florencia el General Miollis, y se espera al Ministro Petiet y al General Marmont. ^ r Tienen los ingleses bloqueado este puerto, y envían a Manon o a Fortoferrayo quantas embarcaciones quieren entrar en él.</t>
  </si>
  <si>
    <t>Mioño, Joseph</t>
  </si>
  <si>
    <t>Joseph Mioño</t>
  </si>
  <si>
    <t>s Tenientes al segundo Ayudante mayor D. Francisco Aíosteirin , y al segundo Teniente de granaderos D. Joseph Mioño* á segundo Ayudante mayor al mismo D. Francisco Mosteirin; y á Segundos Tenientes al Alférez de granaderos D. Antonio Roca Escorcia, y al de fusileros D. Pedro Liñan. En el de inf</t>
  </si>
  <si>
    <t>Miranda, Francisco</t>
  </si>
  <si>
    <t>Francisco Miranda</t>
  </si>
  <si>
    <t>*eda: en el de Orense compañía al Teniente D. Francisco Miranda; la Tenencia de granaderos al Teniente D. Joseph Yañez; Tenencia de fusileros al Subteniente D. Manuel Ignacio Domeneeh , y las Subtenencias de granaderos y cazadores \á los Subte</t>
  </si>
  <si>
    <t>Miranda, Juan Manuel</t>
  </si>
  <si>
    <t>Juan Manuel Miranda</t>
  </si>
  <si>
    <t>: confronta con heredad del convento de la Purísima Concepción de la villa de Agreda , con otra de D. Juan Manuel Miranda, y otra (le la Señora Marquesa viuda de Paredes, rasada en 350 libras de la expresada moheda, y su renta anual en 3 cahíces y 2 medías de trigo. 7.0 Un olivar con 59 olivos y 10 e</t>
  </si>
  <si>
    <t>Mirét, Salvador</t>
  </si>
  <si>
    <t>Salvador Mirét</t>
  </si>
  <si>
    <t>, Corregimiento de Mataré..................................... . 55. «0m Cabo.. Salvador Mirét, hijo de Jayme y Gertrudis, natural de . Cardedeu , Corregimiento de Granullés...................... 124. Joseph Pagés, hijo de Antonio y María, natural de Ullár, Corregimiento de Geron</t>
  </si>
  <si>
    <t>Miro y Ríves, Joseph</t>
  </si>
  <si>
    <t>Joseph Miro y Ríves</t>
  </si>
  <si>
    <t>lo de Porras: en el de. Sigíienza al Cadete D. Joseph María de Ariza y Taboada; y en el de Alcira á D. Joseph Miro y Ríves. Asimismo ha nombrado S. M. segundo Teniente de la compañía de infantería de la plaza de Rosas al Subteniente de la misma 0. Antonio Aloy: segundo Subteniente de la compañía de in</t>
  </si>
  <si>
    <t>Miró, Gerónimo</t>
  </si>
  <si>
    <t>Gerónimo Miró</t>
  </si>
  <si>
    <t>rgento primero D. Antonio Farre; á primer Subteniente en el segundo batallón de Cataluña al segundo D. Gerónimo Miró: en el regimiento de infantería de Nápoles á Capitán de granaderos al de fusileros D. Antonio Cardoso; á Capitán de fusileros ai primer Teniente de granaderos D. Mariano Bianconi</t>
  </si>
  <si>
    <t>Mítchel, Almirante</t>
  </si>
  <si>
    <t>Almirante Mítchel</t>
  </si>
  <si>
    <t>dado , pues aseguran que ha perdido el favor de los Ministros, y se ha retirado á sus haciendas. El Almirante Mítchel ha vuelto de Holanda con los últimos transportes que han traído á los soldados ingleses heridos y enfermos. La corte ha publicado, en su gazeta todos los documentos relativos á la</t>
  </si>
  <si>
    <t>Mitchel, Almirante</t>
  </si>
  <si>
    <t>Almirante Mitchel</t>
  </si>
  <si>
    <t>eclarar de buena presa á favor de Inglaterra los navios holandeses de que se apoderó en el Texel el Almirante Mitchel en nombre del Stathouder.. En conseqücncia de la unión de Irlanda se construirá un nuevo edí</t>
  </si>
  <si>
    <t>Mitchell, Almirante</t>
  </si>
  <si>
    <t>Almirante Mitchell</t>
  </si>
  <si>
    <t>el hermoso edificio de Ocllers. Los Ayuntamientos de Londres y Westminster han acordado regalar al Almirante Mitchell, como prueba de agradecimiento, una espada de valor de 100 guineas. En la hoja se grabará por un lado la entrega de la esquadra bátava, y por otro el escudo de armas de este xefe;</t>
  </si>
  <si>
    <t>Mitías Díaz</t>
  </si>
  <si>
    <t>ia á D. Simón Sejuro. .En el de Milicias urbanas de caballería de S. Pablo de Chalaquez, Tenencia á D. Mitías Díaz , y empleo de Alférez á D. Mariano Arribaspíata. En el de Milicias urbanas de dragones de Palma en Jauja, Tenencia á Don Luis García. En el de igual clase de caballería de Huamali</t>
  </si>
  <si>
    <t>Mitjavi, Vicente</t>
  </si>
  <si>
    <t>Vicente Mitjavi</t>
  </si>
  <si>
    <t>eflexiones de Cayetano Strambio sobre los elementos de medicina del Dr. Juan Erown , traducidas por D. Vicente Mitjavi/a y Fisonell, Doctor en Medicina , -Médico honorario de la Real familia, y socio residente de la Real academia médico-práctica de Barcelona. Se hallará en ia librería de Castillo</t>
  </si>
  <si>
    <t>Mitjavila y Fisonell, Vicente</t>
  </si>
  <si>
    <t>Vicente Mitjavila y Fisonell</t>
  </si>
  <si>
    <t>e fragmentos relativos á la proposición Browniana que el frío debilita : recogidos é ilustrados por D. Vicente Mitjavila y Fisonell, médico honorario de la familia Real &amp;c. Pocos escritos son mas útiles é interesantes que este Opúsculo &lt;¡.° , dirigido á disuadir al público de la opinión de que el frió corrobor</t>
  </si>
  <si>
    <t>41 en pasta. Reflexiones del Dr. Pedro Frank sobre 1.a doctrina Browniana, traducidas del latin por D. Vicente Mitjavila y Fisonell, médico honorario de la familia Real, para la formación del quarto opúsculo Browaiaoo. Estas reflexiones contienen 1¿1 critica sobre muchos puntos del nuevo sistema; y todo litera</t>
  </si>
  <si>
    <t>Mitrowski, General</t>
  </si>
  <si>
    <t>General Mitrowski</t>
  </si>
  <si>
    <t>cos han sufrido una pérdida considerable delante de Mondovi, siendo su ala izquierda mandada por el General Mitrowski la que mas padeció. Las tropas francesas que defendían el castillo de aquella ciudad xechazáron varias veces á los enemigos 5 y</t>
  </si>
  <si>
    <t>Miyares, Fernando</t>
  </si>
  <si>
    <t>Fernando Miyares</t>
  </si>
  <si>
    <t>á los agregados en esta clase D. Ramón Herrero v D. Tomas Sancha; v á segundo Teniente al agregado D. Fernando Miyares. Asimismo se ha dignado S. M. promover en el regimiento de caballería de la Rey na á Alférez al Portaestandarte D. Joseph Infante; y á esta resulta al Sargento D. Francisco Xavier</t>
  </si>
  <si>
    <t>Mmto, Lord</t>
  </si>
  <si>
    <t>Lord Mmto</t>
  </si>
  <si>
    <t>e había dado á ningún xefe de la esquadra de la Mancha. _ De resulta de la llegada de un correo del Lord Mmto, Ministro británico enViena, ha habido én la secretaría del Lord Grenville un consejo de gabinete que duró muchas horas, y por no interrumpirle se suspendió aquel día en el Parlam</t>
  </si>
  <si>
    <t>Mngel Carrancio, Manuel</t>
  </si>
  <si>
    <t>Manuel Mngel Carrancio</t>
  </si>
  <si>
    <t>as de obras pías fundadas en pueblos de la Intendencía de Madrid y para cuya venta está comisionado D. Manuel Mngel Carrancio. Alcobendas. Vínculo de Juana López: una casa en dicba población, que linda Con la de.Claudia de Castro, tasada en 2375 rs. Una tierra en los Mesoncillos, de 6 fanegas, en 1200. O</t>
  </si>
  <si>
    <t>Mocan Labandera, Fernando</t>
  </si>
  <si>
    <t>Fernando Mocan Labandera</t>
  </si>
  <si>
    <t>la mañana y tarde del dia 22 los niños pobres de la escuela gratuita de primeras letras dotada por D. Fernando Mocan Labandera, Abad de Santa Doradia, establecida por el Exc. Sr. promotor, su comisario testamentario, y agregada por S. M. al Real Instituto, en esta forma? 17 niños de la clase de ortología</t>
  </si>
  <si>
    <t>Mocenigo, Conde</t>
  </si>
  <si>
    <t>Conde Mocenigo</t>
  </si>
  <si>
    <t>, según un uso que parece ha adquirido fuerza de ley. De Florencia escriben que ha sido depuesto el Conde Mocenigo, Ministro de Rusia cerca del Gran Duque, y que su secretario de legación va preso á Petersburgo.</t>
  </si>
  <si>
    <t>Modesto Peringer, Juan</t>
  </si>
  <si>
    <t>Juan Modesto Peringer</t>
  </si>
  <si>
    <t>se ha servido nombrar Afinador principal de la Real fundición de artillería de bronce de Sevilla á D. Juan Modesto Peringer; y por primeros Ayudantes de Afinador de esta y de la de Barcelona á D. Juan Japón y á D. Joseph Peringer. El Rey ha nombrado Cirujanos del primero y tercer batallón del regimient</t>
  </si>
  <si>
    <t>Modet, Miguel Ramón</t>
  </si>
  <si>
    <t>Miguel Ramón Modet</t>
  </si>
  <si>
    <t>nio Valdecañas; y para otra supernumeraria oe Alcalde del Crimen de la Chancillería de VaIladolid á D, Miguel Ramón Modet, con sueldo y obcion á la primera vacante: y iia concedido S. M, honores de Oidor ae la Audiencia de Sevilla al Alcalde honorario de la Quadra de la misma Audiencia D, Diego Josep</t>
  </si>
  <si>
    <t>Mofea, General</t>
  </si>
  <si>
    <t>General Mofea</t>
  </si>
  <si>
    <t>ue Carlos, en el qual fue muy bien recibido. Volv ió aquí, y dio cuenta del objeto de su encargo al General Mofea u. Desde entonces se han acreditado las voces de paz. Como se han desechado los dos proyectos de constitución, se trata de un nuevo plan que se aproxíme y asemeje ai antiguo feder</t>
  </si>
  <si>
    <t>Moho, Francisco</t>
  </si>
  <si>
    <t>Francisco Moho</t>
  </si>
  <si>
    <t>deYuizos de Reding á Teniente al Subteniente de granaderos D. Francisco Moho. También se ha servido &amp; M. nombrar Capitán en el cuerpo de escopeteros voluntarios de Andalucía al Teniente O. Leandio del Pino: Sub- ■ teniente en la compañía de infantería fifc</t>
  </si>
  <si>
    <t>Moira, Lord</t>
  </si>
  <si>
    <t>Lord Moira</t>
  </si>
  <si>
    <t>é Inglaterra. Hablaron otros vocales á favor, y en contra de la proposición, siendo uno de ellos el Lord Moira, que manifestó sentimiento de que en las presentes circunstancias se ventilase un punto que podría afligir á los católicos si encontraba en la Cámara mucha oposición. En efecto, p</t>
  </si>
  <si>
    <t>Moitland, General</t>
  </si>
  <si>
    <t>General Moitland</t>
  </si>
  <si>
    <t>rno en orden al desembarco de las tropas que lleva dicha esquadra, las quales están mandadas por el General Moitland.</t>
  </si>
  <si>
    <t>Moles, Joachín</t>
  </si>
  <si>
    <t>Joachín Moles</t>
  </si>
  <si>
    <t>titución eclesiástica del santísimo Padre Benedicto XIV sobre santificar la quaresma: traducida por D. Joachin Moles , presbítero. Se hallará en la librería ae Blanques, calle de las Carretas, núm. 2. Pláticas doctrinales, ó explicación de la doctrina christiana para alivio de Párrocos , predica</t>
  </si>
  <si>
    <t>; y discurso del Abad Claudio Fleuri sobre la misma materia, traducidas ambas obras del francés por D. Joachin Moles, presbítero.mInstrucciones y meditaciones sobre el perdón de los pecados para el tiempo de jubileos, y sobre Jas indulgencias; sacadas principalmente del Concilio de Trento , escr</t>
  </si>
  <si>
    <t>ismo Sto. Padre sobre la obligación de comulgar cada uno en su parroquia por Pascua. traducidas por D. Joachin Moles, presbítero. Se hallarán en casa de Blánques , calle de las Carretas. Introducción á la sagrada Escritura, ó Aparato para entender la sagrada Biblia : traducción de la obra que es</t>
  </si>
  <si>
    <t>y espirituales de S. Felipe Neri, muy útiles para las personas de todos traducidos del italiano por Don Joachin Moles, presbítero, añadido el compendio de la vida del Santo, y el exercicio quotidiano de los cinco actos twnecesa.ríos para salvarse : segunda edición. Lleva dos retratos del Santo, u</t>
  </si>
  <si>
    <t>clesiástica del SS. P. Benedicto XIV sobre santificar el sagrado tiempo del Adviento, traducida por D. Joachin Moles, presbítero. Véndese en la imprenta y librería de Blanques , calle de las Carretas , núm. 2. En la librería de Campo, calle de Alcalá, se hallan las obras de música siguientes: un</t>
  </si>
  <si>
    <t>Molina, Agustín</t>
  </si>
  <si>
    <t>Agustín Molina</t>
  </si>
  <si>
    <t>Teniente al segundo de granaderos D. Tomas Butler; á segundo Teniente de granaderos al de fusileros D. Agustín Molina; á segundo Teniente aí Subteniente de granaderos D. Juan Andrés; á Subteniente de granaderos al primer Subteniente D. Agustín Vallanccur; á primer Subteniente al segundo D. Juan G</t>
  </si>
  <si>
    <t>Molina, Antonio</t>
  </si>
  <si>
    <t>Antonio Molina</t>
  </si>
  <si>
    <t>emoria fundada en el convento de Santa Inés , tasados en 869 rs. Otros 10 marjales del patronato de D. Antonio Molina, en io9. Otros 33 marjales en 4 hazas de la memoria de X). Carlos Beíiavides, en 339. Una casa calle de Recogidas, del patronato de D. Juan del Castillo , en 32,782. Otra contigua</t>
  </si>
  <si>
    <t>869 rs. Veinte marjales , pagos del Lunes Herillas, huertas y las vi*fías, propios del patronato de D. Antonio Molina, en 4 pedazos, e’n »o9. Treinta y tres marjales, en 4 hazas, pagos de Leñadores, Ramal , Bujayra y Yajan, propios de la memoria de D. Carlos Benayides, en 33$. Una casa, calle de</t>
  </si>
  <si>
    <t>Molina, Diego</t>
  </si>
  <si>
    <t>Diego Molina</t>
  </si>
  <si>
    <t>Tamblen ha nombrado S. M. Capellán del primer batallón del de infantería del Príncipe aí presbítero D. Diego Molina. El Rey ha nombrado Teniente Coronel del regimiento provincial de Mallorca á D. Joseph Zanglada de Togóres, Capitán de fusileros del propio cuerpo; ¿ ■ .. En América. El .Rey se h</t>
  </si>
  <si>
    <t>Molina, Joseph Antonio</t>
  </si>
  <si>
    <t>Joseph Antonio Molina</t>
  </si>
  <si>
    <t>ombrado Si M. .para la Alcaldía mayor de. Amantan y 'Zácatepequeseri la Presidencia de Goatemala, á D. Joseph Antonio Molina. . * . ( . .i</t>
  </si>
  <si>
    <t>Molitor, General</t>
  </si>
  <si>
    <t>General Molitor</t>
  </si>
  <si>
    <t>ogiéron los dos cañones con algunos prisioneros, entre los quales había un Capitán y 20 húsares. El General Molitor, comandante de ia partida que flanqueaba la derecha de Lecourbe, tuvo aviso el dia 12 do que el Príncipe de Reuss, que cubre los desfiladeros del Tirol, había juntado 9 batallones</t>
  </si>
  <si>
    <t>al tendrá aquí su quartel general durante la suspensión de armas. Las tropas francesas al mando del General Molitor han entrado ya en Phtlipsburgo; y está arreglada la marcha de las guarniciones austríacas de aquella plaza y de la de Ulm, que pasarán por Augsburgo y Munich con sus bagages y art</t>
  </si>
  <si>
    <t>Mollendorf, General</t>
  </si>
  <si>
    <t>General Mollendorf</t>
  </si>
  <si>
    <t>o. H a llegado orden de que inmediatamente se dispongan alojamientos para el Duque de Brunswick, el General Mollendorf, y otros oliciales Generales que vienen de Berlín. Empiezan á ponerse en movimiento las tropas hannoverianas, de las quales pasará un cuerpo á los contornos de Bremen. Algunas par</t>
  </si>
  <si>
    <t>Mollera, Francisco</t>
  </si>
  <si>
    <t>Francisco Mollera</t>
  </si>
  <si>
    <t>peste y todo contagio, con una oración para que Dios nos preserve de estas calamidades: grabada por D. Francisco Mollera, grabador de sellos y punzones. Se hallará en la librería de Esparza, puerta del Sol, á dos reales y medio. Vista de la villa del Ferrol, con el desembarco de las tropas inglesas</t>
  </si>
  <si>
    <t>Mollo, Félix</t>
  </si>
  <si>
    <t>Félix Mollo</t>
  </si>
  <si>
    <t>te al Cadete D. Juan Joseph Arríete : en el Suizo de Reding á Teniente al Subteniente de granaderos D. Félix Mollo; y á Subteniente de granaderos al de fusileros D. Fidel de Reding: en el de Yann á Ayudante al Teniente D. Jacobo Kaysser ; á Teniente al Subteniente de granaderos D. Joseph Nider</t>
  </si>
  <si>
    <t>Mollon, Agustín</t>
  </si>
  <si>
    <t>Agustín Mollon</t>
  </si>
  <si>
    <t>siguiéron sin interrupción , fueron examinados en aritmética D. Joseph Villapol, Don Damaso Aldao , D. Agustín Mollon, Cadete de carabineros de María Luisa, D. Andrés Romero, Cadete del regimiento Inmemorial del Rey, y D.Esteban Piñeyro. En álgebra y trigonometrías D. Pedro Bringas y Marin y D. V</t>
  </si>
  <si>
    <t>Moncada, Joseph</t>
  </si>
  <si>
    <t>Joseph Moncada</t>
  </si>
  <si>
    <t>Veremundo Ramírez de Arellano; y en el de Dragones de Numancia á Teniente al Alférez de granaderos D. Joseph Moneada, También se ha servido S. M. promover á Ingenieros ordinarios de sus exércitos, plazas y fronteras á D.Ramón de la Rocha y D. Juan Pirez,Ingenieros extraordinarios , y á este empl</t>
  </si>
  <si>
    <t>Moncada, Vicente</t>
  </si>
  <si>
    <t>Vicente Moncada</t>
  </si>
  <si>
    <t>nencias de granaderos y cazadores en los de Valladolid y Compostela á los Subtenientes de fusileros D. Vicente Moneada y D. Juan Moscoso; y Subtenencias de bandera en los de Guadix, Bujalance, Sevilla y Mondoñedo, á los Cadetes ©.Gaspar de Coca, D. Cayetano Fcr</t>
  </si>
  <si>
    <t>Moncey, General</t>
  </si>
  <si>
    <t>General Moncey</t>
  </si>
  <si>
    <t>vento de Parad íes y por SchaarenJholz: á las 8 se hallaban en Stein, y á las 9 en Schaífhusa.__ El General Moncey queda ahora encargado del mando interior en Suiza, y probablemente residirá en Berna. Brusélas 4 de Mayo. U na partida de 300 á 400 prisioneros y desertores rusos, austríacos, y d</t>
  </si>
  <si>
    <t>529 El General Moncey ha avisado de oficio al gobierno helvético que un cuerpo de hombres viene á Suiza por Schaífhusa y Basilea para pasar el monte de S. Gothardo, é ir por Bellinzona y Lugano al Mila</t>
  </si>
  <si>
    <t>a y 3.® de caballería para el .cuerpo que ha de pasar el monte de S. Gothardo, baxo las órdenes del General Moncey, el qual se halla en Lucerna. Algunas, de sus tropas han llegado á Zurich, y otras á Zug.. Basilea 28 de Mayo. E 1 exército del General. Saint-Cyr, que había pasado el Danubio par</t>
  </si>
  <si>
    <t>es ,y se hallan todavía dueños de Ragatz, Pfefters y otros pueblos. Siguen marchando las tropas del General Moncey al monte de b. Gothavdo: la vanguardia, mandada por el General Lapoype , ha entrado ya en los bayliages italianos, y la división de í orge ha llegado á Airolo. Según cartas de Wei</t>
  </si>
  <si>
    <t>tropas que tienen los enemigos por aquel lado. El General Murat atravesó esta mañana el Sesia; y el General Moncey habrá pasado ya el S» Gothardo y atacado vivamente hoy á los enemigos. El primer Cónsul y el General en xefe salen esta noche para Ver-celly,cn donde se sentará mañana el quartel</t>
  </si>
  <si>
    <t>adecido aquí desde la salida de los Franceses.... Se recogerán y publicarán todos los hechos.... El General Moncey ha pasado el Monte de S. Gothardo, y llegará mañana á Varesjo.” Ademas de estas noticias han llegado otras que refieren haberse entregado por capitulación la torre del castillo de</t>
  </si>
  <si>
    <t>énos de 48 horas los dos cantones que formaban antes los bayliages italianos» y ¡que el cuerpo del 'General Moncey en vez de ir á Milán, como se Labia ere ido, marchará hácia Bérgamo., Brescia y el Adige, .á fin de cortar á los austríacos m retirada -por la Italia superior. Brus¿las 5 de Junio.</t>
  </si>
  <si>
    <t>5 á 20 vacas, cuyo importe-pagaron. Noticias de los e.xércitas de Italia. Exército de reserva. „ El General Moncey ai primer Cónsul Bonaparte. Quartel general de Bellinzona i.° de Jimio: Tengo la honra de informaros que los dias 28 y 29 una parte de las tropas de mi mando pasó el monte de S. G</t>
  </si>
  <si>
    <t>s enemigos con gran priesa á Mantua, que aseguran estar mal provista-----Acaba de llegar á Milán el General Moncey con la vanguardia de su primera división.” „ Parte del exército de reserva del dia 8. Desde Orsinovi marchó el General Loison hácia Brescia, en donde se hallaba el General austría</t>
  </si>
  <si>
    <t>entonces han avivado mucho las disposiciones militares. Todo el exército esta ya en movimiento. El General Moncey, comandante del ala izquierda, tiene sw quartel en Brescia; el General Dupont, que manda el centro, ha sentado el suyo en Cremona, y el del General Suchet, que manda el ala derech</t>
  </si>
  <si>
    <t>ados 2600 caballos. / El Teniente General Delmas manda la vanguardia, que consta de 12© hombres: el General Moncey el ala izquierda, el General Dupont la derecha, Suchet el centro, y Michaud el cuerpo de reserva. , Turin 2 $ de Noviembre. E 1 Ministro francés Petiet se ha restituido de Toscana á</t>
  </si>
  <si>
    <t>Moncey, Teniente General</t>
  </si>
  <si>
    <t>Teniente General Moncey</t>
  </si>
  <si>
    <t>® hombres, mandado por el General de división Lorge, ha ido del exército del Rhin á reforzar el del Teniente General Moncey, que está destinado para transitar por el monte de S. Gptbardo. Mientras el primer Cónsul estuvo en Lausana pasó revista á una coluna de lá legión itálica compuesta de 2® hombres,</t>
  </si>
  <si>
    <t>ctualmente en Bolonia la división del General Watrin y la legión cisalpina que estaba en Módena. El Teniente General Moncey volvió aquí de Brescia para encargarse del mando interino del exército de Italia desde que se ausentó Massena, y h.ista que viniese el nuevo General en xefe Bruñe, el qual llegó a</t>
  </si>
  <si>
    <t>Moneey, General</t>
  </si>
  <si>
    <t>General Moneey</t>
  </si>
  <si>
    <t>ral Duhesme se dirige hoy (dia 3) hacia Lodi, y va echando á los enemigos al otro lado del Adda. El General Moneey ha llegado á Bellinzona; y la legión cisalpina está bloqueando la ciudadela de Arona.”__ Se incluye en esta relación la capitulación del castillo de Bard. ,, Exército de reserva.</t>
  </si>
  <si>
    <t>Mongay, Francisco</t>
  </si>
  <si>
    <t>Francisco Mongay</t>
  </si>
  <si>
    <t>D. Félix Cortés; y la segunda Subtenencia al Sargento primero graduado de Subteniente de infantería D. Francisco Mongay. En América. Habiendo tenido el Rey á bien erigir en independiente la Caxa del Valle Dupár, en el Nuevo Reyno de Granada, uniendo á ella las Receptorías de Valencia, de Jesús y Ta</t>
  </si>
  <si>
    <t>ñía suelta de fusileros voluntarios del Reyno de Aragón al segundo Subteniente de la misma compañía D. Francisco Mongay; y para esta resulta al Subteniente graduado de infantería D. Antonio de Torres, Sargento primero distinguido de la expresada compañía. También ha conferido S. M. el empleo de Con</t>
  </si>
  <si>
    <t>Monicon, Victoriano</t>
  </si>
  <si>
    <t>Victoriano Monicon</t>
  </si>
  <si>
    <t>viado un vale de 150 pesos, creación de Marzo, núm. 305,184. Quien le tuviese avisará en Zaragoza á D. Victoriano Monicon , á quien pertenece el vale; y en Madrid á D. Fernando Antunez de $¿edesnia, Oficial de la contaduría general de Propios de esta corte. Por providencia del Sr. D. Juan Antonio San</t>
  </si>
  <si>
    <t>Moníriuit, General</t>
  </si>
  <si>
    <t>General Moníriuit</t>
  </si>
  <si>
    <t>l monasterio, teniendo á su derecha aj Cardenal Herzan, Ministro del Emperador, y á su izquierda al General Moníriuit, comandante austríaco; y dió S. B. la bendición al pueblo , á cuyo tiempo se hizo triple salva de artillería. Esta noche se iluminará toda la ciudad. La mayor parte de las casas y</t>
  </si>
  <si>
    <t>Monnicr, General</t>
  </si>
  <si>
    <t>General Monnicr</t>
  </si>
  <si>
    <t>istencia contuvimos á la izquierda de los enemigos, y apoyamos nuestra derecha hasta la llegada del General Monnicr, que con bayoneta calada se apoderó de la aldea de Castel-Ceriolo. En esto hizo la Caballería un movimiento rápido sobre nuestra izquierda, que ya empezaba á afloxar, y aquel movi</t>
  </si>
  <si>
    <t>Monnier</t>
  </si>
  <si>
    <t>s. Nuestra pérdida consiste en 600 muertos, 1500 heridos y 903 prisioneros. Los Generales Monnier, Desaix y Keüerman, y el xefe de brigada Beíssieres, á la frente de sus respectivos cuerpos han tenido mucha parte en la victoria de este dia. La brigada 9.a h</t>
  </si>
  <si>
    <t>Monnier, General</t>
  </si>
  <si>
    <t>General Monnier</t>
  </si>
  <si>
    <t>blación, y desde entonces quedó la guarnición muy expuesta: de suerte que viendo su comandante , el General Monnier, que podía tomarse la plaza por asalto, resolvió capitular; pero no quiso entregarse á los rusos, á los turcos, ni á los napolitanos, sino á los austríacos._Estos siguen con empeñ</t>
  </si>
  <si>
    <t>da á que nos proponíamos ir. En &lt;5 horas atravesáron el rio cerca de 1^00 hombres con 2 cañones. El General Monnier se apostó á orillas del Naviplio-grande; y los enemigos acudían por todas partes á Turbigo : su caballcna internó varios ataques, todos sin fruto. A las 8 de; la noche acometió Mo</t>
  </si>
  <si>
    <t>á Turbigo. Se acercaba la noche, y conociendo Murat la importancia'd^gaLnar aquel puesto , mandó al General Monnier le atacase. Asi lo executó *;-apo-J derándose de él al cabo de una resistencia muy tenaz. Tuvieron los énéihí* gos 200 muertos, y les cogimos 400 prisioneros. Por nuestra parte hu</t>
  </si>
  <si>
    <t>tregar esta ciudad al exército francés, la entregará efectivamente y quanto ántes á la división del General Monnier. Los habitantes pueden permanecer quietos y sosegados; y el exército francés cuidará de conservar el buen orden, y de proteger la seguridad pública. Encargo sobre todo á estos hab</t>
  </si>
  <si>
    <t>J 45 El General Monnier, comandante de la primer división del ejército de Itália, ha mandado qué e! arco triunfal que sé había erigido en Fáenza , y fué arruinado por los alborotadores enemigos de Franci</t>
  </si>
  <si>
    <t>d y en el país hay tropas francesas, y en todo él se está estableciendo el gobierno cisalpino. ' El General Monnier ha tomado posesión de la Romana, como parte de</t>
  </si>
  <si>
    <t>isan de Pesaro que los austríacos han entregado el fuerte de Urbino á las tropas pontificias---- El General Monnier , que se halla tn dicha ciudad de Pesaro, recibió, el dia 21 un correo de Roma con pliegos cuyo contenido se ignora, como también la respuesta que dicho General despachó el dia si</t>
  </si>
  <si>
    <t>rmisticio no deben los franceses ocupar mas que las 3 legaciones; y en conseqiiencia ha intimado al General Monnier evacúe á PeSaro,\y retire sus tropas al otro lado de las fronte^ ras de la legación de Ravena. Aquel General ha respondido que tiene orden de ocupar por ahora todo el territorio de</t>
  </si>
  <si>
    <t>zas mas de 5Q casas, pereciendo en las llamas algunas personas. .Milán 14 de Agosto. H a avisado el General Monnier que la medra brigada mím. 97 ha dispersado enteramente el cuerpo de insurgentes, que desde Toscana habían entrado en territorio de la República cisalpina. Pocos días antes habí es</t>
  </si>
  <si>
    <t>gnorar que en las fronteras se juntaba multitud de gente armada, debían haberla dispersado.__ Dicho General Monnier tiene actualmente su quartel en I-mola., á 8 leguas de Bolonia. Llegan diariamente aquí cuerpos de tropas, que después de descansar algunos dias salen para varios puntos de la lín</t>
  </si>
  <si>
    <t>nia. .Liorna ig de Agosto. E 1 Marques de Sommariva, Comandante austríaco en Toscana, ha escrito al General Monnier respondiendo á la carta que este dirigió al General Milius relativamente á los insurgentes de Toscana, que durante el armisticio atacaron algunos puestos franceses en la Romana. L</t>
  </si>
  <si>
    <t>889 Estacaría produxo el efecto que se proponía el General Monnier, pues Mr. Melas envió orden á los comandantes austríacos que habían entrado en la Romaña, para que evacuasen todo el país eomprehendido en la línea de demarcación, é intimasen á l</t>
  </si>
  <si>
    <t>o los pueblos del modo mas atroz. A fin de sorprehenderlos en medio oc sus incursiones, encargué al General Monnier despachase á Forli la media brigada cisalpina con un cuerpo de húsares y cazadores. El General de división Pino, comandante de esta expedición , observando las instrucciones del Gene</t>
  </si>
  <si>
    <t>n la invasión de los angío rusos. .Bolonia JO de Octubre. H a salido para la Romana la división del General Monnier con parte de la dei General Watrin. Ayer llegó un regimiento de húsares cisalpinos, que quedará de guarnición en esta ckidad. Sin embargo del tratado de armisticio, los insurgente</t>
  </si>
  <si>
    <t>neral Sommariva me ha avisado su partida de Florencia, y se retira hacia Ancona. Mañana marchará el General Monnier á Arezzo con la brigada del General</t>
  </si>
  <si>
    <t>a; y d exando tina corta guarnición ^marcharon los demás i Liorna. El ciud. Mangourit, Ayudante del General Monnier, ha,llegado con la ñotici i dé haber sido completamente derrotados lbs aretinos: pues la ciudad de Arezzo, no obstante la resistencia riias tenaz qué hiciéron en ella los reb ld .</t>
  </si>
  <si>
    <t>a plana mayor del exército de Toscana , de publicar la siguiente relacion.de la toma de Arezzo: „Ei General Monnier al frente de dos medias brigadas de su división, después de rechazar en el paso del Chiana á los aretinos, sostenidos por dos batallones de infantería toscana, se presentó el dia</t>
  </si>
  <si>
    <t>cedió el mando sin dificultad. El número mayor de insurgentes se había replegado hácia Arezzo, y el General Monnier los encontró en aquella ciudad bien resueltos á defender la plaza,la qual bien cerrada,y situada favorablemente podía resistir algún tiempo. El General Sommariva pasó por ella al retira</t>
  </si>
  <si>
    <t>ra derribaría ; y entre tanto otras piezas de artillería batían en brecha al bastión de derecha. El General Monnier, que sabe alargar los sitios quando defiende las plazas como en Ancona, y abreviarlos quando los pone , mandó acercar faginas á la puerta y pegarles fuego. Corrieron á hacerlo así</t>
  </si>
  <si>
    <t>Monriier, General</t>
  </si>
  <si>
    <t>General Monriier</t>
  </si>
  <si>
    <t>entre Fano y Pesaro. Se esperan otras tropas para reforzar el ala derecha. Milán 25 de Agosto. E 1 General Monriier escribió desde Imola la siguiente carta al General : austríaco Milius: „ Os envió la respuesta del General Solignac al primer artículo de vuestra carta del 11 de Agosto. Vereis en e</t>
  </si>
  <si>
    <t>Monrrichard, General</t>
  </si>
  <si>
    <t>General Monrrichard</t>
  </si>
  <si>
    <t>chó el' día siguiente á.Baviera: Lv división del General Gudin se dirigió hacia Poetmest , y la del General Monrrichard hacia Neuburgo» Esta última , que halló en Qberchausen un cuerpo enemigo muy considerable mandado por Mr. Kray, dio principio á unaaccion muy viva. Acudió ai instante el. GeneralL</t>
  </si>
  <si>
    <t>Montalbo, Diego</t>
  </si>
  <si>
    <t>Diego Montalbo</t>
  </si>
  <si>
    <t>D. íoseph Le Brun: en el de infantería del Príncipe á primer Teniente de granaderos al de fusileros D. Diego Montalbo : á primer Teniente al segundo de granaderos D. Juan Ximenez: á segundo Teniente de granaderos al de fusileros D. Antonio Angulo: á segundos Tenientes al primer Subteniente D. Agu</t>
  </si>
  <si>
    <t>Montalva, Joachín</t>
  </si>
  <si>
    <t>Joachín Montalva</t>
  </si>
  <si>
    <t>¡z, D. Pascual Tomas Maupoey y D. Ildefonso Periche, este del de Murcia, y á Jos Sargentos primeros D. Joachín Montalva, de granaderos, D. Francisco Fernandez y D. Manuel Cimorra: en el de Saboya á primer Subteniente al segundo D. Miguel de Castro; y á segundo Subteniente al Cadete D. Pascual Canut</t>
  </si>
  <si>
    <t>Montaner, Juan</t>
  </si>
  <si>
    <t>Juan Montaner</t>
  </si>
  <si>
    <t>ndo D. Miguel Julián Royo: en el batallen' de voluntarios de Gerona á primer Subteniente al segundo D. Juan Montaner; y á segundo Subteniente al Sargento primero, graduado de Subteniente, D. Joseph Ballester: en el regimiento de infantería de León á Capitán al primer Teniente D. Aniceto de Pierr</t>
  </si>
  <si>
    <t>Montañés, Miguel</t>
  </si>
  <si>
    <t>Miguel Montañés</t>
  </si>
  <si>
    <t>el Beneficio, vacante en la metropolitana de Ntra. Sra. del Pilar de Zaragoza por fallecimiento de Don Miguel Montañés, á D. Rafael Blac y Castan. En la compañía Española del Real cuerpo de Guardias de Corps ha nombrado el Rey para el empleo de Alférez al Exento D. Pedro Trevilla: para el de Ayuda</t>
  </si>
  <si>
    <t>Montano, Joseph</t>
  </si>
  <si>
    <t>Joseph Montano</t>
  </si>
  <si>
    <t>e Huamalies, Ayudantía á I). Bernabé Arisa; Tenencias á D. Vicente de la Cerna, D. Ramón Hernández, D. Joseph Montano, D. Francisco Franco Iglesias, D. Cipriano de la Cerna, D. Miguel Estéban de Irazoqui, D. Joseph Lino Salazar, Don Juan Miguel de Eguizabal y D. Juan de Echevarría: empleos de Alf</t>
  </si>
  <si>
    <t>Montchoisí, General</t>
  </si>
  <si>
    <t>General Montchoisí</t>
  </si>
  <si>
    <t>que las tropas de este exército ocupan en el día son los siguientes. La i.a división, al mando del General Montchoisí, tiene su quartel en Vevav : la 2.a, baxo las órdenes'del General Thureau, en Gaiss: la 3.a, á las cíel General Loison, en S. Gall: la 4.a, mandada por el General Lorge, en Frauen</t>
  </si>
  <si>
    <t>les de 74 cañones. Ba silea 11 de Octubre. D os medias brigadas de tropas francesas mandadas por el General Montchoisí han sujetado y desarmado al paisanage del distrito de Gelterkinden, que no queriendo pagar ciertas contribuciones, había tomado las armas y hecho resistencia á 3 compañías de trop</t>
  </si>
  <si>
    <t>Monte</t>
  </si>
  <si>
    <t>las Monjas de Sta. Catalina, que habira el Dr. Laque, con 5300 pies, tasada en 27© rs. y renta'800. Doctor Monte: una casa calle de las Damas, que habita el Dr. Recio, con 13,454 pies, tasada en 40© rs. y renta 1200. Memoria de Ortiz : una casa calle de las Damas, que habita la viuda de Balt</t>
  </si>
  <si>
    <t>Montehoisí, General</t>
  </si>
  <si>
    <t>General Montehoisí</t>
  </si>
  <si>
    <t>-'» Berna i $ de "Noviembre, I Í'l General en xefe Macdonald ha salido de Zurich para Rheinek._.Ef General Montehoisí, que manda las tropas francesas en Suiza, ha comunicado de oficio al gobierno helvético, que ya se ha intimado el fin del armisticio á todos los ejércitos austríacos; y que las tr</t>
  </si>
  <si>
    <t>Montemayor y Priego, Joseph</t>
  </si>
  <si>
    <t>Joseph Montemayor y Priego</t>
  </si>
  <si>
    <t>rancisco Suarez de Déza y Yebra : para la de Oidor, que este obtenía, en la Audiencia de Sevilla, á D Joseph Montemayor y Priego, Alcalde del crimen de la expresada Chancillería; y para la Fiscalía del crimen de la misma Audiencia de Sevilla, vacante por fallecimiento de D. Lucas Joseph de Roa, al primer Te</t>
  </si>
  <si>
    <t>Montemayor, Joseph Antonio</t>
  </si>
  <si>
    <t>Joseph Antonio Montemayor</t>
  </si>
  <si>
    <t>a de la Reyna, en la diócesis de Toledo, vacante por fallecimiento de D. Genaro Gómez de Encinas, á D. Joseph Antonio Montemayor: para la de la iglesia de Santa María de la ciudad de Cascante, en la diócesis de Tarazona, vacante por fallecimiento de D. Francisco Vallejo, á D. Juan Joseph Martincz: para el M</t>
  </si>
  <si>
    <t>Montenegro, Antonio</t>
  </si>
  <si>
    <t>Antonio Montenegro</t>
  </si>
  <si>
    <t>les de Rentas en Aragón y Mallorca D. Pedro Cornel y D. Miguel Monserrat, y del Comisario ordenador D. Antonio Montenegro, se lia servido el Rey distinguirlos con los honores de Intendente de Provincia; é igualmente con los de Comisario ordenador á D. Antonio María Vitorica, Administrador de todas Re</t>
  </si>
  <si>
    <t>S. M. nombrar para sucederle á D. Joseph Muñiz: para la Intendencia de Murcia, que este obtenía, á D. Antonio Montenegro; y para reemplazar á este en la Administración del Real Pantano de Alicante á D. Francisco García Espinosa, Intendente honorario de provincia. El Rey ha nombrado Coronel del regim</t>
  </si>
  <si>
    <t>Montenegro, Francisco</t>
  </si>
  <si>
    <t>Francisco Montenegro</t>
  </si>
  <si>
    <t>ros al de fusileros D. Manuel S. Martin; y á Subtenientes de granaderos á los primeros Subtenientes D. Francisco Montenegro y D. Eustaquio Hernando: en el de Mallorca á segundo Subteniente al Cadete D. Ramón de Latas y Lasala: en el de Murcia á primer Teniente al segundo de granaderos D. Joseph Fuensaüda:</t>
  </si>
  <si>
    <t>8í ; tenientes D. Manuel Sallent, D. Francisco Montenegro, D. Juan Feixoo y D. Eustaquio Hernando, el primero, segundo y quarto de granaderos; á estos empleos á los primeros Subtenientes D. Antonio Lara, D. V entura Macía y Areni y D. Jo</t>
  </si>
  <si>
    <t>Montenegro, Joseph</t>
  </si>
  <si>
    <t>Joseph Montenegro</t>
  </si>
  <si>
    <t>e Murcia compañía al Teniente de granaderos D. Joseph Diaz; y Tenencias al Subteniente de cazadores D. Joseph Montenegro, y al de fusileros D. Pedro Belmar: en el de Santiago compañía al Teniente de cazadores D. Manuel Calviño , y Tenencia al Subteniente de granaderos D. Joseph Arteaga: en el de Sor</t>
  </si>
  <si>
    <t>Montenegro, Manuel</t>
  </si>
  <si>
    <t>Manuel Montenegro</t>
  </si>
  <si>
    <t>s de infantería de Moquegua á Capitán de granaderos al de fusileros, graduado, de Teniente Coronel, D. Manuel Montenegro; y á Teniente al Subteniente D. Juan Basilio de la Flor: en el de milicias disciplinadas dfe caballería del Cuzco á Teniente Coronel al de caballería D. Martin Martínez Concha, Co</t>
  </si>
  <si>
    <t>Montenegro, Ramón Antonio</t>
  </si>
  <si>
    <t>Ramón Antonio Montenegro</t>
  </si>
  <si>
    <t>uerpo de milicias urbanas de la Coruña ha nombrado el Rey Subtenientes á D. Angel Benito de Aguiar, D. Ramón Antonio Montenegro y D. Martin de Quevedo Monteagudo. En America. El Rey se ha servido nombrar para la plaza de Oficial primero de la Contaduría de las Reales Caxas de Campeche, en la provincia de Yucat</t>
  </si>
  <si>
    <t>Montero, Ana</t>
  </si>
  <si>
    <t>Ana Montero</t>
  </si>
  <si>
    <t>235,730. Otra plazuela de Santiago , de id. en 220,186. Otra calle de S. Joseph , del patronato de Doña Ana Montero, en 368,871. rzz: Puerto de Santa María : una huerta del patronato de Doña María Ferrioi y Orellana, tasada en 44,39a rs. Una dehesa de id. en 63,910. Itendencia de Badajoz. Xercz</t>
  </si>
  <si>
    <t>Montero, Carlos</t>
  </si>
  <si>
    <t>Carlos Montero</t>
  </si>
  <si>
    <t>ndo Subteniente al Cadete D. Antonio Villafranca : en el de Sevilla á segundo Subteniente al Cadete D. Carlos Montero: en el de Granada á segundo Subteniente al Sargento primero de granaderos D. Lúeas Briz;y ha conferido también el empleo de Coronel del de las Ordenes Militares al Coronel D. Juan</t>
  </si>
  <si>
    <t>Montero, Juan</t>
  </si>
  <si>
    <t>Juan Montero</t>
  </si>
  <si>
    <t>r: en ei de Navarra á Ayudante al primer Teniente D. Christóbal Fernandez ; mer Teniente al segundo D. Juan Montero; á segundo Teniente ai primerSubteniente D. Pedro del Castillo; á Subteniente de granaderos al primer Subteniente D. Francisco Gallano; á primeros Subtenientes á los segandps D. J</t>
  </si>
  <si>
    <t>Montero, Pedro Joseph</t>
  </si>
  <si>
    <t>Pedro Joseph Montero</t>
  </si>
  <si>
    <t>osta, D. Teodoro de Aguirre y D. Rafael Rancaño; y Tercenista de la factoría de Mérida de Yucatán á D. Pedro Joseph Montero. Asimismo ha nombrado S. M. por Oficiales segundo, tercero y quarto de la Dirección y Contaduría de la renta de la Real Lotería de México á D. Juan Manuel Conde, D. Manuel Biazque</t>
  </si>
  <si>
    <t>Montero, Santiago</t>
  </si>
  <si>
    <t>Santiago Montero</t>
  </si>
  <si>
    <t>granaderos al de fusileros D. Fernando Martínez; á primeros Tenientes á los segundos de granaderos D. Santiago Montero y D. Joseph Montero; á segundos Tenientes de granaderos á los de fusileros D. Manuel Fernandez de Olarte, D. Jacobo Carrillo y D. Christóbal Medina; á segundos Tenientes á los Subteni</t>
  </si>
  <si>
    <t>Montes, Christóbal</t>
  </si>
  <si>
    <t>Christóbal Montes</t>
  </si>
  <si>
    <t>upernumerario al Brigadier de la misma compañía D. Francisco Roca; para esta resulta al Subrigadier D. Christóbal Montes ; para esta resulta al Cadete D. Mariano Garóes; para el empleo de Cadete de número al supernumerario D. Joseph Barsi; para Cadete supernumerario ai Guardia D. Gerónimo Pietry; y</t>
  </si>
  <si>
    <t>Montes, Felipe</t>
  </si>
  <si>
    <t>Felipe Montes</t>
  </si>
  <si>
    <t>primer ¡ Subteniente del de Jaén : D. Joachin Grandona , Subteniente ¡de granaderos del de América: D. Felipe Montes y D. Juan Palomino., primer Subteniente y Cadete del .de Córdoba.: D. Manuel Otee</t>
  </si>
  <si>
    <t>Montes, Francisco</t>
  </si>
  <si>
    <t>Francisco Montes</t>
  </si>
  <si>
    <t>entre Sto. Domingo y PuertoRico, por un navio español nombrado el Asia, de 64 cañoneé, al mandó ée D. Francisco Montes, la fragata Anlitrite de 44, mandada por D. DieVillagomez, y la corbeta Galgo, Capitán D. Joseph de Arias. Estas fuerzas navales man de Sto. Domingo á la Havana quando encontraron</t>
  </si>
  <si>
    <t>Montes, Juan</t>
  </si>
  <si>
    <t>Juan Montes</t>
  </si>
  <si>
    <t>Juan Montes, soldado que fue del regimiento de caballería...</t>
  </si>
  <si>
    <t>Montes, Juan Antonio</t>
  </si>
  <si>
    <t>Juan Antonio Montes</t>
  </si>
  <si>
    <t>e tratan con estilo muy sencido y conciso las materias que abraza: su autor X&gt;. Juan Antonio Montes, Cirujano mayor por S. IVl. del Real hospital de S. Cárlos , y de Real familia en el si tio de A raí. juez : un tomo en 40. Se hallará en, la librería de Hurtado , calle de las Carreras. Vi</t>
  </si>
  <si>
    <t>Montgelás</t>
  </si>
  <si>
    <t>Berlín para el Elector de Baviera; y después de conferenciar con aquel Príncipe, y con su Ministro Mr. Montgelás, salió de allí el mismo dia.__ También ha recibido el Elector pliegos de Mr. Cetto, su Enviado en París. Créese que las negociaciones entre Francia y Baviera siguen con esperanzas</t>
  </si>
  <si>
    <t>Montiel, Pedro</t>
  </si>
  <si>
    <t>Pedro Montiel</t>
  </si>
  <si>
    <t>de primera clase ó entrada, á D. Vicente Tormo y Vida!. En América. El Rey se ha dignado promover á D. Pedro Montiel á la plaza de Oficial segundo de la Contaduría general de Alcabalas de Goatemala: á la de tercero, que este obtenía, á D. Antonio Angel de Toledo: á la de quarto de este al Escrib</t>
  </si>
  <si>
    <t>Montó, Francisco</t>
  </si>
  <si>
    <t>Francisco Montó</t>
  </si>
  <si>
    <t>bién ha concedido S. M. segunda Subtenencia én el primer bataHon de infantería ligera de Cataluña á D. Francisco Montó?» Cadete det primero de Barcelona. r:&gt; •' Para el Corregimiento de la ciudad de ’Daroca y su partido» Vacante por.retiro dé D, Antonio-Socovio, ha nombrado el Rey al Teniente Coir</t>
  </si>
  <si>
    <t>Montoyá, Felipe</t>
  </si>
  <si>
    <t>Felipe Montoyá</t>
  </si>
  <si>
    <t>an recogido y educan en la casa de ellos, datada por S. M. en esta capital, al cargo de su Director D. Felipe Montoyá, Canónigo lectora 1 de esta santa Iglesia; cuyo examen, según las respectivas edades, desde 6 hasta 15 años, fue de leer, escribir, doctrina christiana , geometría, dibuxo : sobre</t>
  </si>
  <si>
    <t>Montoya, Felipe</t>
  </si>
  <si>
    <t>Felipe Montoya</t>
  </si>
  <si>
    <t>os maestros, y especialmnnte aplaudió el zelo y desvelo del Canónigo Lectoral dé esta santa iglesia D. Felipe Montoya, Subcolector de espolios y vacantes, y Director inmediato nombrado por S. M. de la expresada Real casa. Ronda 2 de Julio. L a Real maestranza de caballería de esta ciudad, cumplie</t>
  </si>
  <si>
    <t>Montrichard, General</t>
  </si>
  <si>
    <t>General Montrichard</t>
  </si>
  <si>
    <t>Suiza y Alemania. strasburgo 18 de Abril. E n Nanci habrá 22,700 hombres de tropas mandados por el General Montrichard; y desde allí podrán acudir adonde lo exijan los sucesos militares de la campaña que va á abrirse. Se restablecen con toda priesa las fortificaciones del castillo de Kell, en cuya</t>
  </si>
  <si>
    <t>Montríchard, General</t>
  </si>
  <si>
    <t>General Montríchard</t>
  </si>
  <si>
    <t>y saque de ella todo el fruto que pueda* continuando sus experimentos. ' Angsburgo $ de Junio, £ ¿1 General Montríchard escribió el dia 28 de Mayo desde este quartet general la siguiente carta al General Lecourbe: „ Me disteis orden de venir á esta ciudad, y he entrado en ella esta noche. Hallamos á</t>
  </si>
  <si>
    <t>país austríaco del Ortenau hasta que paguen, la contribución que se les había impuesto. Habiendo el General Montrichard revistado toda el ala derecha del exército del Rhin, se ha restituido á Kempten. En varias gazctas se habla mucho del congreso que ha de celebrarse en Cracovia entre Mini tros de</t>
  </si>
  <si>
    <t>Montruqui, Andrés</t>
  </si>
  <si>
    <t>Andrés Montruqui</t>
  </si>
  <si>
    <t>l segundo; de granaderos D. Miguel Rafael Chelil á segundo Teniente de granaderos r al de fusileros D. Andrés Montruqui; á segunda Teniente al Subteniente de^ cranaderos D, Cayetano Maffey; á Subteniente de granaderos ab primer Subteniente D. Christóbal Saldivar; á primer Subteniente al segundo Don</t>
  </si>
  <si>
    <t>Montull, Agustín</t>
  </si>
  <si>
    <t>Agustín Montull</t>
  </si>
  <si>
    <t>enera, en la dioces.is de_Tqle4o: para otra de la catedral de Lérida, vacante por fallecimiento, de D, Agustín Montull,.á D.'Antonio Ferraz, Cura.de la parroquial 4$ Huerta de Yjerp: .para ptra.de. Ja de Mondoñedo, vacante por fallecimiento de D. Joseph Sanjurjo, á í). Joseph Gómez Baamonde: para</t>
  </si>
  <si>
    <t>Monzon, Benito</t>
  </si>
  <si>
    <t>Benito Monzon</t>
  </si>
  <si>
    <t>tierra , y confronta con camino de carrera Malón , con huerto de I?. Manuel Anchoriz , con otro de D. Benito Monzon y acequia de los molinos de la Budiana , tasado en 950 libras jaquesas, y de renta anual en 9 cahíces de tiigo. 2.0 Una heredad en Balsiel de 2 medias y 8 almudes de tierra , confro</t>
  </si>
  <si>
    <t>Moore</t>
  </si>
  <si>
    <t>re el modo de hacer Ls elecciones de los irlandeses, que han de asistir al Parlamento reunido; pero Mr. Moore consideró esta proposición como un presupuesto del consentimiento de la Cámara al acto de unión, y por consiguiente como anticipada; y Mr. Parnell censuró la idea de presentar un</t>
  </si>
  <si>
    <t>Mor de Fuentes, Joseph</t>
  </si>
  <si>
    <t>Joseph Mor de Fuentes</t>
  </si>
  <si>
    <t>l Cariño perfecto, « Alfonso y Serafina: novela original relativa á las costumbres de Zaragoza, por D. Joseph Mor de Fuentes. Se hallará á 4 rs. en rústica en la librería de Castillo , frente á S. Felipej en la de Gómez, calle de las Carretas , y eñ Zaragoza en la de Monge.x Libro de memoria y otras cur</t>
  </si>
  <si>
    <t>, y varios trozos de Tácito y de Salustio, con un discurso preliminar y una epístola .á Tácito: por D. Joseph Mor de Fuentes, y D. Diego Clemencia. Se hallará á 8 rs. en rústica en las librerías de Castillo, frente á las gradas de S. Felipe, de Gómez , calle de las Carretas; y enZaragoza en la de Monge.</t>
  </si>
  <si>
    <t>en , en Barcelona en la de Suriá, y en Salamanca en la de Alegría y Reyes. El Calavera: comedia por D. Joseph Mor de Fuentes. Se hallará á 4 rs. en la librería de Castillo , frente á las gradas de S. Felipe. El Librito de memorias y apuntaciones , que se vende en casa de Millana, calle de Preciados, y d</t>
  </si>
  <si>
    <t>e S. Felipe, en laftié Cérfb, red; de S. Luís, y en su puesto, calle de Alcalá. r¡7 “V-* Poesías de D. Joseph Mor de Fuentes: tercera parte. Cbhtieñe1 úñá *t'reiiél¿¿ intitulada la Presumida, y varias composiciones sueltas, entre ellas una oda á la física: otra á D. Francisco Goya sebre la pintura y la</t>
  </si>
  <si>
    <t>Mor, Rafael</t>
  </si>
  <si>
    <t>Rafael Mor</t>
  </si>
  <si>
    <t>o Pirez: en el de cazadores Voluntarios de la Corona á segundo Teniente al Subteniente de tiradores Don Rafael Mor¡anó? y á esta resulta al Subteniente de cazadores D. Diego Meany: en el batallón de Voluntarios de Tarragona á segundo Ayudante al segundo Teniente D. Marcos Aurelio Monty; á segu</t>
  </si>
  <si>
    <t>Moradgeade Osson</t>
  </si>
  <si>
    <t>desde Petersburgo el Lord Wittworth, Ministro que ha sido de Inglaterra en Rusia. También ha venido Mr. Moradgeade Osson, que vuelve con su esposa de Constantinopla, en donde residió como Ministro plenipotenciario de Suecia. Espérase al Rey en esta capital de vuelta de su viage el dia 11 del mes pró</t>
  </si>
  <si>
    <t>Morales Gabaldon, Francisco</t>
  </si>
  <si>
    <t>Francisco Morales Gabaldon</t>
  </si>
  <si>
    <t>y para la Fiscalía de lo civil y criminal de la Audiencia de Caracas, vacante por fallecimiento de D. Francisco Morales Gabaldon, á D. Diego Romero y Montero, Abogado d,e los Reales Consejos. Igualmente ha nombrado Si M. .para la Alcaldía mayor de. Amantan y 'Zácatepequeseri la Presidencia de Goatemala, á D</t>
  </si>
  <si>
    <t>Morales y Correa, Juan</t>
  </si>
  <si>
    <t>Juan Morales y Correa</t>
  </si>
  <si>
    <t>a Benache ; á primer Subteniente al segundo O. Miguel Maritorena, y á segundo Subteniente al Cadete D. Juan Morales y Correa : en el de Sevilla á primer Teniente al segundo de granaderos D. Joseph Aymerich; á segundo Teniente de granaderos al de fusileros D. Francisco Fortun ; á segundo Teniente al Subt</t>
  </si>
  <si>
    <t>Morales, Lorenzo</t>
  </si>
  <si>
    <t>Lorenzo Morales</t>
  </si>
  <si>
    <t>ntas estancadas , cuyo empleo ha tenido á bien S. M. quede suprimido, concediendo al mismo tiempo á D. Lorenzo Morales, Contador de la propia Real casa, los honores de Superintendente de ella. En la sala de Señoras Comendadoras deCabitrava de esta corte se celebro el dia 5 del mes de Octubre: de e</t>
  </si>
  <si>
    <t>Morales, Vicente</t>
  </si>
  <si>
    <t>Vicente Morales</t>
  </si>
  <si>
    <t>D. Vicente Anduaga, Don Vicente González y D; Rafael Pavía; á primeros Subtenientes á los segundos D. Vicente Morales , Di Joseph Peña y D* Joachíh- Gayoso ; y á segundos Subtenientes a los Cadetes D. Toseph Bermuaez dé Castro y Don Joseph Cabrera y al Sargento primero Je granaderos D. Francisco</t>
  </si>
  <si>
    <t>Moran, Joseph</t>
  </si>
  <si>
    <t>Joseph Moran</t>
  </si>
  <si>
    <t>arez Godoy: Guardas de las factorías de la misma renta en Puebla, Oaxaca, Guadalaxara y Vera-Cruz á D. Joseph Moran, D. Joseph Tomas de Acosta, D. Teodoro de Aguirre y D. Rafael Rancaño; y Tercenista de la factoría de Mérida de Yucatán á D. Pedro Joseph Montero. Asimismo ha nombrado S. M. por O</t>
  </si>
  <si>
    <t>Morató, Juan Joseph</t>
  </si>
  <si>
    <t>Juan Joseph Morató</t>
  </si>
  <si>
    <t>s segundos Subtenientes D. Antonio Juárez y D. Gabriel Igneson, y á segundos Subtenientes al Cadete D. Juan Joseph Morató y al Sargento primero, graduado de Subteniente, D. Antonio Martin. Atendiendo el Rey á los méritos y particulares servicios de D. Juan Antonio Escolar, se ha servido concederle la E</t>
  </si>
  <si>
    <t>Morawiew</t>
  </si>
  <si>
    <t>so: todos los soldados traen mucho dinero. Hamburgo 7 de Marzo. N o ha llegado todavía á Copenhague Mr. Morawiew , Ministro ruso, que se espera en aquella corte hace bastantes dias. Dícese que el rigor de la estación retarda su viage; mas parece que esto es un pretexto, y que el Emperador de</t>
  </si>
  <si>
    <t>Morcan de Saint-Meri</t>
  </si>
  <si>
    <t>coa Luneville. Ha nombrado Bonaparte para Residente de la República en Parma al ciud. Morcan de Saint-Meri, Consejero de Estado. También ha dado patente y un sable de honor, á título de recompensa nacional, al ciud. Guillermo Conrad, segundo Teniente de artillería,</t>
  </si>
  <si>
    <t>Morcan, General</t>
  </si>
  <si>
    <t>General Morcan</t>
  </si>
  <si>
    <t>une Oii Donaueschingcn mucha parte de sus tropas; y que está tratando con el General Morcan para abrir por Schaflhusa un paso que sirva al comercio entre Alemania y Suiza. El ó de este mes p isc5 por Francfort un correo turco despachado á Constantiuopia por el Embajador</t>
  </si>
  <si>
    <t>Morcau, General</t>
  </si>
  <si>
    <t>General Morcau</t>
  </si>
  <si>
    <t>785 Wurtemberg. Todos traen encargo de pedir al General Morcau modifique las contribuciones que ha impuesto á dichas ciudades y país. Francfort 4 de Agosto. L os Enviados de la corte de Londres hacen en Viena y Berlín los mayores esfuerzos pa</t>
  </si>
  <si>
    <t>Morcillo, Joseph</t>
  </si>
  <si>
    <t>Joseph Morcillo</t>
  </si>
  <si>
    <t>scritura se hallaba en autos formados por Cortazar en el Juzgado de Marina de Cádiz y escribanía de D. Joseph Morcillo, Calderón, con mo— tivo de haber aquel navegado de Capitán y Piloto en el navio particular nombrado Santa Ana en su viage á Veracruz. con la flota del mando del Marques del Real T</t>
  </si>
  <si>
    <t>More, General</t>
  </si>
  <si>
    <t>General More</t>
  </si>
  <si>
    <t>hasta el 17. Un correo que vino aquí desde Augsburgo traxo al director del telégrafo mu carta d .l General More.au, cuyo contenido se comunicó inmediatamente á París. El dia 12 á las 5 de la tarde se recibió la respuesta, y al instante salió con ella el mismo correo para Baviera. Dos dias á</t>
  </si>
  <si>
    <t>Moreau', General</t>
  </si>
  <si>
    <t>General Moreau'</t>
  </si>
  <si>
    <t>Iilerberg y Weissenhorn ,-y que parte de ellos pasaba á la ribera^ izquierda del Uler. Comunico el General Moreau' este aviso al General Richepanse r dio1 orden- al General Grenier para que le sostuviese. por el puente de-Kilmentz, y al General Lecourbe para que se apostase entre el Guntz y el K</t>
  </si>
  <si>
    <t>Moreau, General</t>
  </si>
  <si>
    <t>General Moreau</t>
  </si>
  <si>
    <t>1 Zurich 28 de Noviembre, A yer recibió el General Massena un correo con aviso de estar nombrado el General Moreau para reemplazarle en el mando del exército del J Rhin; y saldrá de aquí mañana para ponerse al frente del de Italia yendo ántes á París. En el lago de Constanza se han armado algu</t>
  </si>
  <si>
    <t>casas; pero el quartel general de Suwarow estaba aun en Praga el dia 23. Espérase aquí en breve ai General Moreau, que ya tiene dispuesto su alojamiento. Refieren los avisos de Italia recibidos por Augsburgo, que la mayor parte de aquel exército austríaco ha entrado efectivamente en quarteles</t>
  </si>
  <si>
    <t>del año anterior. Berna 1 de Enera. EL .a llegado á Zurich un oficial prusiano con pliegos para el General Moreau, los quales, según se.dice, son de suma importancia, y tienen alguna relación con la paz. El ciud. Begoz, Ministro de Relaciones exteriores de Helvecia, lia ido de aquí á Zuricli</t>
  </si>
  <si>
    <t>sí en tropas como en dinero. Hállase enfermo de bastante cuidado en Ratisbona el Qardehal Rohan. El General Moreau llegó aquí el 9 por la noche. Al día siguiente salió de esta ciudad una media brigada para Kell. Consta por cartas de Berlin que el nuevo Embaxador francés Beurnonville, después d</t>
  </si>
  <si>
    <t>ivamente con tropas que llegan de Holanda , de los países Bélgicos, y de lo interior de Francia. El General Moreau se ocupa en reconocer toda la línea, y en revistar los cuerpos que la componen. El ala izquierda de dicho exército se extiende desde Spira hasta mas abaxo de Maguncia. Las fuerzas</t>
  </si>
  <si>
    <t>oc, el mismo que fue á Berlín por orden de Bonaparte, ha pasado por esta ciudad para el quartel del General Moreau; y aseguran le lleVa orden para que se abra la campaña. Lo cierto es que se adelantan con suma diligencia los preparativos de guerra. El Ministro ingles Pitt ha declarado solemnem</t>
  </si>
  <si>
    <t>viera pone á disposición de la Gran Bretaña. Strasburgo 14 de Febrero. H a vuelto aquí de Zurich el General Moreau, y adelanta las disposiciones para abrir la campaña. Ignórase si se detendrá en esta ciudad, o si irá á Maguncia. El ala derecha de su exército se ha adelantado hácia la parte del</t>
  </si>
  <si>
    <t>llegó á Viena despachado por el Archiduque Cárlos con las proposiciones del gobierna francés que el General Moreau envió á dicho Príncipe, se espera quantb antes de vuelta en el quartel general de Donaueschingen con la respuesta del gabinete austríaco.</t>
  </si>
  <si>
    <t>en las fronteras de Livonia y L¡ timan i a. Ignórase el destino de aquellas fuerzas. Atendiendo el General Moreau á las representaciones que le han hecho, ha permitido el restablecimiento de las relaciones mercantiles entre Suiza y Alemania. La comunicación entre Basilea y Francfort se hará p</t>
  </si>
  <si>
    <t>e Cárlos, pidiéndole conceda ai comercio de Suiza las mismas franquicias que acaba de concederle el General Moreau y el gobierno francés. Se ha establecido en Berna una escuela militar. Los 15 distritos de este Cantón han contribuido con una crecida suma para socorrer á los Cantones que mas han pa</t>
  </si>
  <si>
    <t>encias con él. Se sabe que las últimas proposiciones de paz del gobierno francés se enviaron por el General Moreau al Archiduque Carlos, y este las remitió á Viena por un General de quien hace la mayor confianza. lía tomado la Gran Bretaña á su sueldo por 3 años los 3 regimientos suizos contra</t>
  </si>
  <si>
    <t>os Cantones de Walstetten, Lintz y Sentís, No ha ratificado el gobierno francés una disposición del General Morcan relativa al modo de introducir de Francia en este país cierta cantidad de granos. Futre tanto que se arregle como ha de hacerse dicha introducción, lia conseguido el gobierno helv</t>
  </si>
  <si>
    <t>torio executivo. Un cuerpo de 26© húngaros está en marcha para el Rhrn. strasburgo 12 de Marzo. E 1 General Moreau no se detuvo mas que un día en Maguncia: de suerte que una diputación de los Magistrados de Francfort, que pasó á aquella ciudad para cumplimentarle , no le encontró ya en ella. D</t>
  </si>
  <si>
    <t>s públicos, en lugar dé 6 que hay ahora. Ha conseguido el ciud. Herzog, Comisario helvético, que el General Moreau dé licencia á 2 diputados que este gobierno envía al quartel general austríaco para, solicitar que aquel Comandante en xefe conceda libre paso á todo género de mercancías ae Suiza pa</t>
  </si>
  <si>
    <t>e atribuye á las representaciones del Enviado prusiano residente en Ratisbona. Hállase en Zurich el General Moreau. El General Lecourbe, que manda el ala derecha, transferirá en breve su quartel á Saint-Gall, á fin de abrir la campaña quanto ántes sea posible. Entre tanto siguen adelantándose</t>
  </si>
  <si>
    <t>ratado de Basilea. .Berna 1 de Abril* S e dice que así que llegó de París á Basilea el General D el General Moreau á las tropas francesas, reunidas en las cercanías de aquella ciudad, que las negociaciones de paz estaban rotas, y que el exército entrará quanto ántes en campaña. A corta distanc</t>
  </si>
  <si>
    <t>cia de Hoccheim. Los maguntinos perdieron mucha gente, y fuéron arrojados á la derecha del Mein. El General Moreau ha llegado de Basilea á esta plaza, en la qual se hallan actualmente muchos oficiales Generales, entre ellos Saint-Cyr, Saín-' te-Suzanne, Klein , Colaud, Legrand, Thurreau, Hardy</t>
  </si>
  <si>
    <t>Berthier , comandante en xefe del exército de reserva, ha tenido en Basilea una conferencia con. el General Mor.eau. Las operaciones</t>
  </si>
  <si>
    <t>de Lisboa á Londres 15$ limones, y millón'y medio de naranjas. . « ■ Strasbitrgo 20 de Abril. E_ 1 General Moreau, que había ido á Suiza, ha vuelto á esta ciudad»</t>
  </si>
  <si>
    <t>almacenes.muy considerables. —Asimismo por aviso telegráfico de ayer se ha tenido noticia de que el General Moreau atacó T íos austríacos el dia 5 en Monkirch. De una y otra parte fué obstinadísima la resistencia; pero al fin quedó completamente batido el exército austríaco. Su pérdida ha de h</t>
  </si>
  <si>
    <t>pagaron inmediatamente 63; y para seguridad de los demas ha tomado rehenes, Eí 28 de Abril sentó el General Moreau su quartel en Rheinfeld. La batalla deCarosio, de que han hecho mención las gazetas de Italia, consistió en una acción que hubo el día 10 cerca de Vareggio, y en la que Massena co</t>
  </si>
  <si>
    <t>os de las tropas desde ei día 5 era la reunión del exército en su derecha, lo qual se consiguió. El General Moreau, en .fuerza de las órdenes que tenia para entrar en campaña, resolvió maniobrar á este lado del Rhin y á espaldas de los desfiladeros de la Selva Negra para reconcentrar su exérci</t>
  </si>
  <si>
    <t>entar hasta 40® el numero de milicianos.. .Francfort $0 de Abril. E stos Magistrados escribieron al General Moreau pidiéndole que las tropas de su mando no molestasen á esta ciudad. Respondió el G». n r I en estos términos: „Corr.esponderé, señores, á vuestra.esperanza dando órdenes</t>
  </si>
  <si>
    <t>pues todas se habían adelantado. Desde el quartel general de Closterwald á 6 de Mayo ha escrito el General Moreau la siguiente carta al primer Cónsul: ,, El xefe de la plana mayor informará al Ministro de Guerra de las varias marchas, batallas y acciones del exército del Rhin desde que entró en</t>
  </si>
  <si>
    <t>una guardia de jo granaderos. El exército austríaco se retira desordenado hacia Ulm y Memmíngen. El General Moreau sigue marchando hacia el Danubio y el Iller, habiendo reunido todas sus tropas, excepto algunas partidas que quedan para observar los movimientos de los enemigos en el Vorarlberg</t>
  </si>
  <si>
    <t>o en ellas por su valor y su talento.” Se acaba de recibir por el telégrafo el siguiente aviso: „E1 General Morcan al Ministro de la Guerra. Iiuninga 16 de Mayo. Él ala derecha* ai mando del General Lecóúrbe , atacó el día 11 á los enemigos en sus puestos de Memniingen, y los derrotó. Nos hémo</t>
  </si>
  <si>
    <t>eskireh, dada el día 5, fue de las mas terribles. Et campo estaba cubierto de-muertos y heridos. Al General Moreau le mataron 4 caballos, que sucesivamente monto: y una bala amortiguada le dio en el pecho; pero se ctetuvo en la ropa. A su valor é intrepidez se debe aquella victoria, que estuvo</t>
  </si>
  <si>
    <t>á ciudad-el Ministro de Guerra Carnot. El exército del Rhin tiene tal abundancia de víveres, que el General Moreau ha enviado algunos á Suiza y á Italia. ...... El dia 14 llegó á Paris un edecán del General Kleber. Refiere que el exército de Egipto quedaba en buen estado, y que las tropas se d</t>
  </si>
  <si>
    <t>on por allí y por Toul varios Enviados de Príncipes del Imperio, que van á Paris con pasaportes del General Moreau para tratar de paz. Paris 24 de Mayo. E 1 General Lannes, comandante de la vanguardia del exército de reserva, ha escrito al General en xefe Berthier la siguiente carta: artel gen</t>
  </si>
  <si>
    <t>l fuerte , á Tas quales me trasladaré yo con la artillería, que ya salid esta noche.” Ha enviado el General Moreau al exército de Italia millón y medio de raciones de bizcocho, que sen el sobrante de las que necesita el exército del Rhin., y las hallo en los almacenes cogidos á los austríacos.</t>
  </si>
  <si>
    <t>aleroso regimiento.’* A estas noticias ,de oficio añaden las particulares con fecha dé!'24 qufe .el General Moreau, dexando bloqueada la fortaleza de Ulm, marchaba hacia Augsburgo. ■ ... Se regula en 17® hombres el número de prisioneros que .ha hecho ej exército del Rhin desde la abertura de l</t>
  </si>
  <si>
    <t>De la segunda de ellas se retiró poco después. Parece que se ha descubierto el plan de campaña del General Moreau, y que consiste en contener al exército imperial por el Danubio para que el exército de reserva francés pueda sin estorbo entrar en Italia. Añaden que el General Kray ha resuelto</t>
  </si>
  <si>
    <t>oras, y se han reunido en sus puestos delante de Ulm.” Otra carta de posterior fecha expresa que el General Moreau quedaba en Viellingen, no léjos de la misma plaza de Ulm___ Añade esta carta que un consejo de guerra formado por orden del General Lecourbe ha sentenciado á muerte á un Comisario</t>
  </si>
  <si>
    <t>ios austríaco é ingles en el exército del Emperador. Manhehn 16 de Mayo. S egun gazetas alemanas el General Moreau envió un Ayudante á Mr. Kray para declararle que el gobierno de Francia deseaba la paz, y que si el exército imperial convenía en retirarse al ©tro lado del Lecli, el exército franc</t>
  </si>
  <si>
    <t>ero y muchos víveres y efectos para las tropas. La ciudad y la abadía han enviado una diputación al General Moreau para exponerle la imposibilidad en que se hallan de pagar tantas v tan crecidas contribuciones: pues la ciudad de Kempten, que solo cuenta 550 vecinos y no tiene territorio, ha ga</t>
  </si>
  <si>
    <t>za luego que el General Kray se retire hacia Insolstadt para cubrir á Baviera. De este modo habra e General Moreau obligado á Mr. Kray con sus sabias disposiciones á abandonar sus ventajosos puestos inmediatos á Ulm, y á retirarse de toda la Suabia, Después que el exército pasó el monte de S.</t>
  </si>
  <si>
    <t>quartel el dia i.° de este mes.__ Parece que Mr. Kray no está en ánimo de admitir lá batalla que el General Moreau se propone darle, pues ha destacado su ala izquierda para cubrir á Baviera, y el resto de su exército se ha apostado entre Dillingen y Donawert, sentando su quartel general en est</t>
  </si>
  <si>
    <t>el General Sainte-Suzanne con sus Ayudantes. También han venido los Generales Colaud y Souham. _ El General Moreau ha despachado un correo al Electo!, de Bavieia: ignórase el contenido de sus pliegos, pero se cree que es relativo al tratado que se ajustó hace años entre el Elector y los fuñies</t>
  </si>
  <si>
    <t>ros tuvimos algunos heridos, y un Capitán de carabineros prisionero,’" Se sostiene la voz de que el General Moreau ha escrito al Elector de Baviera enviándole su carta por un Ayudante, y que en ella le dice que el gobierno francés no ignoraba que las amenazas de las cortes de Viena y Petersbur</t>
  </si>
  <si>
    <t>tenia su quartei en Donawert, y el General Kray había vuelto á Ulm con gran parte de sus tropas. El General Moreau estaba todavía en Memmingen; pero debía trasladarse á Kempten. Conservan los franceses algunas tropas en Kauifbeuern para observar los movimientos del cuerpo de Reuss. Brest 7 de Ju</t>
  </si>
  <si>
    <t>tenia mas que una media brigada, un regimiento de cazadores y otro de caballería. Mando entonces el General Moreau al General Grenier, cuyo cuerpo ocupaba desde Illereicheim á Oberhott, le socorriese. En conscqiiencia el General Ney se adelantó por el puente de Kilmentz, y juntándose con las t</t>
  </si>
  <si>
    <t>jornada del &lt;5, en que se malogró el ataque que el General Kray dm á nuestra izquierda, resolvió el General Moreau que el cuerpo de Lecourbe volviese hacia el Lech; y así lo executó este General poniéndose en marcha el dia 11. Apostado en la orilla del Wertach, supo que los enemigos habían cor</t>
  </si>
  <si>
    <t>* Según cartas del quartel general del exército francés del Rhin, escritas en Oberrath el dia 4, el General Moreau se ocupa en un nuevo repartimiento de su exército, y parece se propone abrir comunicación directa con el exército de reserva luego que este llegue á los contornos de Bérgamo y la</t>
  </si>
  <si>
    <t>rís 27 de Junio, S e han publicado los dos siguientes avisos telegráficos: „Hunhiga 2$ de Junio. El General Moreau al Ministro de Guerra. El ala derecha del exército ha pasado á viva fuerza el Danubio hacia Blinvheim y Dillingen. Hiciéron los enemigos viva resistencia; pero fuéron derrotados p</t>
  </si>
  <si>
    <t>nte el ciud.. Barthe, que ha sobresalido mucho, y fué herido, á mi vista.” ,,Exército del Rhin.. El General Moreau al Ministro de Guerra. Neresheim 24 de Junio. Os remito copia de la relación que he enviado al primer Cónsul sobre Ja batalla de Hochstedt. Air. Kray abandona á Ulm. Esta ventaja</t>
  </si>
  <si>
    <t>de Wurtzburgo y de Bamberg. Ha sido arrestado en Viena el Barón de Gemssenber por haber escrito al General Moreau relativamente á los bienes que el Príncipe de Salm tiene en Suabia. Refieren los avisos de Alemania que el cuerpo de Mr, Staray se ha juntado con el del General Kray en Langenun y</t>
  </si>
  <si>
    <t>edberg-; pero' recibiendo aquellos un gran refuerzo, los rechazaron coa pérdida. : -Ha propuesto el General Moreau á Mr. Kray que los prisioneros que se hagan per una ,y otra parte se devuelvan mutuamente-, y los que estuvieseis* heridos se cuiden en el mismo par.age en que se hallen. No se sa</t>
  </si>
  <si>
    <t>e. Como el Duque de Wurtemberg no sé. muestra inclinado á hacer sü paz con Francia, le ha pedido el General Moreau que retire las tropas que tiene en el exército austríaco, y que pague los 3 millones de libras que debe á la República hace 4 años ; pero se asegura que no lia:querido dar oídos á</t>
  </si>
  <si>
    <t>e Eupen , Consejero de la legación dinamarquesa, para que pase al quartel del General Kray y al del General Moreau á negociar la neutralidad de la Dieta general del Imperio; El Encargado de negocios de Rusia en Viena, que habia quedado en aquella corte con un secretario, ha recibido orden de r</t>
  </si>
  <si>
    <t>ales. strasburgo lo de Julio. E n fuerza de haberse el General Kray adelantado por Baviera mando el General Moreau que su exército siguiese el mismo camino. El General Lecourbe salid de Friedberg el dia 30 para Landshut. El General Decaen y que atravesó el Iser, se ha apoderado de la famosa al</t>
  </si>
  <si>
    <t>samblea de sus estados para que le proporcionen el pago de los 3. millones de, francos que exige el General Moreau,; y que le han respondido que no; pueden socorrerle hasta que haga su paz con la República». Habiendo la universidad de Tubingen publicado los asuntos para los premios de física o</t>
  </si>
  <si>
    <t>menos de Terse en el mayor riesgo. Augsburgo II de Julio. A caba el General en xefe Moreau de pedir al Círculo de Suabia 6 millones de francos. En el año de 95 le habían pedido 8 millones. La distribución de los que ahora se exigen se hará por la junta</t>
  </si>
  <si>
    <t>que la República tiene en Italia es el mas belío que se ha visto en aquel país. ■—Por otra parte el General Moreau reconcentra todas sus fuerzas en Baviera; y por Maguncia y Dusseldoríf desfilan 30® hombres de que se compone el exército del General Augereau entre franceses y bátavos despachado</t>
  </si>
  <si>
    <t>según parece, han impedido hasta ahora el ajuste de la neutralidad que aquel Príncipe ha pedido al General Moreau. Han hecho los austríacos una salida de Ulm: el General Richepanse, que manda 'el bloqueo , los rechazo causándoles una pérdida de i jo hombres entre muertos y heridos, y casi otr</t>
  </si>
  <si>
    <t>uí con repetidas salvas de artillería, se han publicado las siguientes circunstancias: „Habiendo el General Moreau dado orden al General Lecourbe para que ocupase el Vorarlberg y el pais de los Grisones, dispuso este que las divisiones de Gudin y Montricnard subiesen por la orilla del Lech, y se</t>
  </si>
  <si>
    <t>7»9 eos, y mañana saldrá una diputación para representar al General Moreau la imeosibilidad de pa'gar dicna suma. / Se han adoptado disposiciones para que las tropas que hay aquí no sean demasiadamente gravosas á los habitantes. Los soldados no pueden pedir</t>
  </si>
  <si>
    <t>ís, y Mr. Hamier, Encargado de negocios del Rey de Prusia en Munich. Vienen con el objeto de que el General Moreau rebaxe parte de la contribución de 8 millones de francos, que impuso al electorado de Baviera ; y no se duda que el General francés acceda á una instancia apoyada por S. M. Prusia</t>
  </si>
  <si>
    <t>o por Ratisbona dos correos, uno de Prusia y otro de Baviera. Se asegura que llevan pliegos para el General Moreau, que se halla en Augsburgo, y que son relativos á la paz con el Elector de Baviera. El Conde de .pietnchstein llegó el 18 de Julio á Viena con el armisti</t>
  </si>
  <si>
    <t>los Eaneeses conservan los puestos cíe que se apoderaron el día ^14de Juno, de 10 qual no tenia el; General Moreau noticia quando nrmo dicho armisticio^ De consiguiente hany ocupado del S^erior, el caminoel que pasovaimportante de Ehialenbeig, desde Arleberg el valle TiroL También habrán ocupa</t>
  </si>
  <si>
    <t>temor de ser inquietados. Hoy volvieron de Augsburgo los diputados que fueron á conferenciar con el General Moreau: han conseguido que la contribución de 400© francos, que debia pagar esta ciudad y su clero,1 se rebaxe á 250©. Ayer comieron en casa del Ministro de Prusia Conde de Goertz todos</t>
  </si>
  <si>
    <t>na siguiótuvo dessu viago ? Viena Ayer hubo una ¡unta de Generales franceses presidida por el misLd General Moreau, quien se manifestó muy satisfecho; y aseguran que rxo estas palabras: Espero que en breve tendremos par. El dia 4 llegó aquí el General Lecourbe. JÓublin 2 de Agosto. D espues de</t>
  </si>
  <si>
    <t>Moréau, General</t>
  </si>
  <si>
    <t>General Moréau</t>
  </si>
  <si>
    <t>oríeñ en los bayliages del obispado de Wurtzburgo, en el, Gdenwald y en parte del Palatiriaao:__.El General Moréau ha, salido de, Augsburgo, según; se cree para Stuttgard r en; donde ef General R i che pan se Sentar SU ,qÜ*., ^■_ . ■■ ■ : - ;i- -.^y En üñá rñroritfaña dé- las Cercanías de’ Mae</t>
  </si>
  <si>
    <t>al rededor de aquella plaza, y de abastan,"7 - e* y municiones. 1 y ’ 7 C bastécela con víveres" E! General Moreau ha pedido 4oo3 francas de contribución á la ciudad de Heilbronn. Francfort j de Agosto. E n una gazeta de Bambcrg se ha publicado el siguiente artículo con fecha de Viena 23 de Ju</t>
  </si>
  <si>
    <t>bramiento. Strasbwrgo íg de Agosto. H a llegado aquí un Ayudante del General en xefe Moreau con pliego» para el General Saintc-Suzanne, y ha declarado que en aquel exército se espera en breve la noticia de la paz. Se asegura que desde fines de Junio o</t>
  </si>
  <si>
    <t>o. H an establecido los austríacos un campamento en la izquierda del Danubio frente á Ratisbona. El General Moreau antes de salir de Nimphemburgo para Francia recibió pliegos sobre el viáge del Ayudante Duroc. Vino á entregárselos el caballero Vacain, oficial de la plana mayor del exército aus</t>
  </si>
  <si>
    <t>rte de la oriental hasta las puertas de Gante. strasburgo ji de Agosto. E 1 dia 26 salió de aquí el General Moreau para Augsburgo, de donde irá á Munich. El General Lecourbe se halla enfermo, y no saldrá á campaña hasta que esté restablecido. Todas las divisiones del exércitó tienen orden de r</t>
  </si>
  <si>
    <t>Moreaú, General</t>
  </si>
  <si>
    <t>General Moreaú</t>
  </si>
  <si>
    <t>sonas advertidas del riesgo que corrían, se habían retirado de allí. strasburgo 2 de Setiembre. E 1 General Moreaú ántes . de salir de esta ciudad para Alemania expidió varios correos á los Generales de división de su exercito, con órdenes de que hagan adelantar l «s tropas hacia Baviera y el</t>
  </si>
  <si>
    <t>mperial no pide y alcanza que se disminuya la contribución de ó millones de libras que ha pedido el General Moreau. De algunos dias á esta parte se conduce á Amberg por orden del Elector de Baviera la artillería de batir bávaro-palatina, que se había llevado á Passau. Sin duda piensa dicho Prí</t>
  </si>
  <si>
    <t>suceso á aquel ministerio. Augsburgo 5 de Setiembre. H a vuelto aquí el ciud. Strolst, Ayudante dei General Moreau, que había ido al quartel general austríaco para intimar la conclusión del armisticio. Asegura que Mr. Kray extrañó mucho el aviso de la renovación de las hostilidades, pues no la</t>
  </si>
  <si>
    <t>y á poner en Italia. 30© hombres baxo las órdenes del General Abercrombic. Hállase ya en Munich el General Moreau; y una parte del exército francés se dirige hacia Limth, fortaleza que defiende la entrada de los estados austríacos por el lado de Baviera; otra parte de dichas tropas marcha hac</t>
  </si>
  <si>
    <t>muestra el pueblo muy deseoso de la paz. Ratisbona de Setiembre, E 1 General en xefe Moreau llego aquí ántes de ayer, y comió en casa del Teniente General Grenier con los oficiales de plana mayor y varios Ministros extrangeros de las potencias neutral</t>
  </si>
  <si>
    <t>itkL de panado vacuno, y muchos víveres destinados para aquella pl.iZ.» y la de Ingolstádt; pero el General Moreau dio orden de que los dexasin entrar en ambas fortalezas. El General Kray ha obtenido su retiro con 8© florines de pensión. Parece que Mr. Melas no ha sido tratado tan favorablemen</t>
  </si>
  <si>
    <t>as condiciones de paz mas honoríficas. Él dia 8 llegó aquí un oficial austríaco con pliegos para el General Moreau. ' Mr. de Béllegarde, nombrado General en xefe del exército de Italia eri lugar de ¡Mr. Meías, ha salido de Vieoa para dicho exército. Augs burgo 16 de Setiembre. T res medias bri</t>
  </si>
  <si>
    <t>ue han acreditado baxo mi mando , y recomiendo mi memoria á su amistad.” El 5 por la noche llegó el General Moreau á Nymphenburgo, en donde tiene su quartcl. n Francfort ig de Setiembre. Según cartas de Berlin se espera que las dos embarcaciones prusianas apresadas por los ingleses se restitui</t>
  </si>
  <si>
    <t>gos. . _ „ París 26 de Setiembre. \for el telégrafo se recibió antes de ayer el siguiente aviso del General Moreau* „Quartel general 20 de Setiembre. He concluido otro armisticio. Las tres* olazas de Insolstadt, Ulm y Philipsburgo se entregar n á nuestras tropas dentro de 5 dias, y las evacuar</t>
  </si>
  <si>
    <t>s orillas del Mein, que hahia licenciado sus milicias. Ha mandado el General en xefe Moreau que en adelante no se conviertan en hospitales ó cárceles militares los edificios de esta ciudad pertenecientes á colegios ó escuelas, á fin de que la educació</t>
  </si>
  <si>
    <t>plimiento de este encargo.” — r Strasburgo 29 de Setiembre. N&lt; o tardará en llegar á esta ciudad el General Moreau. Concluido el plazo del primer armisticio habían los franceses salido de Ratisbona; pero ha vuelto á ocupar aquella ciudad una partida de sus tropas al mando del General Bonnet. E</t>
  </si>
  <si>
    <t>rno de Francia, el qual contestó á ellas, y el 19 de Julio por la mañana recibió est 1 respuesta el General Moreau, que poco después firmó la prorogacion del armisticio. La mayor parte del exército francés se retira de Baviera á Suabht, en donde ocupará sus anteriores acantonamientos, excepto</t>
  </si>
  <si>
    <t>l Emperador llegó al exército hubo salva de artillería; y el General francés en xefe Moreau despachó uno de sus Oficiales Generales á cumplimentar á nuestro Soberano. Ratisbona 22 de Setiembre. D e Viena escriben que la Emperatriz, el Príncipe heredero,</t>
  </si>
  <si>
    <t>El General Moreau ha dado orden al círculo de Siiabia para que con ia posible prontitud disponga un número de carros suficiente’al transporte de la artillería, municiones y víveres que tienen los a</t>
  </si>
  <si>
    <t>ará en Welz; y las tropas del Imperio formarán el cordon militar en Baviera. En fuerza de orden del General Morcan está enteramente libre el transporte y conducción de géneros hacia el Austria y Salzburgo. Wessel 4 de Octubre. H an desagradado mucho en todo el Imperio las condiciones para la pro</t>
  </si>
  <si>
    <t>es, y solamente 2© en los eclesiásticos. Ratisbona 6 de Octubre. E I General en xefe Moreau llegó aquí ayer con el General Macdonald: y sin embargo de ser las diez de la noche quando hizo su entrada, fué recibido con varias salvas de artillería. Aunqu</t>
  </si>
  <si>
    <t>Conde de Cobentzef, no pueden llegar á Viena hasta de aquí á algunos días; y aunque se dice que el General Moreau propuso acompañar á Mr. Cobentzel hasta Strasburgo, adonde recibida los pasaportes del primer Cónsul, no se admitió según parece esta proposición. De Viena escriben que el Barón d</t>
  </si>
  <si>
    <t>n salido de ella , unos pira el exército, otros para sus casas, y algunos van á París. Se espera al General Moreau, que pasa también á dicha capital. Durante tu ausencia manda en el exército el General Desolles. Y} León 28 de Setiembre, A or decreto del dia 22 destinó el ciud. Verninac, Prefec</t>
  </si>
  <si>
    <t>Ocíubre. E 1 Marisca! de Campo Conde de Donadío, Comandante de los campos volantes, ha recibido del General Moreau una carta concebida en los términos que siguen ¡ ,, Exército del Rhin.__Qu artel general de Munich 4 de Vendimiarlo, año j&gt;¿° de la Revútnica francesa, una é indivisible. El Gener</t>
  </si>
  <si>
    <t>al leer los elogios que ha prodigado á^nuestra conducta militar un guerrero tan acreditado como el General Moreau, por su escrito del 4 de Vendimiarlo. Viva V. , Señor 'General, persuadido de la . grande consideración y respeto con que tengo el honox.de ser 8cc.¿= El Conde de Donadío.” ; Madr</t>
  </si>
  <si>
    <t>guerra, :15o hombrea en el Cüvr-| po de voluntarles. ........ Ratisbona 11 de Octubre. M iéntras el General Moreau permaneció' en esta ciudad ruvo varias co'i'Pt f^^cias particulares ComMr. de Goertz, Ministro.de.Prusia, y.unidla co* miéron los dos solos. También conferenció freqiien remen te</t>
  </si>
  <si>
    <t>hacer ia paz, dan motivo a diversas conjeturas y á varios rmnorus. ' Stvttgíird 18 de Octubre. Í .1 General Moreau ha mandado demoler las fortificaciones de las 3 plazas de Ulm, Ingolstadt y Philipsburgo. La demolición de esta última se ejecutará inmediatamente: y en quanto á las otras dos, se</t>
  </si>
  <si>
    <t>tel general de Augsburgo se publicó el dia 13 la siguiente orden del General en xefe Moreau: ,,Considerando que la demolición de las fortificaciones de las plazas de Ulm, Ingolstadt y Philipsburgo es importante para el exército, así con relación al ac</t>
  </si>
  <si>
    <t>za. Según cartas de Viena se está tratando de prolongar por 4 meses el armisticio. Al venir aquí el General Moreau el 5 de Octubre dio en el camino un rodeo para visitar el monumento erigido á la memoria de Latour de Auvernia cerca de la aldea de Oberhausen, y no lejos de Neuburgo. El 2j de Agos</t>
  </si>
  <si>
    <t>inistro del Elector, ha ido á París en fuerza de Jas segur ridades amistosas que ha dado á S. A. el General Moreau, con quien, se ajustaron los convenios preliminares. El mencionado Príncipe, para dar una prueba de su sinceridad, retirará del exército austríaco todas sus tropas para reunirlas</t>
  </si>
  <si>
    <t>ímites que pide la República francesa.” Augsburgo gi de Octubre. H a llegado á Munich un correo del General Moreau con orden de qwc se restablezcan inmediatamente los puentes de Baviera; y la junta electoral se ha convocado á fin de tomar las disposiciones que se requieren pura ello. Según car</t>
  </si>
  <si>
    <t>arrojó tejas y piedras, de que resultaron muchas personas heridas, y algunas muertas. Parece que el General Moreau marchará muy pronto al exército. De Nántes escriben que el 31 .de Octubre, y el i.° del corriente se botáron al agua en Basse-Indre (a dos leguas de allí) dos fragatas de á 50,cañ</t>
  </si>
  <si>
    <t>serán las resultas de las conferencias de Luneville, ha remitido el General en xefe Moreau órdenes á los Generales de su exército para que envíen tropas á la línea militar señalada en el convenio de Hoheniinden. » Luneville re de Noviembre. I J 7 por</t>
  </si>
  <si>
    <t>para que inmediatamente se transfieran al exército. El General de migada Lahorie ha salido ya; y el General Moreau, que se caso el día 9&gt; no tardara Cn sulir El*Príncipe de Reuss-Lowenstem, y el Barón de Schubart, Ministro del Rey de Dinamarca en el congreso de paz, han llegado á Str.isbiirgo.</t>
  </si>
  <si>
    <t>tilando este punta en Londres, aceptó el Emperador inopinadamente las condiciones propuestas por el General Moreau, logrando de este modo la prolongación que los ingleses pedían como condición para el 'armisticio, marítimo: lo qual rompió las negociaciones que habían seguido basta entonces. ,E</t>
  </si>
  <si>
    <t>uerra si el Austria no prueba con hechos que desea sinceramente la paz. Parts 2 0 de Noviembre, E 1 General Moreau ha salido ya de aquí para el exército* Siguen llegando noticias infaustas, de los grandes desastres nausadoe pqr el terrible huracán del dia 9 qual parece que alcanzuHiá todo elop</t>
  </si>
  <si>
    <t>pasado por esta ciudad de vuelta al exército, y con la noticia de haber salido también de París el General Moreau. Granville ij de Noviembre. E 1 Comisario de Marina de este departamento ha recibido un oficio del Ministro, en que le informa que la misma enfermedad que hay en Cádiz y Sevilla,</t>
  </si>
  <si>
    <t>Desolles notificó el día i.° á los estados de .Suabia una orden del General en xefe Moreau , la qual decía : „ Atendiendo á que la primera contribución que se impuso á los países conquistados alcanzó apénas para pagar el sueldo atrasado del exército,</t>
  </si>
  <si>
    <t>corte de Viena. En la gazeta ministerial austríaca del 6 de Noviembre se ha publicado la orden del General Moreau sobre la demolición de las tres plazas entregadas (dice dicha gazeta) al gobierno francés como prenda de las disposiciones verdaderamente pacíficas de S. M. -Imperial. Londres 18</t>
  </si>
  <si>
    <t>dad que deseaban los piamonteses. Stras burgo 25 de Noviembre. H a salido de aquí para Augsburgo el General Moreau, y otros varios Generales han pasado por esta ciudad dirigiéndose con gran priesa al exército.__ También ha vuelto desde el quartel general austríaco de Web el xefe de esquadron C</t>
  </si>
  <si>
    <t>e varias partes ; y solamente han suspendido ▼olar las obras exteriores de Ulm hasta la llegada del General Moreau ” Tf Berlín 18 de Noviembre. ■E-l gabinete de Eóndres ha escrito á este ministerio que desaprobaba lá conducta del Capitán ingles que se apoderó del barco prusiano conducido ¿ Cux</t>
  </si>
  <si>
    <t>erador de Rusia. Augsburgo 26 de Noviembre. D urante el armisticio se ha completado el exército del General Moreau: el que el Teniente General Sainte-Suzanne manda en el Baxo-Rliin se ha ausr mentado con cerca de 25© hombres , y puede formar el ala izquierda del de Moreau. El exército de los G</t>
  </si>
  <si>
    <t>a que hiciesen otro tanto las demas potencias al ajustarse la paz. j» Basilea 2 de Diciembre. Í 1,1 General Moreau llegó á Augsburgo, y siguió al instante para Mur nich-----Hablóse de negociaciones para prolongar el armisticio; pero parece que el gobierno de Francia proponía por condición que</t>
  </si>
  <si>
    <t>lia por Piamonte. Strasburgo 4 de Diciembre. H a llegado á Munich el General en xefe Moreau con el General de artillería Ebli: rompió desde luego las negociaciones con el Archiduque Juan, y se disponía á abrir quanto antes la campaña. Aquel Príncipe a</t>
  </si>
  <si>
    <t>os. Con esta ventaja se halla Oglow enteramente dueño de Bulgaria.0 El General Bruñe en Milán, y el General Moreau en Munich, han publicado proclamas exhortando á sus tropas á pelear con valor ya que nó puede ajustarse la paz. La proclama de Moreau dice así: „Quartel general de Munich 27 de Novi</t>
  </si>
  <si>
    <t>Moreau---- El Teniente General Grenier, General</t>
  </si>
  <si>
    <t>General Moreau---- El Teniente General Grenier</t>
  </si>
  <si>
    <t>eneral en Dillingen__ . En el castillo de esta última plaza se está disponiendo alojamiento para el General Moreau---- El Teniente General Grenier permanecerá en Ratisbona hasta que aquella ciudad se declare neutral, como se espera. Parts 2 de Agosto. Q uando los franceses entraron en el pais de los Grisones cogieron un alma</t>
  </si>
  <si>
    <t>Mórell, Pedro</t>
  </si>
  <si>
    <t>Pedro Mórell</t>
  </si>
  <si>
    <t>ntes á los de bandera D. Joachln de la Torre y Düarte y D. Joseph Serrano, y á esta clase al Cadete D. Pedro Mórell y al Sargento primero D. llamón Castillo: en el provincial de infantería de México á Capitán ral Teniente de granaderos D. Joseph Felipe Villanueva; á Teniente de granaderos al de f</t>
  </si>
  <si>
    <t>Morell, Pedro</t>
  </si>
  <si>
    <t>Pedro Morell</t>
  </si>
  <si>
    <t>Subteniente de granaderos al primer Subteniente D. Pasoual Moreno; á primer Subteniente al segundo D. Pedro Morell, y á segundo Subteniente al Cadete D. Joseph de la Torre: en el de León á primeros Tenientes á los agregados en esta clase D. Ramón Herrero v D. Tomas Sancha; v á segundo Teniente</t>
  </si>
  <si>
    <t>Moreno García, Juan</t>
  </si>
  <si>
    <t>Juan Moreno García</t>
  </si>
  <si>
    <t>entina, cuyo Comandante fue gravemente herido, y también, aunque de corta consideración, su segundo D. Juan Moreno García con 36 hombres de todas clases: y muertos ios Alféreces de Fragata D. Rafael Bulnes y D. Nicolás del Pino con otros 21 hombres de tropa y marinería. La fragata Sabina amaneció á s</t>
  </si>
  <si>
    <t>Moreno López y Ximenez, Juan</t>
  </si>
  <si>
    <t>Juan Moreno López y Ximenez</t>
  </si>
  <si>
    <t>do: para la Media-Ración de la catedral de Cuenca, vacante por fallecimiento de D. Juan Herrero^, á D. Juan Moreno López y Ximenez, Rector de la Real casa de Misericordia, y mugeres recogidas de dicha ciudad, con dimisión del súeldo y emolumentos que goza, en favor de la expresada casa de Misericordia: para e</t>
  </si>
  <si>
    <t>Moreno Martínez, Joseph</t>
  </si>
  <si>
    <t>Joseph Moreno Martínez</t>
  </si>
  <si>
    <t>Ignacio Balbin, D. Manuel Gutiérrez de Teran, Don Antonio Melendro , y al Oficial tercero de número D. Joseph Moreno Martínez. Honores de Tesorero de Exército á D. Joseph Henriquez de Otero, xo* fe de mesa de la Tesorería general, y Caxero principal de ella. Por fallecimiento de D. Vicente Rodríguez de R</t>
  </si>
  <si>
    <t>Moreno y Escandon, Francisco Xavier</t>
  </si>
  <si>
    <t>Francisco Xavier Moreno y Escandon</t>
  </si>
  <si>
    <t>í). Lúeas,Muñoz Cubero, Oidor de Lima: para ¿sta iplaza al Alcalde del crimen de la misma Audiencia D. Francisco Xavier Moreno y Escandon : para esta resulta al Oidor de Manila D. Felipe Cisneros de la Oliva: para esta plaza á D. Joseph de Avala ; y para la Fiscalía de lo civil y criminal de la Audiencia de Caracas,</t>
  </si>
  <si>
    <t>Moreno y Mancha, Joachín</t>
  </si>
  <si>
    <t>Joachín Moreno y Mancha</t>
  </si>
  <si>
    <t>fecha. D. Juan Valdés é Inclan, D. Juan Calderón y Laso de la Vega, D. Gabriel Olivar y Esquella , D. Joachín Moreno y Mancha , D. Antonio Quiroga y Arias, D. Benito Bermudez de Castro y Vivero , D. Manuel Duque de la Cruz , D. Antonio Piñeyro y Maceda, Don Rafael de Mesa y Montero , D. Francisco Troncos</t>
  </si>
  <si>
    <t>Moreno, Francisco</t>
  </si>
  <si>
    <t>Francisco Moreno</t>
  </si>
  <si>
    <t>antería de Cumaná compañía al Ayudante mayor D. Francisco de Sucre ; la Ayudantía mayor al Teniente D. Francisco Moreno; Tenencia al Subteniente D. Pedro Sánchez ; Subtenencia al Cadete Don Domingo Sánchez, y agregación de Teniente veterano al regimiento prorvincial de Córdoba, Orizava y Xalapa á D</t>
  </si>
  <si>
    <t>Moreno, Gabriel</t>
  </si>
  <si>
    <t>Gabriel Moreno</t>
  </si>
  <si>
    <t>e granaderos al de fusileros D. Fernando Sanmillan; á segundo Teniente aí Subteniente de granaderos D. Gabriel Moreno; á Subteniente de granaderos al primer Subteniente D. Joachin de Villena; á primer Subteniente al segundo D. Joseph Serra; y á segundos Subtenientes al Sargento primero de granade</t>
  </si>
  <si>
    <t>Moreno, Joachín</t>
  </si>
  <si>
    <t>Joachín Moreno</t>
  </si>
  <si>
    <t>infantería de Sevilla se ha servido el Rey promover á secundo Teniente ai Subteniente de granaderos D. Joachín Moreno ; £ Subteniente de granaderos al primer Subteniente graduado de Teniente* D. Joseph Antonio Cabezón; á primeros Subtenientes á los segundos Don Manuel Vico, D. Joseph de Miranda,</t>
  </si>
  <si>
    <t>Moreno, Juan</t>
  </si>
  <si>
    <t>Juan Moreno</t>
  </si>
  <si>
    <t>. Joseph Eguizabal, D. Manuel Huete, Don Hilario Pó'nce,"D. Manuel Caballero, D. Buenaventura Sanz, D. Juan Moreno, D. Joseph Perochena, D. Joseph Saenz, D. Mariano Moreno, Don M irtin de Arambulo y D. Pablo Gaona y Jáuregui; y empleos de Portaestandartes á D. Diego de Vega, D. Pedro Merino, D</t>
  </si>
  <si>
    <t>ducta, como de las atinadas medidas que tomó; y no menos de la del Comandante general del Reyno, de D. Juan Moreno, demas Oficiales generales, sus subalternos, tropas y demas individuos de la Real Armada, concurriendo con admirable porfia y zelo al logro de rechazar con escarmiento al enemigo,</t>
  </si>
  <si>
    <t>de fusileros aí Subteniente de granaderos D. Diego González; su resulta al Subteniente de fusileros D. Juan Moreno, y Subtenencia de fusileros á D, JuliTn Calongfc: en el de Badajoz Compañía de fusileros á D. Ramón de Uceda, Teniente de granaderos; sil resulta al Teniente de fusileros D. Manue</t>
  </si>
  <si>
    <t>Moreno, Juan Joachín</t>
  </si>
  <si>
    <t>Juan Joachín Moreno</t>
  </si>
  <si>
    <t>eal Armada, y que en efecto había dispuesto el Comandante general de la esquadra surta en el puerto D. Juan Joachin Moreno, lo executasen unos 600 hombres del regimiento de infantería de Asturias, del de Or(*) Había en ella una batería con ocho cánones de á 24 montados j «argados,</t>
  </si>
  <si>
    <t>Moreno, Manuel</t>
  </si>
  <si>
    <t>Manuel Moreno</t>
  </si>
  <si>
    <t>paña, á D. Francisco Fernandez Valentin; y para una Media-Rácion de la de la Puebla de Jos Anades á D. Manuel Moreno. S. M. se ha dignado promover á Capitanes del regimiento de infantería fixo de Ja Luisiana al Ayudante D. Francisco Caso y Luengo, y ál Teniente de granaderos D. Francisco Bellest</t>
  </si>
  <si>
    <t>Moreno, Miguel</t>
  </si>
  <si>
    <t>Miguel Moreno</t>
  </si>
  <si>
    <t>Intendencia de Soria. Villa de Exea de Cornago: una casa del vínculo, con carga de misas, del Lie. ,D. Miguel Moreno, tasada en i$&amp; rs. Una tierra blanca de la capellanía de Juana Orctoñez de Castejon, en jó&amp; Intendencia de Jaén. Villa de Iznatorafe: una casa cortijo con 174 fanegas de tierra de</t>
  </si>
  <si>
    <t>Moreno, Nicolás</t>
  </si>
  <si>
    <t>Nicolás Moreno</t>
  </si>
  <si>
    <t>el Beneficio de la parroquial de Pioz, en este arzobispado de Toledo, vacante por fallecimiento de D. Nicolás Moreno, á D. Domingo Herrera Buedó, con obligación de servirle por sí mismo. En la compañía española del Real cuerpo de Guardias de Corps lia nombrado el Rey Exento de número al supernum</t>
  </si>
  <si>
    <t>Moreno, Vicente</t>
  </si>
  <si>
    <t>Vicente Moreno</t>
  </si>
  <si>
    <t>egundos D. Antonio Martínez Orosa , D. Ramón de Vidondo , D. Juan Osorno, D. Manuel Teresa Vázquez, D. Vicente Moreno y D. Salvador Melgar, y á sey u. remando Arraga' ríos de Aragón á segundo Ayudante al primer Teniente D. Mariano Barreneche ; á primer Teniente al segundo D. Pedro Ortiz; á segundo Te</t>
  </si>
  <si>
    <t>Morera, Sebastián</t>
  </si>
  <si>
    <t>Sebastián Morera</t>
  </si>
  <si>
    <t>s el misino premio que los anteriores. El certamen de matemáticas baxo la dirección del Catedrático D. Sebastian Morera, lo desempeñáron con mucho lucimiento en aritmética, álgebra y geometría, D. Francisco de Castilla j Valcárcel , á quien se dio en premio la obra de matemáticas puras de Don Carlo</t>
  </si>
  <si>
    <t>Moret, Joseph</t>
  </si>
  <si>
    <t>Joseph Moret</t>
  </si>
  <si>
    <t>ral de Sellént, Corregimiento de Manresa............................... 85. 19. Joseph Moret, hijo de Francisco y Teresa, natural de País, Corregimiento de Gerona.......... ........ ................. 46. 1,</t>
  </si>
  <si>
    <t>Morete, Domingo</t>
  </si>
  <si>
    <t>Domingo Morete</t>
  </si>
  <si>
    <t>rancisco García Bernaldo, Teniente de fusileros; Tenencia de está clase al Subteniente de cazadores D. Domingo Morete, y su resulta al Subteniente de fusileros D. Santiago Lorenzo Largo: en el de Bujaknee la Subtenencia de cazadores á D. Joseph Valdelomar, Subteniente de fusileros: en el de Monte</t>
  </si>
  <si>
    <t>Morett, Fernando</t>
  </si>
  <si>
    <t>Fernando Morett</t>
  </si>
  <si>
    <t>eniente al segundo D. Joachín Rodríguez: en el dé Burgos a Capitán al primer Teniente de granaderos D. Fernando Morett; á primer Teniente de granaderos al de fusileros D. Fernando Martínez; á primeros Tenientes á los segundos de granaderos D. Santiago Montero y D. Joseph Montero; á segundos Tenien</t>
  </si>
  <si>
    <t>Moriaiio, Agustín</t>
  </si>
  <si>
    <t>Agustín Moriaiio</t>
  </si>
  <si>
    <t>Capitán de gastadores al de cazadores D. Manuel.Herrero; á Gapitan al primér Teniente de gastadores D. Agustín Moriaiio ; á primer Teniente de gastadores al de cazadores D. Bernardo del Corral; á primer Teniente al segundo de gastadores D. Juan Toledo; á segundos Tenientes de tiradores y gastadores</t>
  </si>
  <si>
    <t>Moriano, Joseph</t>
  </si>
  <si>
    <t>Joseph Moriano</t>
  </si>
  <si>
    <t>ndo de gastadores D. Juan Toledo; á segundos Tenientes de tiradores y gastadores á los de cazadores D. Joseph Moriano y D. Juan Rancourt; á segundos Tenientes á los Subtenientes Don Juan filake, D. Tómas Franco y D. Joseph Montero, el segundo y tercero de tiradores y gastadores, y á estos empleos á l</t>
  </si>
  <si>
    <t>Moriano, Rafael</t>
  </si>
  <si>
    <t>Rafael Moriano</t>
  </si>
  <si>
    <t>oseph Montero, el segundo y tercero de tiradores y gastadores, y á estos empleos á los Subtenientes D. Rafael Moriano y D. Antonio Carrion. i y</t>
  </si>
  <si>
    <t>Morieze</t>
  </si>
  <si>
    <t>exército.---- Entre los prisioneros que el General francés hizo en la batalla del Cayro se hallaba Mr. Morieze, Secretario de la embaxada inglesa en Constantinopla^ Así Kleber como los deinas Generales le trataron con la mayor atención, y le diéron libertad para que pasase al exército otom</t>
  </si>
  <si>
    <t>icanos franceses no tienen conocimiento de esas acechanzas de guerra de que se habla en la carta de Mr. Morieze, ni siguen otras reglas que manifestar valor en las batallas» generosidad en las victorias, y buena fe en los tratados.__ Hay aquí 150 ingleses prisioneros. Si solo atendiese yo á</t>
  </si>
  <si>
    <t>Morillejo, Francisco</t>
  </si>
  <si>
    <t>Francisco Morillejo</t>
  </si>
  <si>
    <t>aro de León: el de Administrador principal de las rentas de tabaco y pólvora de la villa de Honda á D. Francisco Morillejo, que obtenía igual destino en Mompox: este empleo á D. Manuel Herrera, Administrador principal de las de aguardientes y naypes del propio Motnpox: esta administración á D. Joachin</t>
  </si>
  <si>
    <t>Morirás, Ignacio</t>
  </si>
  <si>
    <t>Ignacio Morirás</t>
  </si>
  <si>
    <t>de Barcelona, Corregimiento idem...;..........:........................ 54; n.i Ignacio Morirás, hijo de Salvio y Cecilia, natural de Casa de la Selva , Corregimiento de Gerona................... 41. 22.' Isidro Quintana, hijo de Joseph y María, natural de Gualta, Corregimiento de</t>
  </si>
  <si>
    <t>Moritoro, Pedro</t>
  </si>
  <si>
    <t>Pedro Moritoro</t>
  </si>
  <si>
    <t>anuel Gerónimo Garro, á D. Ramón de la Quádta* para la Canongía de la de Segovia, que este dexa y i D. Pedro Moritoro: para la Ración de la santa iglesia de Toledo, que.este-obtiene y resultará vacante, á D. Santos Martínez: para' la Canongía que resultará vacante^ en la catedral de Jaén por prom</t>
  </si>
  <si>
    <t>Morlot, General</t>
  </si>
  <si>
    <t>General Morlot</t>
  </si>
  <si>
    <t>General en, xefe Macdonald , y no haber podido salir de Zurich , manda interinamente en su lugar el General Morlot. París 25 de Noviembre* P arece que ao está enteramente cortada la correspondencia entre este go* bierno y el de Inglaterra, pues el dia 14 se embarcó en Calais un correo para Dou</t>
  </si>
  <si>
    <t>Mornard, Luis</t>
  </si>
  <si>
    <t>Luis Mornard</t>
  </si>
  <si>
    <t>. D. Joseph Díaz, D. Manuel Menendez JoVe, D. Manuel González Villarmil, D. Vicente María Ezcurdia, D. Luis Mornard, D. Toribio Cifuentes, D. Claudio Fernandez, D. Felipe Fernandez San Miguel, D. Joseph López del Vallado y D. Agustín Sánchez Cifuentes, En las quatro primeras ciases de dicho est</t>
  </si>
  <si>
    <t>ofesor de geografía histórica D. Juan Alexandro Nais, los alumnos del primer curso de esta facultad D. Luis Mornard, D. Felipe Fernandez San Miguel, D. Claudio Fernandez, D. Francisco Prendes y D. Francisco Xavier Olarria. 6.° En las propiedades generales y esenciales de los cuerpos, y en eleme</t>
  </si>
  <si>
    <t>su costa en esta forma: dicho Señor promotor ú los dos mas sobresalientes y á los dos mas pobres, y D. Luis Mornard, Comisario de comercio de la República francesa , D. Pedro Valdés Llanos, Subdelegado de Rentas de la costa marítima del Principado, el Teniente Coronel D. Alvaro Valdés Inclan, C</t>
  </si>
  <si>
    <t>Mornington, Conde</t>
  </si>
  <si>
    <t>Conde Mornington</t>
  </si>
  <si>
    <t>e se observaron para la coronación del sucesor de Tippoo^Saib, comunicándolas desde Seringapatam al Conde Mornington. Señalaron los Braminos el 30 de Junio para coronar é instalar en el trono á Kistjia Rajah Dodiaver, dia que miraban como de feliz agüero para este acto. ,, Nos conformamos (dicen</t>
  </si>
  <si>
    <t>Morosi, Príncipe</t>
  </si>
  <si>
    <t>Príncipe Morosi</t>
  </si>
  <si>
    <t>llo, el qual lia vuelto á rebelarse abiertamente contra la Puerta sopretexto de no haber querido el Príncipe Morosi pagarle una contribución anual de 80 bolsas. Parece que dicho Príncipe no ha tomado esta arriesgada determinación sin estar seguro de que Ic sostendrán muchos enemigos de Baswan,</t>
  </si>
  <si>
    <t>Morrier</t>
  </si>
  <si>
    <t>s* que aunque no sean enteramente ciertas, pueden servir para explicar aquellas quejas. Dice así: ,,Mr. Morrier había escrito á Kleber. El General Menou, en lugar de responderle» publicó una proclama en que mandaba ,»que qualesquiera personas » despachadas de parte de un tal Morrier, que se</t>
  </si>
  <si>
    <t>Morris, Capitán</t>
  </si>
  <si>
    <t>Capitán Morris</t>
  </si>
  <si>
    <t>nido su audiencia del Sultán en calidad de Embaxador de la Gran Bretaña. La fragata inglesa Faetón, Capitán Morris, que lo conduxo á esta capital, ha vuelto á salir de aquí. El 6 á las i i de la noche se padeció en el arrabal de Humkaban un incendio, durante el qual ardieron muchas casas. Segú</t>
  </si>
  <si>
    <t>Morrondo, Pedro</t>
  </si>
  <si>
    <t>Pedro Morrondo</t>
  </si>
  <si>
    <t>ubtenientes á los segundos D. Gregorio Perez y D. Juan Carvajal, y á segundo Subteniente* al Cadete D. Pedro Morrondo: en él de voluntarios de Castilla á Capitán al Ayudante D. Pedro Ramírez; á Ayudante al primer Teniente D. Victoriano Laspeñas; á primer Teniente al segundo, graduado de Capitán,</t>
  </si>
  <si>
    <t>Morros de Balaguer, Pedro</t>
  </si>
  <si>
    <t>Pedro Morros de Balaguer</t>
  </si>
  <si>
    <t>de 1$ de Marzo, número 33«5,0(5$, endosado por Joseph Sendros á Antonio Molins, dirigido en carta á D. Pedro Morros de Balaguer para entregar á dicho Molins. Otros 3 vales se remitieron ei mismo din de Barcelona á Agramuot, los a de 300 pesos, de io- de Abril , números 477,*4$ y $10,163 , y el otro de 1$ d</t>
  </si>
  <si>
    <t>Morros, Pedro</t>
  </si>
  <si>
    <t>Pedro Morros</t>
  </si>
  <si>
    <t>m. 2; en Barcelona á Joseph Sendros, Plaza del Angel j en Agramunt á Ramón Sendros, ó en Balaguer á D. Pedro Morros. Para el remate de la dehesa y término de la villa despobfada de Fuentes de Duero, inmediato á la ciudad de V&amp;liadolid, con su soto de Villaverde y demas á él adyacente, que compr</t>
  </si>
  <si>
    <t>Mortier, General</t>
  </si>
  <si>
    <t>General Mortier</t>
  </si>
  <si>
    <t>íel General Loison, en S. Gall: la 4.a, mandada por el General Lorge, en Frauenfeld: la 5.a, por el General Mortier, en Basilea: la 6.a, por el General Bastad, en Soleure; y la 7.a, por el General Muller, en Berna. Quizá tomará nuevas disposiciones el General en xefe Moreau, que llegó aquf ante</t>
  </si>
  <si>
    <t>Morzin, General</t>
  </si>
  <si>
    <t>General Morzin</t>
  </si>
  <si>
    <t>a y en algunas otras partes. &gt; Stutgard jt de Diciembre. £ escriben de Vicna que se ha encargado al General Morzin acompañe por Brunn y Cracovia, hasta las fronteras de Rusia, la colima de*tropas de aquella nación que se retira por el Austiia-Superior; y que el General Bender acompañará igualm</t>
  </si>
  <si>
    <t>Mosteirin, Francisco</t>
  </si>
  <si>
    <t>Francisco Mosteirin</t>
  </si>
  <si>
    <t>Aíosteirin , y al segundo Teniente de granaderos D. Joseph Mioño* á segundo Ayudante mayor al mismo D. Francisco Mosteirin; y á Segundos Tenientes al Alférez de granaderos D. Antonio Roca Escorcia, y al de fusileros D. Pedro Liñan. En el de infantería inmemorial del Rey á segundo Subteniente al Cadete</t>
  </si>
  <si>
    <t>Moteau</t>
  </si>
  <si>
    <t>todo en las cercanías de Brannau. Antes de ayer noche llegó aquí el General en xefe Moteau. Parece que irá á París, desde donde no tardará en restituirse al exército. Vino directamente de Nymphenburgo, cerca de Munich. Dos horas después llegó también</t>
  </si>
  <si>
    <t>Motes, Manuel</t>
  </si>
  <si>
    <t>Manuel Motes</t>
  </si>
  <si>
    <t>id; á primeros Subtenientes á los segundos D. Garlos Montignany, D. Joseph Boery, D. Mateo Colingh, D. Manuel Motes y D. Joseph María Rindelan; y á segundos Subtenientes á los Cadetes ]&gt;. Antonio García, D. Gerónimo Stermund, Di Ramón Urraca, Don Melchor Magrath y D. Joachín Calderónjr Losada, y á</t>
  </si>
  <si>
    <t>Mou, Pedro</t>
  </si>
  <si>
    <t>Pedro Mou</t>
  </si>
  <si>
    <t>ver en ef regimfento de Reales Guardias* “Walonas á primeros Tenientes á ios segundos de granaderos D. Pedro Mou-_ llart de Torcy, D. Francisco &amp;íenche Duvermeil, D. Joseph Ramón de Seidel y D. Carlos Quarré de la* Loy* . El Rey se ha dignado-nombrar- en los regimientos de caballería: á Alfér</t>
  </si>
  <si>
    <t>Moure, Vicente</t>
  </si>
  <si>
    <t>Vicente Moure</t>
  </si>
  <si>
    <t>án del regimiento de Búrgos: para la que se halla vacante en la misma iglesia, por fallecimiento de D. Vicente Moure, á D. Venancio García Morcillo, Capellán que ha sido también de regimiento ; y para la que resulta igualmente vacante en dicha iglesia por promoción de D. Juan Joseph Aldama á una</t>
  </si>
  <si>
    <t>Mourrier</t>
  </si>
  <si>
    <t>. Sobre los acontecimientos de Egipto se leen en gazetas de esta capital los siguientes artículos: „Mr. Mourrier, Secretario de la embaxada inglesa en Constantinopia, ha sido despachado de aquella ciudad para informar á Mr. Sidney-Smith que el gobierno británico se ha negado á ratificar el t</t>
  </si>
  <si>
    <t>Moyano Rodríguez, Buenaventura</t>
  </si>
  <si>
    <t>Buenaventura Moyano Rodríguez</t>
  </si>
  <si>
    <t>ia* vacante pór muerte del limo. Sr. D. Joseph Luis de Molíinedo, ál Sr. D.ojé. Buenaventura Moyano Rodríguez, Canónigo de la metropolitana dé Toledo, y Gobernador deteste arzobispado : para la Iglesia y Obispado de Sigiienza, vacante por fallecimiento del limo. Sr. D. Juan Diaz de la Guerra , al l</t>
  </si>
  <si>
    <t>Moyano, Diego</t>
  </si>
  <si>
    <t>Diego Moyano</t>
  </si>
  <si>
    <t>El Rey se ha servido nombrar para la Canongía de Ja catedral de Jaén, vacante por fallecimiento de D. Diego Moyano, á D. Ramón Pueyó, Arcediano que ha sido de la catedral de la isla de Menorca: para otra de la de Osma, vacante por muerte de D. Ambrosio Marín, á D. Juan Francisco de Cárlos, Can</t>
  </si>
  <si>
    <t>Mr, Almirante</t>
  </si>
  <si>
    <t>Almirante Mr</t>
  </si>
  <si>
    <t>servir en el mar Negro. En ella se halla el cuerpo de 2© rusos que estuvo destinado para Malta. Su Almirante Mr. Uschakow conferenció antes de ayer con Mr. de Támara, Embaxador de Rusia: y el Gi;an Señor le ha regalado una joya de mucho precio. Petersburgo 24 de Octubre. H a conferido el Em</t>
  </si>
  <si>
    <t>Muckarow, Almirante</t>
  </si>
  <si>
    <t>Almirante Muckarow</t>
  </si>
  <si>
    <t>ng-Pusching que la mandaba: le reemr plaza interinamente el Almirante Sporidonow, hasta que el Vice-Almirante Muckarow llegue á encargarse del mando. Ha nombrado S. M. Imperial al Conde de Langeron Inspector en el distrito de Brzesc. Stockolmo 8 de Julio* L a noticia de la victoria de Marengo, que</t>
  </si>
  <si>
    <t>Mufíoz, Antonio</t>
  </si>
  <si>
    <t>Antonio Mufíoz</t>
  </si>
  <si>
    <t>escrito por un ingenio de esta corte.Morir viviendo en la aldea, y vivir muriendo en la corte: por D. Antonio Mufíoz. Se hallarán á a rs:. cada uno en; la librería de Cerro, red de S. Luis, y en su puesto, calle de Alcalá. . . , Quaderno aÓ de la colección general.de los trages que «san todas la</t>
  </si>
  <si>
    <t>Mulero Delgado, Francisco</t>
  </si>
  <si>
    <t>Francisco Mulero Delgado</t>
  </si>
  <si>
    <t>vacante^ en la catedral de Jaén por promoción de D. Juan Antonio Cornel apotra de la de Zaragoza, á D. Francisco Mulero Delgado: para otrátde la metropolitana de Sevilla,, vacante.por fallee)miento deD. Alvaro Valcárcel y Viárgas , Marques de Medipa, á;Dl Ignacio .Váflcárcéi y Vargas ¿ ; para la Ración, qu</t>
  </si>
  <si>
    <t>nchilla Chichina y Vilches: para otra Canongía de la catedral de Falencia, vacante por promoción de D. Francisco Mulero Delgado , á D. Joseph Marín: para la Ración de la colegial de Antequera, diócesis de Málaga, vacante por promoción de D. Tomas de Molina Martel á una Canongía de la catedral deOrihuela, á</t>
  </si>
  <si>
    <t>Mulgrave, Lord</t>
  </si>
  <si>
    <t>Lord Mulgrave</t>
  </si>
  <si>
    <t>división de sus fuerzas, al paso que otra permanezca cruzando delante de Brest. Hi llegado aquí el Lord Mulgrave con pliegos y noticias importantes de Viena y Berlin; pero parece que no ha satisfecho á esta corte en el desempeño de las comisiones que Labia puesto á su cuidado , pues aseguran</t>
  </si>
  <si>
    <t>Mulíer, General</t>
  </si>
  <si>
    <t>General Mulíer</t>
  </si>
  <si>
    <t>y hallo á les enemigos en todas las alturas que le rodean. Intuito entretenerlos, esperando que el General Mulíer llegaría á tiempo de cercarlos; pero los obstáculos que este General encentro retardaren su marcha, y el General Lannes se resolvió á dar un vivo ataque. Los granaderos de la medi</t>
  </si>
  <si>
    <t>Mullcr, General</t>
  </si>
  <si>
    <t>General Mullcr</t>
  </si>
  <si>
    <t>n en vano formarse en junta de salud pública, muda¿ ei có^ mandante de ía plaza, y pedir auxilio at.General Mullcr. EsteComandanta francés y el Encargado de negocios de Francia estuvieron neutrales en tod’6 este altercado, durante el qual no .se altero la quietud pública. París de Enero, H an</t>
  </si>
  <si>
    <t>Muller, General</t>
  </si>
  <si>
    <t>General Muller</t>
  </si>
  <si>
    <t>.a, por el General Mortier, en Basilea: la 6.a, por el General Bastad, en Soleure; y la 7.a, por el General Muller, en Berna. Quizá tomará nuevas disposiciones el General en xefe Moreau, que llegó aquf antes de ayer___ El General Thureau , Comandante de la segunda división , pasa al exército d</t>
  </si>
  <si>
    <t>s republicanos. Ha tomado el General Chabert el mando de las tropas francesas en Berna en lugar del General Muller. París 27 de Enero. E 1 General Bernadotte ha sido nombrado Consejero de Estado por lo relativo á ios asuntos de guerra.- ' ¡ Sin embargo de la respuesta del Lord Grenville á la c</t>
  </si>
  <si>
    <t>Munarriz, Francisco</t>
  </si>
  <si>
    <t>Francisco Munarriz</t>
  </si>
  <si>
    <t>undo Subteniente al Cadete D. Joseph Pardo: e'n e! de Jaén á segundo Teniente al primer Subteniente D. Francisco Munarriz, y á esta resulta al segundo Subteniente, graduado de Teniente, D. Francisco Alegré: en el de las Ordenes Militares á primer Teniente de granaderos ai de fusileros D. Pedro Pascua</t>
  </si>
  <si>
    <t>Munarríz, Joseph Luis</t>
  </si>
  <si>
    <t>Joseph Luis Munarríz</t>
  </si>
  <si>
    <t>e Noviembre. Lecciones sobre la retónica y las bellas letras por Hugo Blair: las traduxe del ingles D. Joseph Luis Munarríz : tomo 3.0 que comprehende el resto de las lecciones sobre la Oratoria, las relativas á los principales géneros en prosa, á saber la historia, los escritos filosóficos, diálogos,</t>
  </si>
  <si>
    <t>Muncharaz, Félix</t>
  </si>
  <si>
    <t>Félix Muncharaz</t>
  </si>
  <si>
    <t>e pertenecen al vínculo que en la misma fundó el Lie. D. Juan Bautista Ximenez:, de que es poseedor D. Félix Muncharaz-, vecino de la villa de la'Puebla de Montalban, á instancia del mismo: dos casas en la población de la féféHda villa con sus oficinas cómodas para habitación , tasadas en 34,535 rs</t>
  </si>
  <si>
    <t>Mundicia, Pablo</t>
  </si>
  <si>
    <t>Pablo Mundicia</t>
  </si>
  <si>
    <t>de infantería de Guayaquil al Teniente D. Antonio Parames: este empleo al Subteniente de granaderos D. Pablo Mundicia: sus resultas al Subteniente de fusileros D. Joseph Julián del Campo; y la vacante, que este dexa, al Cadete D. Domingo Rodriguez Plaza. En la extracción de la Real lotería execut</t>
  </si>
  <si>
    <t>Muñiz, Agustin</t>
  </si>
  <si>
    <t>Agustin Muñiz</t>
  </si>
  <si>
    <t>Rey ha nombrado Comandante de la compañía suelta de infantería y caballería de Castilla la Nueva á D. Agustin Muñiz, Sargento mayor agregado al regimiento de cazadores voluntarios de la Corona. En los cuerpos provinciales de la península ha conferido S. M. los empleos siguientes: Tenencia en el</t>
  </si>
  <si>
    <t>Muñiz, Joseph</t>
  </si>
  <si>
    <t>Joseph Muñiz</t>
  </si>
  <si>
    <t>sueldo por sus apreciables servicios. Al mismo tiempo se ha servido S. M. nombrar para sucederle á D. Joseph Muñiz: para la Intendencia de Murcia, que este obtenía, á D. Antonio Montenegro; y para reemplazar á este en la Administración del Real Pantano de Alicante á D. Francisco García Espinos</t>
  </si>
  <si>
    <t>Muñoz Álvarez, Agustín</t>
  </si>
  <si>
    <t>Agustín Muñoz Álvarez</t>
  </si>
  <si>
    <t>enta Real. Gramática de la lengua castellana , ajustada á la latina para facilitar su estudio } por D. Agustín Muñoz Alvarez , presbítero, individuo de la Real academia latina matritense, y catedrático primero de latinidad y humanidades en el colegio de S. Miguel de Sevilla. Segunda edición , corregida</t>
  </si>
  <si>
    <t>Muñoz Cátedra, Pedro</t>
  </si>
  <si>
    <t>Pedro Muñoz Cátedra</t>
  </si>
  <si>
    <t>Valdemojones de Torrejon, de 2 fan. en 600. Otra id. en el Pradejón , de 6 cel. en go. Memorias de D. Pedro Muñoz Cátedra : una tierra pasado el barranco de la Canal, de 6 fanegas, en 700 rs. Otra término de Boadilla en las Arboledas, de 14 fan. en 700. Otra término de Humera en' los Meaques, de 20 f</t>
  </si>
  <si>
    <t>Muñoz de Cedenilla, Ignacio</t>
  </si>
  <si>
    <t>Ignacio Muñoz de Cedenilla</t>
  </si>
  <si>
    <t>el de milicias disciplinadas de Voluntarios blancos de Mérida á Sargento mayor veterano al Ayudante D. Ignacio Muñoz de Cedenilla: á Capitanes á los Subtenientes D. Luis Duran y D. Joseph Zapata: á Subteniente de granaderos al de fusileros D. Ramón Cosgalla: á Subteniente de fusileros al Cadete D. Francisco</t>
  </si>
  <si>
    <t>Muñoz de Guzman, Luis</t>
  </si>
  <si>
    <t>Luis Muñoz de Guzman</t>
  </si>
  <si>
    <t>general del Rey no de Chile y Presidente de aquella Audiencia al Xefe de Esquadra de la Real Armada D. Luis Muñoz de Guzman: el Gobierno militar y político de la provincia de Cuenca, en el Nuevo Reyno de Granada, al Teniente Coronel D. Juan Perez Monte; y el de la Colonia del Nuevo Santander , en Nueva</t>
  </si>
  <si>
    <t>Muñoz del Castillo, Joseph María</t>
  </si>
  <si>
    <t>Joseph María Muñoz del Castillo</t>
  </si>
  <si>
    <t>compañía de fusileros al Teniente de granaderos D. Juan de Arroyo, y las Subtenencias de bandera á D. Joseph María Muñoz del Castillo y D. Joseph Valdelomar: en el de Segovia compañía de fusileros al Teniente graduado de Capitán de infantería D. Antonio Ricote; la Tenencia de granaderos al Teniente Don Fernando Garc</t>
  </si>
  <si>
    <t>Muñoz y Abreu, Fernando</t>
  </si>
  <si>
    <t>Fernando Muñoz y Abreu</t>
  </si>
  <si>
    <t>arelo, D. Juan Patino y Acevedo, D. Juan de Sotomayor y Barranco, D. Joseph de Soubiran y Montealm, D. Fernando Muñoz y Abreu,D. Aii toni'o Tacón y Rosique, D. Salvador Spadafora,D. Ramón Caamaño, Don Isidoro Postigo y Bulnes, D. Joseph de Echeverría y Padilla’, D. Francisco Torralbo y Valenciano ,#D. Jo</t>
  </si>
  <si>
    <t>Muñoz y Raso, Joseph</t>
  </si>
  <si>
    <t>Joseph Muñoz y Raso</t>
  </si>
  <si>
    <t>1,120 extinguir la peste que allí se padecía, el Lie. D. Joseph Muñoz y Raso , Cañó-, nigo doctoral de aquella iglesia catedral, Provisor y Vicario general capitular sede episcopali vacante , y Teniente Vicario general d$ los Reales exércitos de mar y tier</t>
  </si>
  <si>
    <t>Muñoz y Salcedo, Pedro</t>
  </si>
  <si>
    <t>Pedro Muñoz y Salcedo</t>
  </si>
  <si>
    <t>de la cofradía de Animas, tasado en 63,977 rs. Una casa en la calle Puerta Nueva, de la obra pia de D. Pedro Muñoz y Salcedo, tasada en 43,439 rs. y renta 440. zn:Villa de Arjonilla: una casa en la calle Cambroneras, de la cofradía de Animas, tasada en 17,895 rs. y renta 330. Otra situada en calle Porcu</t>
  </si>
  <si>
    <t>Muñoz, Gerónimo</t>
  </si>
  <si>
    <t>Gerónimo Muñoz</t>
  </si>
  <si>
    <t>errero; en el de España á Capitanes á los primeros Tenientes D. Agustín de Aragón, de granaderos, y D. Gerónimo Muñoz; á primer Teniente de granaderos al de fusileros D. Juan de Valenzucla; X primeros Tenientes á los segundos de granaderos D. Antonio Gallardo y D. Pablo Mediavilla , y X los de fu</t>
  </si>
  <si>
    <t>Muñoz, Joseph</t>
  </si>
  <si>
    <t>Joseph Muñoz</t>
  </si>
  <si>
    <t>D. Joseph Rodríguez y D. Joseph Casaus: en el de Toledo á Capitán al primer Teniente de granaderos D. Joseph Muñoz; á primer Teniente de granaderos al de fusileros D. Diego García Hidalgo; X primer Teniente al segundo de granaderos D. Ramón Xiron ; á segundo Teniente de. granaderos al de fusil</t>
  </si>
  <si>
    <t>Muñoz, Manuel</t>
  </si>
  <si>
    <t>Manuel Muñoz</t>
  </si>
  <si>
    <t>eph Benitez Campon y D. Gaspar Gómez ; primera» Subtenencias á los segundos D, Vicente del Fierro % D. Manuel Muñoz y* IX- Tomas Verdes de la Vega ; y segundas Subtenencias a los Sargentos primeros de granaderos D. Fernando Capacete y D. Joseph López» y á los Cadetes D. Joseph García y D. Francis</t>
  </si>
  <si>
    <t>Muñoz, María</t>
  </si>
  <si>
    <t>María Muñoz</t>
  </si>
  <si>
    <t>io, el Coronel D. Vicente Galvez , Doña Josepha Benito, el Teniente Coronel Don Rafael de Velarde , Doña María Muñoz , ei Teniente Coronel D. Tomas Daquindehan, Doña Manuela Fernandez, D. Miguel Romero dorador, D. Vicente Ortiz de Salgousen, Doña Manuela Medina, Doña Ignacía Soto y Conde, Franci</t>
  </si>
  <si>
    <t>Muñoz, Pedro</t>
  </si>
  <si>
    <t>Pedro Muñoz</t>
  </si>
  <si>
    <t>lecciones. Quaderno i.° Se hallará en la calle de Atocha, frente á la casa de los Gremios, casa de D. Pedro Muñoz, estampador ; en la librería de Ramos, carrera de S. Gerónimo; y en la de Herrera , postigo de S. Martin. Su precio £ rs., y con el mapa-mundi iluminado 7 rs. Se subscribe al 2° q</t>
  </si>
  <si>
    <t>Muñoz, Rafael</t>
  </si>
  <si>
    <t>Rafael Muñoz</t>
  </si>
  <si>
    <t>entes á los segundos de granaderos D. Antonio Gallardo y D. Pablo Mediavilla , y X los de fusileros D. Rafael Muñoz y D. Eélix Gasol; á segundos Tenientes de granaderos á los de fusileros D. Cayetano Lacalle y D. Joseph Torrelallebreta ; á segundos Tenientes á los Subtenientes de4j|ranaderos D. Ped</t>
  </si>
  <si>
    <t>Murat</t>
  </si>
  <si>
    <t>Murat, General</t>
  </si>
  <si>
    <t>General Murat</t>
  </si>
  <si>
    <t>embarco. Hallánse ya en esta capital los ciudadanos Barthelemi y Camot. Pasado mañana presentará el General Murat en la casa de inválidos las últimas banderas ganadas en Egipto. El General Brune ha escrito desde Vannes con fecha de 28 de Eneró en estos términos: „E1 día 24 derrotó el General Ha</t>
  </si>
  <si>
    <t>erto quando recibió orden de suspender su partida. Paris /o de Febrero. E 1 General Lasnes, y no el General Murat, fue quien hizo el dia 8 la presentación de las banderas ganadas por el exército de Oriente. Todos los militares que han servido en Egipto asistieron á esta ceremonia, como táimbi</t>
  </si>
  <si>
    <t>presentó varios oficiales de este cuerpo; el de Guerra, el estado mayor de dicha división 17; y el General Murat, la plana mayor de la guardia de los Cónsules. Poco después se juntaron los individuos del cuerpo diplomático en la sala llamada de Embaxadores; y el ciud. Benezeeh, Consejero de</t>
  </si>
  <si>
    <t>tos y 250 heridos. Después de. esta victoria el General Turreau siguió adelantándose desde Suza. El General Murat entró el .día 27 á viva fuerza en Vercelly. Dos regimientos de cazadores con 3 compañías de la división de Monnier derrotaron hacia el Sesia mil he miares de caballería austríaca ,</t>
  </si>
  <si>
    <t>Chíusella. El General Murat halló en Vercelly grandes almacenes de arroz, trigo y avena. Se han interceptado dos correos de los enemigos. El General Mclas permanece en Turin, adonde llegó en posta desde Niza</t>
  </si>
  <si>
    <t>ió á Buffalara algunas compañías de carabineros..... Seguimos pasando con toda priesa el Tesino. El General Murat se halla con la vanguardia en Corbetto, á 3 leguas de Milán.” „Milán J de Junio. El General Murat llegó el dia 2 á Milán, é inmediatamente mandó cercar la eiudadela. Tres horas de</t>
  </si>
  <si>
    <t>sta 3 de Junio. De ella se extractarán aquí los principales sucesos. „Paso y batalla del Tesino. El General Murat salió de Novara el dia 30 para atravesar el Tesino. Dispuso su caballería de modo que molestase á los enemigos por la orilla del rio desde el lago de Como hasta mas allá de Vigeva</t>
  </si>
  <si>
    <t>rio las demas divisiones, y el 2 se acercaron á Milán, cuyas llaves se presentaron poco después al General Murat, quien desde luego mandó formar el bloqueo de la ciudadela. Toma de Pavía. Marchaba entre tanto el General Lannes hacia Pavía. Erl enemigo abandonó aquella ciudad , dexando en nue</t>
  </si>
  <si>
    <t>que los enemigos tenían en aquella ciudad , pasar por ella el Po, é incorporarse con el cuerpo del General Murat, que está ya en PlasencuL, pues el dia 5 «marchó contra aquella plaza. Los austríacos defendieron la cabeza de puente con gran número de artillería: á las 11 de la noche ocupó Mur</t>
  </si>
  <si>
    <t>a línea sosteniéndole en el ataque la artillería del General Marmont. La caballería, mandada por el General Murat, y los granaderos de á caballo á las órdenes del General de brigada Bessieres, acó-* metieron al mismo tiempo á la caballería austríaca-, la: obligáron á replegar-á se precipitada</t>
  </si>
  <si>
    <t>brigadas y una división, se* dirigió por derecha á la misma altura;, y la caballería ,al mando deí General Murat, se colocó en las alas y en los intermedios. En este orden. se dio la batalla. Los enemigos, al presentarse en la dilatada llanura entre Alexandría y Tortona, maniobraron con inte</t>
  </si>
  <si>
    <t>Í2($ hombres. Antes de su partida pasaron re-^ vístaé hiciéron v’arias' evoluciones mandadas por el General Murat. Asís-^ fíó Ú ellas el Ministro .de Guerra, quien'dirigió; á las rropav un discurso ^^0-, él qual entré otras*cosas dixor„Dcfensoresde fa patria: el primer Cónsul</t>
  </si>
  <si>
    <t>uerpo escogido, compuesto todo de granaderos que cuentan 8 :'ños seguidos de campaña.. Los manda el General Murat. De Dijon escriben que se prendió fuego en un almacén de forra ge en Ja aldea de Cessey, inmediata á aquel campamento de reserva. Ardieron 5 casas, y perdiéron la vida un niño, un</t>
  </si>
  <si>
    <t>franceses en aumentar las fortificaciones de la ciudadela de Alexandría. Dijon 2 de Diciembre. E I General Murat, que llegó aquí el 25 por la noche, pasó la mañana siguiente revista á la brigada del General Sarrazin, la qual en número de 8 batallones ha marchado en dos colunas hacia Chamberí</t>
  </si>
  <si>
    <t>Múreos Sanz</t>
  </si>
  <si>
    <t>entonces de 200 ducados de vn. al año: para otra titular del mismo convento, vacante por muerte de D. Múreos Sanz, á Don Domingo Andrés, Capellán de altar, músico de voz Contralto de la propia capilla ; y para una Capellanía del Real convento de Carmelitas descalzas de Santa Teresa de Madrid,</t>
  </si>
  <si>
    <t>Muros, Bernardo</t>
  </si>
  <si>
    <t>Bernardo Muros</t>
  </si>
  <si>
    <t>ta resulta al Teniente de granaderos D. Pedro Man^ rique; la Tenencia de granaderos al de fusileros D. Bernardo Muros; la de fusileros al Subteniente D. Manuel Verdes, y Subtenencias de bandera á los Cadetes D. Juan Miguel de la Romana y D. Manuel Aldao. En el cuerpo veterano de infantería de Cum</t>
  </si>
  <si>
    <t>Murray</t>
  </si>
  <si>
    <t>l Ministro de Hacienda varios dependientes de este ramo. . . _ . Acaba de llegar de Holanda á París Mr. Murray, uno de los 3 Enviados nombrados por los Estados-Unidos para tratar con el gobierno trances. Los otros dos están en camino» y no tardaran en llegar. ^ Milán 5 de Febrero. VJran nú</t>
  </si>
  <si>
    <t>2)4.................................4 de Mr. Murray, que ha ido corno Ministro á París. De las guardias nacionales holandesas se sacarán 10© hombres para formar un cuerpo de tropas de línea. El total de las señaladas para defender</t>
  </si>
  <si>
    <t>á París Mrs. Elwort y David, Comisarios ó Ministros de los Estados americanos, que se reunirán con Mr. Murray para entablar negociaciones con el ministerio francés, á fin de restablecer la armonía y buena inteligencia entre las dos Repúblicas. Mr. Murray ha tenido ya audiencia del ciud. T</t>
  </si>
  <si>
    <t>e el convenio firmado el dia i«° sirviese de basa á una amistad perpetua entre Francia y América; y Mr. Murray añadió que los Ministros americanos nada omitirían para conseguir este objeto. El primer Cónsul respondió que ajustadas las diferencias que se habían movido , no debía quedar mas</t>
  </si>
  <si>
    <t>e han preso varios italianos: un© de ellos era el ex-Duque Bonelli; pero ya se le ha dado libertad. Mr. Murray, uno de los tres Plenipotenciarios americanos que firmaron el ultimo ajuste con la República francesa, ha salido de aquí para el Haya* en donde es Ministro de los Estados-Unidos.</t>
  </si>
  <si>
    <t>Murray, Capitán</t>
  </si>
  <si>
    <t>Capitán Murray</t>
  </si>
  <si>
    <t>nes británicas empleadas en el tráfico de negros. La fragata anglo-americana llamada la Insurgente, Capitán Murray, es el primer buque de guerra de aquella nación que ha venido á cruzar en los maree de Europa para proteger el comercio marítimo de los Estados-Unidos. Cruzó algún tiempo á la alt</t>
  </si>
  <si>
    <t>Murray, Coronel</t>
  </si>
  <si>
    <t>Coronel Murray</t>
  </si>
  <si>
    <t>una gazeta de Londres, refiriéndose á cartas de Turquía, qué los ingleses mandados por el Teniente Coronel Murray se han hecho dueños de Suez: que Mr. Sidney Smith tuvo de oficio este aviso, y lo comunicó á Constantinopla por el conducto del Cónsul ingles que reside en Chipre. Añaden que Mr.</t>
  </si>
  <si>
    <t>ha salido de Rhódas para volver á Alexandría.—.También se ¿segura que los ingleses mancados p7ór el Coronel Murray han abandonado’á Suez retirándose á Coschir.: Hambiitgo 28 He Julio. E ! • • I Rey de Sueciát ha salido dré: la isla de Rugen para restituirse á Stockolmo. En el discurso del año</t>
  </si>
  <si>
    <t>Mussing-Pusching, Almirante</t>
  </si>
  <si>
    <t>Almirante Mussing-Pusching</t>
  </si>
  <si>
    <t>Julio* A __ causa de algunos desordenes que reynaban en la esquadra del Báltico ha sido depuesto el Almirante Mussing-Pusching que la mandaba: le reemr plaza interinamente el Almirante Sporidonow, hasta que el Vice-Almirante Muckarow llegue á encargarse del mando. Ha nombrado S. M. Imperial al Conde de La</t>
  </si>
  <si>
    <t>Mutat, General</t>
  </si>
  <si>
    <t>General Mutat</t>
  </si>
  <si>
    <t>tre Beauváis y Amrens un campamento, en el qual se ejercitarán freqiientemente baxo las ordenes del General Mutat, ^ El^nadoía"elegido'para Senador al General Vaubofc, comandante de Malta, propuesto po? el primer Cónsul. El cuerpo legislativo haba pror puesto al ciud. Vacher-, y el Tribunado</t>
  </si>
  <si>
    <t>Muxic'a, Marcelina</t>
  </si>
  <si>
    <t>Marcelina Muxic'a</t>
  </si>
  <si>
    <t>eph de Garagorri, de Cádiz, un vale de 130 pesos, .núm 322,069, creación de 13 de Marzo, endosado á Doña Marcelina Muxic'a, de S. SebavStian; y habiéndose extraviado, -quien le tuviere le entregará' en Madrid á los Sres. Miquelitorena 'hermanos: en Cádiz á D. Juan Joseph deTriarte, ó ~e¡r S. Sebastian</t>
  </si>
  <si>
    <t>Muzquiz, Ignacio</t>
  </si>
  <si>
    <t>Ignacio Muzquiz</t>
  </si>
  <si>
    <t>inistro de Relaciones exteriores los fue presentando separadamente al primer Cónsul por este orden; D. Ignacio Muzquiz, Embaxador de España; Barón de SandozRollin, Ministro plenipotenciario de Prusia: ciud. Justiniani, Embaxador</t>
  </si>
  <si>
    <t>Nadal, Bernardo</t>
  </si>
  <si>
    <t>Bernardo Nadal</t>
  </si>
  <si>
    <t>eren aprobados en el examen, se distribuirán 500 rs. en 14 premios, que ofrece costear el limo. Sr. D. Bernardo Nadal, Obispo de esta diócesis, protector de dichas escuelas. Agricultura. * 300 rs. al autor de la memoria que mejor demuestre la obligación que tiene el labrador propietario de dar el</t>
  </si>
  <si>
    <t>Nadal, Juan</t>
  </si>
  <si>
    <t>Juan Nadal</t>
  </si>
  <si>
    <t>iento de Tarragona..................... ............ ......... 1.59. 2. Otro... Juan Nadal, hijo de otro y Antonia, natural de Validara,-Corregimiento de Montbíanch....................... 12S. 13. •Francisco Rosello j-hijo deAldxd y'Mag^.íleh^L, natural de Ciutadilláy'ÓóVregi</t>
  </si>
  <si>
    <t>Naharro, Gregorio Pedro</t>
  </si>
  <si>
    <t>Gregorio Pedro Naharro</t>
  </si>
  <si>
    <t>a; ésta resulta al Subteniente de fusileros D. Julián López de Lizaga, y Subtenencia de fusileros á D. Gregorio Pedro Naharro: en el de León Compañía de fusileros al Teniente de granaderos D. Antonio Castañcn; su resulta á • D. Francisco García Bernaldo, Teniente de fusileros; Tenencia de está clase al S</t>
  </si>
  <si>
    <t>Nais, Juan Alexandro</t>
  </si>
  <si>
    <t>Juan Alexandro Nais</t>
  </si>
  <si>
    <t>nueve primeras épocas de la historia antigua, baxo la dirección del profesor de geografía histórica D. Juan Alexandro Nais, los alumnos del primer curso de esta facultad D. Luis Mornard, D. Felipe Fernandez San Miguel, D. Claudio Fernandez, D. Francisco Prendes y D. Francisco Xavier Olarria. 6.° En la</t>
  </si>
  <si>
    <t>Narciso Clos</t>
  </si>
  <si>
    <t>Fornells , Corregimiento de Manresa................................... 4j. I2. Narciso Clos, hijo de Esteban y Claudia, natural de San Julián, Corregimiento de Gerona.................................. ^ Francisco Ribas, hijo de Prospero y Rosa , natural de AÍcubé, Corregimient</t>
  </si>
  <si>
    <t>Narciso Plandolit</t>
  </si>
  <si>
    <t>de S» Gil. D. Angel González de Villanueva, de Cádiz, remitió el 13 de Diciembre ultimo á los Sres D. Narciso Plandolit é hijo, de Barcelona, un vale Real de 600 pesos, núm. 306,143, y dos de igo pesos, números *33,331 y 175,418* todos de la creación, de ig de Marzo; y no habiéndolos recibido los i</t>
  </si>
  <si>
    <t>halla# D. Miguel Merino y Zaldo , de Cádiz , remitió el 11 de Julio último , con endoso á favor de D. Narciso Plandolit é hijo, de Barcelona, tres vales Reales de 600 peses , creación de Setiembre, números 134,374, 141,043 ; 142,344, y uno de 1 $0 pesos , de la de Marzo , núm. 347,301 : y habiéndos</t>
  </si>
  <si>
    <t>Narciso Soto</t>
  </si>
  <si>
    <t>neficio de la catedral de Plasencia, que se titula Mejorado Compañero, vacante por fallecimiento de D. Narciso Soto, á D. Francisco Xavier Pizarro, con la obiiga.cion de residencia que tiene anexa; y para la Prestamera de la Mitacion de Locches de Cañete y de Paterna, obispado de Córdoba, vacan</t>
  </si>
  <si>
    <t>Nares, Domingo</t>
  </si>
  <si>
    <t>Domingo Nares</t>
  </si>
  <si>
    <t>do de Capitán, y D. Joseph Antonio Cebollino; a segundos Tenientes de granaderos X los de fusileros D. Domingo Nares , D. Antonio Martin Perez y D. Félix. Liorens; X segundos Tenientes á los Subtenientes de granaderos D. Francisco Jlodriguez, 1). Christóbal Morte, graduado de Teniente, y D. Blas</t>
  </si>
  <si>
    <t>Narganes, Juan María</t>
  </si>
  <si>
    <t>Juan María Narganes</t>
  </si>
  <si>
    <t>al Subteniente de granaderos D. Santiago Lorenzo; á Subteniente de granaderos al primer Subteniente D. Juan María Narganes; á primeros Subtenientes á los segundos D. Joachín Buil, D. Olaguer i omas Aloy, D. Carlos Stonor, Don Felipe Ancora y D. Benito Albiny; y á segundos Subtenientes á los Cadetes D.</t>
  </si>
  <si>
    <t>Narvaez y Chacón, Bartolomé</t>
  </si>
  <si>
    <t>Bartolomé Narvaez y Chacón</t>
  </si>
  <si>
    <t>Intendente honorario de provincia. El Rey ha nombrado Coronel del regimiento provincial de Málaga á D. Bartolomé Narvaez y Chacón, Teniente Coronel graduado de infantería, y efectivo del propio cuerpo; y ha promovido en el mismo á Capitanes de fusileros á los Tenientes D. Ramón García y D. Francisco de Gamez</t>
  </si>
  <si>
    <t>Narvaez, Antonio</t>
  </si>
  <si>
    <t>Antonio Narvaez</t>
  </si>
  <si>
    <t>i primer Subteniente D. Francisco de Paula Purcell: en el de Aragón á segundo Subteniente al Cadete D. Antonio Narvaez: eñ el de Extremadura á Ayudante al primer Teniente D. Antonio Falcon : en el de Málaga á segundo Subteniente al Cadete D. Antonio Pacheco : en el de Voluntario* de Castilla á Ayu</t>
  </si>
  <si>
    <t>Narvarte, Joseph Joachín</t>
  </si>
  <si>
    <t>Joseph Joachín Narvarte</t>
  </si>
  <si>
    <t>do Teniente del de infantería de Córdoba D. Vicente de Oquendo; á primeros Tenientes á los segundos D. Joseph Joachin Narvarte, D. Joseph Alemany, D. Joachin Ruil y D. Manuel Casal y Varela, y á segundos Tenientes á los Subtenientes D. Nicolás Godet , D. Joseph Hontoria , D. Fermín Sánchez Franco, D. Teod</t>
  </si>
  <si>
    <t>Naselii, Diego</t>
  </si>
  <si>
    <t>Diego Naselii</t>
  </si>
  <si>
    <t>las tropas toscanas. Roma 28 de Junio. C on motivo de la próxima venida del Sto. Padre ha publicado D. Diego Naselii, comandante de esta plaza, una proclama concebida en estos términos: ,,Ya llegó, romanos, el momento tan deseado por mi magnánimo y piadoso Soberano Fernando IV , Rey de Jas Dos S</t>
  </si>
  <si>
    <t>Nash, Capitán</t>
  </si>
  <si>
    <t>Capitán Nash</t>
  </si>
  <si>
    <t>ca con 5 brazas de agua en cada lado, en la qual tocó el 28 de Junio por la noche el navio Cartier, Capitán Nash, que venia á Londres, y entró de arribada en la isla de Sta. Elena. Haya 14 de Setiembre. L „a. media brigada ruím. 27 y el regimiento de dragones 16, que teriian orden de ir al e</t>
  </si>
  <si>
    <t>Natalia Alexandrowna, Princesa</t>
  </si>
  <si>
    <t>Princesa Natalia Alexandrowna</t>
  </si>
  <si>
    <t>ta de esta corte se han publicado hoy dos cartas muy honor: iícas del Emperador, dirigidas una á la Princesa Natalia Alexandrowna, por haber establecido en el gobierno de Casan una fabrica de paños excelentes para uso de las tropas y de los vasallos de S. M-; y la otra al Conde Rastoposchin, Director de corr</t>
  </si>
  <si>
    <t>Natalio Colmenares y Modoya, Manuel</t>
  </si>
  <si>
    <t>Manuel Natalio Colmenares y Modoya</t>
  </si>
  <si>
    <t>3*íálagá , VallacJolíd j^Granacla. y Rónda Subtenencias de bandera al Cadete D. Francisco Bueno, D. Manuel Natalio Colmenares y Modoya, D. Joseph del Pulgar y Varo y D. Francisco de Silva Berlanga y Tordesilías. También ha nombrado S. M. Teniente de las milicias urbanas de Tarifa á D. Felipe de Prado, Subteniente</t>
  </si>
  <si>
    <t>Nathaniel Hone</t>
  </si>
  <si>
    <t>eses anuales á 19.813,569. El Lord Corregidor, el Ayuntamiento y la Ciudad de Dublin han nombrado á Mr. Nathaniel Hone para presentar al Rey un recurso contra la unión dé Irlanda é Inglaterra. Haya 2% de Abril. E n las dos Cámaras del Cuerpo legislativo se celebrará mañana el segundo cumpleaños de</t>
  </si>
  <si>
    <t>Nauendorf</t>
  </si>
  <si>
    <t>. En conseqiiencia estaba resuelto á reforzar al dia siguiente con una división entera el cuerpo de Mr. Nauendorf, y encargarle reconociese con exactitud la situación y las fuerzas de los enemigos. Se esperan noticias sobre todo esto.” Aitgsburgo J 2 de Majto. A ntes de ayer llegaron á esta c</t>
  </si>
  <si>
    <t>Nauendorf, Feld-Mariscal</t>
  </si>
  <si>
    <t>Feld-Mariscal Nauendorf</t>
  </si>
  <si>
    <t>no interrumpida, mandó apostar las tropas en Engen, donde acamparon el 2 por la tarde, antes que el Feld-Mariscal Nauendorf se hubiese apostado en Wclsch-Engen, y hubiese enviado por la derecha las brigadas reforzadas del Archiduque Lernando y del General Conde de Guilay, para oponerse á la coluna enem</t>
  </si>
  <si>
    <t>Nauendorf, General</t>
  </si>
  <si>
    <t>General Nauendorf</t>
  </si>
  <si>
    <t>rck. El Archiduque Carlos se halla en Donaueschingen, que es el punto medio de la línea militar- El General Nauendorf manda el centro, el qual se extiende hacia Basilea. No léjos de allí se halla el cuerpo del General Meerfeld,que observa á Kell y á Brisac: su quartel general está en Olfemburgo.</t>
  </si>
  <si>
    <t>cito francés se hallaba en buena situación á la orilla del Vertach, entre Turkheim y Mindelheim. El General Nauendorf, que manda el centro del exército austriaco, tenia su quartei en Donawert, y el General Kray había vuelto á Ulm con gran parte de sus tropas. El General Moreau estaba todavía en M</t>
  </si>
  <si>
    <t>rdhngen. El principal objeto del General austríaco es restablecer su comunicación con el cuerpo del General Nauendorf. Se han retirado todos los destacamentos austríacos que recorrían el Briagaw y los países de Furstemberg, Huchingen y Wurtemberg. • El exército francés que se forma, en Maguncia r</t>
  </si>
  <si>
    <t>Nauendorff</t>
  </si>
  <si>
    <t>ierda, al mando de Mr. Staray se ha colocado en Newburgo de Baviera: el centro, baxo las órdenes de Mr. Nauendorff, en Donawert; y la derecha, mandada por el Archiduque Fernando, en los contornos de Ulm. Anoche Uc-Ó aquí el General Sainte-Suzanne con sus Ayudantes. También han venido los Gener</t>
  </si>
  <si>
    <t>NauendoríT, General</t>
  </si>
  <si>
    <t>General NauendoríT</t>
  </si>
  <si>
    <t>rma en sus qu-arteles de invierno una línea desde Lindau hasta Coira y Dissentis, a las órdenes del General NauendoríT.__ En Manheim quedan solamente algunas tropas ligeras; y se han derribado ya casi todas las fortificaciones de aquella plaza. Los rusos prosiguen marchando por Bohemia, de donde p</t>
  </si>
  <si>
    <t>Nauhendorf</t>
  </si>
  <si>
    <t>a el centro; y el Príncipe Fernando el ala izquierda. Este General qued ba apostado delante de Ulm, Mr. Nauhendorf en Elchingen ,y Mr.Staray entre Burgau y Gunzburgo. En efta última ciudad se halla el cuerpo del Príncipe Hoítenlohe, y en Zwifalten el del General Frenel, el qual nuntiui: libre Ja</t>
  </si>
  <si>
    <t>Nauheoiorí, General</t>
  </si>
  <si>
    <t>General Nauheoiorí</t>
  </si>
  <si>
    <t>el ala izquierda austríaca, la qual se ha reforzado con tropas de Wnrtcmberg y bavaro-paiatinas: el General Nauheoiorí manda el centro; y el Príncipe Fernando el ala izquierda. Este General qued ba apostado delante de Ulm, Mr. Nauhendorf en Elchingen ,y Mr.Staray entre Burgau y Gunzburgo. En efta</t>
  </si>
  <si>
    <t>Naulart, Francisco</t>
  </si>
  <si>
    <t>Francisco Naulart</t>
  </si>
  <si>
    <t>ente se ha servido S. M. conferir el empleo de Oficial sexuado de las Caxas Reales de Guadalaxara á D. Francisco Naulart. ° Quien hubiese perdido dos vales Reales de i$o pesos , acudirá á la calle del Duque de Alba , casa n. 7 , quarto principal, y se preguntará por Bonifacia Ballesteros , y dando l</t>
  </si>
  <si>
    <t>Navacerrada, Joseph</t>
  </si>
  <si>
    <t>Joseph Navacerrada</t>
  </si>
  <si>
    <t>Reales Guardias Españolas se ha servido el Rey promover á segundo Teniente al Alférez de cazadores D. Joseph Navacerrada: en el de infantería de Africa á primer Subteniente al segundo Don Joseph León de Segrí: en el de Soria á Ayudante al primer Teniente Don Jacobo Oliva: en el de Córdoba á primeros</t>
  </si>
  <si>
    <t>Naval, Juan</t>
  </si>
  <si>
    <t>Juan Naval</t>
  </si>
  <si>
    <t>las vías de la orina, en el que se manifiestan los mas bellos y mas modernos descubrimientos : por D. Juan Naval, Medico de familia de S. M. &amp;c. a tomos en 8.° Esta obra reúne quanto se ha escrito en nuestros dias sobre estas enfermedades , y lo que se ha adelantado con la observación médica</t>
  </si>
  <si>
    <t>Navarro y Azcutia, Vicente</t>
  </si>
  <si>
    <t>Vicente Navarro y Azcutia</t>
  </si>
  <si>
    <t>o:-«para el Beneficio simple deFeman-Nuñez, en la diócesis de Córdoba, vacante por fallecimiento de D. Vicente Navarro y Azcutia, á D. Mateo Navarro y Villafañe: para el Beneñcio llamado de Compañía antiguó, vacante*en la catedral de Plasencia por fallecimiento de D; Antonio-Andrés Perez, á Dv Manuel Callej</t>
  </si>
  <si>
    <t>Navarro y Joseph Álvarez Campana, Domingo</t>
  </si>
  <si>
    <t>Domingo Navarro y Joseph Álvarez Campana</t>
  </si>
  <si>
    <t>miento de infantería de Córdoba se ha servido el Rey promover á segundos Subtenientes á los Cadetes D. Domingo Navarro y Don Joseph Alvarez Campana: en el de Valencia’á segundo Subteniente al Sargento primero de granaderos D. Santiago Ochoa: en el de Toledo á Teniente Coronel al Coronel agregado al del Príncipe Duque de Sotom</t>
  </si>
  <si>
    <t>Navarro y Vida, Joseph</t>
  </si>
  <si>
    <t>Joseph Navarro y Vida</t>
  </si>
  <si>
    <t>incas, y £ cada una particularmente, acuda en el término de 30 dias al Juzgado de provincia del Sr. D. Joseph Navarro y Vida! , del Consejo de S. M. su Alcalde de casa y corte, i quien está .cometida dicha Real facultad , y escribanía de D. Pedro de Valladares, que se instruirá £ los postores de los apr</t>
  </si>
  <si>
    <t>Navarro y Vidal, Joseph</t>
  </si>
  <si>
    <t>Joseph Navarro y Vidal</t>
  </si>
  <si>
    <t>a hecho postura en 3.800^ rs. Quién quisiere hacer mejora acuda ante el Sr. Alcalde de casa y corte D. Joseph Navarro y Vidal, por la escribanía de provincia de D. Pedro de Valladares , que se admitirán las que $e hicieren, Están señalados los remates de dos casas, sitas la una en la carrera de S. Geróni</t>
  </si>
  <si>
    <t>,800, está hecha postura en ».8oo&amp;-rs., y para su remate ha señalado el Sr. Alcalde de casa y corte D. Joseph Navarro y Vidal el dia 22 de Marzo á la hora de las 12 en la escribanía de provincia de D. Pedro de Valladares. Eí partido de Médico titular de Ja villa de Ajalvir , partido de la ciudad de Alcalá</t>
  </si>
  <si>
    <t>ráron «1 14 de Febrero ultimo los acreedores a la quiebra de 3&gt;. Tuan Llaguno, presidida por el Sr. D. Joseph Navarro y Vidal , del Consejo de S. M., su Alcalde de Gasa y Corte, . ' , . ^ 11 '/ ÍM Pedro de Valladáres, se acordó hacer distribución y repartimiento sueldo a libra de las cantidades existente</t>
  </si>
  <si>
    <t>uad á lo inénos de su tasación $ y así quien quisiere comprar en ella dicha casa, acuda ante el Sr. D. Joseph Navarro y Vidal, del Consejo de S. M. , su Alcalde de Casa y Corte, por la escribanía de Provincia de D. Pedro de Valladáres en el término de dias. Para el remate de una casa, sita en esta corte</t>
  </si>
  <si>
    <t>dores á la quiebra de D. Juan Bautista de Montaldi, y de los Síndicos de ella, de que conoce el Sr. D. Joseph Navarro y Vidal, del Consejo de S. M. , su Alcaide de casa y corte por la escribanía de provincia de B. Pedro de Vall&amp;dáres, se ha señalado¡ para junta general el dia 16 de Enero de 1801 á las p</t>
  </si>
  <si>
    <t>Navarro y Villafañe, Mateo</t>
  </si>
  <si>
    <t>Mateo Navarro y Villafañe</t>
  </si>
  <si>
    <t>eman-Nuñez, en la diócesis de Córdoba, vacante por fallecimiento de D. Vicente Navarro y Azcutia, á D. Mateo Navarro y Villafañe: para el Beneñcio llamado de Compañía antiguó, vacante*en la catedral de Plasencia por fallecimiento de D; Antonio-Andrés Perez, á Dv Manuel Callejas; y para el Mcdio^-Présta— mo</t>
  </si>
  <si>
    <t>Navarro, Benito</t>
  </si>
  <si>
    <t>Benito Navarro</t>
  </si>
  <si>
    <t>Setiembre, núm. 181,311, endosado’ á dichb sugéro. Quien supiere ctééf lo re ña i ti rá al ’nfismo D. Benito Navarro, Ó en está corte ¿ D. Saritós Grtiz, én la tienda dé las covachuelas de S. Felipe el Real donde íé venden las munícionés. Ritos y ceremonias de los hebreos confutados: escritos en</t>
  </si>
  <si>
    <t>Navarro, Henrique</t>
  </si>
  <si>
    <t>Henrique Navarro</t>
  </si>
  <si>
    <t>Mateo Anduaga, Gobernador del castillo de Sta. Cruz de h Mota; y al Coronel D. Henrique Navarro, Teniente Coronel de artillería, y Comandante de la de la plaza, privación de sus empleos, y que se les recojan los Reales despachos que tengan. Al difunto Teniente Coronel y Comandante de</t>
  </si>
  <si>
    <t>Navarro, Joachín</t>
  </si>
  <si>
    <t>Joachín Navarro</t>
  </si>
  <si>
    <t>D. Nicolás Ortuño; á primeros Subtenientes X los segundos D. Joseph Fransoy, D. Francisco Gallardo, Don Joachin Navarro, D. Joseph Mancha y D. Christóbal Aguilar, y á segundos Subtenientes á los Sargentos primeros D. Antonio Merlo y D. Miguel Márquez, y á los Cadetes D. Joseph Rodríguez y D. Joseph</t>
  </si>
  <si>
    <t>Navarro, Joseph</t>
  </si>
  <si>
    <t>Joseph Navarro</t>
  </si>
  <si>
    <t>eficio simple de la parroquial de Torre Campo, en la diócesis de Jaén, vacante por fallecimiento de D. Joseph Navarro, á D. Atanasio de Salcedo: para otro simple servidero de la parroquia de San Juan de la villa de Arjona, en la misma diócesis de Jaén , vacante por fallecimiento de D. Diego Ximen</t>
  </si>
  <si>
    <t>egar al referido Ramón Sendros. Y habiéndose extraviado, quien supiere de ellos avisará en Madrid á D. Joseph Navarro, calle de la Cruz, núm. 2; en Barcelona á Joseph Sendros, Plaza del Angel j en Agramunt á Ramón Sendros, ó en Balaguer á D. Pedro Morros. Para el remate de la dehesa y término de</t>
  </si>
  <si>
    <t>Navarro, Juan Dionisio</t>
  </si>
  <si>
    <t>Juan Dionisio Navarro</t>
  </si>
  <si>
    <t>nmediata al pueblo, de &lt;5 cel. en goo. Una viña en Trasbogon , de 3 aranzadas , en 2400. Memoria de D. Juan Dionisio Navarro: una;tierra camino de Humanes, de 9 fanegas y 9 celemines, tasada en 4875 rs. Otra id» de Madrid , de 3 fan. en 1500»</t>
  </si>
  <si>
    <t>Navarro, Manuel</t>
  </si>
  <si>
    <t>Manuel Navarro</t>
  </si>
  <si>
    <t>stórico y político de Octubre se hallará en el despacho de la imprenta Real ; y en Cádiz en casa de D. Manuel Navarro. D. Frutos de Alvaro Benito, vecino y del comercio de esta corte, remitió el 37 de Enero á D. Jayme Cárlos Burguet, de Badajoz, 4 vales de óoo pesos, creación de Abril, números 33</t>
  </si>
  <si>
    <t>hallará en la librería de Alonso, frente á S. Felipe el Real. Plano en pliego de marca, grabado por D. Manuel Navarro, que representa la ciudad de Jerusalen y sus inmediaciones, según estaba en tiempo de nuestro Señor Jesuchristo , dividido en ayo números que señalan los principales legares y edi</t>
  </si>
  <si>
    <t>imprenta Real: en el Real sitio de‘ Aranjuez en casa de D. Antonio lVlasarnau ^ y en Cádiz en la de D. Manuel Navarro; A la casa que se dió noticia al público en las gazetas de 6 y 17 de Diciembre y de Enero, llamada de la Isla, sita en esta corte calle de la Puebla, que hace esquina y vuelve p¡o</t>
  </si>
  <si>
    <t>la imprenta Real: en el Real sitio de Aranjuez en casa de D. Anto.¡o Masarnau- V en Cádiz en la de D. Manuel Navarro. Para hacer mas instruc*io Masarnau, y oeriódicó se le dará otra forma en lo sucesivo , empetiyo y ... Ener&lt;) que va á publicarse. A mas del estado político de las n aciónes en ca</t>
  </si>
  <si>
    <t>ia imprenta Real : en el Real sitio de Aranjuez en casa de D. Antonio Masarnau; y en Cádiz en la de D. Manuel Navarro. Se desea saber el paradero de la viuda de Pedro Ventura; este murió habrá 10 años , habiendo pasado unos 6 en el término de Cañamás r obispado de Barcelona: quien sepa de ella le</t>
  </si>
  <si>
    <t>la imprenta Real; en el Real sitio de Aranjuez en casa de D. Antonio Masarnauj y en Cádiz en la de D. Manuel Navarro. A ;D. Pablo Le Roux, del comercio de Sevilla , se le han extraviado dos vrles Reales , el uno de 300 pesos, creación de 10 de Abril de 99 , núm. 438,510, endosado por D. Ventura</t>
  </si>
  <si>
    <t>a imprenta Real: en el Real sitio de Aranjuez en casa de I). Antonio Masarnauj y en Cádiz en la 13e D. Manuel Navarro,”.. Con fecha de 28 de Marzo último xémitieron los Sresl ílomero, hermanos y sobrino á D. Migtfel'Ruiz MóótenegVo, vecino de Villañuevá de la'Serena, un vale de 300 pesos dé í.° d</t>
  </si>
  <si>
    <t>renta Real, en el Real sitio de S. Ildefonso en casa de D. Antonio Masarnau, y fcn Cádiz en casa de D. Manuel Navarro* El 3$ de este mes por la mañana , desde la tesorería, por las Platerías, Plaza mayor hasta la calle del Lobo, se perdió un libramiento de la renta vitalicia de 1633 rs* a7 mrs.,</t>
  </si>
  <si>
    <t>enta Real, en el Rea4 sitio de S. Ildefonso en casa de D. Antonio ¡Vlasarnau, y en Cádiz en casa de D. Manuel Navarro. En la imprenta Real se halla de venta un considerable número de exerotúar«\s del Viage al mar pacífico del norte y al rededor del mundo , hecho en ios v. !.os de 1790 á 179$ por</t>
  </si>
  <si>
    <t>a imprenta Real, en el Real sitio de S. Lorenzo en casa de D. Antonio Masarnau, y en Cádiz en la de D. Manuel Navarro. Los subscriptores á la Apología de la Teología escolástica del R. P. Castro* que no hubiesen recogido los últimos tomos, acudirán á recogerlos á la librería de Millana, junto al</t>
  </si>
  <si>
    <t>imprenta Real, en el Real sitio de S. Lorenzo en casa ele i). Antonio Masarnau,y en Cádiz en la de D. Manuel Navarro. Real cédula de S. M. y Sres. del Consejo, por la qual se establecen las reglas que deben observarse en la extracción de los reos que Se refugiasen á sagrado, y en la formación y</t>
  </si>
  <si>
    <t>Navarro, Miguel</t>
  </si>
  <si>
    <t>Miguel Navarro</t>
  </si>
  <si>
    <t>acna : en el de España á Alférez ai Portaestandarte D. Pedro Casasola; y á esta resulta al Sargento D. Miguel Navarro: en el de Adgarbe á primer Teniente al segundo D, Joseph Manuel de Cárdenas: en el de Calatrava á Capitán al agregado en esta clase al de caballería de la costa de Granada, gradua</t>
  </si>
  <si>
    <t>Navarro, Tomás</t>
  </si>
  <si>
    <t>Tomás Navarro</t>
  </si>
  <si>
    <t>de milicias urbanas de dragones de la Victoria de los valles de Acarí y Chala á Teniente al Alférez D. Tomas Navarro. En cumplimiento de lo resuelto por S. M., y comunicado de su Real orden en 9 de Julio de 1796 por el Exc. Sr. D. Diego de Gardoqui á la Dirección general de la Renta de la Loterí</t>
  </si>
  <si>
    <t>NávarrOjVécino, Benito</t>
  </si>
  <si>
    <t>Benito NávarrOjVécino</t>
  </si>
  <si>
    <t>ómez del Castillo ¿ calle de la Concepción Gerónima , casas de'Santo Tomas, miar. 4 ¡ «juarto 3.0 A D. Benito NávarrOjVécino de la ciudad dé/'Viáñ'a énr el Ré^ho de Navarra , se le ha extraviado un vale Rea! dé 13b pesos , éréáiéiotrde 13 dé Setiembre, núm. 181,311, endosado’ á dichb sugéro. Quien supiere cté</t>
  </si>
  <si>
    <t>Navia y Bolaño, Joseph</t>
  </si>
  <si>
    <t>Joseph Navia y Bolaño</t>
  </si>
  <si>
    <t>istoria política y literaria de Grecia, escrita.en italiano por el Abate De-v nina, y traducida por D. Joseph Navia y Bolaño , Alcalde del Crimen de la Chancillería de Valladolid ; 4 tomos en 4.0 No podía escogerse asunto mas digno de buena pluma , que la historia de una nación heroyea , política , guer</t>
  </si>
  <si>
    <t>Ndoy, Capitán</t>
  </si>
  <si>
    <t>Capitán Ndoy</t>
  </si>
  <si>
    <t>sido muy censurada .en su pais. : t f- . b &lt; Haya 23 de Octubre. L a galera denominada Prcvoyance, Capitán Ndoy, y la cañonera Víbora salieron de Deifryl en busca de un cuten.ingles de 18 cañones : le akanz-áron ei dia *3, y al cabo de tres quartos de hora de combate ló apresaron al abordag</t>
  </si>
  <si>
    <t>Necker</t>
  </si>
  <si>
    <t>esta ciudad y ha revistado las tropas de caballería. Mientras se detuvo en Ginebra fue á visitarle Mr. Necker, y tuvieron una larga conferencia. El exército de reserva mandado por Berthier prosigue su marcha- Tres divisiones han ido-al Valais: la de Watrin ha pasado el monte de S. Bernard</t>
  </si>
  <si>
    <t>La literatura considerada en sus relaciones con la política; por Madama de Stael-Holstein, hija de Mr. Necker, y esposa del Embaxador de Suecia que fué en París, la qual ha publicado ya otras obras. Un oficial de marina, que estaba en Tolon y necesitaba venir á París, no pudiendo costear</t>
  </si>
  <si>
    <t>Necochea, Francisco</t>
  </si>
  <si>
    <t>Francisco Necochea</t>
  </si>
  <si>
    <t>s. En rudimentos de latinidad, baxo la dirección de su maestro D. Andrés Bestigui, los seminaristas D. Francisco Necochea, D. Pedro Goossens, D. Joseph Fermín Cia, D. Joseph María Cia, D. Pedro Tavira, D. Rodrigo Tavira, D. Raymundo Cia, D. Joseph de Arellano y D. Joacliín Fernandez de Medrano. En si</t>
  </si>
  <si>
    <t>Negrete, Francisco Xavier</t>
  </si>
  <si>
    <t>Francisco Xavier Negrete</t>
  </si>
  <si>
    <t>artida la necesaria para el servicio corriente. EL Comandante general interino del Reyno de Galicia Don Francisco Xavier Negrete reforzó inmediatamente la guarnición de la plaza con un batallón del regimiento de Africa, y otro del de voluntarios de Aragón, ascendiendo el total de aquella con este aumento á</t>
  </si>
  <si>
    <t>Negrete, María</t>
  </si>
  <si>
    <t>María Negrete</t>
  </si>
  <si>
    <t>tes de Doña María Antonia Sumbo^ hija de D, Domingo , natural qué fué de Ja ciudad de Ñipóles, y de Doña María Negrete , que lo fué de Cor— f deña , viuda en primeras nupcias de D. .Nicolás Carrion , y en segundas de D09 Juan'de, Alcaraz , que murió en Cartagena , ocurrirán dentro de un afio ,á la</t>
  </si>
  <si>
    <t>Nelson, Almirante</t>
  </si>
  <si>
    <t>Almirante Nelson</t>
  </si>
  <si>
    <t>forzar la ekpiadra dei Lord S- Vicente.. Parece que también se enviarán refuerzos á la que manda el Almirante Nelson para que haga una expedición contra Malta. A 30© personas asciende el número de prisioneros franceses de todas clases que hay en Inglaterra; y como es excesiva este año la escasez</t>
  </si>
  <si>
    <t>ncés embarcado en Alexandría ha tocado en Sicilia. Otros avisos recientes de Mesina expresan que el Almirante Nelson prosigue bloqueando estrechamente el puerto de Malta. El navio francés nombrado Guillermo-Tell, que después de la batalla de Abukir se refugió á Malta, ha salido de allí exponiénd</t>
  </si>
  <si>
    <t>qual ha venido la Reyna de Ñapóles con su familia y comitiva. Hallábase S. M. en ei navio del Vice-Almirante Nelson. A Roma llegó el dia 10 el Príncipe de. Belmente, que va á Petersburgo en calidad de Embaxador. dei Rey de Nápolcs. Asimismo ha nombrado M. siciliana al Duque de Mondragone por Em</t>
  </si>
  <si>
    <t>en lá esquadra del Canal , se presume que así que se ¡unten las esquadrás del Lord S. Vicente y del Almirante Nelson, intentarán alguna empresa contra la de Brest. Parece que dos holandeses no conseguirán libertad para hacer la pesca</t>
  </si>
  <si>
    <t>ruces, entre los quales se hallan el Emperador de Rusia, el Príncipe Real, el Príncipe Leopoldo, el Almirante Nelson, el Príncipe Suwarow, el General Acton, el Príncipe Belmonte-Pignateü, el Cardenal Ruffo &amp;c.; y entre los Comendadores el Conmodoro ingles Townbridge , el Capitán Hood„y otros. En</t>
  </si>
  <si>
    <t>hemia. Según avisos de Vióna la Reyna de Ñapóles llego á aquella capital el día 7, acompañándola el Almirante Nelson y el Conde Hainilton. u, Manheim 18 de Agosto. n destacamento de la guarnición francesa pasó ayer al palacio electoral, en que están las chancillerías, los archivos, la biblioteca , e</t>
  </si>
  <si>
    <t>sta ciudad un comisionado ingles, que compra grandes partidas de granos para enviar á Londres. ; El Almirante Nelson y el Lord Hámilton se detendrán aquí unos 15 dias. El Príncipe de Mecklemburgo, reciennacido y bautizado en Petersburgo, ha sido nombrado Capitán del regimiento de Guardias de aquel S</t>
  </si>
  <si>
    <t>do de aquí un correo á aquel Soberano» informándole de todo el suceso» y se esperaTsu respuesta. El Almirante Nelson y el caballero Hamilton con su esposa y familia se han embarcado hoy en el paquebot nombrado el Rey Jorge, con el qual se juntará en Cuxhaven una fragata que le irá escoltando hasta l</t>
  </si>
  <si>
    <t>Nelson, Lord</t>
  </si>
  <si>
    <t>Lord Nelson</t>
  </si>
  <si>
    <t>iesen, se acogió á la protección del xUmirante ingles Mitchel. Espérase en breve en esta capital ai Lord Nelson: ya se está disponiendo su casa, y se están concluyendo dos coches que ha encargado. No tardarán en embarcarse 6 regimientos para una expedición en el Mediterráneo, que se sospech</t>
  </si>
  <si>
    <t>a á quien los delate. En Roma se ha abierto una subscripción para erigir un monumento en 'honor del Lord Nelson, Duque de Brcnte y Barón del Nilo. En el Cabo de Bueña-Esperanza re 'pliso embargo en el me$; de - Seti’ém*bre á todas las embarcaciones neutrales,cuya salida se impidió á fin deq</t>
  </si>
  <si>
    <t>ien traen pliegos con la noticia de la capitulación del exército francés de Egipto.—-Por cartas del Lord Nelson, qüe el Almirantazgo recibió el mismo dia, se sabe que ha sido apresado el navio Generoso, que era el único de línea de la esquadra del Almirante Brueis que había vuelto á Francia</t>
  </si>
  <si>
    <t>8 en Torbay para reparar algunas averías que le han causado los recios temporales que ha habido. El Lord Nelson vuelve del Mediterráneo para mandar esta esquadra baxo las órdenes del Lord S. Vicente; y el Almirante Gardner mandará la que cruza en los mares de Irlanda. Se advierten nuevos pr</t>
  </si>
  <si>
    <t>ue se sepa el motivo. El Príncipe de Lichtenstein levanta á su costa un cuerpo de 800 hombres; y el Lord Nelson se ha encargado de mantener otro de 500 durante un año. Se asegura que la Reyna de Nápoles ha despachado un correo á Petersburgo, cuya respuesta espera con la mayor impaciencia. L</t>
  </si>
  <si>
    <t>vez dé volver por el Sund. Acaba de llegar á esta ciudad el Lprd Withworth. También han llegado el Lord Nelson y el Conde de Hamilton desde Viena. Pasáron por Praga, y se dice que no visitaron al Archiduque Carlos. E! Cónsul sueco en Trípoli ha escrito al Cónsul de la misma nación en Civitavec</t>
  </si>
  <si>
    <t>ugh de 74 cañones ha perecido en las costas de Francia'; pero toda la tripulación se salvó. Está el Lord Nelson nombrado para mandar el navio Namur de 98 cañones, del qual se trasladará al S. Joseph de 112 así que este se halle enteramente listo, y servirá baxo las órdenes del Almirante San</t>
  </si>
  <si>
    <t>Nepean</t>
  </si>
  <si>
    <t>n; de la de S. Alexandro Newski al Almirante ingles Mitchel, y de la de Sta. Ana de primera clase á Mr. Nepean, Secretario en xefe del Almirantazgo de Inglaterra. Stockolmo 3 de Diciembre. H a vuelto á esta capital el Duque de Sudermania, tio de S. M., que ha viajado por algunas provincias</t>
  </si>
  <si>
    <t>Neu</t>
  </si>
  <si>
    <t>Nevado, Joseph</t>
  </si>
  <si>
    <t>Joseph Nevado</t>
  </si>
  <si>
    <t>lta y D. Julián Zurita; á Subtenientes de granaderos á los primeros Subtenientes D. Félix Melendez, D. Joseph Nevado y D. Narciso González; á primeros Subtenientes á los segundos D. Josepn Villaescusa, D. Vicente Garrido , D. Gavino Martínez y D. Manuel Esquer; y á segundos Subtenientes á los Sargen</t>
  </si>
  <si>
    <t>Nevins, Capitán</t>
  </si>
  <si>
    <t>Capitán Nevins</t>
  </si>
  <si>
    <t>1226 heridos, incluso en estos el Capitán Nevins , con todas sus velas inutiliza»das y su xarcia rota: alaba en particular al Condestable Juan dé Rey, quien aunque le había entrado una bala de fusil por el lado de la tetilla izq</t>
  </si>
  <si>
    <t>Nevins, Carlos Diego</t>
  </si>
  <si>
    <t>Carlos Diego Nevins</t>
  </si>
  <si>
    <t>ado se nombra el Pasley , es de la marina Real británica, y estaba mandado por el Teniente de navio Mr. Carlos Diego Nevins: monta 18 cañones, con 5$ hombres de tripulación, y las correspondientes armas blancas y de chispa salió de Plimouth el 22 de Noviembre con pliegos de su gobierno para Gibraltar,</t>
  </si>
  <si>
    <t>Ney, General</t>
  </si>
  <si>
    <t>General Ney</t>
  </si>
  <si>
    <t>os y heridos, 3® prisioneros y 5 cañones. Al d ia siguiente una división del centro, mandada por el General Ney, persiguió vivamente al enemigo, y le cogió otros 1500 prisioneros.”---2.a carta. „ Pocos exemplós hay de una resistencia tan obstinada como la de los enemigos, y de una invasión</t>
  </si>
  <si>
    <t>eral Grenier, cuyo cuerpo ocupaba desde Illereicheim á Oberhott, le socorriese. En conscqiiencia el General Ney se adelantó por el puente de Kilmentz, y juntándose con las tropas del General Sahucf rechazó á los enemigos hasta Dictenheim. Apenas llegamos á esta aldea quando una crecida coto</t>
  </si>
  <si>
    <t>tes rechazados, y perdieron 200 hombres entre heridos’y muertos, y 150 prisioneíos. Lá división del General Ney, que iba‘4??de Os</t>
  </si>
  <si>
    <t>s desde Olfenbach hacia Seligenstatt, en la izquierda del Mein. Algunas partidas de la división del General Ney hacen incursiones en Franconia, en la Suabia-meridional y en el Palatinado-superior, y ponen muchas contribuciones. Una de dichas partidas ha ocupado áEiivangen, Hall y Gemuns, ad</t>
  </si>
  <si>
    <t>ral Grenier ha salido de Ratisbona para Straubing, en donde el General Legrand tiene su quartel. El General Ney, que ha sentado el suyo en Neuburgo, manda las tropas del bloqueo de Ingolstadt. Muchos pueblos de Alemania se quejan del armisticio por las grandes ventajas que proporciona á los</t>
  </si>
  <si>
    <t>Nicanor Ricaud</t>
  </si>
  <si>
    <t>nero. . ' En el de-caballería de Algarbe se ha servido S. M. promover también á Capitán al Ayudante D. Nicanor Ricaud: en el de Cahitrava á segundo Teniente al Alférez D. Antonio Arroyal ;y en el de Carabineros de la Reyna María Luisa á Sargento mayor al Capitán D. Mariano Merchante. gg ha servid</t>
  </si>
  <si>
    <t>NichoIIs</t>
  </si>
  <si>
    <t>e Cornwalla, y en algunas otras provincias: que se suspenda la destilación de granos &amp;c---- Observo Mr. NichoIIs que estos medios no le parecían proporcionados al mal, pues el año 1796 n® se pudo traer del Mediterráneo sino 36® sacos de trigo, y de América 462); y estas cantidades, aun quand</t>
  </si>
  <si>
    <t>Nicholls</t>
  </si>
  <si>
    <t>de que dichos comerciantes padeciesen grandísimas pérdidas.” Contestó Air. Pitt á todo quanto alegó Mr. Nicholls, y se aprobaron las resoluciones propuestas por la junta. Se ha publicado una experiencia hecha con el agua de salvado para amasar harina. Diez onzas de salvado hirvieron de i 5 á</t>
  </si>
  <si>
    <t>Nicolás</t>
  </si>
  <si>
    <t>Maestranza- de Valencia. Presidió el Director Marques de Valera, teniendo á su derecha al Exc. Sr. D. Nicolás de. Arredondo, Capitán general de este Reyno, y asistiendo los demas Xefes, Ministros de los tribunales, nobleza, estado eclesiástico y comercio, quien con muchos individuos de otras</t>
  </si>
  <si>
    <t>Nicoletti, General</t>
  </si>
  <si>
    <t>General Nicoletti</t>
  </si>
  <si>
    <t>macenes; y en Peschiera se trabaja con la mayor actividad á fin de aumentar sus fortificaciones. El General Nicoletti, que fue comandante de Milán, está nombrado para mandar en Padua. Se asegura que el Lord Minto, Embaxador ingles, acaba de recibir de Constantinopla noticias muy desagradables par</t>
  </si>
  <si>
    <t>Niderberger, Joseph</t>
  </si>
  <si>
    <t>Joseph Niderberger</t>
  </si>
  <si>
    <t>g: en el de Yann á Ayudante al Teniente D. Jacobo Kaysser ; á Teniente al Subteniente de granaderos D. Joseph Niderberger; y á Subteniente de granaderos al de fusileros D. Remigio Kaysser; concediendo también grado de Capitán al Ayudante mas antiguo de este cuerpo D. Juan de Emneter ; y ha nombrado C</t>
  </si>
  <si>
    <t>Nieblas</t>
  </si>
  <si>
    <t>. M. ha conferido la compañía veterana de dragones fixa del presidio del Carmen al Teniente de ella D. Nieblas* Álvarez"Morigero;</t>
  </si>
  <si>
    <t>Nieblas de Arredondo</t>
  </si>
  <si>
    <t>la j usta consideración - que al Rey merécen losf dilatados buenos ser*? vicios y edad avanzada de D. Nieblas de Arredondo, haltenida á bien ex&amp;»(</t>
  </si>
  <si>
    <t>Niels Christenzen, Capitán</t>
  </si>
  <si>
    <t>Capitán Niels Christenzen</t>
  </si>
  <si>
    <t>mbden. El dia 16 apresaron también un barco de Noruega, que de Lisboa venia al Elba, mandado por el Capitán Niels Christenzen. Fué apresado cerca de la isla de Ameland, y enviado á Yarmouth. Ham burgo 20 de Agosto. S e ha esparcido 1^ voz de que 2 navios de línea rusos han llegado á Cuxhaven.__ Se asegur</t>
  </si>
  <si>
    <t>Nieto, Andrés</t>
  </si>
  <si>
    <t>Andrés Nieto</t>
  </si>
  <si>
    <t>-el de Alcántara al primer Teniente D. Andrés Carbonel; á Portaestandarte en el de España al Cadete D, Andrés Nieto; á Alférez en el de Calatrava al Portaestandarte D. Ramón Franch; á primer Teniente en el de Santiago al segundo D. Manuel Fernandez; á Alférez en el de Húsares al Cadete D. Josep</t>
  </si>
  <si>
    <t>Nieto, Antonio</t>
  </si>
  <si>
    <t>Antonio Nieto</t>
  </si>
  <si>
    <t>32 4 . rederos ó acreedores, los quales darán recibos auténticos. Se dirigirán á D. Antonio Nieto en Paiencia , Castilla la vieja. En la villa dei Campo de Criptana , provincia de la Mancha , se halla vacante la plaza de Médico titular de ella,que vale anualmente rs. que se dan</t>
  </si>
  <si>
    <t>Nieto, Bernardo</t>
  </si>
  <si>
    <t>Bernardo Nieto</t>
  </si>
  <si>
    <t>Saturnino Gil, al Teniente que ha sido del de Ciudad-Real D. Juan Joseph -Carneros y al Subteniente D. Bernardo Nieto, y á los Subtenientes D. Vicente Kindelán y Meneses, D. Joseph María Seguróla y D. Manuel Antonio Salaza*: Subtenencias de granaderos y cazadores en los de Valladolid y Compostela</t>
  </si>
  <si>
    <t>Nieto, Christóbal</t>
  </si>
  <si>
    <t>Christóbal Nieto</t>
  </si>
  <si>
    <t>el hospital y capilla de Santiago, tasada en 16,591 rs. Otra, calle Hernán Crespo, de la memoria de D. Christóbal Nieto , tasada en 17,176 rs. y renta 818. Unas casas en la Plaza de Arriba , de la obra pia que llaman del Beaterío para mugeres honradas, tasadas en 11,997 rs. Y rentan 690. Una haza d</t>
  </si>
  <si>
    <t>Nieto, Henrique</t>
  </si>
  <si>
    <t>Henrique Nieto</t>
  </si>
  <si>
    <t>antos niños de las escuelas de primeras letras establecidas por la sociedad á cargo de los maestros D. Henrique Nieto, D. Simón Hernández y D. Tomas López,, por haberse distinguido en leer., escribir ortografía y gramática castellana, contar y-doctrina christiana;; y se dieron otras dos medallas</t>
  </si>
  <si>
    <t>Nieto, Joseph</t>
  </si>
  <si>
    <t>Joseph Nieto</t>
  </si>
  <si>
    <t>niente de granaderos al de fusileros D. Martin Martínez; á primer Teniente al segundo de granaderos D. Joseph Nieto ; á esta resulta al segundo Teniente D. Joachin de Magarola; á segundo Teniente al Subteniente de granaderos D. Vicente Hernández; á Subteniente de granaderos al primer Subtenient</t>
  </si>
  <si>
    <t>Niou</t>
  </si>
  <si>
    <t>o, que fue Encargado de.Negocios en la corte de Berlín, y viene á reemplazar al ciud. Niou en calidad de Comisario para el cange de prisioneros, El Lord Guillermo Bentinck. y, ¡su hermano acaban de llegar del «onti- * nente, y traen, segim. se dice^ eL</t>
  </si>
  <si>
    <t>Nolasco Grimau, Pedro</t>
  </si>
  <si>
    <t>Pedro Nolasco Grimau</t>
  </si>
  <si>
    <t>iente de granaderos al de fusileros D. Francisco Bruno Muñoz , y i Subteniente de bandera al Cadete D. Pedro Nolasco Grimau: en el de México á Teniente Coronel al agregado en esta clase al mismo cuerpo, graduado de Coronel, D. Raymundo Andrés; á Sargento mayor al Capuan del de la Havana D. Manuel Remon</t>
  </si>
  <si>
    <t>NolascO, Pedro</t>
  </si>
  <si>
    <t>Pedro NolascO</t>
  </si>
  <si>
    <t>ademas algunas advertencias para ayudar á bien morir: dispuesto 'por el Dr. D. Pedro NolascO, Canónigo iectoral que fue de la santa Iglesia de Sigüenza: un tomo en 8.° de letra gruesa. Se hallará en la librería de Barco López, cálle de la Cruz. Lógica de Condillac; puesta en diálog</t>
  </si>
  <si>
    <t>Norbsrto de Diego</t>
  </si>
  <si>
    <t>ales Reales de 150 pesos, creación de 15 de Marzo, números 299,601. y 357,090, endosados á favor de D. Norbsrto de Diego , vecino de Peñafiel; y no habiendo llegado é su destino , quien supiere de ellos avisará al citado D. Norberto, ó á dicho Benigno de la Torre, en Madrid, portal de Paños, tienda</t>
  </si>
  <si>
    <t>Noriega de Bada, Antonio</t>
  </si>
  <si>
    <t>Antonio Noriega de Bada</t>
  </si>
  <si>
    <t>l Consejo de Hacienda, y sueldo de 60© rs., libre de media anata: y por la confianza que me. merece D. Antonio Noriega de Bada, y lo bien que me ha servido en Jos anteriores destinos que ha tenido á su cargo, le nombro por mi Tesorero general con su respectiva dotación y plaza efectiva sin sueldo en el Co</t>
  </si>
  <si>
    <t>Noríega, Francisco</t>
  </si>
  <si>
    <t>Francisco Noríega</t>
  </si>
  <si>
    <t>a á Teniente de fusileros al Subteniente D. Juan Gorbet; á Subteniente de cazadores al de fusileros D. Francisco Noríega, y á Subteniente de bandera al Cadete D. Salvador Joseph Sánchez Lcmeña: en el de Santiago á Subteniente de granaderos al. de fusileros D. Severo Cardesid: en el de Córdoba á Subt</t>
  </si>
  <si>
    <t>Noriega, Manuel</t>
  </si>
  <si>
    <t>Manuel Noriega</t>
  </si>
  <si>
    <t>al Cadete D. Joseph Cayetano Zaldivar: en.el de caballería de la misma clase á Xeniente veterano á D. Manuel Noriega, graduado de Teniente; y en el batallón de milicias disciplinadas de infantería de Cuba y Bayamo á Capitanes á los Subtenientes D. Joseph Gavino Tamayo y D. Rafael Vázquez, y á Su</t>
  </si>
  <si>
    <t>Norza, Sebastián</t>
  </si>
  <si>
    <t>Sebastián Norza</t>
  </si>
  <si>
    <t>granaderos graduado de Teniente D. Juan Aguirre : en el de Zaragoza á segundo Subteniente al Cadete D. Sebastian Norza^aray ; en el de Bárgos á Subtenientes de granaderos á los primeros Subtenientes D. Antonio Ximenez y D. Joseph Hernando García; y en el de Aragón á primer Teniente de granaderos a</t>
  </si>
  <si>
    <t>Ntro, Príncipe</t>
  </si>
  <si>
    <t>Príncipe Ntro</t>
  </si>
  <si>
    <t>enso y mirra. Concluida la función, á la que asistiéron desde las tribunas la Reyna Ntra. Sra. , el Príncipe Ntro. Sr. y los Sres. Infantes, se restituyó S. M. á su quarto con el propio acompañamiento. S. M. se ha servido nombrar para el obispado de Málaga, que vacó por fallecimiento del limo</t>
  </si>
  <si>
    <t>y á los niños mas sobresalientes. . _ Madrid 3 de Jimio. JtLl vlórnes de la semana última, días del Príncipe Ntro. Sr., se vistió la corte de gala con uniforme, y hubo besamanos general en palacio, siendo muy numeroso y lucido el concurso de Grandes, Diputados de los Reynos, Embarcadores y Mi</t>
  </si>
  <si>
    <t>fante Príncipe de Parma, y las Sras. Infantas Doña María Isabel y Doña María Josepha. Igualmente el Príncipe Ntro. Sr&gt; y las demas personas de la Real familia se transfirieron él mismo dia; al sitio de S. Lorenzo el Real, excepto el Sr. Infante D. Antonio, que ha ido á las aguas de Sacedon. i</t>
  </si>
  <si>
    <t>Nufiez de Castro, Alonso</t>
  </si>
  <si>
    <t>Alonso Nufiez de Castro</t>
  </si>
  <si>
    <t>. Fernando el III, Rey de Castilla y León, protector de la Real brigada de Carabineros; escrita por D. Alonso Nufiez de Castro , Coronista de S. M.: un tomo en 4.0 marquilla. Lleva una estampa fina del Santo, grabada por Muntaner. Se hallará en la librería de Gómez, calle de las Carretas , á 28 rs. en pas</t>
  </si>
  <si>
    <t>Núñez Bu, Manuel</t>
  </si>
  <si>
    <t>Manuel Núñez Bu</t>
  </si>
  <si>
    <t>go de Cillapernl, en la diócesis de Santander, vacante por muerte de D. Pablo N uiiez de Quevedo, á D. Manuel Nuñez Bu,stainante: para otro titulado de Urueña , en la diócesis de Palencia,, vacante por fallecimiento de D. Pedro Manuel Isla, á D. A ntonio' Sacristán: para el Deanato de la catedral</t>
  </si>
  <si>
    <t>Núñez Cortes, Fernando</t>
  </si>
  <si>
    <t>Fernando Núñez Cortes</t>
  </si>
  <si>
    <t>segundos de fusileros; y las Subtenencias de granaderos y cazadores á los Subtenientes de fusileros D. Fernando Nuñez Cortes y £&gt;. Sebastian Velasco y Rueda: y en el de Castellón de la Plana Tenencia de fusileros al Subteniente de granaderos D. Antonio Viiarro/g. En América. El Rey se ha servido nombrar-p</t>
  </si>
  <si>
    <t>Núñez, Antonio</t>
  </si>
  <si>
    <t>Antonio Núñez</t>
  </si>
  <si>
    <t>León.y Toledo; al Ingeniero ordinario D. Alexandro de Rez, y al Teniente del de infantería de León D. Antonio Nuñez, que les sirva de castigo el arresto que han sufrido* - v</t>
  </si>
  <si>
    <t>Núñez, Domingo</t>
  </si>
  <si>
    <t>Domingo Núñez</t>
  </si>
  <si>
    <t>la de Oficial tercero segundo de la administración principal de la aduana de Cartagena de Indias á D. Domingo Nuñez, Oficial quarto primero: este destino á D. Cárlos Benedeti, Oficial quarto segundo; y esta resulta á D. Francisco Micolta. Desde 15 de Febrero próximo hasta 31 dé Marzo siguiente</t>
  </si>
  <si>
    <t>O Hara</t>
  </si>
  <si>
    <t>avor; y concluyó desaprobando enteramente el mencionado proyecto, y pidiendo no se tratase de ello. Mr. O Hara negó que ql Parlamento fuese competente para decidir el asunto, supuesto que no es sino el curador de la constitución. Mr. Boyd, que opinó del mismo modo, añadió que aun quando el</t>
  </si>
  <si>
    <t>O Rian, Gabriel</t>
  </si>
  <si>
    <t>Gabriel O Rian</t>
  </si>
  <si>
    <t>aderos al de fusileros D. Juan Cabrol; á segundo Teniente de fusileros al Subteniente de granaderos D. Gabriel O Rian; á este empleo al primer Subteniente D. Ramón D’Aprea; á primeros Subtenientes á los segundos D. Lorenzo Cotarelo y D. xAlexandro Arroyo, y á segundos Subtenientes á los Cadetes D</t>
  </si>
  <si>
    <t>O Scanlan</t>
  </si>
  <si>
    <t>Manuel Gallego para que la ejecutase en ellos según su método y práctica, que es exactamente la del Dr. O Scanlan. Desde febrero hasta principios de Octubre del año pasado de 99 dominó en dicna villa el contagio de viruelas naturales, y en este tiempo inoculo t68 parvuios de ambos sexos, desd</t>
  </si>
  <si>
    <t>O'era, Francisco</t>
  </si>
  <si>
    <t>Francisco O'era</t>
  </si>
  <si>
    <t>al legado de D. Fr. Joseph Muñoz , tasada en 42,664 rs. de 16 quartos. Una casa de la execucion de D. Francisco O'era , en 9662. zrz: La Puebla de Híjari una dehesa del santuario de Ntra. Sra. de la Langosta, tasada en 11,340 rs. de 16 quartos. zzr Ar.uera : un mplino harinero con balsa y acequia</t>
  </si>
  <si>
    <t>O-Donntll, Alexandro</t>
  </si>
  <si>
    <t>Alexandro O-Donntll</t>
  </si>
  <si>
    <t>s, graduado de Teniente Coronel, D. Miguel Schelly; á primer Teniente de granaderos al de fusileros D. Alexandro O-Donntll; á primer Teniente* al segundo de granaderos D. Tomas Macoris; á segundo Teniente de granaderos al de fusileros D. Ricardo Butler; á segundo Teniente al Subteniente de granaderos</t>
  </si>
  <si>
    <t>O-Donojii, Tomás</t>
  </si>
  <si>
    <t>Tomás O-Donojii</t>
  </si>
  <si>
    <t>vido S. M. nombrar para el Gobierno militar y político de las quatro villas de la costa de la mar á D. Tomas O-Donojii: para el Corregimiento político de la ciudad de Córdoba, vacante por jubilación de D. Joseph Eguiluz, á D. Gregorio Guazo Gutiérrez: para el de la de Alcalá la Real, que este dexa</t>
  </si>
  <si>
    <t>Oarrichena, Francisco</t>
  </si>
  <si>
    <t>Francisco Oarrichena</t>
  </si>
  <si>
    <t>la defensa que en el puerto de Truxillo hizo á las órdenes del Comandante del bergantín Resolución D. Francisco Oarrichena, con el citado $. Antonio y muchos de los individuos que componen su tripulación, se ha dignado el Rey ascender á Cabrera y á su segundo D. Manuel Martin Mateo á sus clases inmedi</t>
  </si>
  <si>
    <t>Obé, Manuel</t>
  </si>
  <si>
    <t>Manuel Obé</t>
  </si>
  <si>
    <t>o de Cozár Hidalgo: á Tenientes de fusileros en el de Jaén á los Subtenientes D. Joseph Valenzúela, D. Manuel'Obé:; o y D. J oseph Fernandez de la Pena y Gordillo: en el de Málaga á Teniente de fusileros al Subteniente D. Juan Gorbet; á Subteniente de cazadores al de fusileros D. Francisco No</t>
  </si>
  <si>
    <t>Obispo de Constanza, Príncipe</t>
  </si>
  <si>
    <t>Príncipe Obispo de Constanza</t>
  </si>
  <si>
    <t>omisionó en la última de sus sesiones, verificada el día 10, al Barón de Helsenstreit, Ministro del Príncipe Obispo de Constanza , para que en calidad de Plenipotenciario pase al quartel general del mencionado Archiduque, á fin de arreglar las disposiciones que exige la formación de un cuerpo de milicias de</t>
  </si>
  <si>
    <t>Obispo de Lubeek, Príncipe</t>
  </si>
  <si>
    <t>Príncipe Obispo de Lubeek</t>
  </si>
  <si>
    <t>Sudermania y de Ostrogocia, tíos del Rey, el Margrave de Badén, el Príncipe heredero su hijo, y el Príncipe Obispo de Lubeek; y madrinas Ja Reyna madre de S. M., la Duquesa de Sudermania, la Princesa Abadesa, y la Princesa heredera de Badén. En celebridad del nacimiento de este Príncipe destinó el magis</t>
  </si>
  <si>
    <t>Obispo de Málaga, Arzobispo</t>
  </si>
  <si>
    <t>Arzobispo Obispo de Málaga</t>
  </si>
  <si>
    <t>ias celebradas por sus familiares £ la gloriosa memoria del limo. Sr. D. Manuel Ferrer y Figueredo, Arzobispo Obispo de Málaga, en la iglesia de religiosas Agustinas, el dia 20 de Agosto de 1799, dixo el Dr. i). Diego Joseph Benitez Chacón, Canónigo magistral. Se hallará en la librería de Claros, calle de</t>
  </si>
  <si>
    <t>Obispo de Spira, Príncipe</t>
  </si>
  <si>
    <t>Príncipe Obispo de Spira</t>
  </si>
  <si>
    <t>o general en el Imperio, como sucesor del Conde de Lehrbach; y el Conde de Walderdorff, hermano del Príncipe Obispo de Spira , reemplaza al Barón de Hugel. Pláblase de conferir al mencionado Conde de Lehrbach la embaxada de Petersburgo ó la de Berlín, Praga JS&gt; de Diciembre, L a Duquesa de Curlandia se</t>
  </si>
  <si>
    <t>Obispo de Wurtzburgo, Príncipe</t>
  </si>
  <si>
    <t>Príncipe Obispo de Wurtzburgo</t>
  </si>
  <si>
    <t>que le impidió ponerse en camino. La gazeta de Bamberg desmiente la noticia que publicó de haber el Príncipe Obispo de Wurtzburgo notificado al General francés, comandante en las orillas del Mein, que hahia licenciado sus milicias. Ha mandado el General en xefe Moreau que en adelante no se conviertan en hosp</t>
  </si>
  <si>
    <t>Ochoa, Juan Pedro</t>
  </si>
  <si>
    <t>Juan Pedro Ochoa</t>
  </si>
  <si>
    <t>rs. y renta 1115. Un olivar con 186 olivos , en el sitio de la Trapera, de la obra pia fundada por D. Juan Pedro Ochoa en la colegial, tasado en 14,980 rs. y renta 750. Una haza de 34 cuerdas, en el camino del Cerro, de la obra pia de Dofia Ana y Dofia Josepha Rubio , tasada en 15,500 rs. y renta 76</t>
  </si>
  <si>
    <t>Ochoa, Santiago</t>
  </si>
  <si>
    <t>Santiago Ochoa</t>
  </si>
  <si>
    <t>n Joseph Alvarez Campana: en el de Valencia’á segundo Subteniente al Sargento primero de granaderos D. Santiago Ochoa: en el de Toledo á Teniente Coronel al Coronel agregado al del Príncipe Duque de Sotomayor ; y á segundos Subtenientes á los Cadetes D. Alberto Urbina y D. Claudio Eguia: en el de</t>
  </si>
  <si>
    <t>Oikson, Almirante</t>
  </si>
  <si>
    <t>Almirante Oikson</t>
  </si>
  <si>
    <t>acienda demostraciones de desembarco en estas costas Una crecida división de buques, mandada por el Almirante Oikson, cruza delante del Texel, y otras recorren los mares de esta República, y aun los de Fiándes. Muchos batallones de infantería están marchando hacia ,el norte de Holanda ; y otras</t>
  </si>
  <si>
    <t>Olaguer</t>
  </si>
  <si>
    <t>primer Subteniente D. Juan María Narganes; á primeros Subtenientes á los segundos D. Joachín Buil, D. Olaguer i omas Aloy, D. Carlos Stonor, Don Felipe Ancora y D. Benito Albiny; y á segundos Subtenientes á los Cadetes D. Tomas Cantón, D. Guillermo Lyons, D. Andrés Aguado y Oquendo y D. J</t>
  </si>
  <si>
    <t>Olaguer de León</t>
  </si>
  <si>
    <t>ubteniente de granaderos al primer Subteniente 1). Joseph Martínez; á primer Subteniente al segundo D. Olaguer de León, y á segundo Subteniente al Cadete D. Mariano Sánchez de Figueroa: en el de Córdoba á primer Subteniente al segundo D. Lorenzo Cervera; y á segundo Subteniente al Cadete D. Antoni</t>
  </si>
  <si>
    <t>Olarte, Manuel</t>
  </si>
  <si>
    <t>Manuel Olarte</t>
  </si>
  <si>
    <t>ntos provinciales de la península ha promovido en el de León á Capítan de cazadores al de fusileros D. Manuel Olarte: en el de Toledo á Subteniente de bandera á D. Joseph Resino Estrada y Córdoba: en el de Castellón de la Plana á Capitanes al agregado en esta clase D. Agustín de Hortelani y al T</t>
  </si>
  <si>
    <t>Olazabal, Manuel</t>
  </si>
  <si>
    <t>Manuel Olazabal</t>
  </si>
  <si>
    <t>También se ha servido conferir la Comandancia de esquadron del regimiento de dragones de Sagunto á D. Manuel Olazabal, Capitán del de 1^ misma clase de la Reyna; y ha tenido á bien nombrar Alférez en el de Villa* viciosa á D. Gregorio Losada, agregado en la propia clase al mismo cuerpo^ En consid</t>
  </si>
  <si>
    <t>Oleari</t>
  </si>
  <si>
    <t>tra se componía de mas de 500 músicos. Mr. Dougías, Obispo titular de Londres, cantó la misa , y el Doctor Oleari dixo la oración fúnebre. Haya 8 de Diciembre. ios voluntarios que lian sobresalido en las varias acciones contra los anló-rusos, se íes darán medallas de plata como distintivo y p</t>
  </si>
  <si>
    <t>Olí, Juan Domingo</t>
  </si>
  <si>
    <t>Juan Domingo Olí</t>
  </si>
  <si>
    <t>ernando: tomo 3.a Comprehende las letras L hasta la O inclusive} y al fin del artículo del escultor D. Juan Domingo Olí vi eri un apéndice histórico de la citada academia de S. Fernando. Se vende con los tomos i.°y i.°en la casa de la misma academia , calle de Alcalá , en el quarto del Conserge.^ r</t>
  </si>
  <si>
    <t>Oliva, Antonio</t>
  </si>
  <si>
    <t>Antonio Oliva</t>
  </si>
  <si>
    <t>o 1793, de cuyas cantidades está rebaxada la quarta funeral, y está entregada al Capellán del mismo D. Antonio Oliva; con expresión de Compañías, y nombres de los padres y patria. PRIMERA COMPAÑIA. Clases. Nombres. Medias filiaciones. Rs. Mrs. Sargento 2.0 Joseph Grasas, hijo de Félix y Francisc</t>
  </si>
  <si>
    <t>Oliva, Francisco Antonio</t>
  </si>
  <si>
    <t>Francisco Antonio Oliva</t>
  </si>
  <si>
    <t>quez de Rodríguez, Médico, disertó sobre las propiedades generales y particulares de las plantas; y D. Francisco Antonio Oliva y D. Mariano Serret» practicantes de¡farmacia, fuéron examinados en la propia fotma qué los primeros ; y el D. Vicente manifestó los caractéres de las ciases, órde— «es, géneros y* es</t>
  </si>
  <si>
    <t>Olivar y Esquella, Gabriel</t>
  </si>
  <si>
    <t>Gabriel Olivar y Esquella</t>
  </si>
  <si>
    <t>ayme Michelena y Moreno. En 3.a fecha. D. Juan Valdés é Inclan, D. Juan Calderón y Laso de la Vega, D. Gabriel Olivar y Esquella , D. Joachín Moreno y Mancha , D. Antonio Quiroga y Arias, D. Benito Bermudez de Castro y Vivero , D. Manuel Duque de la Cruz , D. Antonio Piñeyro y Maceda, Don Rafael de Mesa y M</t>
  </si>
  <si>
    <t>Olivares, Diego</t>
  </si>
  <si>
    <t>Diego Olivares</t>
  </si>
  <si>
    <t>iñan; á Subtenientes de fusileros á los dé bandera D. Joseph María de Tá Torre, D. Antonio Mancebo, D. Diego Olivares y D. Martin Florez Quixano, y á esta clase á Iqs Cadetes D.Juan Sánchez Grillan, D. Luis Trevejos, D. Pedro Branly, graduado de Subteniente, y D. Antonio Garballp., Sargento primero.d</t>
  </si>
  <si>
    <t>Olivas, Andrés</t>
  </si>
  <si>
    <t>Andrés Olivas</t>
  </si>
  <si>
    <t>asuntos que le interesan, acudirá á la calle de los Tudescos, núm. 4, quarto principal, en casa de D. Andrés Olivas , ó le escribirá. Carta general del Océano atlántico, que comprebende sus costas y mares desde de latitud N. hasta el equador; construida de orden del Rey en la dirección de traba</t>
  </si>
  <si>
    <t>Olivencía, Francisco</t>
  </si>
  <si>
    <t>Francisco Olivencía</t>
  </si>
  <si>
    <t>Joseph Serra; y á segundos Subtenientes al Sargento primero de granaderos, graduado de Subteniente, D. Francisco Olivencía, y al Cadete del primer batallón de Voluntarios de Aragón D. Juan Antonio Esté</t>
  </si>
  <si>
    <t>Oller, Ramón</t>
  </si>
  <si>
    <t>Ramón Oller</t>
  </si>
  <si>
    <t>D. Francisco Bartolomé y D. Joseph Baamonde; á segundos Tenientes á los Subtenientes de granaderos D. Ramón Oller, graduado de Teniente, y D. Patricio Ontañon, y á los primeros Subtenientes D. Francisco CamiJIery y D. Bartolomé de la Vega; á Subtenientes de granaderos á los primeros Subtenien</t>
  </si>
  <si>
    <t>Olona, Francisco</t>
  </si>
  <si>
    <t>Francisco Olona</t>
  </si>
  <si>
    <t>i°5 í Jos de fusileros D. Francisco Olona, D. Francisco Wanherck y D. Felipe Perez; á segundos Tenientes á los Subtenientes de granaderos D. [oseph Castaño y D. Agustín Arizaga, y á los primeros Subtenientes Don Francisco</t>
  </si>
  <si>
    <t>Olveyra, Capitán</t>
  </si>
  <si>
    <t>Capitán Olveyra</t>
  </si>
  <si>
    <t>e guerra inglesa, que hubiera cogido al corsario y á la presa, á no ser las acertadas maniobras del Capitán Olveyra y de su piloto B. Diego Entralgo. , / -&lt; ■ Madrid jrp de Agosto. Í im el regimiento de infantería de Saboya se ha servido promover el ey á primer Teniente al segundo graduado de Capíta</t>
  </si>
  <si>
    <t>Onis, Pedro</t>
  </si>
  <si>
    <t>Pedro Onis</t>
  </si>
  <si>
    <t>os primeros Subtenientes D. Antonio Peirson y D. Lope Ortiz; á primeros Subtenientes á los segundos D. Pedro Onis y D. Miguel Peirson; y á segundo Subteniente al Cadete del de América D. Ramón de Zaragoza : en él de Aragón á Ayudante al primer Teniente de granaderos D. Lorenzo de Sierra; á primer</t>
  </si>
  <si>
    <t>Onofre Noviola</t>
  </si>
  <si>
    <t>over á primar Subteniente al segundo D. Pedro Bofarull, y X segundo Subteniente al Sargento primero D. Onofre Noviola: en el de Voluntarios de Valencia á segundo Capitán al segundo Ayudante D. Antonio Aznar; X segundo Ayudante al primer Teniente D. Francisco Salvador; á primeros Tenientes X los s</t>
  </si>
  <si>
    <t>Orange, Príncipe</t>
  </si>
  <si>
    <t>Príncipe Orange</t>
  </si>
  <si>
    <t>una niebla muy densa , rodeó á los enemigos , y cogió 1200 prisioneros de los regimientos de Hoff y Príncipe Orange, entre los quales se cuentan un-Sargento mayor y dos Tenientes Coroneles. Solamente una bandera cayó en mi poder, porque escondieron las demás en peñascos. Mi pérdida en estas var</t>
  </si>
  <si>
    <t>Ordoñez y Martínez, Juan</t>
  </si>
  <si>
    <t>Juan Ordoñez y Martínez</t>
  </si>
  <si>
    <t>Vivanco,D. Joseph de Letona y Betéluri, D. Antonio Riquehne y Corral, D. Joseph Vial y Cardigondi, D. Juan Ordoñez y Martínez, D. Pedro de Varo Franco y Areco, D. Manuel Ponce de León y Torres, D. Joseph de Tiscar y Pedrosa, D. Saturnino Aguado y Payan, D. Joseph Bayo y García de Prado, D. Joseph de Arbi</t>
  </si>
  <si>
    <t>Ordoñez, Andrés</t>
  </si>
  <si>
    <t>Andrés Ordoñez</t>
  </si>
  <si>
    <t>vo y D. Joseph Arenas, y ai Cadete Vicente Asco; y para Portaguiones á los Cadetes D. Juan Rondeau, D. Andrés Ordoñez, y al Sargento graduado de Alférez D. Joachin Forner. En la extracción extraordinaria de la Real lotería executada el lunes 21 del corriente, saliéron los números 21, 77, 2, 32 y</t>
  </si>
  <si>
    <t>Ordoñez, Christóbal</t>
  </si>
  <si>
    <t>Christóbal Ordoñez</t>
  </si>
  <si>
    <t>D. Joseph Torrelallebreta ; á segundos Tenientes á los Subtenientes de4j|ranaderos D. Pedro Mingo,-D. Christóbal Ordoñez y D. Antonio TomiTba, y á los primeros Subtenientes D. Juan Rabel y D. Serafín Oliver; á Subtenientes de granaderos á los primeros Subtenientes Don Juan Calderón, D. Joachin Benitez y</t>
  </si>
  <si>
    <t>Ordoñez, Francisco</t>
  </si>
  <si>
    <t>Francisco Ordoñez</t>
  </si>
  <si>
    <t>graduado de Teniente, y Don Juan Garzón; á Subtenientes" de granaderos á los primeros Subtenientes D. Francisco Ordoñez y D. Francisco Carrillo; a primeros Subtenientes á los segundos D. Gregorio Perez y D. Juan Carvajal, y á segundo Subteniente* al Cadete D. Pedro Morrondo: en él de voluntarios de Cas</t>
  </si>
  <si>
    <t>Ordoñez, Manuel</t>
  </si>
  <si>
    <t>Manuel Ordoñez</t>
  </si>
  <si>
    <t>. Norberto Manterola, el primero graduado de Teniente: para Alféreces al agregado en la misma clase D. Manuel Ordoñez, á los Portaguiones D. Juan López, D. Manuel Garavo y D. Joseph Arenas, y ai Cadete Vicente Asco; y para Portaguiones á los Cadetes D. Juan Rondeau, D. Andrés Ordoñez, y al Sargen</t>
  </si>
  <si>
    <t>Oreilli, General</t>
  </si>
  <si>
    <t>General Oreilli</t>
  </si>
  <si>
    <t>, y pasa de 2© hombres el número de austriacos muertos ó heridos, contándose entre estos últimos su General Oreilli.Tenían los enemigos 15© hombres de infantería y 2© de caballería. Nuestra pérdida consistió en 60 muer tos .y ^00 heridos.” Exército de Italia. El Teniente General Suchet al Gener</t>
  </si>
  <si>
    <t>Orel, Joseph María</t>
  </si>
  <si>
    <t>Joseph María Orel</t>
  </si>
  <si>
    <t>re y D. Joachín Paño, y á segundos Subtenientes ai Sargento primero D. Joseph Gutiérrez y al Cadete D. Joseph María Orel!: en el regimiento de infantería de N «polos á Coronel al Teniente Coronel graduado de Brigadier D. Lilises Albcrgoti.</t>
  </si>
  <si>
    <t>Orelli</t>
  </si>
  <si>
    <t>la plaza de las Victorias, había un cristal de media pulgada de grueso, qu« el ciud. Orelli presento al primer Cónsul. En su parte superior contenia los nombres de Kleber y Desaix , cada uno escrito en el centro de una corona cívica. Tenia luego copia</t>
  </si>
  <si>
    <t>Orenvílie, Lord</t>
  </si>
  <si>
    <t>Lord Orenvílie</t>
  </si>
  <si>
    <t>e Francia, de cuyo valor, esfuerzo y recursos se hizo gran alarde; y el sexto fue aquella carta del Lord Orenvílie: carta á mi parecer vergonzosa y miserable, en la qual se rehusó con insolencia tratar con un enemigo, cuyas proposiciones prudentes y moderadas tenían toda apariencia de buena fe</t>
  </si>
  <si>
    <t>Oriandys, Luis</t>
  </si>
  <si>
    <t>Luis Oriandys</t>
  </si>
  <si>
    <t>Teniente de gastadores al oc cazadores D. Nicolás Marín; á primer Teniente al segundo de gastadores D. Luis Oriandys á segundo Teniente de gastadores al de cazadores D. Francisco Matis : á segundo Teniente al Subteniente de tiradores D. Pedro López; y á Subteniente de tiradores al de cazadores D</t>
  </si>
  <si>
    <t>Ormond, Lord</t>
  </si>
  <si>
    <t>Lord Ormond</t>
  </si>
  <si>
    <t>son casi diarios los desafíos entre los sugetos mas visibles de los dos p.'-nidos. Ayer riñeron el Lord Ormond, que está por la unión, y Mr. Gould; y hoy riñó el Lord Colé con el Coronel Martin, que es también partidario de la unión. Londres 2 de Marzo. C jomo este gobierno ha manifestado</t>
  </si>
  <si>
    <t>Óroz, Jacinto</t>
  </si>
  <si>
    <t>Jacinto Óroz</t>
  </si>
  <si>
    <t>ó memoria de Juan Cachorrillas.__ ¡ Én la ciudad de Truxillo, una casa propia de los mayorazgos de D, Jacinto Óroz^o, sita entre el convento de S. Francisco y plazuela de. D.j’u&amp;n-fde. wÁragpn, tasada en venta en 38,562 rs., y en repta anual "550 rs.., á qué está,hecha.ppstura en 19$ rs.^-lBad</t>
  </si>
  <si>
    <t>Orozqueta, Joachín</t>
  </si>
  <si>
    <t>Joachín Orozqueta</t>
  </si>
  <si>
    <t>te Rodríguez , D. Francisco Antonio Olivas y O. Miguel Antonio íuentes: en segundo D. Joseph Ainsa, D. Joachin Orozqueta, D. Mariano Serret, D* Pedro Lalane y D. Bernardo Ximeno; y en tercer Jugar D. Pedro Sebastian , D. Manuel Royo y D. Pedro Anaya. La sociedad determinó premiar el mérito de los di</t>
  </si>
  <si>
    <t>Orsusan, Juan</t>
  </si>
  <si>
    <t>Juan Orsusan</t>
  </si>
  <si>
    <t>e al segundo de granaderos D011 Francisco Colombo; á segundo Teniente de granaderos al de fusileros Don Juan Orsusan; á esta resulta al Subteniente de granaderos D. Antonio Anguita; á Subteniente de granaderos al primer Subteniente D. Luis Perez de Anda; á primer Subteniente al segundo D. Luis M</t>
  </si>
  <si>
    <t>Ortega, Joseph</t>
  </si>
  <si>
    <t>Joseph Ortega</t>
  </si>
  <si>
    <t>s 3 vales Reales que remitieron el ii de Febrero los Sres. Francisco Miser y compañía , de Cádiz, á D. Joseph Ortega , de la villa de Reas , debe leerse corregido de este modo; un Vale Real dé 600 pesos , núm. 365,459 , y dos del Canal, núm. 9578 y 183. En conseqüencia de lo mandado por punto ge</t>
  </si>
  <si>
    <t>Ortega, Manuel</t>
  </si>
  <si>
    <t>Manuel Ortega</t>
  </si>
  <si>
    <t>la Cruz, igual empleo en el provincial de Pontevedra: el de Ayudante del provincial de Plasencia á D. Manuel Ortega , primer Teniente del de infantería de Córdoba : .al primer Teniente del de las Ordenes Militares D. Hilario Luesia, Ayudantía en el de Orense: iguales empleos en los Provinciales</t>
  </si>
  <si>
    <t>Ortells y Gombau, Francisco</t>
  </si>
  <si>
    <t>Francisco Ortells y Gombau</t>
  </si>
  <si>
    <t>disertación sobre la ventaja de dicho método respecto del antiguo por el Dr. D. Francisco Ortells y Gombau, presbítero : publicado para que se propague la perfección de la hilaza de la seda en beneficio de las fábricas nacionales, conforme á las Reales intenciones. Véndese en la librería de Orcel</t>
  </si>
  <si>
    <t>Ortez, Vicente</t>
  </si>
  <si>
    <t>Vicente Ortez</t>
  </si>
  <si>
    <t>l Audiencia de Santo Domingo un testimonio, del qual resulta que falleció en Jas colonias francesas D. Vicente Ortez , natural :que dixo ser de San Sebastian de Fuenterabía ; que sus bienes consistieron en 800 pesos fuertes y 4 tomines plata,de los quales sé bailan depositados en caxa 115,007 rs</t>
  </si>
  <si>
    <t>Ortíz de la Peña, Joseph</t>
  </si>
  <si>
    <t>Joseph Ortíz de la Peña</t>
  </si>
  <si>
    <t>que este dexa, al Chantre D.Manuel Ignacio González deí Campillos para la Chantría al Maestrescuela D. Joseph Ortíz de la Peña : para bi Maestrescolía al Tesorero D. Juan de Dios de Olmedo y Araeieh para la Tesorería al Canónigo D. Juan Anselmo del Moral Castillo de Altra: par4 esta Canongía al Racionero</t>
  </si>
  <si>
    <t>Ortiz de Rozas, Ignacio</t>
  </si>
  <si>
    <t>Ignacio Ortiz de Rozas</t>
  </si>
  <si>
    <t>gal; y para Castilla la Nueva al de la propia clase D Ignacio Ortiz de Rozas. Anales de historia natural, núm. 4.® Contiene materiales para la historia de la Botánica : monografía del género Tilo : sobre la Agyneia : descripción del xergon del reyno de San</t>
  </si>
  <si>
    <t>Ortiz de Salgousen, Vicente</t>
  </si>
  <si>
    <t>Vicente Ortiz de Salgousen</t>
  </si>
  <si>
    <t>Muñoz , ei Teniente Coronel D. Tomas Daquindehan, Doña Manuela Fernandez, D. Miguel Romero dorador, D. Vicente Ortiz de Salgousen, Doña Manuela Medina, Doña Ignacía Soto y Conde, Francisco del Riego , Lorenza Medina, y otras : vive dicha Doña Victoria plazuela de S. Ildefonso,núm. 13 , quarto principal; y cu</t>
  </si>
  <si>
    <t>Ortiz de Zarate, Joachín</t>
  </si>
  <si>
    <t>Joachín Ortiz de Zarate</t>
  </si>
  <si>
    <t>ientes al Sargento primero de granaderos , graduado de Subteniente, D. Manuel Virizuela y al Cadete D. Joachín Ortiz dé Zarate: en el de la Princesa á primer Teniente al segundo de granaderos IX Francisco Raduan; á segundo Teniente de granaderos al de fusileros D. Francisco Cortazar; á segundo Teniente ai</t>
  </si>
  <si>
    <t>Ortiz, Francisco</t>
  </si>
  <si>
    <t>Francisco Ortiz</t>
  </si>
  <si>
    <t>en 30 de Abril-de 1787. Por 44 pesos rs. plata, re— -gistraclós por :D. Manuel de Easávilbaso para D. Francisco Ortiz y compañía: líquido que percibir 87a rs.Ta mrs. Diligencia, en a3 de Fébrero de 1788. Por 97 pesos a rs. plata, registrados por *D. Martin de S&amp;rrátéa para D. 'Jacinto Altolaguirre,</t>
  </si>
  <si>
    <t>Ortiz, Joseph</t>
  </si>
  <si>
    <t>Joseph Ortiz</t>
  </si>
  <si>
    <t>lia servido conferir Ips regimientos de caballería. del Príncipe y Costa de Granada á los Coroneles D. Joseph Ortiz y D. Juan Francisco Navarrete, Tenientes Coroneles de los de Borbon y Alcántara. S. M. se ha servido confirmar el privilegio de ía villa de Ampudia de Campos, partido de Palencia, par</t>
  </si>
  <si>
    <t>41,148 hasta 21,154 &gt; ambos inclusive. Asimismo dos vales Reales de 3CO pesos endosados á favor de D. Joseph Ortiz , el primero por Don Juan Bautista Bru en Setiembre de 1799 , y el segundo por 1). Joseph Asensio en Febrero de este año. Quien los baya encontrado los entregará á D. Ignacio Gazu</t>
  </si>
  <si>
    <t>ros D. Severo Cardesid: en el de Córdoba á Subtenientes de cazadores .y de bandera al de; fusileros D. Joseph Ortiz y, Fernandez; y D.. Joseph Gandan; y á Subtenientes de bandera en los-de Betanzós, Alcázar de-S* Juan, Avila, Chinchilla, Valladolid y Toledo, á D. Francisco Díaz de Parga, D. Juan</t>
  </si>
  <si>
    <t>aderos del de Badajoz al de fusileros del mismo cuerpo D. Pedro Bizarro: Ayudante del de Santiago á D. Joseph Ortiz, primer Teniente del de infantería de Africa: Tenientes de granaderos de los de Toledo y Ciudad-Rodrigo á los de fusileros D. Clemente Garoz y D. Felipe Navarro: Tenientes de caza</t>
  </si>
  <si>
    <t>Ortiz, Joseph Alonso</t>
  </si>
  <si>
    <t>Joseph Alonso Ortiz</t>
  </si>
  <si>
    <t>Dr. Adain Smith , traducida y aumentada considerablemente con ilustraciones relativas á España por D. Joseph Alonso Ortiz. Esta obra se halla suficientemente recomendada por la notoriedad de su mérito en las naciones cultas, que la consideran como obra maestra en punto de economía política ; y en ell</t>
  </si>
  <si>
    <t>rtado, calle de las Carretas. Ensayo económico de. la moneda-papel, y sobre el crédito publico, por Don Joseph Alonso Ortiz: obra que debe acompañar á la que traduxo de Smith sobre la naturaleza y causas de la riqueza de las naciones , como tan análoga su materia, y fundada sobre los principios univers</t>
  </si>
  <si>
    <t>Ortiz, Manuel</t>
  </si>
  <si>
    <t>Manuel Ortiz</t>
  </si>
  <si>
    <t>ros graduado de Capitán D. Salvador Maseres: en el de Aragón á primeros Subtenientes á los segundos D. Manuel Ortiz y D. Vicente Alvarez Ordoño; en el de la Princesa á segundo Teniente de granaderos al de fusileros D. Isidoro Acevedo; y á primer Subteniente al segundo D. Manuel Sanche^:, en el de C</t>
  </si>
  <si>
    <t>Ortiz, Pedro</t>
  </si>
  <si>
    <t>Pedro Ortiz</t>
  </si>
  <si>
    <t>e Aragón á segundo Ayudante al primer Teniente D. Mariano Barreneche ; á primer Teniente al segundo D. Pedro Ortiz; á segundo Teniente al primer Subteniente D. Joseph délos Hoyos; á primer Subteniente al segundo D. Teodoro Nogues, y á segundo Subteniente ai Cadete D. Pedro Mendieta : en el bat</t>
  </si>
  <si>
    <t>al primer Teniente y segundo Ayudante D. Mariano Barreneche; á segundo Ayudante al primer Teniente D. Pedro Ortiz; á primer Teniente al segundo D. Juan Baptista; á segundo Teniente al primer Subteniente, graduado de Teniente, D. Vicente Ricafort; á primer Subteniente al segundo D. Francisco P</t>
  </si>
  <si>
    <t>Órtiz, Tomás</t>
  </si>
  <si>
    <t>Tomás Órtiz</t>
  </si>
  <si>
    <t>al mencionado Retóla, y en esta corte á D. Francisco de las Barreras. * El 27 de Setiembre remitió D. Tomas Órtiz deXanzagorta, de esta corte, á Doña Ciara de la Dehesa Felipe, Abadesa del convento de Santa Clara de la villa de Astudillo en Castilla la Vieja, un vale Real de igo pesos, creación</t>
  </si>
  <si>
    <t>Orts, Joseph</t>
  </si>
  <si>
    <t>Joseph Orts</t>
  </si>
  <si>
    <t>ante del resguardo del cordon del Ebro, y con los de Tesorero de exército á D. Juan Miguel de Igea, Don Joseph Orts y D. Agustín Manso, Comandantes de los resguardos de Sevicia, Navarra y Campo de S. Roque. S. M. se ha servido nombrar Fundidor de artillería de bronce de la Real fundición de Barcelo</t>
  </si>
  <si>
    <t>Osorio y Caballero, Benigno</t>
  </si>
  <si>
    <t>Benigno Osorio y Caballero</t>
  </si>
  <si>
    <t>a igual empleo del de Ecija: la Compañía de granaderos y la segunda de fusileros del de Salamanca á D. Benigno Osorio y Caballero, y á D. Juan de la Huelga, Capitán y Teniente del mismo cuerpo: en el de Murcia la Tenencia y Subtenencia de granaderos al Teniente y Subteniente de fusileros D. Zacarías Perez y</t>
  </si>
  <si>
    <t>Osorio, Francisco</t>
  </si>
  <si>
    <t>Francisco Osorio</t>
  </si>
  <si>
    <t>nombrado también Capellanes de los regimientos de infantería de Africa y Granada á los presbíteros D. Francisco Osorio y D. Bernardo Gómez de Valdivieso, Capellán del de infantería de Burgos. El Rey ha nombrado Comandante de la compañía suelta de infantería y caballería de Castilla la Nueva á D. Agust</t>
  </si>
  <si>
    <t>Osorio, Manuel</t>
  </si>
  <si>
    <t>Manuel Osorio</t>
  </si>
  <si>
    <t>inglesa Don Luis Mornard, y en la de lengua francesa D. Joachin Campuzano, D. Andrés Menendez Sala, D. Manuel Osorio, D. Agustín Fernandez y D. Juan Alonso Viado. 8.° Estuvieron expuestas ai público todas las muestras que, baxo la dirección del profesor de dibuxo natural D. Angel Perez, habían d</t>
  </si>
  <si>
    <t>Osorno, Juan</t>
  </si>
  <si>
    <t>Juan Osorno</t>
  </si>
  <si>
    <t>Coniferas; á primeros Subtenientes á los segundos D. Antonio Martínez Orosa , D. Ramón de Vidondo , D. Juan Osorno, D. Manuel Teresa Vázquez, D. Vicente Moreno y D. Salvador Melgar, y á sey u. remando Arraga' ríos de Aragón á segundo Ayudante al primer Teniente D. Mariano Barreneche ; á primer</t>
  </si>
  <si>
    <t>Ospert, General</t>
  </si>
  <si>
    <t>General Ospert</t>
  </si>
  <si>
    <t>5*9 República. Asimismo, al General Ospert se lia conferido la comandancia de la plaza de Milán. ,, Parte del exército de reserva del dia 7. El General Loison , después de atravesar el Adda en Lodi , se apoderó de Crema, p</t>
  </si>
  <si>
    <t>Ossokin, Coronel</t>
  </si>
  <si>
    <t>Coronel Ossokin</t>
  </si>
  <si>
    <t>ionado al estado en el ramo que tiene á su cargo. También ha sido promovido á Consejero el Teniente Coronel Ossokin, en premio de haber dado para vestuario del exército un paño de muy buena calidad.</t>
  </si>
  <si>
    <t>Osteret y Nario, Antonio</t>
  </si>
  <si>
    <t>Antonio Osteret y Nario</t>
  </si>
  <si>
    <t>ron respectivamente premios de honor, uno de peo rs., dos de á 240 , y varias obras muy aprcciables D. Antonio Osteret y Nario, el Lie. D. Mariano Beaumont y Bretón, Abogado de los Reales Consejos, D. Telesforo de Ibarrola, D. Elias Mariategui, D. Francisco Palacip Velarde, D. Isidro López Alban,D. Joseph</t>
  </si>
  <si>
    <t>Oswaid, General</t>
  </si>
  <si>
    <t>General Oswaid</t>
  </si>
  <si>
    <t>érdida por todas partes, y pasar al otro lado del Nidda. La derecha de esta división , al mando del General Oswaid, atravesó felizmente el Rhin por Oppenheim, atacó á los austríacos, y los persiguió hasta Grosgeron, aldea situada en el camino de Francfort. Hecho esto volvieron las tropas franc</t>
  </si>
  <si>
    <t>Otaegui, Francisco</t>
  </si>
  <si>
    <t>Francisco Otaegui</t>
  </si>
  <si>
    <t>nardo de Arzac Parada y D. Ricardo Bermingham ; y los Subtenientes D. Miguel Antonio de Bengoechea, D. Francisco Otaegui, D. Juan Agustín de Arrieta, Don Martin de Echavc, D. Manuel de Medina, D. Juan Joseph Garnier, Don Agustín de Lecumberri y D. Francisco Antonio Barandiaran, que paguen cada uno 2</t>
  </si>
  <si>
    <t>Otero, Manuel</t>
  </si>
  <si>
    <t>Manuel Otero</t>
  </si>
  <si>
    <t>del de América: D. Felipe Montes y D. Juan Palomino., primer Subteniente y Cadete del .de Córdoba.: D. Manuel Otee</t>
  </si>
  <si>
    <t>Otondo, Rafael</t>
  </si>
  <si>
    <t>Rafael Otondo</t>
  </si>
  <si>
    <t>regimiento de dragones de Lusrtania á Teniente al Alférez D. Joseph Trigoso; y á Alférez al Cadete D. Rafael Otondo. Con fecha de 29 de Junio último ha dado aviso el Embáxador de S. Mf en Portugal, que ei paquebot correo el Cortés, procedente de Montevideo para la Coruña, ha sido apresado por l</t>
  </si>
  <si>
    <t>Otro y María</t>
  </si>
  <si>
    <t>o-de Cervera................................... 55. 30. Pedro Pastoret, hijo de Otro y María, natural de Figueras, Corregimiento de Gerona.................... ............... 55. 30. Pedro Marull, hijo de otro y Reparada, natural de San Pol, Corregimiento de Gerona................</t>
  </si>
  <si>
    <t>Ott</t>
  </si>
  <si>
    <t>Ott, Feld-Mariscal</t>
  </si>
  <si>
    <t>Feld-Mariscal Ott</t>
  </si>
  <si>
    <t>o un grandísimo número de piezas de artillería de batir. Fo manda el Príncipe'de Lichtenstein; y el Feld-Mariscal Ott manda el cuerpo destinado á cubrir el asedio. Genova € de Diciembre. P or las mismas causas que dieron motivo á la última revolución del gobierno de Francia, y casi en los mismos</t>
  </si>
  <si>
    <t>Ott, General</t>
  </si>
  <si>
    <t>General Ott</t>
  </si>
  <si>
    <t>de Ormea. Quedaba dicho General en ánimo de atacar los puestos del monteS. Bernardo, al paso que el General Ott hará un ataque para apoderarse del coll de Tenda. Turin 1 de Diciembre. S egun cartas de Bagnasco las tropas francesas que marchaban hacía Final y Savona se han reunido en número</t>
  </si>
  <si>
    <t>re. H an transitado por aquí 6© hombres de tropas que van á Parma, en donde actualmente se halla el General Ott, que manda las del AustriaEl General Klenau tiene su quartel en Recco. Parece, según algunos movimientos militares, que aun se hará un esfuerzo para echar á los franceses de todo</t>
  </si>
  <si>
    <t>6© hombres: su situación es muy crítica. ElMi* notauro y los demas buques están fuera de Génova. El General Ott se halla dueño de Torriglia; pero el General Gottesheim y el Coronel Aspres han sido rechazados con pérdida, y se dice que este último está prisionero. Los austríacos se han apode</t>
  </si>
  <si>
    <t>s. Ayer se publicó un aviso de oficio del exército austríaco. Parece que en Ja ribera de levante el General Oít consiguió algunas ventajas el dia 6, y se apoderó de Torriglia y Scoífera; pero el 7 la coluna mandada por el General Gottesheim y el cuerpo del Barón de Aspres tuvieron que retir</t>
  </si>
  <si>
    <t>ntar al Almirante ingles y pedirle desembarcase los víveres en Vado___ Ayer se recibió un aviso del General Ott, en que dice que el dia 6 dio principio á su ataque, y batió á los enemigos.” Milán 20 de AbriL D ecíase estos dias que habia habido nuevas acciones el ii y el 12 en la ribe ra de</t>
  </si>
  <si>
    <t>e Mayo. H ¡ ■' •' • . ' ’ - /- ' ■ a dexado Mr. Melas* delante dé Génová á.'Ios-Generales Ott3y Hohén=zollern con cerca de- 50 batallones 'para que sigan él sitio;-y ‘con‘otros1 28 batallones ha salido pará Saíitiago-,-á fin :dé. reunirse con el General</t>
  </si>
  <si>
    <t>premios extraordinarios de 3 á 6 por 100. Desde Final á i.° de Mayo escribe el General Melas que el General Ott se ha apoderado del puesto de Rivarolo-di-Sotto, cerca de Génova, y de unas fortiíicaciones llamadas los dos Hermanos. En la noche del 19 ai 30 del mes último se dispuso una bater</t>
  </si>
  <si>
    <t>der bombardearla, atacaron las alturas de Brisagno que la dominan. Para facilitar el ataque hizo el General Ott una diversión en el valle de la Polcevera, y los ingleses hicieron por toda la playa un fuego sostenido contra el flanco de los enemigos. Por una parte se apoderaron de los atrinc</t>
  </si>
  <si>
    <t>les cogimos 4® prisioneros, y 5 cañones. El cuerpo enemigo, que padeció este descalabro, es el del General Ott, que venia de Génova á marchas forzadas, y queria restablecer la comunicación con Plasencia. Como no tengo tiempo de expedir un correo á París, os ruego comuniquéis estas noticias</t>
  </si>
  <si>
    <t>tantes dirigidos á la corte de Viena, y en los quales avisaba que en el momento en que iba orden al General Ott para levantar el bloqueo, despachaba Massena un parlamentario para capitular.----El General austríaco Elsnitz, que ha evacuado á Niza, no ha podido hacer su retirada por el col de</t>
  </si>
  <si>
    <t>e interceptaron é incluí en-mi anterior, habréis visto que el mismo dia que se despachó la orden al General Ott para que levantase ei bloqueo de Genova , pidió el General Massena capitulación por la total falta de víveres. Parece que Massena tiene io© combatientes baxo sus órdenes : el Gene</t>
  </si>
  <si>
    <t>a del General Berthier al primer Cónsul. Quartei general de Broni o de Junio. ,, Sabiendo yo que el General Ott se adelantaba desde Génova con 30 batallones, y habia entrado ayer en Voghera, di orden al General Lannes para que saliese de los puestos de Broni, y atacase á Jos enemigos ¿ñ don</t>
  </si>
  <si>
    <t>arage que juzgase mas conveniente : y entre tanto nada podía emprender Mr. Melas. Por otra parte el General Ott escribió con fecha del 2 que en el instante en que recibía la orden de levantar el bloqueo de Genova, enviaba Massena á Sestri al General Andrieux para tratar de capitulación. Empez</t>
  </si>
  <si>
    <t>inistro austríaco lo firmó quando acababa de récibir noticia de la derrota del cuerpo austríaco del General Ott, y muy pócos dias ántes de saber la derrota aun mas fatal del exercito de Mr. Melas. Los 2 millones de esterlinas deben reembolsarse á razón de 20$ libras anuales: de suerte que s</t>
  </si>
  <si>
    <t>la pérdida de la batalla de Marengo, será juzgado en un consejo ae guerra. Dicen algunos que es el General Ott. El Emperador se había propuesto ir á Hungría para acelerar el alistamiento de las nuevas tropas de aquel Reyno; pero se asegura que no emprenderá su viage hasta la primavera. Los</t>
  </si>
  <si>
    <t>Otto</t>
  </si>
  <si>
    <t>endo el Almirantazgo comunicado á Mr. rDundas, Ministro de S. M., una carta del ciud. Otto", encargado del cange de prisioneros franceses, para informarle que el Ministróle la marina de Francia había escrito á todos los puertos de aquel pais previnié</t>
  </si>
  <si>
    <t>Francia para el armisticio marítimo. „ Respuesta de Mr. Hammond á una nota del ciud. Otto, Comisario francés. Londres $ de Ortubre. El gobierno ingles conoce que seria superflua toda nueva discusión sobre las condiciones de un armisticio por mar, su</t>
  </si>
  <si>
    <t>Oudinot, General</t>
  </si>
  <si>
    <t>General Oudinot</t>
  </si>
  <si>
    <t>da; seguimos peleando todo el dia 12, y quedó herido el General Solignac___ Acaba de llegar aquí el General Oudinot, xefe de la plana mayor general, con noticias del General en xefe* Me hallo actualmente en las alturas de Final y de Melogno. También ha llegado una media brigada. — Vamos á hacer</t>
  </si>
  <si>
    <t>adero de los exércitos de la Repiiblica, concediéndoos un sable de honor.” Qrénova ij de Abril. E 1 General Oudinot ha escrito al ciud. Corveto en estos términos: „Os comunico sin pérdida de tiempo que el General Souchet, al apoderarse del puesto importante de Santiago hizo 2© prisioneros. Vamo</t>
  </si>
  <si>
    <t>r juramento de fidelidad.” Desde el quartel general dé Breglio, con fecha de! 4 de Junio, remite el General Oudinot el siguiente informe de las operaciones del centro del exército desde 28 de Mayo hasta 3 del corriente: ,,E1 General Suchet atacó el 28 á los enemigos delante de la cabeza de puente</t>
  </si>
  <si>
    <t>Ouesnel, General</t>
  </si>
  <si>
    <t>General Ouesnel</t>
  </si>
  <si>
    <t>lo logró. El 29 la 4.a división al mando del General Clausel, y la caballería baxo las órdenes del General Ouesnel, entraron en N iza___El'General Rochambeau con’ su división penetró por JMagnon y S. Isidoro, y se apostó en las alturas de Drappo, al paso que la 4/1 división marchó hácia Monte-</t>
  </si>
  <si>
    <t>Ovalle, Joseph</t>
  </si>
  <si>
    <t>Joseph Ovalle</t>
  </si>
  <si>
    <t>ubtenientes de granade ros* y fusileros, y la Subtenencia de granaderos al Subteniente de fusileros D. Joseph Ovalle: en el'de Avila Compañía de fusileros al Teniente de cazadores , graduado de infantería, D. Antonio Ximenez de Estrada; esta resulta alTeniente de fusileros D. Gil Montaibo ; Tene</t>
  </si>
  <si>
    <t>Ozores de Fuga Sotomayor, Claudio</t>
  </si>
  <si>
    <t>Claudio Ozores de Fuga Sotomayor</t>
  </si>
  <si>
    <t>teniente D. Fernando de la Fuente, y las Subtenencias de bandera al Cadete D011 Manuel Llórente y á D. Claudio Ozores de Fuga Sotomayor: en el de Toledo Tenencias de fusileros al Subteniente de granaderos D. Fermín Grdoñez de S. Pedro, y á los de fusileros D. Pedro Escobar, D. Manuel lísqnivel y Sotomayor y D. Ata</t>
  </si>
  <si>
    <t>Pa, Juan Antonio</t>
  </si>
  <si>
    <t>Juan Antonio Pa</t>
  </si>
  <si>
    <t>el Consejo Real, para la plaza de Ministro de la Junta apostólica» vacante por fallecimiento deESr. D. Juan Antonio Pa2 y Merino. En América. S. M. ha conferido la compañía veterana de dragones fixa del presidio del Carmen al Teniente de ella D. Nieblas* Álvarez"Morigero;</t>
  </si>
  <si>
    <t>Pablen, General</t>
  </si>
  <si>
    <t>General Pablen</t>
  </si>
  <si>
    <t>e granaderos, 12 regimientos de mosqueteros, 3 de cazadores, y un tren de artillería de campaña. El General Pablen, comandante de dicho exército, ha llegado á Grodno con parte de su plana mayor. Los varios cuerpos que debían juntarse en las costas del Báltico irán á aumentar el mencionado exér</t>
  </si>
  <si>
    <t>Pacheco, Antonio</t>
  </si>
  <si>
    <t>Antonio Pacheco</t>
  </si>
  <si>
    <t>a á Ayudante al primer Teniente D. Antonio Falcon : en el de Málaga á segundo Subteniente al Cadete D. Antonio Pacheco : en el de Voluntario* de Castilla á Ayudante al primer Teniente de granaderos D. Juan Xi</t>
  </si>
  <si>
    <t>Pacheco, Felipe</t>
  </si>
  <si>
    <t>Felipe Pacheco</t>
  </si>
  <si>
    <t>encia de granaderos ai Teniente D. Rafael Saravia, y una Subtenencia de bandera al Sargento primero D. Felipe Pacheco: en el de Ciudad-Rodrigo -las Subtenencias de granaderos y cazadores á los Subtenientes D. Juan Antonio Frade y D. Francisco Santa Cruz: en el de Truxiüo las Subtenencias de cazad</t>
  </si>
  <si>
    <t>Pacheco, Miguel</t>
  </si>
  <si>
    <t>Miguel Pacheco</t>
  </si>
  <si>
    <t>o Sanz; á primer Subteniente al segundo D. Juan Cavanillas; y á segundos Subtenientes á los Cadetes D. Miguel Pacheco y D. Ramón de Medina, y al Sargento primero distinguido D. Francisco Avendaño; habiendo nombrado Capellán del primer batallón del de la§ Ordenes Militares al presbítero Don Alberto Ma</t>
  </si>
  <si>
    <t>niente de granaderos al primer Subteniente D. Luis Pcrez de Ribera; á primer Subteniente al segundo D. Miguel Pacheco; y á segundos Subtenientes al Sargento primero D. Juan Aquelino, al de la misma clase del de Saboya Dorí Domingo Martínez, y á los Cadetes D. Pío Falces y D. Ramón Mariano de Alba</t>
  </si>
  <si>
    <t>Pacheco, Ramón</t>
  </si>
  <si>
    <t>Ramón Pacheco</t>
  </si>
  <si>
    <t>o de Compañía antiguó de la catedral de Plasencia, vacante por fallecimientó de B. Martin Togada* á D. Ramón Pacheco. En atención á lós méritos de D. TÓrnas Sacz de Parayuelo, Oidor decano de la Audiencia de Mállórcá y Mífiistró honorario del Consejo de Hacienda, y á los distinguidos servicios q</t>
  </si>
  <si>
    <t>Padriñan, Joseph María</t>
  </si>
  <si>
    <t>Joseph María Padriñan</t>
  </si>
  <si>
    <t>Baámonde; el de Teniente al Subteniente D. Manuel Sánchez de la Peña ; y Subtenencias de bandera á D. Joseph María Padriñan y D. Antonio María Moscoso: Compañía en el de Ciudad-Rodrigo al Teniente de granaderos D. Antonio Pizarro: Tenencias en el de Laredo al Teniente agregado í&gt;* Joseph de Castañeda; en e</t>
  </si>
  <si>
    <t>Pagés, Joseph</t>
  </si>
  <si>
    <t>Joseph Pagés</t>
  </si>
  <si>
    <t>, natural de . Cardedeu , Corregimiento de Granullés...................... 124. Joseph Pagés, hijo de Antonio y María, natural de Ullár, Corregimiento de Gerona............... .................................. 30. Pedro Font, hijo de Mateo y Rosa, natural de Riudare. ñas •, Co</t>
  </si>
  <si>
    <t>Pagés, Tomás</t>
  </si>
  <si>
    <t>Tomás Pagés</t>
  </si>
  <si>
    <t>de Ribert, Corregimiento de Talarn....:.... ...................... . 55. . 30. Tomas Pagés, hijo de Juan y Teresa, natural de CasteJJó , Córrégiítiierítb de Gerona....... ................................... 55. 30. Mariano Sans ¿ hijo de Jos‘eph y Magdalena, natürarde Balagué</t>
  </si>
  <si>
    <t>Paget</t>
  </si>
  <si>
    <t>a Duval con pliegos del Lord Withworth. Al mismo tiempo llegó un correo de gabinete despachado por ¿Mr. Paget, Ministro británico en Florencia. De resultas se celebró un con- * scjo de gabinete, al qual asistiéron el Duque de Portland, los Condes da Spencer, Chatham y Liverpool, el Lord G</t>
  </si>
  <si>
    <t>Palacio y Santibañez, Santiago</t>
  </si>
  <si>
    <t>Santiago Palacio y Santibañez</t>
  </si>
  <si>
    <t>seph Bayo y García de Prado, D. Joseph de Arbizu y Alava, Don Antonio Vázquez de Velasco y Ontañon, D. Santiago Palacio y Santibañez, D. Juan de Torres y Araujo, D. Juan Rubion y Gutiérrez de la Huerta,!). Joseph de Carracedo y Salgado, D. Fernando Ruiz y Villegas, Don Joseph González de la Riva y Vivanco, D. F</t>
  </si>
  <si>
    <t>Palacio, Francisco</t>
  </si>
  <si>
    <t>Francisco Palacio</t>
  </si>
  <si>
    <t>de Argel Guillen, con 750 pies, en 3300, y renta 150. Don Jacinto Ramiro: una casa calle del Gallo, D. Francisco Palacio, con &lt;5893 pies, tasada en 12© rs. y renta 341. Doctor Toledano: una casa junto á las Monjas de Sta. Catalina, que habira el Dr. Laque, con 5300 pies, tasada en 27© rs. y renta'80</t>
  </si>
  <si>
    <t>Palacios y Blanco, Pedro</t>
  </si>
  <si>
    <t>Pedro Palacios y Blanco</t>
  </si>
  <si>
    <t>2 Para el empleo de Alguacil mayor, sin sueldo, de la Real Audiencia de Caracas ha nombrado S. M. á D. Pedro Palacios y Blanco. También ha nombrado el Rey para la Alcaldía mayor de la provincia de Totonicapán, en el Reyno de Guatemala, á D. Francisco Xavier Manzanos y Castillo; y para la de la provincia d</t>
  </si>
  <si>
    <t>Palacios, Juan Ramón</t>
  </si>
  <si>
    <t>Juan Ramón Palacios</t>
  </si>
  <si>
    <t>502 Teniente en el de Lusitania al Capitán D. Juan Angel Moreno y al Teniente D. Juan Ramón Palacios , Teniente y Alférez del mismo cuerpo. £1 Rey se ha servido promover á Alféreces de Fragata de su Real Armada á los Guardias-Marinas siguientes. En i.a fei ha. D. Martin de Mendoz</t>
  </si>
  <si>
    <t>Palacip Velarde, Francisco</t>
  </si>
  <si>
    <t>Francisco Palacip Velarde</t>
  </si>
  <si>
    <t>o Beaumont y Bretón, Abogado de los Reales Consejos, D. Telesforo de Ibarrola, D. Elias Mariategui, D. Francisco Palacip Velarde, D. Isidro López Alban,D. Joseph Hernández San,u Cruz, Don Manuel González Villamil, D. Joseph Rinconada , D. Paulo de Norieí?a, D. Joachín Serra y Franch., D. Eustasio González,</t>
  </si>
  <si>
    <t>Palatino de Hungría, Archiduque</t>
  </si>
  <si>
    <t>Archiduque Palatino de Hungría</t>
  </si>
  <si>
    <t>del Consejo de Estado, que* son diarias: Créese que lio tardará en regresar á Ausgburgo. * •••* El Archiduque Palatino de Elungría salió de Presburgo el dia 3, y llegará el 27 á Buda, adonde irán también SS. MM. Imperiales; y después de pasar algunos dias en aquella ciudad se restituirán á eka con dicho Prínc</t>
  </si>
  <si>
    <t>los de pensión. También ha hecho S. M. presentes magníficos á todas las personas de la comitiva del Archiduque Palatino de Hungría, y dado á cada Guardia noble húngaro una pensión de 800 rublos, y una de 1200 á los Capitanes. Praga 25 de Noviembre. E I General ruso Príncipe Pancration ha llegado aquí con el C</t>
  </si>
  <si>
    <t>se proponen reunir fuerzas crecidísimas á orillas del Rhin: el Gran Duque Constantino de Rusia y el Archiduque Palatino de Hungría mandaran un cuerpo separado cada uno; pero baxo las ordenes de Mr. Suwarow..__ Los franceses por su parte se refuerzan mucho en la izquierda del Rhin; y se cuentan ya 25©hombres q</t>
  </si>
  <si>
    <t>mercurio de Ratisbona se ha publicado que se trata de restablecer el trono de Polonia", dándolo al Archiduque Palatino de Hungría , y que sobie ello han abierto ya negociaciones Rusia y Austria «on Prusia. Hablase también de restablecer la República veneciana , y suponen que. esta es una de las condiciones q</t>
  </si>
  <si>
    <t>terio de Rusia mudanzas que podrán influir mucho en los asuntos políticos de Europa. Ha dirigido el Archiduque Palatino de Hungría circulares á las provincias del Reyno, pidiendo nuevos socorros en dinero y granos, á fin de sostener la guerra. Angsburgo $ de.Febrero. P or orden del Emperador Paulo I se obliga</t>
  </si>
  <si>
    <t>Ulm revistará los batallones y refuerzos que se adelantan hácia el Danubio. También se dice que el Archiduque Palatino de Hungría va á tomar el mando del exército de Italia con muchas tropas recien reclutadas.---- Están sumamente desavenidos los xefes del exército de Mr. Kray. El General Staray dio. orden á</t>
  </si>
  <si>
    <t>Palatino, Archiduque</t>
  </si>
  <si>
    <t>Archiduque Palatino</t>
  </si>
  <si>
    <t>fiestas que hubo en el palacio de Gratschina para celebrar el casamiento de la Gran Duquesa con el Archiduque Palatino, las quales fueron muchas y todas magníficas, y concluyéron con un gran bayle, llamado de familia, en que volvió á permitirse baylar alemandas, que desde el último carnaval estaba</t>
  </si>
  <si>
    <t>reses vacunas y 7c© carneros para servicio de los ejércitos imperiales. Ya llegó á esta capital el Archiduque Palatino, pero no sale todavía al publico: pues espera para ello la llegada de la Archiduquesa su esposa, Ja que no puede tardar, en atención á que está dispuesta para el día 11 la primer</t>
  </si>
  <si>
    <t>en los exército$vJE£l Archiduque Fernando mandará una de las divisiones del exército del Rhin : el Archiduque Palatino está nombrado General del cuerpo de reserva destinado á proteger las operaciones del exército de Italia, el qual se forma en los contornos de Udina; y el Archiduque Juan mandará el</t>
  </si>
  <si>
    <t>de los estados, según lo previene la constitución (Jo qual produxo mucho, desasosiego) resolvió el Archiduque Palatino convocar: la junta de dichos estados en Buda para sancionar aquella orden: y en efecto aprobada en debida forma, se proclamó en los términos ordinarios. En Bohemia han consentido</t>
  </si>
  <si>
    <t>l rescripto de nuestro Soberano en orden al armamento general dé eátc Reyno. Asistió á &lt;$te acto el Archiduque Palatino; y dicho rescripto contiene en suma lo siguiente: „E1 año de 1796 ofreció la nación húngara m annamentp general» y se admitió su oferta para quando se necesitase. Llegó este caso</t>
  </si>
  <si>
    <t>allería se costea por los estados, y se reunirá toda en las cercanías de OJdemburgo; allí tendrá el Archiduque Palatino su quartel general. Acaba de formarse una junta encargada especialmente de quanto tiene relación con el enganche de reclutas, el transporte y el abasto de los exércitos: la presid</t>
  </si>
  <si>
    <t>podrá resistir áftaq crecidas fuerzas reunidas contra las suyas. ' 7 Presburgo 24 de Octubre. 1 'A Archiduque Palatino pasará quanto antes revista á los varios cuerpos de paisanos armados que vienen de las provincias situadas á la parte de acá del D ntibio, y luego se trasladará á Oedemburgo, en d</t>
  </si>
  <si>
    <t>iudades. El General Alvinzi ha ido de Offen al quartel general de Oedenburgo, en donde se espera al Archiduque Palatino, que está actualmente recorriendo los principales Condados para acelerar la marcha de los contingentes. Ademas de este armamento del pueblo húngaro, algunas ciudades y Señores de</t>
  </si>
  <si>
    <t>pone del armamento general de Hungría y Austria,y de 7 á 8® hombres de tropas de línea; lo manda el Archiduque Palatino. Vierta 2 de Noviembre. H a dispuesto el Emperador que en el Austria se forme un cuerpo de milicias semejante al de Bohemia.__ Los estados de este último Reyno haa señalado á peti</t>
  </si>
  <si>
    <t>Palin</t>
  </si>
  <si>
    <t>e Bfinjckinan , ,Encargado dencgOciosque ha sido de esta corte en -París. Trae ,su, myger.&lt;jir1 Í3Í Mr. Palin ,Sectetar¡ode lá Embaxada sueca en la Puerta Otomana^ ha, i tenido licencia Real para ausentarse de Constantinopla, y vendrá á Ratisbona. b n Copenhague 0.3 de Agosto. I. Ua esqua</t>
  </si>
  <si>
    <t>Pallas, Antonio</t>
  </si>
  <si>
    <t>Antonio Pallas</t>
  </si>
  <si>
    <t>o de Gerona..................................................... 55. 30. Cabo.. Antonio Pallas , hijo de Joseph y Antonia , natural de M.nresa, Corregimiento Ídem............................................ 124. Otro... F jrancisco Truno, hijo de otro y Esperanza", natural de Pian</t>
  </si>
  <si>
    <t>Palomares, Francisco Xavier</t>
  </si>
  <si>
    <t>Francisco Xavier Palomares</t>
  </si>
  <si>
    <t>les enseñará á leer en impresa y manuscrito , y ea latín} á escribir según el carácter de letra de D. Francisco Xavier Palomares y de' Di Torquato Torio con sus reglas y preceptos, y mas formas de letra a quien ío apetezca} contar , aritmética inferior y superior, y geometría en caso necesario, ortografía teóric</t>
  </si>
  <si>
    <t>Palomino Araque, Francisco</t>
  </si>
  <si>
    <t>Francisco Palomino Araque</t>
  </si>
  <si>
    <t>rs.__ Otra en la cuesta del Valle, renta 2co rs. Estas quatro fincas son del patronato del maestro D. Francisco Palomino Araque. __ Al pósito del patronato de Luis de Aguilar pertenecen 50 cuerdas de tierra de labor , término del lugar de Fuerte del Rey, arrendadas á veimiento de fieles----- Un cortijo arr</t>
  </si>
  <si>
    <t>Palomino, Manuel</t>
  </si>
  <si>
    <t>Manuel Palomino</t>
  </si>
  <si>
    <t>oseph Cuero y Cayedo , Obispo de Cuenca del Perú. El Rey Ntro. Sr. se ha dignado conceder permiso á D. Manuel Palomino, profesor de pintura, para que tenga una escuela pública de principios del dibuxo á ios jóvenes que quisiesen seguir las bellas artes, proporcionándoles los disenos necesarios á l</t>
  </si>
  <si>
    <t>Pan, Gregorio</t>
  </si>
  <si>
    <t>Gregorio Pan</t>
  </si>
  <si>
    <t>Yañez, y las demas á D. Nicolás de la Riva, D. Vicente Velazquez, D. Benigno Yañez, D. Juan Llanas, D. Gregorio Pan y D. Julián García. AlgcCiras 13 de Agosta, H oy á lafc 6 de la tarde fondeó en esta bahía el bergantín ingles el Alerta, de porte.de 140 toneladas, su Capitán Jayme Crabtree, cargado</t>
  </si>
  <si>
    <t>Pancaldi</t>
  </si>
  <si>
    <t>, y Ministro que ha sido de Guerra: para el despacho de Negocios extrangeros el ciud. Pancaldi, Consultor legal que fue del gobierno: para el de Hacienda el ciud. Soldini, y para el de Policía y Justicia el ciud. Smancini, individuo que era de la Consult</t>
  </si>
  <si>
    <t>Pancoldi</t>
  </si>
  <si>
    <t>sa: le introduxo en la audiencia su predecesor el ciud. Colla, acompañándole el ciud. Pancoldi, Inspector general de Relaciones exteriores. El Presidente de la junta executiva recibió con mucho afecto al nuevo diputado, y le entregó, como también á su an</t>
  </si>
  <si>
    <t>Pancration, General</t>
  </si>
  <si>
    <t>General Pancration</t>
  </si>
  <si>
    <t>l, que «cumplió óranos el.dia'fi^ del mesxijtlmo/ acabade llegar aquí, en donde también se halla el General Pancration. — Se asegura que el propio correo ha traído orden para que las tropas rusas suspendan su retirada, por haber conseguido el gaoinete de Víena que él de Pétérsburgo no se separe de</t>
  </si>
  <si>
    <t>Pancration, Príncipe</t>
  </si>
  <si>
    <t>Príncipe Pancration</t>
  </si>
  <si>
    <t>o una pensión de 800 rublos, y una de 1200 á los Capitanes. Praga 25 de Noviembre. E I General ruso Príncipe Pancration ha llegado aquí con el Coronel Hewitzki y 2 Ayudantes. Asimismo el Gran Duque Constantino vino á esta ciudad con una numerosa comitiva: se detuvo 2 dias, y salió para Brunn. Va á</t>
  </si>
  <si>
    <t>al embarco que se dice harán estas tropas, unos aseguran que solamente 15© hombres mandados por el Príncipe Pancration irán á Inglaterra; pero otros sostienen que se embarcará la mayor parte del exército con su General Suwarow, el qual al frente de 8o© hombres entre rusos é ingleses hará un desemb</t>
  </si>
  <si>
    <t>rtillería y de todos los equipages que se requiere para entrar en Campaña. M'andárá estas tropas el Príncipe Pancration. Sin embargo de que la reunión de unas fuerzas tan crecidas se hace en fas fronteras de los estados austríacos, no se advierte que infundan inquietud en el gabinete de Viena, pues</t>
  </si>
  <si>
    <t>Si6 teras austríacas. Ademas del exército que mandará el Príncipe Pancration (el qual consta de 4 divisiones, cada una de 20% hombres) se habla de otro de 5o© combatientes de la propia nación, que s'e forma en Lithuania y cerca del Báltico. Extracto de una</t>
  </si>
  <si>
    <t>Pándelo, Antonio</t>
  </si>
  <si>
    <t>Antonio Pándelo</t>
  </si>
  <si>
    <t>de granaderos y cazadores los dos primeros, D. Pedro Joseph Espadero, Don Francisco Casal y Marado, D. Antonio Pándelo, D. Antonio .María Moscoso y D. Miguel Zancada; y Subtenencias de bandera en los de Toledo y Laredo á D. Juan Manuel Iglesias y D. Sebastian de S. Juan González. En América. El Re</t>
  </si>
  <si>
    <t>Pando, Rafael</t>
  </si>
  <si>
    <t>Rafael Pando</t>
  </si>
  <si>
    <t>ueva de la plaza mayor , se perdió un vale Real de igo pesos, creación de ig de Marzo, endosado por D. Rafael Pando, de este comercio, á favor de: I). Joseph Barbado. Quien lo haya encontrado lo devolverá al P. Sacristán de S» Gil. D. Angel González de Villanueva, de Cádiz, remitió el 13 de Dic</t>
  </si>
  <si>
    <t>Pando, Ventura</t>
  </si>
  <si>
    <t>Ventura Pando</t>
  </si>
  <si>
    <t>iento de caballería del Príncipe se ha servido S. M. promover á segundos Tenientes ,á los Alféreces D. Ventura Pando y D. Lorenzo San Miguel : en el de Bprbon á Ayudante al primer Teniente D. Juan Qua-drado: en el de Alcántara á segundo Teniente al Alférez 1&gt;. Pedro Gómez: en el de Algarbe á segundo</t>
  </si>
  <si>
    <t>Panin, Conde</t>
  </si>
  <si>
    <t>Conde Panin</t>
  </si>
  <si>
    <t>audiencia á los Ministros recien llegados de Prusia, Suecia y Dinamarca, y mandó al Vice-Canciller Conde Panin recibiese sus credenciales en nombre suyo. Stockolmo 2$ de Julio. H a nombrado S. M. para Mariscal de la corte á Mr.Loewenskioeld, Ayudante en xefe, y Consejero que ha sido de la</t>
  </si>
  <si>
    <t>seaba conferir dicha orden de S. Fernando al Consejero privado Conde Ropotschin'y ál Vice-Canciller Conde Panin, en consideración i sus talentos y dignidades. S. M. Imperial aprobó el deseo de su fiel aírd.v y entregó á los agraciados las insignias de aquella orden. Queriendo iai !</t>
  </si>
  <si>
    <t>Parames, Antonio</t>
  </si>
  <si>
    <t>Antonio Parames</t>
  </si>
  <si>
    <t>empleo de Capitán en el regimiento de milicias disciplinadas de infantería de Guayaquil al Teniente D. Antonio Parames: este empleo al Subteniente de granaderos D. Pablo Mundicia: sus resultas al Subteniente de fusileros D. Joseph Julián del Campo; y la vacante, que este dexa, al Cadete D. Domingo</t>
  </si>
  <si>
    <t>Pardo, Benito</t>
  </si>
  <si>
    <t>Benito Pardo</t>
  </si>
  <si>
    <t>o casas están comprehendidas en ía manzana 60 de esta villa, y son pertenecientes á las memorias de D. Benito Pardo, fontanero mayor .que fue de ella ; sus remates se han de celebrar en ios dias expresados, de doce á una de sus respectivas tardes, en el pórtico de Ja lieal cárcel de esta villa</t>
  </si>
  <si>
    <t>dé una casa sita en la calle de Toledo, núm. 9, manzana 144, perteneciente £ las memorias que fundó D. Benito Pardo, Fontanero mayor que fue de Madrid, tasada en 196/990 rs., incluso el sitio que comprehende 3868 pies; y dan por ella 131.827 rs. Quien quiera comprarla ocurra á la escribanía del</t>
  </si>
  <si>
    <t>ubasta una casa sita en la calle de Toledo , núm. 9 , manzana 144 , perteneciente á las memorias de D. Benito Pardo, tasada en 196,990 rs.; dan por ella 131,827. Y se ha señalado para el remate el 17 del corriente de doce á una de la tarde en el pórtico de la Real cárcel de esta villa. Por prov</t>
  </si>
  <si>
    <t>Pardo, Francisco</t>
  </si>
  <si>
    <t>Francisco Pardo</t>
  </si>
  <si>
    <t>ias á segundos Tenientes al primer Subte-' niente D. García Valledor y al Subteniente de granaderos D. Francisco Pardo ; á Subtenientes de granaderos á los primeros Subtenientes D. Antonio Valladáres , D..Tomas de Ben y D. Francisco Xavier González ^graduado de Teniente ; á primeros Subtenientes a</t>
  </si>
  <si>
    <t>Pardo, Joseph</t>
  </si>
  <si>
    <t>Joseph Pardo</t>
  </si>
  <si>
    <t>utista Maure ; á primer Subteniente al segundo D. Joachin Fontán, y á segundo Subteniente al Cadete D. Joseph Pardo: e'n e! de Jaén á segundo Teniente al primer Subteniente D. Francisco Munarriz, y á esta resulta al segundo Subteniente, graduado de Teniente, D. Francisco Alegré: en el de las Or</t>
  </si>
  <si>
    <t>Pardo, Ramón</t>
  </si>
  <si>
    <t>Ramón Pardo</t>
  </si>
  <si>
    <t>gunda el Alférez de Fragata D. Miguel Godoy, el Ayudante mayor del Rey D. Miguel Planes y el Cadete D. Ramón Pardo; y heridos los primeros Tenientes de Asturias D. Joseph de Zayas y D. Andrés Ortiz ; el Comandante del tercer batallón del Rey Don Rodulfo Gautier y el Subteniente de granaderos d</t>
  </si>
  <si>
    <t>Paredes, Juan</t>
  </si>
  <si>
    <t>Juan Paredes</t>
  </si>
  <si>
    <t>do el Rey Tenientes veteranos del regimiento de milicias disciplinadas de infantería de la Havana á D. Juan Paredes, que lo era del batallón de milicias de Cuba y Bayamo; á los Sargentos primeros del mismo regimiento D. Joseph de Nova y D. Santiago González, y á D. Andrés Bequet, soldado distin</t>
  </si>
  <si>
    <t>Pareja y Mariscal, Juan Ignacio</t>
  </si>
  <si>
    <t>Juan Ignacio Pareja y Mariscal</t>
  </si>
  <si>
    <t>, D. Antonio Gandarillas y Quixano , D. Juan de Ordaz Y -tizón, D. Fernando del Piélago y Arguedas, D. Juan Ignacio Pareja y Mariscal, D. Juan Miguel Pareja y Mariscal, D. Ramón de Bustamante y V elez, D. Antonio García y Navarro , D. Joachín de Rivas y Lana, I&gt;. \ ictoruno García Valdés, D. Juan de Vedia y Gonz</t>
  </si>
  <si>
    <t>Pareja y Mariscal, Juan Miguel</t>
  </si>
  <si>
    <t>Juan Miguel Pareja y Mariscal</t>
  </si>
  <si>
    <t>, D. Juan de Ordaz Y -tizón, D. Fernando del Piélago y Arguedas, D. Juan Ignacio Pareja y Mariscal, D. Juan Miguel Pareja y Mariscal, D. Ramón de Bustamante y V elez, D. Antonio García y Navarro , D. Joachín de Rivas y Lana, I&gt;. \ ictoruno García Valdés, D. Juan de Vedia y González, D. Joseph de Rezustay Goicoe</t>
  </si>
  <si>
    <t>Parga, Vicente</t>
  </si>
  <si>
    <t>Vicente Parga</t>
  </si>
  <si>
    <t>Fernando-Garayoa un mes en el castillo de la Mota; y el propio tiempo de arresto en otro castillo á D. Vicente Parga, primer Teniente de-infontería de León, y testigo en la causa. Todo lo qual comunico á V. E. de orden de S. M-. para su puntual cumplimiento en la parte que le toca; en la intelig</t>
  </si>
  <si>
    <t>Parnell</t>
  </si>
  <si>
    <t>presupuesto del consentimiento de la Cámara al acto de unión, y por consiguiente como anticipada; y Mr. Parnell censuró la idea de presentar un bilí por el qual se reconocía al Parlamento imperial antes que existiese. El Canciller del Echiquier dixo que la proposición de este bilí era conse</t>
  </si>
  <si>
    <t>Parnell, Juan</t>
  </si>
  <si>
    <t>Juan Parnell</t>
  </si>
  <si>
    <t>n fue muy larga la sesión del 13, y tan reñida que duráron los debates hasta las 4 de la madrugada. Mr. Juan Parnell pidió que se disolviese el Parlamento; pero se desechó su proposición por 250 votos contra 104. El dia 14 se adoptáron los artículos 6.° y 7.0----Así que se aprueben en el Parlame</t>
  </si>
  <si>
    <t>Parodi, Joseph Agustín</t>
  </si>
  <si>
    <t>Joseph Agustín Parodi</t>
  </si>
  <si>
    <t>pañolas. En el cuerpo de cazadores del Rio Hacha se ha servido el Rey conferir Compañía al Teniente D. Joseph Agustín Parodi : esta Tenencia al Subteniente D. Nicolás de Barros; y Subtenencias á D. Juan León Garavito y D. Joseph Vicente Frías, el primero Sargento distinguido del mismo cuerpo. Por Real r</t>
  </si>
  <si>
    <t>Parody, Joseph</t>
  </si>
  <si>
    <t>Joseph Parody</t>
  </si>
  <si>
    <t>al Subteniente de granaderos D. Pedro Fernandez; á Subteniente de granaderos al primer Subteniente D. Joseph Parody, y á primer Subteniente al segundo D. Juan César Lyons. En el de caballería de la Reyna se ha servido también S. M. promover a Capitán al Ayudante D. Joseph Taberner: en el de Bor</t>
  </si>
  <si>
    <t>Parreño, Joachín</t>
  </si>
  <si>
    <t>Joachín Parreño</t>
  </si>
  <si>
    <t>iUar; á segundos Tenientes al Subteniente de granaderos D. Roque ,Garralon, y al primer Subteniente D. Joachín Parreño; á Subtenientes de granaderos á los primeros Subtenientes D. Rafael Galli y D. Vicente Aliento; á primeros Subtenientes á los segundos D. Joachín Rujas y P. Juan Veguer; y á segun</t>
  </si>
  <si>
    <t>Parsons</t>
  </si>
  <si>
    <t>ntó su informe la junta encargada de examinar el mensaje del ministerio sobre el proyecto de unión. Mr. Parsons dixo que habiéndose ya ventilado el asunto , no tenia sino algunas observaciones que hacer. Aseguró que el proyecto era contrario al deseo de todos los irlandeses; que sus artícul</t>
  </si>
  <si>
    <t>Pasalagua y Martínez, Joseph</t>
  </si>
  <si>
    <t>Joseph Pasalagua y Martínez</t>
  </si>
  <si>
    <t>Martin de Mendoza y Puerto, D. Felipe Ibargiien y Ximenez, I). Francisco Solís y Ximenez de Zucita, D. Joseph Pasalagua y Martínez, D. Diego de Aguirre y Rosales, D. Antonio Climent y García, D. Manuel de Cárdenas y Castillo de las Peñas, D. Juan Albornoz y Calafat, D. Joachín de Toledo y Parra, D. Joachín Le</t>
  </si>
  <si>
    <t>Pascale, Pedro</t>
  </si>
  <si>
    <t>Pedro Pascale</t>
  </si>
  <si>
    <t>as Walonas D. Pedro Dalesme: en el de granaderos Voluntarios de Estado á primer Teniente al segundo D. Pedro Pascale, y á segundo Teniente al Subteniente Don Pedro Faustino González: en el de Ñapóles á primer Subteniente al segundo D. Pablo Baliñani, y á segundo Subteniente al Sargento primero'D</t>
  </si>
  <si>
    <t>Pascasio Ortuño, Christóbal</t>
  </si>
  <si>
    <t>Christóbal Pascasio Ortuño</t>
  </si>
  <si>
    <t>la, y Canongia unida de la catedral de Coria, vacante por fallecimiento de Don Toachin Rodríguez, á D. Christóbal Pascasio Ortuño: para el Arcedianato de G.disteo, que este obtiene en la misma iglesia y resultará vacante, a D. Meliton Zorrilla de San Martin: para la Canongia de la catedral de Tuy, vacante po</t>
  </si>
  <si>
    <t>Pascual Canut</t>
  </si>
  <si>
    <t>el de Saboya á primer Subteniente al segundo D. Miguel de Castro; y á segundo Subteniente al Cadete D. Pascual Canut: en el de Hibernia á Capitán al primer Teniente de granaderos, graduado de Teniente Coronel, D. Miguel Schelly; á primer Teniente de granaderos al de fusileros D. Alexandro O-Donn</t>
  </si>
  <si>
    <t>Pascual Carrasco, Pedro</t>
  </si>
  <si>
    <t>Pedro Pascual Carrasco</t>
  </si>
  <si>
    <t>D. Francisco Alegré: en el de las Ordenes Militares á primer Teniente de granaderos ai de fusileros D. Pedro Pascual Carrasco; á primeros Tenientes á los segundos de granaderos D. Joseph Yañez y Don Máximo Miralles, y á los de fusileros D. Manuel Ballesteros y D. Pedro Patino; á segundos Tenientes de gra</t>
  </si>
  <si>
    <t>Pascual Cútala</t>
  </si>
  <si>
    <t>egui y Don Francisco Peña y Valles ; las Tenencias de dichas compañías á los Tenientes de fusileros D. Pascual Cútala y D. Lorenzo Miralles, y las Subtenencias á los Subtenientes D. Antonio Villaroig y D. Joseph del Rio y Gasaba: en el de Oviedo la compañía de cazadores al Capitán D. Fernando de las</t>
  </si>
  <si>
    <t>Pascual del Cañizo y Pareja</t>
  </si>
  <si>
    <t>Lana, I&gt;. \ ictoruno García Valdés, D. Juan de Vedia y González, D. Joseph de Rezustay Goicoechea, D. Pascual del Cañizo y Pareja , D. Dionisio Capaz Renden , D. Christóbal de Torres y Venegas , D. Manuel de Cárdenas y Osorio, D. Manuel Diqz y Martínez, D. Joachín de Irías y Atolla y Don Juan: González ÍVmri</t>
  </si>
  <si>
    <t>Pascual Escrich</t>
  </si>
  <si>
    <t>mbrilla, en el obispado de Córdoba , vacante por fallecimiento de D. Joseph Fernandez Hinestrosa, á D. Pascual Escrich, con la obligación de servir por sí mismo la capellanía del reclusorio titulado de Arrepentidas de Santa María Egipciaca de Madrid, para que S. M. acaba de nombrarle; y para el Be</t>
  </si>
  <si>
    <t>Pascual Francisco Virrey</t>
  </si>
  <si>
    <t>es, y en la librería de Escribano, calle de las Carretas. Tratado de cirugía y medicina del célebre D. Pascual Francisca Virrey , Doctor en. medicina en la universidad de Valencia, opositor á cátedras .y- catedrático extraordinario, escritor público de medicina y cirugía , y académico honorario de la Real</t>
  </si>
  <si>
    <t>Pascual García Montañés y Cárdenas</t>
  </si>
  <si>
    <t>ranaderos al segundo de fusileros D. Francisco Xavier de Gorostiza; y á segundo Teniente al Alférez D. Pascual García Montañés y Cárdenas. En el de Reales Guardias Walonas á Capitán de granaderos al de fusileros y Brigadier D. Francisco de Sire Dubassard. En eí de infantería de Saboya á Subteniente de granaderos al</t>
  </si>
  <si>
    <t>Pascual García, Pedro</t>
  </si>
  <si>
    <t>Pedro Pascual García</t>
  </si>
  <si>
    <t>buenos y dilatados servicios de mas de 6o anos, contraidos en la Contaduría general de Cruzada por D. Pedro Pascual García, Oficial mayor de ella habilitado para exercer de Contador, se ha dignado el Rey de condecorarle con los honores de su Secretario. Desde-15 de Febrero hasta 31 de Marzo siguiente</t>
  </si>
  <si>
    <t>Pascual Mateo, Félix</t>
  </si>
  <si>
    <t>Félix Pascual Mateo</t>
  </si>
  <si>
    <t>catedral de Panamá á D. Manuel de Albino y Obregon: para el Arcedianato, que este dexa, al Chantre D. Félix Pascual Mateo: para la Chanrría ai Maestrescuela D. Tomas Antolin Baxo y Ozerin: para la Maest pesco lía al Tesorero D. Pedro Joseph Casis de la Torre: para la Tesorería ai Canónigo D. Pedro Ju</t>
  </si>
  <si>
    <t>Pascual Pous</t>
  </si>
  <si>
    <t>ento primero de granaderos D. Manuel González: en el de Guadalaxara á primer Subteniente al segundo D. Pascual Pous, y á segundos á los Cadetes D. Manuel Bustamante y D. Antonio Hurtado: en el de Zaragoza á Subteniente de granaderos al primer Subteniente D. Blas Ximenez y Liam</t>
  </si>
  <si>
    <t>Pascual Quartero</t>
  </si>
  <si>
    <t>ación cesárea (venciendo mucha resistencia de su marido y familia); y la executó con mucha destreza D. Pascual Quartero, cirujano de Ja villa , que extraxo una niña de bastante magnitud, viva y sin lesión alguna , la qual recibió el agua del bautismo, y vivió tres horas : siendo aun mas maravilloso</t>
  </si>
  <si>
    <t>Pascual Roig, Juan</t>
  </si>
  <si>
    <t>Juan Pascual Roig</t>
  </si>
  <si>
    <t>l quarto tercero, que se reserva y queda en propiedad para los Capellanes mayores de la obra pia de D. Juan Pascual Roig (á que corresponde dicha casa), en 197,293 rs. Quien quiera hacer postura á ella ocurra á la citada escribanía del número. Por D. Manuel Angel Carrancio, Abogado de los Reales Con</t>
  </si>
  <si>
    <t>Pascual Tomás Maupoey</t>
  </si>
  <si>
    <t>. Vicente Amat y D. Gregorio Di.iz; y á segundos Subtenientes á los Cadetes D. Pedro Miguel de l¡z, D. Pascual Tomas Maupoey y D. Ildefonso Periche, este del de Murcia, y á Jos Sargentos primeros D. Joachín Montalva, de granaderos, D. Francisco Fernandez y D. Manuel Cimorra: en el de Saboya á primer Subteni</t>
  </si>
  <si>
    <t>Pascual y Vaz, Jacinto</t>
  </si>
  <si>
    <t>Jacinto Pascual y Vaz</t>
  </si>
  <si>
    <t>este cuerpo D. Juan de Emneter ; y ha nombrado Capellán del de infantería de Navarra. aL presbítero D. Jacinto Pascual y Vaz. Atendiendo el Rey á la ilustre y antigua nobleza de D. Lorenzo Ron Peñaroxa , en el Rcyno de Valencia, á sus enlaces con personas que obtienen Grandeza de España y títulos, y otr</t>
  </si>
  <si>
    <t>Pascual, Manuel</t>
  </si>
  <si>
    <t>Manuel Pascual</t>
  </si>
  <si>
    <t>romete hacer algunos si se le encargan: su precio será i$eo rs. cada uno, reconocido y aprobado por D. Manuel Pascual, organista y Racionero de la catedral de dicha ciudad. Por comisión especial del Real y supremo Consejo, conferida al R Obispo do Tarazona, para que con los bienes de la testament</t>
  </si>
  <si>
    <t>Pascual, Rafael</t>
  </si>
  <si>
    <t>Rafael Pascual</t>
  </si>
  <si>
    <t>ra Cadete de número al supernumerario D. Domingo Estevez ; y para Cadete supernumerario- al Guardia D. Rafael Pascual. Asimismo se ha servido S. M. promover en el regimiento de infantería ¡az y a primer Matemente. at segunao li. .manano rastor: en ei de Navarra á Ayudante al primer Teniente D. Ch</t>
  </si>
  <si>
    <t>Pascuau Esponera, Pedro</t>
  </si>
  <si>
    <t>Pedro Pascuau Esponera</t>
  </si>
  <si>
    <t>agregado al de Villaviciosa, D. Joachin de v\ccdo; y á Ayudante, con grado de Capitán, al Teniente D. Pedro Pascuau Esponera. 1 También ha nombrado el Rey Capellanes de los regimientos de granaderos Voluntarios de Estado y caballería de Alcántara á los Presbíteros D. Joseph García Fernandez y D. Atanasi</t>
  </si>
  <si>
    <t>Pasoual Moreno</t>
  </si>
  <si>
    <t>te al Subteniente de granaderos D. Baltasar Briz; á Subteniente de granaderos al primer Subteniente D. Pasoual Moreno; á primer Subteniente al segundo D. Pedro Morell, y á segundo Subteniente al Cadete D. Joseph de la Torre: en el de León á primeros Tenientes á los agregados en esta clase D. Ramó</t>
  </si>
  <si>
    <t>Pasqual Ballester, Manuel</t>
  </si>
  <si>
    <t>Manuel Pasqual Ballester</t>
  </si>
  <si>
    <t>; á primer Subteniente al segundo Don Francisco Espejo y Ramírez, y á segundo Subteniente al Cadete D. Manuel Pasqual Ballester: habiendo también nombrado S. M. Capellán del primer batallón del de infantería de Burgos al Presbítero D. Diego Mariano ^^iXeme se ha servido promover en el batallón de infanterí</t>
  </si>
  <si>
    <t>Pasqual, Rafael</t>
  </si>
  <si>
    <t>Rafael Pasqual</t>
  </si>
  <si>
    <t>mericana del Real Cuerpo de Guardias de Corps ha nombrado el Rey Cadete de numero al supernumerario D. Rafael Pasqual, y por Cadete supernumerario al Guardia D. Joseph Medina. En atención al distinguido mérito y servicios de D. Pedro Joachin de Murcia, Ministro del Consejo Real, y Colector genera</t>
  </si>
  <si>
    <t>Pastoret, Pedro</t>
  </si>
  <si>
    <t>Pedro Pastoret</t>
  </si>
  <si>
    <t>Ciutadilla, Corregimiento-de Cervera................................... 55. 30. Pedro Pastoret, hijo de Otro y María, natural de Figueras, Corregimiento de Gerona.................... ............... 55. 30. Pedro Marull, hijo de otro y Reparada, natural de San Pol, Corregimiento</t>
  </si>
  <si>
    <t>Patino y Acevedo, Juan</t>
  </si>
  <si>
    <t>Juan Patino y Acevedo</t>
  </si>
  <si>
    <t>del Hoyo y Ortiz, D. Francisco del Solar y los Corrales, D. Manuel López de la Barrera y Cotarelo, D. Juan Patino y Acevedo, D. Juan de Sotomayor y Barranco, D. Joseph de Soubiran y Montealm, D. Fernando Muñoz y Abreu,D. Aii toni'o Tacón y Rosique, D. Salvador Spadafora,D. Ramón Caamaño, Don Isidoro Po</t>
  </si>
  <si>
    <t>Patricio de Alcalá, Antonio</t>
  </si>
  <si>
    <t>Antonio Patricio de Alcalá</t>
  </si>
  <si>
    <t>ra el Arcedianato, que este dexa, al Chantre D. Pedro Miguel Martínez: para la Chantría al Tesorero D. Antonio Patricio de Alcalá: para la Maestrescolía al Canónigo Magistral D. Joseph Francisco López Mendez: para la Tesorería al Canónigo D. Baltasar Moreno: para esta resulta á D. Domingo Lander, cesándole l</t>
  </si>
  <si>
    <t>no de la catedral de Caracas, en América, para el Deanato de la misma: para esta resulta al Chantre D. Antonio Patricio de Alcalá: pira la Chantría al Maestrescuela D: Joseph Francisco López Mendez: para la Maestrescolía al Tesorero D. Baltasar Moreno: para la Tesorería al Canónigo D. Domingo Lander; y para</t>
  </si>
  <si>
    <t>Patricio Lacámara</t>
  </si>
  <si>
    <t>e de ellos avisará iD. Angel Moreno Libarria, oficial de la Real tesorería en Madrid : en Badajo* i D. Patricio Lacámara : en Mérida á D. Alonso Atanasio Pacheco ; y en Truxillo á Don Francisco Sanz de Soria. El 24 de Abril robáron á Mateo Fresno , ordinario de la villa del Barco, entre el lugar de</t>
  </si>
  <si>
    <t>Patricio Moreno, Ramón</t>
  </si>
  <si>
    <t>Ramón Patricio Moreno</t>
  </si>
  <si>
    <t>trava. También se ha dignado nombrar el Rey para la Alcaldía mas moderna de la ciudad de Valencia á D. Ramón Patricio Moreno. En América* El Rey se ha servido nombrar para la Cánongía Lectoral dé la catedral de Cuba á-D. Joseph Nicolás Ferrera. También ha nombrado S. M. para la Contaduría Real de diezmo</t>
  </si>
  <si>
    <t>Patricio Ontañon</t>
  </si>
  <si>
    <t>onde; á segundos Tenientes á los Subtenientes de granaderos D. Ramón Oller, graduado de Teniente, y D. Patricio Ontañon, y á los primeros Subtenientes D. Francisco CamiJIery y D. Bartolomé de la Vega; á Subtenientes de granaderos á los primeros Subtenientes D. Clemente Lanza, D. Atanasio Revuelta y</t>
  </si>
  <si>
    <t>Patricio Sánchez</t>
  </si>
  <si>
    <t>ctámen de D. Juan Fernandez del Valle en su Cirugía forense, y otros puntos útiles y curiosos : por D. Patricio Sánchez, uno de los Médicos titulares de la villa de Agreda. Se hallará en la librería de Mafeo con el primer tomo de segunda edición, y el segundo , juntos ó separados, y en Haro en casa</t>
  </si>
  <si>
    <t>Patrin</t>
  </si>
  <si>
    <t>ta Fe; xergon de la villa de Medellin : investigaciones sobre los volcanes, del ciudadano Patrin ; del terremoto que se observó en el reyno de Quito en 1797 : descripción de algunas plantas nuevas: observaciones sobre algunos vegetales que producen resina</t>
  </si>
  <si>
    <t>Paul, Francisco</t>
  </si>
  <si>
    <t>Francisco Paul</t>
  </si>
  <si>
    <t>e al primer Subteniente, graduado de Teniente, D. Vicente Ricafort; á primer Subteniente al segundo D. Francisco Paul; y á segundo Subteniente al Sargento primero D. Macario Higuera: en el regimiento de cazadores de la Corona á primer Teniente al segundo de tiradores D. Amonio Ponce; á segundo Te</t>
  </si>
  <si>
    <t>Paula del Rey, Francisco</t>
  </si>
  <si>
    <t>Francisco Paula del Rey</t>
  </si>
  <si>
    <t>. £ ¿1 Rey ha nombrado Auditor de Guerra del exército y. Capitanía general de la costa de Granada á D. Francisco Paula del Rey. S. M. se ha servido conferir la segunda Alcaydía de la puerta del mar de Cádiz, vacante por fallecimiento de D. Manuel Borgoña, al Chitan D. Antonio Ducrós, primer Teniente que f</t>
  </si>
  <si>
    <t>Paula Velasco y Cabrera, Francisco</t>
  </si>
  <si>
    <t>Francisco Paula Velasco y Cabrera</t>
  </si>
  <si>
    <t>s de fusileros D. Manuel Gil de la Torre, y D. 'ladeo Ortiz y Moreno, y la Subtenencia de bandera á D. Francisco Paula Velasco y Cabrera: en el de Salamanca Compañía de fusileros al Teniente -de cazadores D. Joachín de Tapia; esta resulta al Teniente de fusileros, graduado de infantería, D. Pedro López Ontiveros; T</t>
  </si>
  <si>
    <t>Paulin, Joseph</t>
  </si>
  <si>
    <t>Joseph Paulin</t>
  </si>
  <si>
    <t>el estudio de las matemáticas, ha venido el Rey en promover á Subtenientes del mismo Real cuerpo á D. Joseph Paulin , D. Fernando Márquez de la Plata , D. Manuel Minio, D. Diego Lara, D. Vicente Ros, D. Joseph González Pardo, D. Martin Zarandía, D. Ramón Gómez, D. Rafael Riesch, D. Francisco Ca</t>
  </si>
  <si>
    <t>Paulino Magano</t>
  </si>
  <si>
    <t>y su anexo Majazul, en el arzobispado de Toledo, vacante por fallecimiento de D. Juan Vimercati , á D. Paulino Magano. En el regimiento de Reales Guardias Españolas se ha servido el Rey promover á primer Teniente al Teniente de Cazadores D. Miguel María de Acedo. En el de infantería Inmemorial de</t>
  </si>
  <si>
    <t>Paulino Vicente</t>
  </si>
  <si>
    <t>ueva: en el de la Ré^na á segundo Teniente al Alférez D. Antonio Roca; á Alférez al Portaestandarte D. Paulino Vicente, y á esta resulta al Cadete D. Ramón Calderón de la Barca: en el del Príncipe á Capitán ai Ayudante D. Alexandro Manglano; á Ayudante al primer Teniente D. Miguel de Nueros; á est</t>
  </si>
  <si>
    <t>Paulo de Norieí</t>
  </si>
  <si>
    <t>dro López Alban,D. Joseph Hernández San,u Cruz, Don Manuel González Villamil, D. Joseph Rinconada , D. Paulo de Norieí?a, D. Joachín Serra y Franch., D. Eustasio González, D. Juan Valle-Espinosa y D. Diego López. Presidió el Sr. D. Sebastian de Torres, dei Consejo de S. M., Alcalde de su Real casa</t>
  </si>
  <si>
    <t>Paulowitz, Alexandro (duque)</t>
  </si>
  <si>
    <t>Duque Alexandro Paulowitz</t>
  </si>
  <si>
    <t>de Gatschina hubo el dia i.°una junta general del Senado, á la que asistió el Emperador con el Gran Duque Alexandro Paulowitz sil hijo mayor. Declaro S. M. Imperial ser su voluntad que el referido Gran Duque concurriese en adelante á las juntas del Senado, y ocupase el primer puesto. En conseqiiencia ocu</t>
  </si>
  <si>
    <t>Paz Merino, Juan Antonio</t>
  </si>
  <si>
    <t>Juan Antonio Paz Merino</t>
  </si>
  <si>
    <t>de los Reales Consejos. El dia 12 de es-te mes falleció en esta corte á los 72 anos de edad el $r. D. Juan Antonio Paz Merino, deb CcEseió Real. Sirvió á S. M. 30</t>
  </si>
  <si>
    <t>Paz, Pedro</t>
  </si>
  <si>
    <t>Pedro Paz</t>
  </si>
  <si>
    <t>dero de la de S. Boal de la ciudad de Salamanca, vacante por fallecimiento de D. Francisco López, á D. Pedro Paz, con obligación de residir-' lo por sí mismo. En el regimiento de Reales Guardias Españolas se ha servido el Rey promover á segundo Teniente al Alférez de cazadores D. Joseph Nava</t>
  </si>
  <si>
    <t>Pcrez de Ribera, Luis</t>
  </si>
  <si>
    <t>Luis Pcrez de Ribera</t>
  </si>
  <si>
    <t>l Subteniente de granaderos D. Vicente Hernández; á Subteniente de granaderos al primer Subteniente D. Luis Pcrez de Ribera; á primer Subteniente al segundo D. Miguel Pacheco; y á segundos Subtenientes al Sargento primero D. Juan Aquelino, al de la misma clase del de Saboya Dorí Domingo Martínez, y á l</t>
  </si>
  <si>
    <t>Pé de Arroz, Manuel</t>
  </si>
  <si>
    <t>Manuel Pé de Arroz</t>
  </si>
  <si>
    <t>e. S. M. se ha servido nombrar Fundidor de artillería de bronce de la Real fundición de Barcelona á D. Manuel Pé de Arroz; y ha nombrado</t>
  </si>
  <si>
    <t>Pedotty, Antonio</t>
  </si>
  <si>
    <t>Antonio Pedotty</t>
  </si>
  <si>
    <t>á Sargento Mayor al Capítan segundo D. Jayme Steudinger; á Capitán de granaderos al Capitán segundo D. Antonio Pedotty; á Capitán primero al segundo D. Aíartin Schwendbulh ; á Capitanes segundos á los Tenientes de granaderos D* Bernardo Goldün, graduado de Capitán* y D. Aliguel Rey, y al Ayudante,</t>
  </si>
  <si>
    <t>Pedro Miguel</t>
  </si>
  <si>
    <t>, D. Francisco Piadas, D. Vicente Amat y D. Gregorio Di.iz; y á segundos Subtenientes á los Cadetes D. Pedro Miguel de l¡z, D. Pascual Tomas Maupoey y D. Ildefonso Periche, este del de Murcia, y á Jos Sargentos primeros D. Joachín Montalva, de granaderos, D. Francisco Fernandez y D. Manuel Cimorra</t>
  </si>
  <si>
    <t>Pedro Sebastián</t>
  </si>
  <si>
    <t>a, D. Joachin Orozqueta, D. Mariano Serret, D* Pedro Lalane y D. Bernardo Ximeno; y en tercer Jugar D. Pedro Sebastian , D. Manuel Royo y D. Pedro Anaya. La sociedad determinó premiar el mérito de los discípulos; y en junta general de 23 del propio mes, á que concurrió el Exc. Sr. D. Fr. Jóachín C</t>
  </si>
  <si>
    <t>Pedro- CarlosAballe</t>
  </si>
  <si>
    <t>ra otro también simple, que en, la parroquia de la villa de. Velnez,, obispado de. Córdoba, obtenía D. Pedro- CarlosAballe:; el Beneficio- rural de Aldea de Y ustéen la diócesis de Salamanca,, vacante por muerte de D.. Antonio Sanz y Sánchez;, y una Medk-Prestamera r vacante en La parroquia de Santa M</t>
  </si>
  <si>
    <t>Pedtcr González Calderón</t>
  </si>
  <si>
    <t>Quien quiera hacer mejora acuda’ ante el mismo y citada escribanía. Por providencia del propio Sr. D Pedtcr González Calderón, y por la citada escribanía de D. Gervasio Fernandez izquierdo, se han mandado sacar nuevamente á pública subasta, y por término de 15 días, tres casas: sita una en la costanilla</t>
  </si>
  <si>
    <t>PeFcz de Guzman, Alonso</t>
  </si>
  <si>
    <t>Alonso PeFcz de Guzman</t>
  </si>
  <si>
    <t>13 de la colección de varones ilustres españoles , en que se incluyen ios de Rodrigo Diaz de Vivar, D. Alonso PeFcz de Guzman, D. Iñigo López de Mendoza, Juan Gines de Sepúiveda, Francisco deSalinas, y Fr. Benito Gerónimo Feixoo. Véndese con los antecedentes á 60 rs. cada uno en el despacho de la imprent</t>
  </si>
  <si>
    <t>Peirson, Antonio</t>
  </si>
  <si>
    <t>Antonio Peirson</t>
  </si>
  <si>
    <t>D. Mauricio Keating y D. Pedro Sarsfield; á Subtenientes de granaderos á los primeros Subtenientes D. Antonio Peirson y D. Lope Ortiz; á primeros Subtenientes á los segundos D. Pedro Onis y D. Miguel Peirson; y á segundo Subteniente al Cadete del de América D. Ramón de Zaragoza : en él de Aragón á Ay</t>
  </si>
  <si>
    <t>Pelaez Campománes, Pedro</t>
  </si>
  <si>
    <t>Pedro Pelaez Campománes</t>
  </si>
  <si>
    <t>l Subteniente de cazadores Don Joseph de Lema: en los de Oviedo y Xerez de la Frontera, Tenencias á D. Pedro Pelaez Campománes, Subteniente de fusileros, y al de cazadores D. Bartolomé Lobato: en el de Bujalance las Subtenencias de granaderos y cazadores á los Subtenientes de fusileros D. Fernando Fernand</t>
  </si>
  <si>
    <t>Pelaez, Juan Antonio</t>
  </si>
  <si>
    <t>Juan Antonio Pelaez</t>
  </si>
  <si>
    <t>mderos al de fusileros D. Juan Antonio Pelaez: en el de Soria á primer Teniente al segundo de granaderos D. Pablo Andreu; á segundo Teniente de granaderos al de fusileros D. Joseph Costa, y á segundos Tenientes á los Subtenie</t>
  </si>
  <si>
    <t>Pelayo</t>
  </si>
  <si>
    <t>finalizan en él -los heroes , y señálanse suá sepulcros con epitafios agradables^ Las correrías de D. Pelayo le meten en Inglaterra , sube á mayor punto la pintura de la nobleza, y en Mateo de Palacio se adelantan las insolencias disculpables por la sencillez y chiste que las caracteriza</t>
  </si>
  <si>
    <t>Pelegrin, Juan Domingo</t>
  </si>
  <si>
    <t>Juan Domingo Pelegrin</t>
  </si>
  <si>
    <t>tasado en 9396 rs. de 16 quartos. z=z Fuentes de Ebro : nueve caberlas de agua, de la capellanía de D. Juan Domingo Pelegrin , tasadas en 14,400 rs. de 16 quartos. zzzFronchon : un dominio de un molino , de la cofradía mayor de la Villa, tasado en 19,600 rs. de 16 quartos. cz= Las Parras : ua molino de</t>
  </si>
  <si>
    <t>Pellicer, Juan Antonio</t>
  </si>
  <si>
    <t>Juan Antonio Pellicer</t>
  </si>
  <si>
    <t>Castillo , frente á las gradas de S. Felipe. Carta en castellano con posdata poliglota: en la qual D. Juan Antonio Pellicer y D. Joseph Conde, individuos de la Real Biblioteca de S. M., responden á la carta crítica que un anónimo dirigió al autor de las notas del D. Quijote, desaprobando algunas de ellas.</t>
  </si>
  <si>
    <t>á las 11 de su mañana en la citada escribanía de provincia. Respuestas á la carta en castellano de D. Juan Antonio Pellicer , y á Ja Postdata polyglota de D. Joseph Conde, en que impugnáron Ja carta-crítica sobre el verdadero autor déla historia de D. Quixote; por D. Juan Francisco Pérez Cagigas, Cura</t>
  </si>
  <si>
    <t>■ de Enero de —1801. Los subscriptores á la historia de D. Quixote en i&lt;S.° ilustrado con notas por D. Juan Antonio Pellicer, bibliotecario de S. M., acudirán á recoger los tomos 7.0 y 8.°, y el de la vida de Miguel de Cervántes Saavedra, á la librería dé Sancha, calle del Lobo. Filosofía dél espíritu y</t>
  </si>
  <si>
    <t>Peña y Valles, Francisco</t>
  </si>
  <si>
    <t>Francisco Peña y Valles</t>
  </si>
  <si>
    <t>ros y cazadores del de Castellón de la Plana á los Capitanes del mismo cuerpo Marques de Usategui y Don Francisco Peña y Valles ; las Tenencias de dichas compañías á los Tenientes de fusileros D. Pascual Cútala y D. Lorenzo Miralles, y las Subtenencias á los Subtenientes D. Antonio Villaroig y D. Joseph de</t>
  </si>
  <si>
    <t>Peña, Antonio</t>
  </si>
  <si>
    <t>Antonio Peña</t>
  </si>
  <si>
    <t>nte al Subteniente de granaderos D. Juan Ximenez; á Subteniente de granaderos al primer Subteniente D. Antonio Peña; á primer Subteniente al segundo D. Francisco Xavier de Céspedes, y á segundos Subtenientes á los CadetesJO. Manuel Collantes, D. Ramón Rafael Gutiérrez, D. Rafael Joseph Alcocer</t>
  </si>
  <si>
    <t>Peñalosa, Juan Antonio</t>
  </si>
  <si>
    <t>Juan Antonio Peñalosa</t>
  </si>
  <si>
    <t>l Teniente de fusileros, graduado de infantería, D. Pedro López Ontiveros; Tenencias de fusileros á D. Juan Antonio Peñalosa y D. Pascual de Coca, Subtenientes de granade ros* y fusileros, y la Subtenencia de granaderos al Subteniente de fusileros D. Joseph Ovalle: en el'de Avila Compañía de fusileros al Te</t>
  </si>
  <si>
    <t>Penalver, Luis</t>
  </si>
  <si>
    <t>Luis Penalver</t>
  </si>
  <si>
    <t>ante por fallecí, miento de D. Rafael Antunez. £n América. El Rey se ha servido nombrar al limo Sr. D. Luis Penalver , Obispo de la Luisiana, para el Arzobispado de Goatemala y y para el Obispado de Quito al limo. Sr. D. Joseph Cuero y Cayedo , Obispo de Cuenca del Perú. El Rey Ntro. Sr. se ha d</t>
  </si>
  <si>
    <t>Peodosio, Joseph</t>
  </si>
  <si>
    <t>Joseph Peodosio</t>
  </si>
  <si>
    <t>al primer Subteniente D. Manuel Pigrau; y en el regimiento Suizo de Courten á Subteniente al Cadete D. Joseph Peodosio de ivalberniaiten. Igualmente en el Real cuerpo de Artillería se ha servido S. M. promover aCapitán al Teniente D. Ignacio Clemente; y á Teniente al Subtenier.te D. Joseph de Miranda</t>
  </si>
  <si>
    <t>Pera, Juan</t>
  </si>
  <si>
    <t>Juan Pera</t>
  </si>
  <si>
    <t>miento de Urgél........................................... 124. Otro... EstéS m Juan Pera, hijo de otro y María, natural de Villaplana, Corregimiento de Tarragona............................. 70; 13. Cayetano Bodet, hijo de Antonio y María , natural de B rcclona , Corregimie</t>
  </si>
  <si>
    <t>Peralta, Francisco</t>
  </si>
  <si>
    <t>Francisco Peralta</t>
  </si>
  <si>
    <t>á segundos Subtenientes al Cadete D. Gregorio Sanz de Santuola y al Sargento primero de granaderos Don Francisco Peralta: en el primer batallón de infantería ligera de Cataluña á primer Subteniente al segundo D. Juan Cansy , y á esta resulta al Sargento primero D. Antonio Farre; á primer Subteniente</t>
  </si>
  <si>
    <t>Perdió, Andrés</t>
  </si>
  <si>
    <t>Andrés Perdió</t>
  </si>
  <si>
    <t>en la propia clase D. Joseph Mariana Fernandez, y Teniente en el de dragones de Numancia al Alférez D. Andrés Perdió; y ha tenido á bien conferir compañía en el de Lusitania al Capitán D. Pascual Ortiz, Ayudante del mismo regimiento. En los regimientos provinciales ha conferido el Rey los empleo</t>
  </si>
  <si>
    <t>Perdomo, Juan</t>
  </si>
  <si>
    <t>Juan Perdomo</t>
  </si>
  <si>
    <t>gundo Ayudante al segundo Teniente D. Joseph Dugi; á segundos Temantes al Subteniente de granaderos D. Juan Perdomo y al Subteniente D. Carlos Carta, a Subteniente de granaderos al de fusileros D. Juan Granados, y a Subtenientes a los Cadetes D. Francisco Dugi y D. Rafael del Campo. El Rey se ha</t>
  </si>
  <si>
    <t>Peré y Casado, Francisco</t>
  </si>
  <si>
    <t>Francisco Peré y Casado</t>
  </si>
  <si>
    <t>s. en rústica, 17 en pergamino y 20 en pasta. Adiciones al Diccionario geográfico universal. Viendo D. Francisco Peré y Casado la estimación con que corre dicho Diccionario , y que se halla falto de muchos artículos interesantes, formó empeño á que el castellano fuese mas completo que los que hay en otros idio</t>
  </si>
  <si>
    <t>Peréfc de los Cobos, Francisco Tomás</t>
  </si>
  <si>
    <t>Francisco Tomás Peréfc de los Cobos</t>
  </si>
  <si>
    <t>empleos,.privan-» . doles de que puedan venir á Madrid y mis Reales sitios; y nombro para suceder á D. Francisco Tomas Peréfc de los Cobos al Alcalde de la Quadra ^ de dicha Audiencia D. Rodrigo Riquelme, y para está plaza á D. Francisco * Toribio de Ugárte: para la plaza que obtenía D. Antonio Vicente Yáñez' al Alca</t>
  </si>
  <si>
    <t>Pereyra y Soto Sánchez, Joseph</t>
  </si>
  <si>
    <t>Joseph Pereyra y Soto Sánchez</t>
  </si>
  <si>
    <t>Baltasar Cornelias y Rosiñol, D. Joseph Rodríguez Truxiilo y Lasqueti, D. Manuel Compains y Ochoa, D. Joseph Pereyra y Soto Sánchez, D. Santiago de Mazarredo y Gómez de la Torre, D. Joseph de Mazarredo y Gómez de la Torre, D. Sebastian de Heres y Canel, D. Víctor Urbina y Aniz, D. Antonio Salazar y Allendelagu</t>
  </si>
  <si>
    <t>Pérez</t>
  </si>
  <si>
    <t>drid ¡ para cuya venta está comisionado D. Manuel ¿ángel Car• rancio. Villa de Drieves. Memoria del Dr. Perez: una tierra en la Cabecilla rubia, de 3 fanegas, tasada en 250 rs. Otra en la cañada del Pedregal, de 2 fan. y 6 cel. en $25. Otra en dicho sitio, de 3 fan. en 600. Otra entre el</t>
  </si>
  <si>
    <t>Pérez Cagigas, Juan Francisco</t>
  </si>
  <si>
    <t>Juan Francisco Pérez Cagigas</t>
  </si>
  <si>
    <t>Conde, en que impugnáron Ja carta-crítica sobre el verdadero autor déla historia de D. Quixote; por D. Juan Francisco Pérez Cagigas, Cura párroco en el arzobispado de Toledo. Véndese con la antecedente del mismo autor en la librería de Tieso , calle de las Carretas. Puede ir en carra. Libro de apuntaciones, ó</t>
  </si>
  <si>
    <t>Pérez de Aguilar, Rafael</t>
  </si>
  <si>
    <t>Rafael Pérez de Aguilar</t>
  </si>
  <si>
    <t>ros D. Luis Ibañez ae Navarra: en el de Bujaiance Tenencia de fusileros al Subteniente de cazadores D. Rafael Perez de Aguilar; y Subtenencia de bandera a D. Joseph María Sánchez : en el de Chinchilla Compañías de fusileros á los Tenientes D. Joseph Cutoli, D. Fernando Martínez y D. Sebastian García, el p</t>
  </si>
  <si>
    <t>Pérez de Anda, Luis</t>
  </si>
  <si>
    <t>Luis Pérez de Anda</t>
  </si>
  <si>
    <t>al Subteniente de granaderos D. Antonio Anguita; á Subteniente de granaderos al primer Subteniente D. Luis Perez de Anda; á primer Subteniente al segundo D. Luis Martínez Toledano, y á segundo Subteniente al Cadete D. Eustaquio Yerro de Olavarria: en el de Córdoba á Ayudante al primer Teniente D. Ju</t>
  </si>
  <si>
    <t>Pérez de Araciel, Manuel</t>
  </si>
  <si>
    <t>Manuel Pérez de Araciel</t>
  </si>
  <si>
    <t>de tierra, perteneciente á la capellanía eclesiástica que en la ciudad de Aifaro fundó el limo. Sr. D. Manuel Pérez de Araciel, tasada en 4950 rs. Otra en dicho término, de 3.9 cel., perteneciente á id. en 7425* Otra en id., de 22 cel., perteneciente á id. en 4950. Otra en el Regazado, de 3! fan., pertene</t>
  </si>
  <si>
    <t>Pérez de Araciel, María</t>
  </si>
  <si>
    <t>María Pérez de Araciel</t>
  </si>
  <si>
    <t>érmino. AnViejámila, de 10 fanegas de tierra, perteneciente á la capellanía colativa fundaacJa. por Doña María Perez de Araciel, tasada en 5445 rs. Otra en el Subar, de 10 k m. 3 perteneciente á id., en 745». Otra en diclio término , de 5 fan., perteneciente ú id. , en 7445. Otra en el Término de Media el</t>
  </si>
  <si>
    <t>Pérez de Castro, Pedro Antonio</t>
  </si>
  <si>
    <t>Pedro Antonio Pérez de Castro</t>
  </si>
  <si>
    <t>ó parafraseados en verso castellano en varios metros , dedicados al Rey Ntro. Sr.: obra postuma de D. Pedro Antonio Perez de Castro , Secretario de la suprema Junta de Caballería del Reyno y del Consejo de Guerra. En esta versión, que después de la muerte del traductor ha sido examinada y corregida por persona</t>
  </si>
  <si>
    <t>Pérez de Grandallana y Fontecha, Francisco</t>
  </si>
  <si>
    <t>Francisco Pérez de Grandallana y Fontecha</t>
  </si>
  <si>
    <t>Vera y Saurín, D. Pedro de Salazar y Valle, D. Felipe Esteiler y Febrer,D. Joseph del Viso y Roxas,D. Francisco Perez de Grandallana y Fontecha, D. Benito Gijon y Rósalas, D. Pedro Caamaño y Romero, D. Miguel de Valenzuela y Melgarejo, D. Vicente Bermudez de Castro y Vivero, D. Bernabé de Mariaca y Ansótegui, D. Genaro de</t>
  </si>
  <si>
    <t>Pérez de Hozas, Manuel</t>
  </si>
  <si>
    <t>Manuel Pérez de Hozas</t>
  </si>
  <si>
    <t>ZETA DE MADRID BEL MARTES P BE SETIEMBRE BE l8oO. En virtud de providencia del Sr. Alcalde de corte D. Manuel Perez de Hozas, y por la escribanía de provincia de D. Joseph Fernandez de Uceda, se ha mandado sacar á pública subasta por término de 30 dias una casa sita en la calle de la Abada, señalada con</t>
  </si>
  <si>
    <t>Pérez de los Cobos, Francisco Tomás</t>
  </si>
  <si>
    <t>Francisco Tomás Pérez de los Cobos</t>
  </si>
  <si>
    <t>osinpermiso algu-í no,i ni haberlo solicitado de mi Real Persona, los Oidores deaquellaAu-i 4ienciá D. Francisco Tomas Perez de los Cobos, D. Antonio Vicente Ya»-&lt; ñcz/9 D. Joseph. Damian de Cuenca, y el Alcalde de la Quadra D. Joseph&gt; María Galdiano y Zalduendo, quienes olvidados de las obligaciones de s» pmpleo, y</t>
  </si>
  <si>
    <t>Pérez de Marure, Juan</t>
  </si>
  <si>
    <t>Juan Pérez de Marure</t>
  </si>
  <si>
    <t>ados fueron D. Pedro Martínez con el arte de D. Torquato Torio de la Riva (primer premio del aula): Don Juan Perez de Marure con el Diccionario de la Real academia que franqueó la generosidad del Sr. Presidente: D. Joachin Martin Daganzo con un exemplar de los Viages de Wanton con estampas y última edic</t>
  </si>
  <si>
    <t>Pérez de Rozas, Manuel</t>
  </si>
  <si>
    <t>Manuel Pérez de Rozas</t>
  </si>
  <si>
    <t>mañana en la citada escribanía de provincia. _ En virtud de providencia del Señor Alcalde de Corte D. Manuel Perez de Rozas se ha mandado sacar á pública subasta por término de 30 días una casa nueva , perteneciente á la capellanía memoria de misas que en la iglesia parroquial de S Mieuel de esta corte</t>
  </si>
  <si>
    <t>rmanos , portal de la Pan^de™* , Ó del peso Real. En virtud de providencia del Sr. Alcalde de Corte D. Manuel Perez de Rozas , y por la escribanía de provincia de D. Joseph Fernandez de Uceda , se ha mandado sacar á pública subasta por término de 30 dias , una casa sita en la calle de la Encomienda, núm</t>
  </si>
  <si>
    <t>den metálico, y lo demas en vales, que se está subastando por la audiencia del Sr. Alcalde de corto D. Manuel Perez de Rozas, y escribanía de provincia de D. Joseph Fernandez de Uceda, se ha señalado el jueves 30 dei corriente á las 12 de su mafiana en dicha escribanía. Por provideneia del Sr. D. Juan A</t>
  </si>
  <si>
    <t>Pérez de Sarrio, Ignacio</t>
  </si>
  <si>
    <t>Ignacio Pérez de Sarrio</t>
  </si>
  <si>
    <t>promover á segundos Tenientes á los Alféreces ■ de granaderos D. Ignacio Perez de Sarrio, D. Ignacio Agraz y D. Henrique Antonio de Lamberts. En el de infantería de V alencia á Capitán al Ayudante graduado de Teniente Coronel D. Manuel Pereyra; y en el de Extremadura</t>
  </si>
  <si>
    <t>Pérez de Tejada, Martín</t>
  </si>
  <si>
    <t>Martín Pérez de Tejada</t>
  </si>
  <si>
    <t>Catedral de Zamora D. Isidro Masquiaran , y resulta vacante por haber pasado á otra de Salamanca, á D. Martin Perez de Tejada, Capellán de honor de S. M. supernumerario: para el Beneficio de la parroquial de la ciudad de Chinchilla, en el obispado de Cartagena, vacante por fallecimiento de D. Carlos Zaca</t>
  </si>
  <si>
    <t>Pérez de Texada, Vicente</t>
  </si>
  <si>
    <t>Vicente Pérez de Texada</t>
  </si>
  <si>
    <t>co Peyrolon y compañía. En Valíadalid....... D. Francisco Durango é hijo mayor. En Zamora.......... D. Vicente Perez de Texada. En Zaragoza........ D. Tomas de la Madrid. A consulta de la Comisión gubernativa de Consolidación de Vales y Caxas de Extinción y Descuentos, ha acordado el Consejo con aprobació</t>
  </si>
  <si>
    <t>o Peyrolon y compañía. En Valladolid....... D. Francisco Durango é hijo mayor. En Zamora......... . D. Vicente Perez de Texada. En Zaragoza........ D. Tomas de la Madrid. A consulta de la Comisión gubernativa de Consolidación de Vales y Caxas de Extinción y Descuentos, ha acordado el Consejo con aprobació</t>
  </si>
  <si>
    <t>Pérez de Vargas, Fernando</t>
  </si>
  <si>
    <t>Fernando Pérez de Vargas</t>
  </si>
  <si>
    <t>predio de olivas y estacas de 2636 pies, con casería y molino aceytuno , á la obra pia fundada por D. Fernando Perez de Vargas en el santuario de la Sierra, tasado en 184,276 rs. y renta 5801. = Villa de Arjona. Un olivar con 373 pies , en cañada Santísimo de la cofradía del Santísimo Sacramento de Santa Ma</t>
  </si>
  <si>
    <t>Pérez de Vea, Domingo Manuel</t>
  </si>
  <si>
    <t>Domingo Manuel Pérez de Vea</t>
  </si>
  <si>
    <t>e Ochoteco, y sin ningún endoso ni firma en blanco. Quien los tuviese los entregará en esta corte á D. Domingo Manuel Perez de Vea , en la calle Mayor, portales de S. Isidro. Por providencia del Sr. Teniente primero de Corregidor D. Juan Antonio planta María se subasta una casa en la calle del Cármen , núm. 3</t>
  </si>
  <si>
    <t>Pérez del Cerro, Salvador</t>
  </si>
  <si>
    <t>Salvador Pérez del Cerro</t>
  </si>
  <si>
    <t>n cosmografía y navegación D. Pedro Conde y D. Joseph Cansobre. En navegación y maniobras de abordo D. Salvador Perez del Cerro. Todas las proposiciones fuéron sorteadas ó elegidas por los concurrentes, excepto la demostración del nuevo sistema métrico , con arreglo á la memoria elemental que de orden de S</t>
  </si>
  <si>
    <t>Pérez del ViUar, Joseph</t>
  </si>
  <si>
    <t>Joseph Pérez del ViUar</t>
  </si>
  <si>
    <t>te al segundo de granaderos D. Joseph Zorri-. lia* á segundo Teniente de granaderos al de fusileros D. Joseph Perez del ViUar; á segundos Tenientes al Subteniente de granaderos D. Roque ,Garralon, y al primer Subteniente D. Joachín Parreño; á Subtenientes de granaderos á los primeros Subtenientes D. Rafa</t>
  </si>
  <si>
    <t>Pérez Gómez, Francisco</t>
  </si>
  <si>
    <t>Francisco Pérez Gómez</t>
  </si>
  <si>
    <t>las actas de la sociedad desde 13 de Noviembre de 1791 hasta 4 de este mes, y publicando á favor de D. Francisco Perez Gómez la adjudicación de un premio de mil reales , ofrecido á la mejor memoria sobre perfeccionar la cria de caballos en este Reyno, y la gratificación de mil reales al socio de mérito D.</t>
  </si>
  <si>
    <t>Pérez Heredero, Francisco</t>
  </si>
  <si>
    <t>Francisco Pérez Heredero</t>
  </si>
  <si>
    <t>rancisco de Barros. También ha nombrado S. M. Subteniente de las milicias urbanas de AIburquerque á D. Francisco Perez Heredero; y Subteniente de las milicias ‘urbanas de Tarifa á D. Alonso Bennudez y Lara. S. M. se ha servido nombrar para el Corregimiento de Letras de la ciudad de Gijona á D. Francisco So</t>
  </si>
  <si>
    <t>Pérez Lourido, Felipe</t>
  </si>
  <si>
    <t>Felipe Pérez Lourido</t>
  </si>
  <si>
    <t>el de Lugo al Teniente de fusileros D¿ Pedro García: en el de Monterey Tenencias á los Subtenientes D. Felipe Perez Lourido y D. Roque González de Puga: en el de Bujalance Te</t>
  </si>
  <si>
    <t>Pérez Martínez, Joachín</t>
  </si>
  <si>
    <t>Joachín Pérez Martínez</t>
  </si>
  <si>
    <t>gía al Racionero D. Juan NepOmuceno dé Santolalla y&gt; Peraltas y para esta Ración al Medio-Racionefo D. Joachín Pérez Martínez. Para utíáí Canongía de merced de la catedral de la Havana á D. Ambrosio dé las Citévas: para la Ración, que este dexa, á D. Juan Francisco Méndez de la Vega; y para la Media-Raci</t>
  </si>
  <si>
    <t>Pérez Mere, Cárlos</t>
  </si>
  <si>
    <t>Cárlos Pérez Mere</t>
  </si>
  <si>
    <t>yon Ruiz, á D. Juan Sebastian de Neri Villaroel; y para la de la de Xerez de la Frontera á D. Cárlos Perez Mere. En América. S. M. se ha servido nombrar para la Dignidad de Maestrescuela de la metropolitana deChárcas, vacante por fallecimiento de Don Cárlos de San Martin, á D. Joseph Suero</t>
  </si>
  <si>
    <t>Pérez Mesía, Francisco</t>
  </si>
  <si>
    <t>Francisco Pérez Mesía</t>
  </si>
  <si>
    <t>ro 34,168 hasta el 80,167. El 17‘de Abril murió en esta corte á los-69 anos cumplidos de edad el Sr D Francisco Perez Mesía, caballero dé la Real distinguida orden escancia de Cirios III; habiendo sido catedrático en propiedad de leyes en la. universidad de Salamanca, y servido á S. M. por espacio de 3</t>
  </si>
  <si>
    <t>Pérez Mesía, Joseph</t>
  </si>
  <si>
    <t>Joseph Pérez Mesía</t>
  </si>
  <si>
    <t>zana, á D. Juan de Escoiquiz: para una Canongía de la catedrill de Salamanca, vacante por muerte de D. Joseph Perez Mesía, á Don Isidro Masquiaran, Canónigo de Zamora; y para el Medio Pontifical de Fazalcázar, en la vicaría de Utrera, arzobispado de Sevilla, vacante por fallecimiento de D. Romualdo A</t>
  </si>
  <si>
    <t>Pérez Moros, Tomás</t>
  </si>
  <si>
    <t>Tomás Pérez Moros</t>
  </si>
  <si>
    <t>rmelitas descalzas de Santa Teresa de Madrid, vacante por renuncia que ha hecho de ella su poseedor D. Tomas Perez Moros , á D. Manuel Sánchez , con la pensión anual de 150 ducados de vn. á favor del mismo D. Tomas Perez Moros: para una de las dos Sochantrías de la Real iglesia de S. Isidro de Madri</t>
  </si>
  <si>
    <t>del Real convento de Carmelitas descalzas de Santa Teresa de Madrid, que ha vacado por renuncia de D. Tomas Perez Moros, á D, Cecilio Lasuen, con la pensión anual de 150 ducados a favor de Moros. El Rey se ha servido nombrar Ayudante en él regimiento de caballería de España al primer Teniente D. Ju</t>
  </si>
  <si>
    <t>Pérez Narezo, Manuel</t>
  </si>
  <si>
    <t>Manuel Pérez Narezo</t>
  </si>
  <si>
    <t>Coronel al de caballería D. Martin Martínez Concha, Comandante de esquadron ; á Alférez ai agregado D. Manuel Perez Narezo, y á Portaestandartes á los Sargentos primeros D. Pedro Dueñas y Don Rafael González: en el batallón de milicias disciplinadas de infantería de Españoles de Lima á Subteniente al</t>
  </si>
  <si>
    <t>Pérez Parrendo, María</t>
  </si>
  <si>
    <t>María Pérez Parrendo</t>
  </si>
  <si>
    <t>rs. =Oüva: un m lino harinero , conocido con el nombre de dos piedras , del patronato fundado p jr Doña María Perez Parrendo, tasado en a89 rs. Una suerte de tierra de id* en Á500. La mitad del cercado llamado del Castillejo, de id. en 21,200. Partido de Plasencia. Coria : una casa en la plazuela de S.</t>
  </si>
  <si>
    <t>Pérez Pefíuelas, Luis</t>
  </si>
  <si>
    <t>Luis Pérez Pefíuelas</t>
  </si>
  <si>
    <t>mprenta: su precio un real. Por providencia del Sr. D. Juan Antonio de Santa María, y escribanía de D. Luis Pérez Pefíuelas , se ha sacado á pública subasta una casa en la calle cíe Alcalá, frente á la fonda de Malta, núm. 7, manzana 489 , propia de la Congregación de nuestra Sefiora de la Purificación</t>
  </si>
  <si>
    <t>Pérez Pefiuelas, Luis</t>
  </si>
  <si>
    <t>Luis Pérez Pefiuelas</t>
  </si>
  <si>
    <t>úmero de esta villa , comisionados para la venta de ellas, que son por lo correspondiente á Carmena D. Luis Perez Pefiuelas, y para las de! Illana D. Julián González Saez. EN LA IMPRENTA REAL</t>
  </si>
  <si>
    <t>Pérez Peñuelas, Luis</t>
  </si>
  <si>
    <t>Luis Pérez Peñuelas</t>
  </si>
  <si>
    <t>entre doce y una á las puertas de la audiencia del Sr. D Juan Antonio Santa María, y escribanía de D. Luis Perez Peñuelas. Por el juzgado del Sr. í). Pedro González Calderón se vende una casa sita en la calle del León, señalada con los números 10y 11, manz. 226, tasada en 25,404 rs. Y otra en la baxa</t>
  </si>
  <si>
    <t>rrespondiente á la villa de Pozuelo de Alarcon á D. Antonio López de Salazar , para las de Griñón á Don Luis Perez Peñuelas, y para las de Cubas á D. Joachin González de Castro. {Se concluirá. ) EN LA IMPRENTA REAL.</t>
  </si>
  <si>
    <t>a de ellas, que son por lo correspondiente é la villa de Torrejon de Velasco y Boadilla del Monte á D. Luis Perez Peñuelas , y para las deBarajas á D.Julian González Saez. {Se concluirá.) EN LA IMPRENTA REAL.</t>
  </si>
  <si>
    <t>o tocante á los pueblos primeramente expresados acudan ante el citado Sefior y Escribano del número D. Luis Perez Peñuelas; y por lo respectivo á los tres últimos ante D. Julián González Saez , igualmente del mismo nú'ñero. Sigue la razón de las fincas de obras pías fundadas en pueblos de la Intendenc</t>
  </si>
  <si>
    <t>Pérez Piñuelas, Luis</t>
  </si>
  <si>
    <t>Luis Pérez Piñuelas</t>
  </si>
  <si>
    <t>uisiere hacer postura á qualquiera de dichas fincas acuda ante el Escribano de número de esta villa D. Luis Perez Piñuelas. Villa de Esc.ariche. Obra pia de la Escuela: una casa con corral, bodega y 374 arrobas de velez, tasada en p9 rs. Un cañamar en el Charco con su poza y raigada, cu q5oo. Otro jun</t>
  </si>
  <si>
    <t>Pérez Quintero, Miguel Ignacio</t>
  </si>
  <si>
    <t>Miguel Ignacio Pérez Quintero</t>
  </si>
  <si>
    <t>embre. Entretenimientos rústicos y conversaciones para la gente del campo. Dos tomitos en 8.° : por D. Miguel Ignacio Perez Quintero, individuo de la Real Academia de la Historia de esta corte , de la de Buenas Letras de Sevilla y de las Sociedades económicas de Madrid, Sevilla &amp;c. Contiene esta obra las reglas</t>
  </si>
  <si>
    <t>Pérez Serracin, Tomás</t>
  </si>
  <si>
    <t>Tomás Pérez Serracin</t>
  </si>
  <si>
    <t>jo , en la diócesis de Avila/vacante por promoción de D. Joseph Villaroel al Arcedianato de Luou, á D. Tomas Perez Serracin, con la obligación de precisa y personal residencia para ayudar al Párroco en su ministerio : para otro simple de</t>
  </si>
  <si>
    <t>Pérez Tagle, Pedro</t>
  </si>
  <si>
    <t>Pedro Pérez Tagle</t>
  </si>
  <si>
    <t>sco Fernandez Munida, D. Juan I asaña, D. Antonio Quartas de Castro, D. Francisco Fernandez Rábago, D. Pedro Perez Tagle, D. Dionisio María Mazuelo, D. Pedro Agustín Roncaii, D, Antonio Sacristán y D. Ignacio Vicente Unzeta. En el de infantería de Mallorca á segundo Teniente al Subteniente de granad</t>
  </si>
  <si>
    <t>Pérez, Agustín</t>
  </si>
  <si>
    <t>Agustín Pérez</t>
  </si>
  <si>
    <t>de infantería de la Reyna, España, Aragón y batallón de voluntarios de Tarragona á los .Presbíteros D. Agustín Perez, D. Juan Antonio Gil, D. Juan Antonio Jordán, que lo era del de Taen, y D. Ray mundo Arch. S. M. se ha servido nombrar para una plaza de Ministro de la Real Audiencia de Mallorca</t>
  </si>
  <si>
    <t>Pérez, Alonso Martín</t>
  </si>
  <si>
    <t>Alonso Martín Pérez</t>
  </si>
  <si>
    <t>Martin de Bartolomé, con obligación de servirlo por sí mismo. También ha venido el Rey en admitir á D. Alonso Martin Perez la renuncia que ha hecho de la Ración que obtiene en la catedral de Palencia, y ha nombrado para ella á su hermano D. Andrés Martin Perez; y para la Capellanía menor que obtenía en e</t>
  </si>
  <si>
    <t>Pérez, Andrés Martín</t>
  </si>
  <si>
    <t>Andrés Martín Pérez</t>
  </si>
  <si>
    <t>ha hecho de la Ración que obtiene en la catedral de Palencia, y ha nombrado para ella á su hermano D. Andrés Martin Perez; y para la Capellanía menor que obtenía en el Real monasterio de la Visitación de Madrid D. Francisco Fernando de Flores, y está vacante por su promoción á la Capellanía primera d</t>
  </si>
  <si>
    <t>Pérez, Ángel</t>
  </si>
  <si>
    <t>Ángel Pérez</t>
  </si>
  <si>
    <t>D. Joseph de Ázcué. que se le suspenda de sa empleo por 6 meses. * ' AI Administrador de utensilios D. Angel Perez, que le sirva de castigo el arresto que ha sufrido. , . , A los Oficiales urbanos que sin otro cargo ó destino se ausentaron de la plaza; los Capitanes D. Joachín de Yun y Barbia</t>
  </si>
  <si>
    <t>ieron expuestas ai público todas las muestras que, baxo la dirección del profesor de dibuxo natural D. Angel Perez, habían dibuxado los alumnos aspirantes á dos premios señalados para los dos mas sobresalientes en esta facultad por D. Cárlos González de Posada, Canónigo de la santa iglesia de</t>
  </si>
  <si>
    <t>Pérez, Antonio</t>
  </si>
  <si>
    <t>Antonio Pérez</t>
  </si>
  <si>
    <t>gado. Se hallará en la librería de: Tieso á *0 rs.. i la rústica y ia en pasta. Sermones varios por D. Antonio Perez,. Magistral que foé de. las santas Iglesias de Ciudad-Rodrigo y Salamanca: tomo a.° y último. Las instancias de varios sugetos de ciencia y virtud que han leído el primer tomo de</t>
  </si>
  <si>
    <t>Pérez, Antonio Andrés</t>
  </si>
  <si>
    <t>Antonio Andrés Pérez</t>
  </si>
  <si>
    <t>de Sta. Cecilia de la villa de Medellin , en la diócesis de Plasencia, vacante por fallecimiento de D. Antonio Andrés Perez, á D. Antonio Miguel, con retención del Curato que obtiene': para el Beneficio de Ntra. Sra. de la Concepción de la metropolitana de Tarragona, vacante por fallecimiento de D. Pab</t>
  </si>
  <si>
    <t>Pérez, Antonio Martín</t>
  </si>
  <si>
    <t>Antonio Martín Pérez</t>
  </si>
  <si>
    <t>Joseph Antonio Cebollino; a segundos Tenientes de granaderos X los de fusileros D. Domingo Nares , D. Antonio Martin Perez y D. Félix. Liorens; X segundos Tenientes á los Subtenientes de granaderos D. Francisco Jlodriguez, 1). Christóbal Morte, graduado de Teniente, y D. Blas Ximenez y Lrambre, y al prime</t>
  </si>
  <si>
    <t>Pérez, Francisco</t>
  </si>
  <si>
    <t>Francisco Pérez</t>
  </si>
  <si>
    <t>nte al Subteniente de granaderos D. Antonio Lira; á Subteniente de granaderos al primer Subteniente D. Francisco Pérez, y á primer Subteniente al segundo D. Juan Dahnansa: en el de Granada á Subteniente de granaderos al primer Subteniente D. Sebastian ‘Garcini, y á primer Subteniente al segundo D.</t>
  </si>
  <si>
    <t>Pérez, Gregorio</t>
  </si>
  <si>
    <t>Gregorio Pérez</t>
  </si>
  <si>
    <t>s Subtenientes D. Francisco Ordoñez y D. Francisco Carrillo; a primeros Subtenientes á los segundos D. Gregorio Perez y D. Juan Carvajal, y á segundo Subteniente* al Cadete D. Pedro Morrondo: en él de voluntarios de Castilla á Capitán al Ayudante D. Pedro Ramírez; á Ayudante al primer Teniente D. Vic</t>
  </si>
  <si>
    <t>Pérez, Joseph</t>
  </si>
  <si>
    <t>Joseph Pérez</t>
  </si>
  <si>
    <t>833 Félix Inarte; á Capitán de granaderos al de fusileros, graduado de Teniente Coronel, D. Joseph Perez ; á Capitán al Teniente de granaderos Don Bernardo Duran ; á Teniente de granaderos al de fusileros D. Sebastian Planchón;á Teniente al Subteniente de granaderos D. Antonio Viangu</t>
  </si>
  <si>
    <t>enitcz y D. Lúeas Fernandez ; á primeros Tenientes X los segundos de granaderos D. Juan del Fierro, D. Joseph Perez, graduado de Capitán, y D. Joseph Antonio Cebollino; a segundos Tenientes de granaderos X los de fusileros D. Domingo Nares , D. Antonio Martin Perez y D. Félix. Liorens; X segund</t>
  </si>
  <si>
    <t>Pérez, Pedro</t>
  </si>
  <si>
    <t>Pedro Pérez</t>
  </si>
  <si>
    <t>464 traducido por D. Pedro Perez , primer ayudante de cirugía de exército, individuo de las Reales academias de medicina de Sevilla y quirúrgica de Valladolid, del cuerpo de inválidos de Lugo : dos tomos en 4.0 c</t>
  </si>
  <si>
    <t>Don Francisco Coronado y D. Justo Montes ; á Subtenientes de granaderos á los primeros Subtenientes D. Pedro Pérez, D. Rafael García y D. Joseph Quirós; á primeros Subtenientes á los segundos D. Marcos Rodríguez, Don Antonio Xerez, D. Juan Carlos de Soto, D. Joseph Diaz, D. Juan de Serra y D.</t>
  </si>
  <si>
    <t>Pérez, Ramón</t>
  </si>
  <si>
    <t>Ramón Pérez</t>
  </si>
  <si>
    <t>las milicias urbanas y á los Cadetes de las disciplinadas D. Francisco Maneiro, Don Ramón de Silva, D. Ramón Perez y D. Francisco Aguado. Asimismo ha nombrado S. M. segundo Ayudante de las milicias disciplinadas de mía atería del Reyno de Goatemala al Subteniente D. Joseph Gran , Sargento del bata</t>
  </si>
  <si>
    <t>Pérez, Tomás</t>
  </si>
  <si>
    <t>Tomás Pérez</t>
  </si>
  <si>
    <t>Subteniente de granaderos D. Antonio Valladares; á Subteniente de granaderos al primer Subteniente Don Tomas Perez; y á primer Subteniente al segundo D. Joseph Juan de Rico: en el de la Princesa á Capitán al Ayudante D. Francisco Corrales; á Ayudante al primer Teniente D. Joseph Ximenez ; á pr</t>
  </si>
  <si>
    <t>Perezj, Fernando</t>
  </si>
  <si>
    <t>Fernando Perezj</t>
  </si>
  <si>
    <t>rroquia de Santa María Madalena de Sevilla por fallecimiento de D. Antonio García de Santa María, á D. Fernando Perezj. y para la Prestamera de S. Pedro de. las. Cabezas,, en. el. arzobispado de Sevilla, á D. Mariano de Aguilera. En atención á los. méritos y dilatados buenos servicios contraídos p</t>
  </si>
  <si>
    <t>Perignon</t>
  </si>
  <si>
    <t>Peringer, Joseph</t>
  </si>
  <si>
    <t>Joseph Peringer</t>
  </si>
  <si>
    <t>sto Peringer; y por primeros Ayudantes de Afinador de esta y de la de Barcelona á D. Juan Japón y á D. Joseph Peringer. El Rey ha nombrado Cirujanos del primero y tercer batallón del regimiento dé infantería de Guadalaxara á D. Claudio Erraiz y D. Lorenzo Pradel; y del tercero del de Ñapóles á D.</t>
  </si>
  <si>
    <t>Perler, Domingo</t>
  </si>
  <si>
    <t>Domingo Perler</t>
  </si>
  <si>
    <t>á los f6 años de edad el Teniente General de la Real Armada, y caballero de la orden de Cárlos III, D. Domingo Perler; concluyendo la larga y acreditada serie de 60 años de servicios en el encargo dé Comandante general del departamento de Marina dé Cádiz, habiendo merecido en ella, asmo también e</t>
  </si>
  <si>
    <t>Pernada, Antonio</t>
  </si>
  <si>
    <t>Antonio Pernada</t>
  </si>
  <si>
    <t>argento D. Manuel de Mora: á segundo Teniente y á Alférez en el de caballería de Húsares al Alférez Don Antonio Pernada y al Sargento D. Joseph García; y á primeros Tenientes en el de voluntarios de España al segundo Teniente agregado al propio cuerpo D. Joseph María de Roxas, y al de la misma clase</t>
  </si>
  <si>
    <t>Perochena, Joseph</t>
  </si>
  <si>
    <t>Joseph Perochena</t>
  </si>
  <si>
    <t>al, D. Manuel Huete, Don Hilario Pó'nce,"D. Manuel Caballero, D. Buenaventura Sanz, D. Juan Moreno, D. Joseph Perochena, D. Joseph Saenz, D. Mariano Moreno, Don M irtin de Arambulo y D. Pablo Gaona y Jáuregui; y empleos de Portaestandartes á D. Diego de Vega, D. Pedro Merino, D. Urbano Sugasti y D.</t>
  </si>
  <si>
    <t>Perrée, Almirante</t>
  </si>
  <si>
    <t>Almirante Perrée</t>
  </si>
  <si>
    <t>e compone del navio Generoso , y de 4 corbetas cargadas de víveres y municiones. La manda el Contra-Almirante Perrée, y el dia 5 estaba pronta á dar la vela así que lo permitiese el viento. En el propio departamento se está armando la fragata Egipcíaca, que monta 40 cañones, algunos del calibre</t>
  </si>
  <si>
    <t>Pescador, Miguel</t>
  </si>
  <si>
    <t>Miguel Pescador</t>
  </si>
  <si>
    <t>a de D. Pedro Martin Font: en Valencia en lá cíe D. Benito Soria y Espinosa; y ea Zaragoza en la de D. Miguel Pescador. : , ¿ ^ Xa junta de gobierno de la Reál compañía de seguro* terrestres y. marítimos convoca los accionistas, interesados.en ella en cinco 6.mas acciones, para celebrar junta gene</t>
  </si>
  <si>
    <t>Pesceto, Luis</t>
  </si>
  <si>
    <t>Luis Pesceto</t>
  </si>
  <si>
    <t>........ D. Gabriel de Semprum. En Zamora........... D. Juan García Sexmilo. En Alicante........... D. Luis Pesceto. En Barcelona....... La Caxa de Descuento. En Bilbao............... D. Agustín Antonio de Lequerica. En Cuenca............. D. Pedro Venancio de Velaunde. En Mallorca......... D.</t>
  </si>
  <si>
    <t>Pest, Coronel</t>
  </si>
  <si>
    <t>Coronel Pest</t>
  </si>
  <si>
    <t>nglesa que estaba delante de Vado. Hicimos señal de que ocupábamos á Savona; y una hora después, el Coronel Pest, que se había despachado de Turin á conferenciar cón el Lord Keith, en Liorna, y que venia en el navio de dicho Almirante , llegó al quartel general é informó á Mr. Melas que el L</t>
  </si>
  <si>
    <t>al Andrieux para tratar de capitulación. Empezaron las conferencias el mismo dia en Riverola con el Coronel Pest, austríaco, y el Capitán ingles Bevern; y continuaron el 3. E11 otra carta al mismo Conde de Tige añade Mr. Melas : „ Ya se ha rendido Génova , cuya guarnición será escoltada con</t>
  </si>
  <si>
    <t>Petiet</t>
  </si>
  <si>
    <t>General Marmont, comandante en xefe de artillería del exército de Italia, v el ciud. Petiet,Concejero de Estado y Presidente de la consulta legislativa cisalpina. Igualmente se ha restituido á esta ciudad el Teniente General Dupont, que estuvo ausente</t>
  </si>
  <si>
    <t>eral Clement. También ha venido de Florencia el General Miollis, y se espera al Ministro Petiet y al General Marmont. ^ r Tienen los ingleses bloqueado este puerto, y envían a Manon o a Fortoferrayo quantas embarcaciones quieren entrar en él.</t>
  </si>
  <si>
    <t>Petit, Nicolás</t>
  </si>
  <si>
    <t>Nicolás Petit</t>
  </si>
  <si>
    <t>nd, Di Ramón Urraca, Don Melchor Magrath y D. Joachín Calderónjr Losada, y á los Sargentos primeros D. Nicolás Petit, D. Camila Nazary y D. Pedro Spraeckmans: en el de Aragón á segundos Subtenientes al Sargento primero de granaderos D. Martin de Sierra y al Cadete D. Juan Alexo Puig: en el de Am</t>
  </si>
  <si>
    <t>Petraroch, General</t>
  </si>
  <si>
    <t>General Petraroch</t>
  </si>
  <si>
    <t>stá nombrado el Príncipe de Reuss para mandar las tropas austríacas en el Vorarlberg , en lugar del General Petraroch, que ha sido depuesto. Aseguran que el enganche de gente que se habia suspendido en Vie*a vuelve i hacerse con mas fuerza, y que ademas se despachan al exército nuevos repuestos d</t>
  </si>
  <si>
    <t>Petrasch, General</t>
  </si>
  <si>
    <t>General Petrasch</t>
  </si>
  <si>
    <t>ería Barón de Kray. La situación que actualmente tiene el exército del Archiduque es como sigue: el General Petrasch manda las tropas repartidas en el país de los Grisones y en el Vorarlberg, y tiene su quartel general en Lindau. Los granaderos están acantonados entre el lago de Constanza y Scha</t>
  </si>
  <si>
    <t>Peyroíon, Francisco</t>
  </si>
  <si>
    <t>Francisco Peyroíon</t>
  </si>
  <si>
    <t>a la sociedad para aumentar y mejorar las escuelas de ambos sexos en Valencia. Siguió el secretario Don Francisco Peyroíon leyendo el extracto de las actas de la sociedad desde 13 de Noviembre de 1791 hasta 4 de este mes, y publicando á favor de D. Francisco Perez Gómez la adjudicación de un premio de</t>
  </si>
  <si>
    <t>Peyrolon, Francisco</t>
  </si>
  <si>
    <t>Francisco Peyrolon</t>
  </si>
  <si>
    <t>n ó concurran á los premios que quedan indicados, se dirigirán al Secretario de dicha Real sociedad Don Francisco Peyrolon hasta el 30 de Setiembre de este año , ocultando su nombre los autores de las memorias, para que puedan ser juzgadas con imparcialidad, poniéndolos en pliego separado y cerrado, d</t>
  </si>
  <si>
    <t>....... Sres. Chavarri y Posadillo. En Toro................. D. Joseph Ligero. En Valencia......... D. Francisco Peyrolon y compañía. En Valíadalid....... D. Francisco Durango é hijo mayor. En Zamora.......... D. Vicente Perez de Texada. En Zaragoza........ D. Tomas de la Madrid. A consulta de la Comis</t>
  </si>
  <si>
    <t>...... Sres. Chavarri y Pasadillo. En Toro................ I). Joseph Ligero. En Valencia.......... D. Francisco Peyrolon y compañía. En Valladolid....... D. Francisco Durango é hijo mayor. En Zamora......... . D. Vicente Perez de Texada. En Zaragoza........ D. Tomas de la Madrid. A consulta de la Comi</t>
  </si>
  <si>
    <t>Pi'tt y Mr</t>
  </si>
  <si>
    <t>ual asistiéron el Duque de Portland, los Condes da Spencer, Chatham y Liverpool, el Lord Grenville, Mr. Pi'tt y Mr. Dundas. Duró el consejo 5 horas; y poco después volvió á salir Mr. DuvaLc©» la respuesta al Lord Withworth, y cartas para el Almirante Dickson. Algunas gazetas inglesas aseguran</t>
  </si>
  <si>
    <t>Piadas, Francisco</t>
  </si>
  <si>
    <t>Francisco Piadas</t>
  </si>
  <si>
    <t>ntes á los segundos Don Joachín Aguilera, D. Agustin Amanda, D. Joseph Lariz, D. Gregorio Espinosa, D. Francisco Piadas, D. Vicente Amat y D. Gregorio Di.iz; y á segundos Subtenientes á los Cadetes D. Pedro Miguel de l¡z, D. Pascual Tomas Maupoey y D. Ildefonso Periche, este del de Murcia, y á Jos</t>
  </si>
  <si>
    <t>Picado, Joseph Manuel</t>
  </si>
  <si>
    <t>Joseph Manuel Picado</t>
  </si>
  <si>
    <t>re; para el de letras de la ciudad de Andújar á XX joseph Guillen de Toledo ; para el de Betánzos á D. Joseph Manuel Picado ; para el de la villa de Madrigal á D. Francisco Gutiérrez López Ca— rabantes; para el de ta de Sahaguíiá D.ManuelLópez y Sagastizaba! ; para la vara de'Alcalde mayor de la dé Tob</t>
  </si>
  <si>
    <t>Pichegrd, General</t>
  </si>
  <si>
    <t>General Pichegrd</t>
  </si>
  <si>
    <t>l comunicaría sin pérdida de tiempo las proposiciones del primer Cónsul. Hállase en esta capital el General Pichegrd. Berna 2 j de Julio. A demas de lo referido sobre ja entrada de los franceses en ¡el país de los Grisones y el Vorarlberg, se ha publicado lo siguiente : ;,Ün cuerpo bastante crec</t>
  </si>
  <si>
    <t>Pichón</t>
  </si>
  <si>
    <t>ral Su\varo\r para que vuelva á Rusia con su exército. Berna 14 de Febrero. E 1 ciud. Pichón , Encargado interino de negocios de Francia, en Suiza, ha dado parte al gobierno helvético de los esfuerzos que ha hecho el primer Cónsul Bonaparte para pacifi</t>
  </si>
  <si>
    <t>s de .Nántes, promovido á Consejero de Estado. También ha nombrado Bonaparte al ciud. Pichón para Comisario general de relaciones mercantiles de ia República en Filadelfia, reuniendo á las funciones de su empleo la de Encargado de negocios cerca del go</t>
  </si>
  <si>
    <t>Píckefing</t>
  </si>
  <si>
    <t>de Europa. Filadelfia 20 de Muyo* ' 'S M r. Adams , Presidente aieí Congreso, escribió el dia 13 á Mr. Píckefing^ Secretario de Estado ,&gt;prqpon¡éndoie renunciase su empico. 'Respondió Mr.* Pickering que-había tenido varías veces esta intímeionq pero que eñ la Sc-l tual importante crisis le p</t>
  </si>
  <si>
    <t>Pickering</t>
  </si>
  <si>
    <t>gobierno de los Estados-Unidos se trasladará en todo el mes próximo. Ha sido depuesto de su empleo Mr. Pickering, Secretario de Estado: y como era muy adicto á los ingleses, se considera su destitución como una especie de satisfacción dada al partido que desea la paz con Francia. El Ministro</t>
  </si>
  <si>
    <t>Pico, Ramón Antonio</t>
  </si>
  <si>
    <t>Ramón Antonio Pico</t>
  </si>
  <si>
    <t>D. Manuel de la Peña. En Cddiz................ D. Josef María Vincenti y O-Rian. En Ciudad Real... D. Ramón Antonio Pico. En Córdoba............ Señores Barcia padre é hijo. En Ceuta................ El Tesorero del Exército. En Granada......... Señores Campos hermanos y compañía. En S. Ildefonso....</t>
  </si>
  <si>
    <t>Burgos.:'....*.... D. Andrés Fráylé. EWCddiz*............ J&gt;. Benito de la Piedra. En Ciudad-Real.. D. Ramón Antonio Pico.</t>
  </si>
  <si>
    <t>gos......... .. D. Andrés Fray le. En Cádiz............... D. Benito de la Piedra. En Ciudad-Real.. D. Ramón Antonio Pico. En Córdoba.......... Sres. Barcia, padre é hijo. En la Corana....... D. Manuel Antonio de Hlzaurdi. En Cuenca........... D. Manuel Escolar y Noriega. En Granada........ D. Franci</t>
  </si>
  <si>
    <t>rgos......... . D. Andrés Fray le. En Cádiz.............. I). Benito de la Piedra. En Ciudad-Real.. D. Ramón Antonio Pico. En Córdoba*...a.., Sres. Barcia, padre é hijo. En la Cotuña......./D. Manuel Antonio de Elzaurdr. En Cuenca............ D. Manuel Escolar y Noriega» En Granada.*,.... D. Francisc</t>
  </si>
  <si>
    <t>Picot</t>
  </si>
  <si>
    <t>, se halla en Berlin, y ha pedido pasaportes al gobierno para venir á París. El ciud. Picot, habitante de Pau en Bearne, ha descubierto un medio para examinar ai sol sin que padezca la vista. Ha reconocido perfectamente aquel astro, y lo han exáminado</t>
  </si>
  <si>
    <t>Piedrahita, Alonso</t>
  </si>
  <si>
    <t>Alonso Piedrahita</t>
  </si>
  <si>
    <t>término de dicha villa al sitio de Fontanar, á la obra pia que en la santa iglesia de Córdoba fundó Don Alonso Piedrahita, tasada en 45,900 rs. Un'olivar de 56 pies, situado en térmico de la villa de la Higuera de Calatrava, perteneciente á la memoria que fuñió Doña María Carmena, tasado en • 8,096 r</t>
  </si>
  <si>
    <t>Piernas, Luis</t>
  </si>
  <si>
    <t>Luis Piernas</t>
  </si>
  <si>
    <t>Teniente de granaderos D. Francisco Bellestre: á Ayudante y Teniente de granaderos á los Tenientes D. Luis Piernas y D. Fernando de Lizoro: á Tenientes á los Subtenientes D. Juan Mier y Teran, D. Juan Blanco , de : r» Dulcocr. D. Francislos Cadetes 6! Santiago de Morant, D. LuisDanoy, D. Luis Boul</t>
  </si>
  <si>
    <t>Pietry, Gerónimo</t>
  </si>
  <si>
    <t>Gerónimo Pietry</t>
  </si>
  <si>
    <t>empleo de Cadete de número al supernumerario D. Joseph Barsi; para Cadete supernumerario ai Guardia D. Gerónimo Pietry; y para una Capellanía de número del mismo Real cuerpo al Presbítero D. Pedro Estrada. Habiendo manifestado los Caballeros Cadetes del Real cuerpo de artillería en los últimos exá</t>
  </si>
  <si>
    <t>Pifieyro, Francisco</t>
  </si>
  <si>
    <t>Francisco Pifieyro</t>
  </si>
  <si>
    <t>136 de S. Antonio, provincia de Madrid, Se cita y emplaza i los herederos y acreedores de D. Francisco Pifieyro, Cura párroco que fue de la citada villa , y natural según noticias del lugar de Gende, diócesis de Tuy, el qual ha fallecido abintestato sin dexar herederos conocidos , para que</t>
  </si>
  <si>
    <t>Pignat, Luis</t>
  </si>
  <si>
    <t>Luis Pignat</t>
  </si>
  <si>
    <t>eniente al Subteniente de granaderos D. Alexo de Bons/j á Subteniente de granaderos al de fusileros D. Luis Pignat, y á Subteniente de fusileros al Cadete D. Francisco Quartery: en el de Betschart á Teniente al Subteniente de granaderos D. Melchor Schwitter; y en el de Rutiman á Teniente super</t>
  </si>
  <si>
    <t>Pigot, General</t>
  </si>
  <si>
    <t>General Pigot</t>
  </si>
  <si>
    <t>. El dia 17 se leyó en la Cámara alta un bilí , por el qual se concede facultad á los herederos del General Pigot para rifar el diamante de este mismo nombre, que parece está tasado en 22© libras esterlinas. El Duque de Portland en la Cámara alta y Mr. Pitt en la baxa presentáron un mensage d</t>
  </si>
  <si>
    <t>Pigrau, Manuel</t>
  </si>
  <si>
    <t>Manuel Pigrau</t>
  </si>
  <si>
    <t>de Toda: en el secundo batallón de Voluntarios de Cataluña á seguiwo Teniente al primer Subteniente D. Manuel Pigrau; y en el regimiento Suizo de Courten á Subteniente al Cadete D. Joseph Peodosio de ivalberniaiten. Igualmente en el Real cuerpo de Artillería se ha servido S. M. promover aCapitán</t>
  </si>
  <si>
    <t>Pilón, Antonio</t>
  </si>
  <si>
    <t>Antonio Pilón</t>
  </si>
  <si>
    <t>diatamente en el arsenal una batería flotante con 8 cañones de á 24 al cargo del Capitán de fragata D. Antonio Pilón, la qual se hallaba concluida y apostada antes de las 12 del dia, como asimismo el bergantín Vivo en la ensenada de Serantes, punto preciso por donde debían pasar; con cuyos fuego</t>
  </si>
  <si>
    <t>Pineda, Juan Nepomuceno</t>
  </si>
  <si>
    <t>Juan Nepomuceno Pineda</t>
  </si>
  <si>
    <t>el mismo de Ronda al de fusileros D. Juan María García; y Subteniente de bandera del de Salamanca á D. Juan Nepomuceno Pineda. También se ha servido S. M. conceder grado de Coronel de Milicias provinciales á D. Juan María de Cadalso; y el de Teniente Coronel de la propia clase i D. Luis Domingo de Contre</t>
  </si>
  <si>
    <t>Pinedo, Ambrosio</t>
  </si>
  <si>
    <t>Ambrosio Pinedo</t>
  </si>
  <si>
    <t>para Capitán al Ayudante mayor graduado de Capitán D. Cosme Becar: para Ayudante mayor al Teniente D. Ambrosio Pinedo : para Tenientes á los Alféreces D. Matías Sancho, D. Luis Lafinur, Don Francisco Sancho, D. Miguel de Irigoyen y D. Norberto Manterola, el primero graduado de Teniente: para Alfé</t>
  </si>
  <si>
    <t>Pinel, Pedro María</t>
  </si>
  <si>
    <t>Pedro María Pinel</t>
  </si>
  <si>
    <t>a villa de Arjona, en la misma diócesis de Jaén , vacante por fallecimiento de D. Diego Ximenez , á D. Pedro María Pinel : para un Medio-Beneficio de la parroquia de Gumiel de Izan , en la diócesis de Osma, vacante por fallecimiento de D. Simón Terradillos, á D. Domingo Justo Cillcruelo, con la obli</t>
  </si>
  <si>
    <t>Piñeyro y Maceda, Antonio</t>
  </si>
  <si>
    <t>Antonio Piñeyro y Maceda</t>
  </si>
  <si>
    <t>, D. Antonio Quiroga y Arias, D. Benito Bermudez de Castro y Vivero , D. Manuel Duque de la Cruz , D. Antonio Piñeyro y Maceda, Don Rafael de Mesa y Montero , D. Francisco Troncoso de Lira y Garza, Don Manuel Bachoni y Padilla, D. Alonso Martin Vegue y Zayas, D. Joseph</t>
  </si>
  <si>
    <t>Pinglin</t>
  </si>
  <si>
    <t>rios quebrados.¡Observaciones sobre el juicio , tomadas del curso de lógica del ciud. Pinglin. Noticia histórica de Ja vacuna Ó viruela de las vacas, descubierta en Inglaterra como preservativo de las viiue— Jas naturales , preferible á la inoculación.</t>
  </si>
  <si>
    <t>PinilJa, Pedro</t>
  </si>
  <si>
    <t>Pedro PinilJa</t>
  </si>
  <si>
    <t>, término de esta villa, su caber 14 fanegas, linde -cerca de la capellanía de Felmosel cjv.e posee D. Pedro PinilJa , y tierras comunes para pasto, tasada en 15© rs. y renta 450. Otra de Malvecino y Arroyo de Cabrero, término de esta villa, linde tierras de herederos de</t>
  </si>
  <si>
    <t>Pino, General</t>
  </si>
  <si>
    <t>General Pino</t>
  </si>
  <si>
    <t>ban hace un siglo.: , : ; Bolonia 2 6 de ) Setiembre, ; D esde su quartel de Faenza fta escrito el, General Pino con fecha del 21 ia siguiente carta á la junta administrativa de esta ciudad: „Tengo la satisfacción de comunicaros la entrada dé jas trppas cisalpinas en Faceza. Los revoltosos n</t>
  </si>
  <si>
    <t>as operaciones del ala derecha del exército de Italia : „ Habiendo el cuerpo de tropas que manda el General Pino evacuado la linea del Rubicon para reunirse en Bolonia, creyeron los revoltosos y rebeldes de Ferrara y Toscana que la coyuntura era favorable para hacer una invasión en la Romaña,</t>
  </si>
  <si>
    <t>lO'.Kl S.-iint-Cvr. El General Pino se dirigirá hacia Prato y Pistoya , y el General Malher á Liorna. Espero que medíame estas disposiciones se verificará prontamente el desanmmento de toda la Toscana. La Regencia c</t>
  </si>
  <si>
    <t>instrucciones. Este silencio me causaba la mayor extrañezaíiyitoqúe mas la aumentó fué avisarme el General Pino desde Pianoro,que los: hfeurgentes de Tóscana hacian un movimiento general , que sus puestos seguían ocupando varios puntos del territorio cisalpino, y que transportaban artillería p</t>
  </si>
  <si>
    <t>de insurgentes, á los quales convenia no dar tiempo de reunir sus cuerpos en diferentes puntos. El General Pino halló en Pistoya al batallón cisalpino que había salido de Vergato , cuyo comandante habia ajustado un convenio con el de los austríacos. Ambos xefes se reuniéron para sosegar la</t>
  </si>
  <si>
    <t>Pinto de Segovia, Juan</t>
  </si>
  <si>
    <t>Juan Pinto de Segovia</t>
  </si>
  <si>
    <t>de sus ejércitos. El 30 de Diciembre último falleció en Zamora á los 81 años y medio el Excmo. Sr. D. Juan Pinto de Segovia, Teniente General de los Reales exércitos, habiendo servido á S. M. mas de 65 años desde Cadete en el Real cuerpo de artillería. Se halló en la guerra de Italia, en las batallas d</t>
  </si>
  <si>
    <t>Pinto, Juan</t>
  </si>
  <si>
    <t>Juan Pinto</t>
  </si>
  <si>
    <t>Antonio Rabanera, graduado de Teniente: á primeros Subtenientes á los segundos D. Domingo Arríete, D. Juan Pinto y D. Joseph Francés; y á segundos Subtenientes á los Cadetes Don Juan Sentiens y D. Joseph Perez Cerda, y al Sargento primero de granaderos D. Antonio Ibañez: en el de Granada á Ayuda</t>
  </si>
  <si>
    <t>Pinto, Sebastián</t>
  </si>
  <si>
    <t>Sebastián Pinto</t>
  </si>
  <si>
    <t>, en 25,170. Otra calle de la Cabra , J4. |d,. en 50,489* tOtra calle de Santiago, del patronato de D. Sebastian Pinto cdejElflfctera y Doña Josepha de Valdcrrama, en 353,807. Otra calle del Hércules, d^y,cn 272,848* Otra calle de Sta. Ines,de id. en 608,463. Otra calle de Fíame 14©^ „ del f&gt;atroj</t>
  </si>
  <si>
    <t>Pinuaga y Tole, Pedro Joseph</t>
  </si>
  <si>
    <t>Pedro Joseph Pinuaga y Tole</t>
  </si>
  <si>
    <t>e Ugárte: para la plaza que obtenía D. Antonio Vicente Yáñez' al Alcalde también de la misma Quadra D. Pedro Joseph Pinuaga y Tole-&gt; d.ó: para esta,resulta á D. Manuel Beunza : para la que obtenía D. Joseph : Damian dé Cuenca á ;D. Pedro María Garrido , Alcalde de. la expresádap Quadra, y para esta áiDv;Fernan</t>
  </si>
  <si>
    <t>Pinzano y Nogues, Antonio</t>
  </si>
  <si>
    <t>Antonio Pinzano y Nogues</t>
  </si>
  <si>
    <t>tenientes al Sargento primero de granaderos, graduado de Subteniente, Don Juan Carvajal y al Cadete D. Antonio Pinzano y Nogues: en el de caza¿ores voluntarios de la Corona á Capitán al primer i ementóle gastaaores D. Francisco Garbayo; á primer Teniente de gastadores al oc cazadores D. Nicolás Marín; á pr</t>
  </si>
  <si>
    <t>Pió Antonio Martínez</t>
  </si>
  <si>
    <t>Beneficio servidero del castillo de Bayuela, en el obispado de Avila, vacante por fallecimiento de D. Pió Antonio Martínez, á D. Francisco Sánchez de Gaspar, con la obligación de servirlo por sí mismo: para otro de la parroquia de S. Blas de la ciudad de Carmona, en la diócesis de Sevilla, vacante por</t>
  </si>
  <si>
    <t>Pió de la Cruz, Juan</t>
  </si>
  <si>
    <t>Juan Pió de la Cruz</t>
  </si>
  <si>
    <t>: á Ingeniero ordinario á D. Joseph Gabriel, que lo era extraordinario; y á este empleo al Ayudante D. Juan Pió de la Cruz. Por fallecimiento de D. Joseph Ximeiifcz Bretón se ha dignado el Rey conferir la Tesorería de exército de Aragón,que servia, á D. Julián Fernandez Navarrete; la que este obtenía</t>
  </si>
  <si>
    <t>Pió de Vargas, Juan</t>
  </si>
  <si>
    <t>Juan Pió de Vargas</t>
  </si>
  <si>
    <t>esorero que fue de la santa iglesia de Palencia, la qual se halla vacante por renuncia que ha hecho D Juan Pió de Vargas. Los pretendientes han de ser descendientes de Blas de Haedo, primo del fundador , los quales comparecerán ante dicho Señor, y por el oficio de provincia de D. Simón Ruiz, dentro</t>
  </si>
  <si>
    <t>Pío Falces</t>
  </si>
  <si>
    <t>primero D. Juan Aquelino, al de la misma clase del de Saboya Dorí Domingo Martínez, y á los Cadetes D. Pío Falces y D. Ramón Mariano de Alba: en el de infantería de Jaén á Coronel al Teniente Coronel del de Saboya, graduado de Coronel, D. Cárlos Luxan: en el de granaderos Voluntarios de Estado á</t>
  </si>
  <si>
    <t>Pío VI</t>
  </si>
  <si>
    <t>ública que hace 6 meses está'depositado :en la ciudad-de Valencia el cadáver de Pío VI, sin que se le; haya daSdo sepultura: que si este anciano, respetable por sus infortunios , se mostró; un momcn■&lt;-to en</t>
  </si>
  <si>
    <t>a-A ía ;olicitud que se le ha hecho de que envíe á esta capital el cada» ver de Pío VI, de gloriosa memoria, para darle sepultura én la bóveda de ha capilla de S.* Pedro conforme á la última voluntad del Sa</t>
  </si>
  <si>
    <t>Pió VI, Papa</t>
  </si>
  <si>
    <t>Papa Pió VI</t>
  </si>
  <si>
    <t>blicas. En la capilla de S. Patricio se han celebrado con el mayor aparato las exequias del difunto Papa Pió VI. En el túmulo , que era suntuoso, se notaban varias alegorías é inscripciones relativas al nacimiento, dignidad , edad y muerte del Sto. Padre. Asistieron los Obispos y el Clero,</t>
  </si>
  <si>
    <t>Pío VII</t>
  </si>
  <si>
    <t>494 su contenido ; pero se cree que Pío VII pide á S. M. I. permiso para enviar un "Nuncio que resida aquí. En la gazera de esta corte se han publicado las siguien</t>
  </si>
  <si>
    <t>rretas, y en el puesto de Rosales, gradas de S. Felipe. Retrato de Ntro, SS. P. Pío VII. , creado Papa en Venecia en 14 de Marzo de 1800, copiado de un original venido de aquella ciudad. Se hallará á 3 rs. e</t>
  </si>
  <si>
    <t>Piossano, Luís</t>
  </si>
  <si>
    <t>Luís Piossano</t>
  </si>
  <si>
    <t>xteriores. Milán 1 í de 'Noviembre. E 1 dia 6 fué presentado á este gobierno el ciud. Luís Piossano en ca lid id de Diputado de la nación piamontesa: le introduxo en la audiencia su predecesor el ciud. Colla, acompañándole el ciud. Pancoldi, Inspector general d</t>
  </si>
  <si>
    <t>Piquer, Andrés</t>
  </si>
  <si>
    <t>Andrés Piquer</t>
  </si>
  <si>
    <t>e Mallen , y en Toledo en la de Hernández. ^ ■ Tratado de Calenturas del Dr. D. Andrés Piquer,Medico de Cámara que fue d« S M &lt;•* edición. En este tratado se da una idea general de la calentura,y se proven sus principales diferencias, sus causas y efectos: de las ardientes exquis</t>
  </si>
  <si>
    <t>mas selectas de Hipócrates, traducidas en castellano é ilustradas por el Dr. D. Andrés Piquer, médico que fue de Cámara de S. M. : 3 tomos en 4.0 En el tomo i.° se da una idea de la patria, viages y estudios de Hipócrates , sus escritos , doctrina y autoridad} siguen los pronóstic</t>
  </si>
  <si>
    <t>Piquer, Juan</t>
  </si>
  <si>
    <t>Juan Piquer</t>
  </si>
  <si>
    <t>dicho oficio y á varios pasages del libro de los Cantares y del profeta Isaías : le publica el I)r. D. Juan Piquer , presbítero &amp;c. : un tomo en 8.° Se hallará en las librerías de esta corte. Método curativo práctico por varios experimentos de las terciang¡s sin quina, y de todo género de dolo</t>
  </si>
  <si>
    <t>Pirez, Domingo</t>
  </si>
  <si>
    <t>Domingo Pirez</t>
  </si>
  <si>
    <t>s Voluntarios de Estado á Ayudante al primer Teniente del de Córdoba, graduado de Teniente Coronel, D. Domingo Pirez: en el de cazadores Voluntarios de la Corona á segundo Teniente al Subteniente de tiradores Don Rafael Mor¡anó? y á esta resulta al Subteniente de cazadores D. Diego Meany: en el</t>
  </si>
  <si>
    <t>Pirez, Isidoro</t>
  </si>
  <si>
    <t>Isidoro Pirez</t>
  </si>
  <si>
    <t>ualménté nómbrachy S. Mí1 Capellán del primer batallón del dé infantería' dé Córdoba al Presbítero5 D. Isidoro Pirez. * 4</t>
  </si>
  <si>
    <t>Pirez, Juan</t>
  </si>
  <si>
    <t>Juan Pirez</t>
  </si>
  <si>
    <t>S. M. promover á Ingenieros ordinarios de sus exércitos, plazas y fronteras á D.Ramón de la Rocha y D. Juan Pirez,Ingenieros extraordinarios , y á este empleo al Ayudante D. Joseph de la Fuente Pita. El Rey se ha servido nombrar Teniente Coronel del regimiento provincial de Monterey al Conde</t>
  </si>
  <si>
    <t>Pit, Luis</t>
  </si>
  <si>
    <t>Luis Pit</t>
  </si>
  <si>
    <t>Serranillos y Alcobendas D. Arl^nnio López de Salazar ^ á Torrejon de Velasco y Boadilla del Monte D. Luis Pit^ Pefíuelas 5 í Jas de la del Alamo y Hortaleza D. Joachin González de Castro , las de las de Jlarajas y Moratilla D. Julián González Saez, Escribanos del míi^o de esta villa , qui</t>
  </si>
  <si>
    <t>Pitr</t>
  </si>
  <si>
    <t>a se anulase el bilí, sino que se rectiñcase; y así lo propuso* formalmente á la Cámara. ^Respondió Mr. Pitr qué el examen del bdl manifestará la necesidad de modificarlo, y las correcciones que hayan de hacerse en él: pues nada debe desearse: tanto como establecer un modo sencillo y exp</t>
  </si>
  <si>
    <t>Pitt</t>
  </si>
  <si>
    <t>rcos, encimar y en las costas. Los comerciantes irlandeses residentes,en Londres; ,har\ recurridoíá Mr. Pitt haciéndole presente la pérdida que experiínqinan ;por el-estado ac;ti#d del cambio entre Dublin y esta capital; y el Ministro les ha dado esperanzas de remediarlo. Los billetes ó,</t>
  </si>
  <si>
    <t>relativamente á Napper-Tandy y sus compañeros. Han vuelto los comerciantes irlandeses á recurrir á Mr. Pitt para que les permita el cambio de billetes ó cédulas del banco hibérnico por las del banco de Londres, exponiendo que el comercio de aquel Reyno se halla en el mayor apuro y en el</t>
  </si>
  <si>
    <t>Pítt</t>
  </si>
  <si>
    <t>as milicias inglesas, se seguirá también con las de Irlanda luego que lo apruebe aquel Parlamento.. Mr. Pítt tuvo el 29 de Diciembre por la noche una conferencia con el Conde de Ártois relativa á los chouanes ó descontentos de Francia, y á las municiones que conviene enviarles. El Capitá</t>
  </si>
  <si>
    <t>el Ministro de Francia el dia 18, é inmediatamente se juntó el Consejo privado en la- secretaría de Mr. Pitt para enterarse de su contenido, y acordar dicha respuesta. La abertura de este Parlamento se verificó el dia 18 en la forma acostumbrada. En el discurso del Rey se hizo mención de</t>
  </si>
  <si>
    <t>á para ir á tomar el mando de las tropas rusas que hay en Jersey y Guernsey. El 7 por la noche tuvo Mr. Pitt una conferencia muy larga con el Conde de Artois, en la qual, ségun dicen, le comunicó la solicitud que han dirigido al Rey desde América los hijos del difunto Duque de Orléans pa</t>
  </si>
  <si>
    <t>n á ver á su madre , y se asegura que están resueltos á no tomar las armas contra su patria. Quando Mr. Pitt consultó al Conde de Artois sobre el, . permiso que pedían para pasat por Inglaterra al continente, no quiso manifestar su dictámen, Ha llegado aquí el ciud. francés ,Otto, que fu</t>
  </si>
  <si>
    <t>idos á la gran contienda en que se halla S« M. actualmente empeñado.”__ Concluida la lectura, pidió Mr. Pitt que se tratase de este mensage el dia 26. Mrs. Tierney y Jones deseaban que se señalase para él ex Limen él 3 de Febrero’, pareciéndoles tan sumamente importante él asunto, qne co</t>
  </si>
  <si>
    <t>orencia. El 28 de Enero volvió de Escocia el Ministro Dundas, y el 2 del corriente, restablecido ya Mr. Pitt, se trató en la Cámara baxa sobre el mensage Real, el qual se leyó, como también la correspondencia relativa á las negociaciones propuestas por el gobierno francés. Asistió á la s</t>
  </si>
  <si>
    <t>el verdadero nervio de la guerra, espero que no cese de oponerle una barrera á sus designios. Habló Mr. Pitt de las garantías que exige toda negociación, las quales en su dictamen no pueden hallarse en el sistema revolucionario, Cree que la estrella de Bonaparte se ha eclipsado por la de Suwaro</t>
  </si>
  <si>
    <t>desaprobaron la proposición de Sheridan, y solamente 45 la aprobáron. En la sesión del 11 presentó Mr. Pitt un mensage Real que substancialmente decía: ,, Juzga S. M. conveniente informar á la Cámara que han llegado á los puertos de Inglaterra 3 embarcaciones procedentes de Mogador, en</t>
  </si>
  <si>
    <t>nimo de emplear juntamente con las tropas del Imperio los 45© rusos, cójfno en la campaña última; y Mr. Pitt respondió que no podía satisfacer én términos positivos á esta pregunta, tanto mas que á causa de la estación se hallaban interrumpidas las comunicaciones con Rusia. Solo diré (añ</t>
  </si>
  <si>
    <t>onstará este año de 192® hombres, que son 32© menos que en el anterior. En la sesión del 13 anunció Mr. Pitt que abrirá un empréstito de 21 millones de libras esterlinas, de los cjuales 3 millones son para Irlanda. De resultas de esto baxáren los fondos públicos": El mismo día 13 se hizo</t>
  </si>
  <si>
    <t>e se- propagasen en este país los principios que tanto susto infunden en el ministerio. Respondióle Mr. Pitt que no se prolongaba la suspenden dedos privilegios de dicha acta sino para evitar los males á que Mr. Sheridan hacia alusión: que ajustada la paz tomaría la--Cámara ..las precauc</t>
  </si>
  <si>
    <t>o finahmente el bilí, y se acordó remitirlo á la Cámara de los Pares. Concluido este punto procedió Mr. Pitt á la abertura del budjet. Los-, gastos para este año importan 41 millones y medio de libras esterlinas, inclusos dos millones para Irlanda. Los recursos que presentó componen 38;</t>
  </si>
  <si>
    <t>iene orden de estar pronta á embarcarse ; y parece que emprenderá su marcha el día 16. Atribuyese á Mr. Pitt la reconciliación que se ha hecho entre el Conde de Artois y el Duque de Orleans. Dicho Ministro asistió en casa del referido Conde á una comida en que se hallaron el mencionado Duqu</t>
  </si>
  <si>
    <t>lian de pagarse al Fmperador de Alemania, al Duque de J3avicra v á otros estados del Imperio, dixo Mr. Pitt entre otras cosas: ,,Se ha hablado mucho de que los rusos abandonan la causa de la colicion; y aprovechándose de esta voz , se han esmerado algunos en manifestar al pueblo ingles mo</t>
  </si>
  <si>
    <t>nistro de Policía se han preso en las costas de Calais unos comerciantes ingleses, comisionados por Mr. Pitt para acopiar en Francia quantos granos pudiesen. Han decretado los Cónsules formar en París un Consejo de presas, el qual entenderá no solo en los litigios sobre la validez de las</t>
  </si>
  <si>
    <t>el Mediterráneo iba á llevar socorros á los turcos contra los franceses en Egipto, juzgan ahora que Mr. Pitt la ha suspendido porque supo que la sublime Puerta ha tenido á bien ajustar un tratado con el General Kleber. De todos modos, es positivo que han cesado en Inglaterra los preparativo</t>
  </si>
  <si>
    <t>oficiales de las tropas que hay en ellos no tienen licencia de baxar á tierra. Suponen algunos que Mr. Pitt ha respondido á todas las objeciones que se han hecho contra la unión de Irlanda, diciendo: „ Desembarazada la Francia de una gran parte de su deuda, libre de los crecidísimos gas</t>
  </si>
  <si>
    <t>34'2 En la Cámara baxa propuso Mr. Pitt, y por consiguiente se aprobó, que se concediese á S. M. un subsidio de 6.085,740 libras esterlinas para satisfacer billetes del Echiquier, ó tesorería. Parte de esta suma se saca</t>
  </si>
  <si>
    <t>imientos que se dispongan para servir en país extranjero. En la Cámara de los Comunes ha presentado Mr. Pitt un mensage Real concebido en estos términos: ,&gt;Con la mayor satisfacción avisa S, M. á la Cámara que ha recibido de las de los Lores y Comunes del Parlamento de Irlanda una repres</t>
  </si>
  <si>
    <t>medio de dicha moneda, en compañía de un emigrado llamado Talón, que fue el sugeto de que se sirvió Mr. Pitt para negociar la rendición de Surinam á los ingleses, y en el dia goza mucho favor eri Londres, siendo uno de los principales agentes de aquel gobierno. La prisión de estos sügeto</t>
  </si>
  <si>
    <t>cortes de Viena y Londres : de modo que en la sesión de la Cámara de Comunes del 17 de Febrero dixo Mr. Pitt que las desavenencias habían llegado á términos de que el Emperador rehusaba ratificar el tratado del año de 1797, por el qual se abrió en Londres por cuenta de aquel Soberano un</t>
  </si>
  <si>
    <t>erlinas; pero en el año ultimo no produxo sino 6 millones 2eo© libras. En conseqiiencia ha adoptado Mr. Pitt medidas para asegurar e! cobro entero de la suma que se había regulado; y para ello ha propuesto un nuevo bilí, cuyo plan se há publicado impreso en 43 páginas en folio. Las princ</t>
  </si>
  <si>
    <t>oluciones del de Irlanda relativas á la unión; y se aprobaron con gran mayoría de votos. Ayer pidió Mr. Pitt en la Cámara baxa se hiciese la tercer lectura de un bilí por el qual se concede á los Ministros facultad de crear billetes del- Echiquier ó tesorería sobre los fondos que produzcan</t>
  </si>
  <si>
    <t>ontra el proyecto. Sheridan, contestando á una expresión del panegírico que Mr. Page-Turn^r hizo de Mr. Pitt, dixo: „es en efecto tan tenaz, que por no desistir de sus proyectos de destrucción , se sepultará con la nación entera baxo las ruinas del imperio británico.” El resultado de est</t>
  </si>
  <si>
    <t>badas en las dos Cámaras de este Parlamento las vanas clausula* -sobre la unión de Irlanda, propuso Mr. Pitt que se diese cuenta de todo ello á S. M. para pedir su sanción; y así se acordó*----Ayer hizo Mr. Jones en la Cámara baxa la proposición de que se tratase de paz. En su discurso i</t>
  </si>
  <si>
    <t>arcaciones de aquella nación si no llevaban á bordo efeqtos pertenecientes á ingleses. Ayer anunció Mr. Pitt en la Cámara baxa que en toda la semana próxima presentará el plan del bilí para la unión de la Gran Bretaña y de Irlanda con las correcciones hechas por las dos Cámaras del Parlame</t>
  </si>
  <si>
    <t>y queda en calidad de Encargado de negocios de Petersburgo Mr. Lizakewitz, Secretario de Embaxada. Mr. Pitt propuso el dia 26 en la Cámara de los Comunes se concediese á S. M. una suma que no pasase de 566,688 libras esterlinas para el sueldo de 120 hombres que ha de dar el Elector de B</t>
  </si>
  <si>
    <t>554 Mr. Pitt que las 500® libras se habían invertido en el objeto común de resistir al poder de Francia:y no dio mas explicación;que por lo que hace al Emperador de Rusia, no se hallaba todaví</t>
  </si>
  <si>
    <t>o nombre, que parece está tasado en 22© libras esterlinas. El Duque de Portland en la Cámara alta y Mr. Pitt en la baxa presentáron un mensage del Rey, que encargaba se tratase sobre el modo de desvanecer las dudas que pueda haber sobre el derecho que SS. MM. tienen de disponer de sus prop</t>
  </si>
  <si>
    <t>en continuar la guerra por un motivo personal. Recordó Mr. Sheridan los baldones y ultrajes con que Mr. Pitt zahirió á Bonaparte en público Parlamento: por consiguiente (añadió) se halla en el mayor embarazo para tratar con un hombre á quien insultó tan impolítica como desmedidamente: re</t>
  </si>
  <si>
    <t>sponía dicho bilí, el qual viola el principio de las leyes inglesas y los derechos de los vasallos. Mr. Pitt dixo que si la experiencia acreditaba que los efectos del bilí eran nocivos, convendría modificarle, pero no abolirle. Sus términos vagos, añadió ti Coronel Gascoyne, dexan á los</t>
  </si>
  <si>
    <t>órdenes pudieron expedirse con el objeto de anular otras muy contrarias dadas anteriormente. Al fin Mr. Pitt dixo que la qliestion se encerraba en dos puntos: i.° infracción del tratado: si la habia, era superfino querer justificar al gobierno. 2.° Su utilidad política: en esta parte no</t>
  </si>
  <si>
    <t>rlos.__ Se resolvió que al día siguiente se deliberase sobre este mensage en junta de subsidios ; y Mr. Pitt entregó copia del tratado. Al ventilarse este , asunto él dia 19 preguntó Mr. Tierney en que tiempo se había concluido dicho convenio, el qual no se firmó hasta él dia 20 de Junio.</t>
  </si>
  <si>
    <t>rlamento la sanción Real á 21 bilei, que son los últimos aprobados en el Parlamento de Irlanda. ^ ' Mr. Pitt pidió en la Cámara baxa ademas de los 2 millones de esterlinas para el Emperador otras varias sumas, entre ellas 545,494 libras que se deben á la Rusia por el servicio de sus trop</t>
  </si>
  <si>
    <t>es en embarcaciones itac i onales. Nq se aprobaron en la Cámara de los Comunes las proposiciones de Mr. Pitt sobré que se' concediesen fondos, para pagar Jos subsidios al Emperadór de Alemania, sin que’ algunos ¡Vocales del tpartido de la ©posición lé ^contradijesen fuertemente* Eí que s</t>
  </si>
  <si>
    <t>anníng , y contestó á varias aserciones de Tierney* Al fin se aprobaron todas las proposiciones, de Mr. Pitt.</t>
  </si>
  <si>
    <t>a todo esto necesitaba fuerzas mucho nías considerables que las que mandaba. El dia 23 no concurrió Mr. Pitt ai Parlamento. Mr. Tierney preguntó sí el gobierno tenia aviso de un armisticio concluido entre el Emperador y la República francesa: y no habiéndole contestado el Alinistro Dunda</t>
  </si>
  <si>
    <t>s militares y en subsidios, con el único fin de debilitar cada vez mas la Francia, según lo confesó Mr. Pitt este año en la Cámara de los Comunes; y que el Emperador, y las demas potencias del continente movidas por el ministerio ingles, han gastado también muchísimos millones, y perdido d</t>
  </si>
  <si>
    <t>linas por su parte de presa de los buques holandeses cogidos en Helder. ; : Ayer fuéron á Blackwall Mr. Pitt y eí Lord Spencer, para asistir á la experiencia que se hizo sobre la velocidad de un buque arbolado con 5 masillesEl 31 del mes anterior recibid el Embaxador turco en esta corte orde</t>
  </si>
  <si>
    <t>az, no quieren exponerse á perder la vida, y á que se destruyan sus haciendas por el mero placer de Mr. Pitt. Y. St ras burgo 11 de Setiembre. a salió de aquí para el exército el Teniente General Lecourbe.</t>
  </si>
  <si>
    <t>e la paz expresado en el discurso de aoertura. Hagan los vocales memoria de la satisfacción con que Mr. Pitt habló del rompimiento de las negociaciones anteriores , y de la altivez y menosprecio con que los Ministros contestaron á las proposiciones de Bonaparte; y conocerán que solo la n</t>
  </si>
  <si>
    <t>o entre este ministerio y el de Francia sobre preliminares de paz, pues en la sesión del 28 declaró Mr. Pitt que los Ministros de S. M. no tenían intención de que se señalase dia para ventilar el asunto, y que miraban como inútil toda proposición sobre ello, porque hallándose impresos lo</t>
  </si>
  <si>
    <t>ión. En su discurso, que fué dilatadísimo, hizo los acostumbrados cargos á los Ministros. Replicóle Mr. Pitf con otro discurso de mas de dos horas: y la proposición de Mr. Tierney se desechó por 37 votos contra 157.__-Ayer pidió Air. Nichols se prendiese á todos los rusos existentes en I</t>
  </si>
  <si>
    <t>Pizarro, Antonio</t>
  </si>
  <si>
    <t>Antonio Pizarro</t>
  </si>
  <si>
    <t>ría Padriñan y D. Antonio María Moscoso: Compañía en el de Ciudad-Rodrigo al Teniente de granaderos D. Antonio Pizarro: Tenencias en el de Laredo al Teniente agregado í&gt;* Joseph de Castañeda; en el de Burgos al de la misma cíase D. Carlos de las Muñecas; en el de Luí»© á D. Joseph.Vi.Ilademoros, S</t>
  </si>
  <si>
    <t>Pizarro, Francisco</t>
  </si>
  <si>
    <t>Francisco Pizarro</t>
  </si>
  <si>
    <t>: nueva edición en 8,° y ia.° ; tomo 8.°, que comprchende la muerte violeota de los conquistadores D. Francisco Pizarro y D. Diego A magro, y la de Manco-Inca, soberano destronado de aquel imperio: el descubrimiento de la canela por Gonzalo Pizarro , con otros sucesos de mucho interes. Se hallará con l</t>
  </si>
  <si>
    <t>Pizarro, Francisco Xavier</t>
  </si>
  <si>
    <t>Francisco Xavier Pizarro</t>
  </si>
  <si>
    <t>ral de Plasencia, que se titula Mejorado Compañero, vacante por fallecimiento de D. Narciso Soto, á D. Francisco Xavier Pizarro, con la obiiga.cion de residencia que tiene anexa; y para la Prestamera de la Mitacion de Locches de Cañete y de Paterna, obispado de Córdoba, vacante por muerte de D. Antonio de</t>
  </si>
  <si>
    <t>Plácido Bustillo, Manuel</t>
  </si>
  <si>
    <t>Manuel Plácido Bustillo</t>
  </si>
  <si>
    <t>zobispado de Valencia: para la Canongía de la metropolitana de Toledo, vacante por fallecimiento de D. Manuel Plácido Bustillo, al Racionero de la misma D. Vicente Rodrigo de Mena: para otra de la Catedral de León, vacante por fallecimiento de D. Juan Joseph Martínez, á D. Lino Alfonso García Alambra, con</t>
  </si>
  <si>
    <t>Plana, Pablo</t>
  </si>
  <si>
    <t>Pablo Plana</t>
  </si>
  <si>
    <t>ficio de Ntra. Sra. de la Concepción de la metropolitana de Tarragona, vacante por fallecimiento de D. Pablo Plana, á D. Pablo Rabasa: para otro titulado Portería menor, en la catedral de Urgel, vacante por fallecimiento de D. Gil Verges, á D. Rafael Falomir: para otro Beneficio simple servide</t>
  </si>
  <si>
    <t>Planchón, Sebastián</t>
  </si>
  <si>
    <t>Sebastián Planchón</t>
  </si>
  <si>
    <t>; á Capitán al Teniente de granaderos Don Bernardo Duran ; á Teniente de granaderos al de fusileros D. Sebastian Planchón;á Teniente al Subteniente de granaderos D. Antonio Vianguet; á Subteniente de granaderos al de fusileros D. Francisco Bruno Muñoz , y i Subteniente de bandera al Cadete D. Pedro N</t>
  </si>
  <si>
    <t>Planella, Antonio</t>
  </si>
  <si>
    <t>Antonio Planella</t>
  </si>
  <si>
    <t>de Reales Guardias Españolas se ha servido promover el Rey á Alférez de granaderos al de fusileros D. Antonio Planella. En el de infantería del Rey á primer Teniente al segundo de granaderos D011 Francisco Colombo; á segundo Teniente de granaderos al de fusileros Don Juan Orsusan; á esta resulta a</t>
  </si>
  <si>
    <t>Planes, Miguel</t>
  </si>
  <si>
    <t>Miguel Planes</t>
  </si>
  <si>
    <t>h Yañez. Los muertos en la segunda el Alférez de Fragata D. Miguel Godoy, el Ayudante mayor del Rey D. Miguel Planes y el Cadete D. Ramón Pardo; y heridos los primeros Tenientes de Asturias D. Joseph de Zayas y D. Andrés Ortiz ; el Comandante del tercer batallón del Rey Don Rodulfo Gautier y el Subt</t>
  </si>
  <si>
    <t>Pliego, Francisco</t>
  </si>
  <si>
    <t>Francisco Pliego</t>
  </si>
  <si>
    <t>; á Capitán al Teniente de granaderos D. Jóse o!; Cardoso; á Teniente de granaderos al de fusileros D. Francisco Pliego; ; Teniente al Subteniente D. Joseph Blanco, y á Subteniente de bandera a Cadete D. Joseph Ignacio Romay: en el batallón de infantería de Campv che el empleo ae Capitán al Ayudant</t>
  </si>
  <si>
    <t>Plowes y Sevilla, Mateo</t>
  </si>
  <si>
    <t>Mateo Plowes y Sevilla</t>
  </si>
  <si>
    <t>Joseph Martínez de Velasco y Horcadas, D. Antonio de Montoro y Andrade , D. Joseph Ley y Marqueti, D. Mateo Plowes y Sevilla , D. Joseph Rubion y Gutiérrez de la Huerta, D. Domingo de Mesa y Wandcnhcde, D. Jacinto de Marcaida y Madariaga , D, Lorenzo Belon y Becerra, Don Tuan de Lanz y Norris , D. Juan</t>
  </si>
  <si>
    <t>Pobeda</t>
  </si>
  <si>
    <t>el, con 5300 pies, en 20©, y renta 600. Ductor Henriquez: una casa calle de Escritorios, que habita Dr. Pobeda, con 9180 pies, tasada en 40© rs. y renta 1200. Otra calle del Bello, Francisco de las fieras, con 38$ pies, en 5©, y renta igo. Otra en ia misma calle, Joseph Fernandez, con 6275</t>
  </si>
  <si>
    <t>Poiiibo, Bartolomé</t>
  </si>
  <si>
    <t>Bartolomé Poiiibo</t>
  </si>
  <si>
    <t>óles; y á Alférez al Portaestandarte D. Manuel Ruiz: en el de Algarbe. á primer Teniente al segundo D. Bartolomé Poiiibo; y en el de dragones de la Rey na á Capitán al de esta clase, agregado al de Villaviciosa, D. Joachin de v\ccdo; y á Ayudante, con grado de Capitán, al Teniente D. Pedro Pascuau E</t>
  </si>
  <si>
    <t>Poinson, General</t>
  </si>
  <si>
    <t>General Poinson</t>
  </si>
  <si>
    <t>cupan la ribera de Genova con bastantes fuerzas. En Puerto Mauricio hay 300 hombres mandados por el General Poinson : en el Principado de Oneilla se cuentan cerca de 2®, en el distrito de la Pieva 1700, entre Loano y la Pietra 400, en Finale 3®, y cerca de 4® en Savona y sus contornos. Dícese q</t>
  </si>
  <si>
    <t>Polero y Toledo, Joseph</t>
  </si>
  <si>
    <t>Joseph Polero y Toledo</t>
  </si>
  <si>
    <t>dral de Nicaragua á D. Pedro Albisio Mexía: para otra de igual cíase.en,lá de"Ántequera de.Oaxaca á D. Joseph Polero y Toledo; y yara una Média-Racioii dé la metropolitana de Sta. Fe á D. Juan Joseph del Olmo, Racionero efecto que fué ae la de Sto. Domingo, S. M. ha nombrado Subteniente de bandera d;el r</t>
  </si>
  <si>
    <t>Policarpo</t>
  </si>
  <si>
    <t>e al segundo D. Lorenzo Casado; y á segundo Subteniente al Sargento primero graduado de Subteniente D. Policarpo&gt; Algarra: en el de Zaragoza á segundo Subteniente al Sargento primero de granaderos graduado de Subteniente D. Vicente Cabrera: en el de Asturias á primer Teniente al segundo de g</t>
  </si>
  <si>
    <t>Polín, Vicente</t>
  </si>
  <si>
    <t>Vicente Polín</t>
  </si>
  <si>
    <t>s , renovado á nombre de Manuel Jato , sin mas endoso. Quien los hubiere encontrado los entregará á D. Vicente Polín , calle Mayor , núms. 6 y 7 , encima de la fábrica de Talavera , quarto principal. ^Quien hubiese perdido un vale Real de 150 pesos, que se halló el i.° de este mes en el camino d</t>
  </si>
  <si>
    <t>Polo y Catalina, Juan</t>
  </si>
  <si>
    <t>Juan Polo y Catalina</t>
  </si>
  <si>
    <t>atorre, Canónigo penitenciario, y censor segundo de la sociedad, D. Serapio Sinués, D. Tomas López, D. Juan Polo y Catalina, D. Joseph Duaso y D. Pedro Gregorio de Echeandía, catedrático de botánica, en calidad de examinadores, á presen</t>
  </si>
  <si>
    <t>el Dr. B. Tomas ^López, también Médico colegialD. Francisco Otano, Catedrático de chímica ; el Be- D. Juan Polo y Catalina , y el Lie. D. Joseph Duaso, Presbítero, todos individuos de la sociedad ; y asistieron á estos actos otros varios socios y personas dé distinción, que manifestaron su complacenci</t>
  </si>
  <si>
    <t>Polombini, General</t>
  </si>
  <si>
    <t>General Polombini</t>
  </si>
  <si>
    <t>artillería contra Arezzo. El General Trivulci marchó con media brigada'cisalpina de refuerzo, y el General Polombini con el batallón de oficiales que manda : otro batallón siguió al mismo destino. Durante la noche se dispusiéron las escalas; y los soldados impacientes de vencer clamaban por el a</t>
  </si>
  <si>
    <t>Pomparte</t>
  </si>
  <si>
    <t>y el Ayuntamiento de aquella ciudad está disponiendo alojamiento para el primer Cónsul Pomparte , y para el General Berthier. De Zurich escriben que el i.p del corriente á las 4 de madrugada atravesaron los franceses el Rhin por el convento de Parad íes y</t>
  </si>
  <si>
    <t>Ponce de León y Torres, Manuel</t>
  </si>
  <si>
    <t>Manuel Ponce de León y Torres</t>
  </si>
  <si>
    <t>y Corral, D. Joseph Vial y Cardigondi, D. Juan Ordoñez y Martínez, D. Pedro de Varo Franco y Areco, D. Manuel Ponce de León y Torres, D. Joseph de Tiscar y Pedrosa, D. Saturnino Aguado y Payan, D. Joseph Bayo y García de Prado, D. Joseph de Arbizu y Alava, Don Antonio Vázquez de Velasco y Ontañon, D. Santiago P</t>
  </si>
  <si>
    <t>Ponce de León, Manuel</t>
  </si>
  <si>
    <t>Manuel Ponce de León</t>
  </si>
  <si>
    <t>®75&gt;I4I &gt; 337*999 &gt; 339,3*5 7 34»,459 » Mos en cabeza de D. Angel de Urruchi, endosados por este á D. Manuel Ponce de León; y otro también de 1 ¿o pesos, de la misma creación de Marzo, núm. 227,805 , en cabeza de D. Pedro López de Huerta. Quien supiere de ellos avisará á qualquiera de dichos sugetos.</t>
  </si>
  <si>
    <t>Ponce Peralta, María</t>
  </si>
  <si>
    <t>María Ponce Peralta</t>
  </si>
  <si>
    <t>s, en el término de la ciudad de Jaén, arrendado en 1® rs—_Un olivar, con su casa, de la memoria de Doña María Ponce Peralta, que renta 3® rs. — Dos hazas en el sitio -4le Sta. Isabel, de la meinovia.de Pedro Covaleda, arrendada en 275 rs,——</t>
  </si>
  <si>
    <t>Poncerot, Agustin</t>
  </si>
  <si>
    <t>Agustin Poncerot</t>
  </si>
  <si>
    <t>Andrés Aguado y Oquendo y D. Joseph Alvarez, este del de Soria, y al Sargento primero de granaderos D. Agustin Poncerot: en el de TJltonia á Capitán al primer Teniente de gr.msderos D. Andrés Debox; á primer Teniente de granaderos al de fusileros D. Juan Macdonell; á primeros Tenientes á los segund</t>
  </si>
  <si>
    <t>Pons, Gaspar</t>
  </si>
  <si>
    <t>Gaspar Pons</t>
  </si>
  <si>
    <t>ey ha nombrado Cirujano del primer batallón del regimiento de infantería de las Ordenes Militares á D. Gaspar Pons; y ha conferido una de las dos plazas de Ayudante Consultor supernumerario del exército. al honorario D. Vicente Pozo , quarto Catedrático del Real colegio de la Facultad reunida</t>
  </si>
  <si>
    <t>Pons, Juan</t>
  </si>
  <si>
    <t>Juan Pons</t>
  </si>
  <si>
    <t>natural de Villafranca de Panadés , Corregimiento ídem......... ioó. 16. Cabo.. Juan Pons, hijo de Gabriel y Margarita, natural de Monistrol, Corregimiento de Manresa................................ 124. Otro... Pedro Garriga, hijo de Joseph y Eulalia, natural de Barcelona,</t>
  </si>
  <si>
    <t>Ponsonby</t>
  </si>
  <si>
    <t>eda, y se señalasen varias contribuciones nuevas para pagar sus intereses. Aprobado todo esto, hizo Mr. Ponsonby la proposición que tenia anunciada, y se reduce á las 3 resoluciones siguientes: 1.* Que la constitución de Irlanda confiere al pueblo el derecho de presentar peticiones al Parlament</t>
  </si>
  <si>
    <t>Pont, Joseph</t>
  </si>
  <si>
    <t>Joseph Pont</t>
  </si>
  <si>
    <t>teneciente á id en &lt;9,159 rs. 44 mrs. Una casa en la caite Mayor, pertenecientes, á la causa pia de D. Joseph Pont, presbítero, en 12,646 rs. 9. mrs. Una pieza de tierra, en la partida del Riego mayor, perteneciente fr Ja causa pía de.D. Francisco Castelló, presbítero, en 12,743, rs. 17 mrs. O</t>
  </si>
  <si>
    <t>Ponte, Joachín</t>
  </si>
  <si>
    <t>Joachín Ponte</t>
  </si>
  <si>
    <t>lderón de la Barca, D. Luis Solana, D.Fernán.lo Navia,D. Miguei Forcalio, Don Jacobo Gil de Avalle, D. Joachin Ponte, D.Francisco Arnau, D. Joachin Hidalgo y D. Luis de Sotomayor. El Rey se ha servido promover á Teniente Coronel del regimiento provincial de Monterey á D. Baltasar Araujo, Capitán</t>
  </si>
  <si>
    <t>Popham</t>
  </si>
  <si>
    <t>el gobierno ingles, y auxiliarle en quanto pueda para asegurar el triunfo de la colicion.----Aunque Mr. Popham no es católico, le lia hecho Paulo I caballero de Malta. El Barón de Jacobi ha presentado á S. M. en audiencia privada sus nuevas credenciales de Enviado extraordinario y Ministro</t>
  </si>
  <si>
    <t>unes, señaló para servir este año en las esquadras no® hombres, inclusos 22,600 soldados de marina. Mr. Popham, que por orden de este gabinete ha ido á Petersburgo , escribe que estaba pronro á concluir el nuevo convenio para que aquella corte suministre un cuerpo de tropas á Inglaterra. A</t>
  </si>
  <si>
    <t>Popham, Capitán</t>
  </si>
  <si>
    <t>Capitán Popham</t>
  </si>
  <si>
    <t>vasiones en las costas de Holanda y Francia. Lo que dió motivo á estas voces fué el haber pasado el Capitán Popham por Stockolmo para Rusia después de presenciar el embarco de las primeras tropas. Va ahora á Petersburgo á solicitar que los cuerpos rusos que están en Jersey y Guernsey no se res</t>
  </si>
  <si>
    <t>l, y xefe del regimiento de infantería de su nombre. A 50 millas de Petersburgo ha caído enfermo el Capitán Popham, que por orden del gobierno ingles presenció el embarco de las tropas rusas destinadas á la expedición contra Holanda. En el parage en que le detiene sii enfermedad ha sabido que</t>
  </si>
  <si>
    <t>larse los bosques, y faltar madera para otros usos indispensables. Restablecido de su enfermedad el Capitán Popham continuó su viage á Petersburgo pero nada ha conseguido con sus diligencias y esfuerzos, pues el Emperador ha vuelto á adoptar la neutralidad; y en prueba de que se retira de la c</t>
  </si>
  <si>
    <t>gozó muchos años, y ahora le ha prohibido se le presente. Añaden que en el propio caso se halla el Capitán Popham, el qual no habia aun podido tener audiencia de aquel Soberano. El gobierno clel Bengala se propone enviar un Embaxador á Siam, pues hace mucho tiempo que la compañía oriental des</t>
  </si>
  <si>
    <t>e estuvieron detenidos muidlo tiempo en Rusia por orden del Emperador , se embarcaron al fin con el Capitán Popham, y no han tardado mas que 13 dias en su navegación. El Ministro ingles Lord Vithworth Habrá salido también de allí á principios de este mes para restituirse á Inglaterra. Paulo I</t>
  </si>
  <si>
    <t>mburgo. Dícese que trae tropas de desembarco. El navio de la, misma nación el Romney de 64 cañones, Capitán Popham, entró en Hornbeck, cerca de Elseneur, con un londro y un cúter; y luego fondeó en Kulbn. El mencionado Capitán avi</t>
  </si>
  <si>
    <t>TA DE MADRID ■wr DEL MARTES 7 DE OCTUBRE DE 1800. Copenhague 3© de Agosto» E A natío ingles Romney, Capitán Popham, ancló haoennos dias en esta rada» y otros buques de la propia nación se apostáron al mismo tiempo cerca de la isla de Hoen. Ai instante salieron de aquí las 3 baterías flotantes</t>
  </si>
  <si>
    <t>e ha esparcido la voz de que el Dey de Argel ha declarado guerra á la Gran Bretaña. .. Hoy llegó el Capitán Popham con pliegos del Lord Withworth y d^t Almirante Dickson , y copia de un convenio firmado por el Enviado ingles y el Ministro de Dinamarca.-Según el tenor de este ajuste se han.arre</t>
  </si>
  <si>
    <t>Porcel, Joachín</t>
  </si>
  <si>
    <t>Joachín Porcel</t>
  </si>
  <si>
    <t>diferentes puntos de la América. Según el parte que ha dado con fecha del 13 el Capitán de Fragata D. Joachin Porcel, Comandante de estas fuerzas, experimentaron desde el siguiente dia 4 calmas y vientos muy bonancibles del tercer quadrante, que no solo dificultaban la reunión del convoy, sino q</t>
  </si>
  <si>
    <t>Porcy</t>
  </si>
  <si>
    <t>papeles que sirven á comprobar la conspiración, que ya se había descubierto.El ciud. Porcy, Ayudante del General Lecourbe, ha llegado aquí con las banderas cogidas á los austríacos en el paso del Danubio. Igualmente ha venido el General Zagg, xefe de</t>
  </si>
  <si>
    <t>Port</t>
  </si>
  <si>
    <t>nes y baxo,dcl Sr. Pleyel: 6 contradanzas nuevas violentas al estilo ingles , para violín solo, por Mr. Port: gracioso fandanguillo sevillano con 42 diferencias para guitarra sola , del Sr. Laporta: graciosa contradanza nueva del minuet afandangado, con variaciones para guitarra , violin</t>
  </si>
  <si>
    <t>Porta, Juan</t>
  </si>
  <si>
    <t>Juan Porta</t>
  </si>
  <si>
    <t>mer batallón de infantería ligera de Cataluña ha promovido S&lt; M^ áprimer Capitán al primer Ayudante D. Juan Porta; á esta resulta al segundo Capitán, graduado de Teniente Coronel, D. Antonio, Gaspar Blanco ;&lt; al empleo que este* dexa fal&lt; segundo Ayüdanté;, gradüado de Capitán» D^ Mariano Tem</t>
  </si>
  <si>
    <t>Portillo, Francisco Antonio</t>
  </si>
  <si>
    <t>Francisco Antonio Portillo</t>
  </si>
  <si>
    <t>lejo , en que iba un vale Real de 600 pesos , de ig de Setiembre último, núm. 134,480, endosado por D. Francisco Antonio Portillo á Ja orden de D. Joseph Cantero , Tesorero principal de la provincia de Cuenca. Quien Je hubiere hallado lo devolverá al Sr. Cantero , en Cuenca , ó al referido Portillo, en la ex</t>
  </si>
  <si>
    <t>Portóles, Manuel</t>
  </si>
  <si>
    <t>Manuel Portóles</t>
  </si>
  <si>
    <t>D. Miguel Ram , tasada en 12,630 rs. de 16 quartos. = Ciudad de Alcañiz : un huerto , del legado de D. Manuel Portóles , tasado en 18,480 rs. de 16 quartos. Otro , de la misma obra pia , en 29^. La villa de Almagro ha obtenido Real permiso para cerrar como se hallan los sitios baldíos comunes y pr</t>
  </si>
  <si>
    <t>Postigo y Bulnes, Isidoro</t>
  </si>
  <si>
    <t>Isidoro Postigo y Bulnes</t>
  </si>
  <si>
    <t>m, D. Fernando Muñoz y Abreu,D. Aii toni'o Tacón y Rosique, D. Salvador Spadafora,D. Ramón Caamaño, Don Isidoro Postigo y Bulnes, D. Joseph de Echeverría y Padilla’, D. Francisco Torralbo y Valenciano ,#D. Joseph García de Prado y Osorno, D. Manuel Ristori y Medina, D. Salvador Ciezar y Bocanegra, D. Bonifa</t>
  </si>
  <si>
    <t>Postigo, Francisco</t>
  </si>
  <si>
    <t>Francisco Postigo</t>
  </si>
  <si>
    <t>i°)6 niente ; á primeros Subtenientes á los segundos D. Francisco Postigo y D. Luis de Sous.i, y á segundos Subtenientes al Sargento primero de granaderos D. Claudio Blanco y al Cadete D. Baltasar Xiron: en el de Mallorca á Subteniente de granaderos al prim</t>
  </si>
  <si>
    <t>Poulet, Simón</t>
  </si>
  <si>
    <t>Simón Poulet</t>
  </si>
  <si>
    <t>les recojan los Reales despachos que tengan. Al difunto Teniente Coronel y Comandante de Ingenieros D. Simón Poulet, ilesa su memoria. Al Brigadier D. Luis Baamonde, Coronel del provincial de Mondoñedo, y al Teniente Coronel D. Joseph Chardenoux, Sargento mayor de la, plaza, suspensión de sus e</t>
  </si>
  <si>
    <t>Poussielgue</t>
  </si>
  <si>
    <t>exandría y otras plazas. Finalmente, el 21 de Diciembre, el General Desaix y el ciud. Poussielgue, á quienes nombré por plenipotenciarios, empezaron en el navio Tigre las conferencias con Mr. Sidney-Smith, á quien el Gran Visir había dado plenipotencias par</t>
  </si>
  <si>
    <t>ses pelean con valor.----Han llegado al lazareto de Toion el General Desaix, el ciud. Poussielgue, y i&lt;;o oficiales del exército de Egipto.” A solicitud del instituto nacional ha encargado el primer Cónsul al Ministro de Marina mande alistar en el Havre de</t>
  </si>
  <si>
    <t>ndo. Pero volviendo al gabinete ingles, las car-) tas deí .General Desaix y del ciud. Poussielgue al primer Cónsul j prueban que el Conmódoro Smith había-recibido órdenes para que «o permitiese se retirase nuestro exército: que el Almirante Keíth tuvo igual</t>
  </si>
  <si>
    <t>Pozo, Carlos</t>
  </si>
  <si>
    <t>Carlos Pozo</t>
  </si>
  <si>
    <t>misma á D. Joseph Mariáno Recacoechea: para Visitador del resguardo de la factoría de Guadalaxara á D. Carlos Pozo: para Teniente Visitador de ella á D. Vicente Dávalos; y para Guardas de las factorías de Puebla, Oaxaea, Guadalaxara y Administración general del arzobispado de México á D. Agust</t>
  </si>
  <si>
    <t>Pozo, Vicente</t>
  </si>
  <si>
    <t>Vicente Pozo</t>
  </si>
  <si>
    <t>ha conferido una de las dos plazas de Ayudante Consultor supernumerario del exército. al honorario D. Vicente Pozo , quarto Catedrático del Real colegio de la Facultad reunida de, Barcelona, ■ A consulta de la Junta general de Comercio y Moneda se ha servido el Rey conceder á D. Jayme Ubach fa</t>
  </si>
  <si>
    <t>Prado de Prado, Francisco</t>
  </si>
  <si>
    <t>Francisco Prado de Prado</t>
  </si>
  <si>
    <t>ibiente primero D. Manuel Jacinto Gómez y Fuentes; y su resulta al meritorio de la misma Contaduría D. Francisco Prado de Prado. La junta de gobierno del Banco nacional de S.Carlos, en virtud del capítulo 19 de la Real cédula de erección, y de lo que previenen el i.°y 2.0 del reglamento de juntas generales</t>
  </si>
  <si>
    <t>Prat y Quadras, Joseph</t>
  </si>
  <si>
    <t>Joseph Prat y Quadras</t>
  </si>
  <si>
    <t>servido nombrar para la vara de Alcalde mayor de la ciudad de S. Felipe, en el Reyno de Valencia, á D. Joseph Prat y Quadras. En atención á los méritos y servicios de D. Francisco de Nuix Perpiñá Tristany y de Bardaxi, vecino de la ciudad de Cervera, en el principado de Cataluña, se ha servido S. M. con</t>
  </si>
  <si>
    <t>Prat, Dionisio</t>
  </si>
  <si>
    <t>Dionisio Prat</t>
  </si>
  <si>
    <t>lecidos para la venta de dos cristales entrefinos dé dichá&lt; Reai fábrica están en Madrid en casá de D. Dionisio Prat; del comercio; calle del Cáiémen, frente á la Inclusa, en donde se hallarán dobles para marcos de coches , asimismo marcos para láminas imitados á los de Alemania: en Bárcelo* na</t>
  </si>
  <si>
    <t>Prats, Joseph</t>
  </si>
  <si>
    <t>Joseph Prats</t>
  </si>
  <si>
    <t>Matías Ballester; y Maestros mayores de Montages de su Real Maestranza de artillería de Barcelona á D. Joseph Prats y D. Ventura Daímau, Sargentos de la misma; y también ha tenido á bien el nombrar Maestro mayor de Herrería de la citada Maestranza ai Sargento D. Joseph Serraclara. El dia 24 de Marz</t>
  </si>
  <si>
    <t>Preciado Martínez, Joseph</t>
  </si>
  <si>
    <t>Joseph Preciado Martínez</t>
  </si>
  <si>
    <t>tubre del mismo año hizo la ex-traccion de un tumor carcino-matoso, que padecía Joseph Preciado Martínez, vecino de dicha villa, de ¿8 años de edad, en la sien siniestra sobre el hueso coronal, sin que se hayan verificado resultas.__ Igualmente, en la villa de Hazaña hizo la extracción de un</t>
  </si>
  <si>
    <t>Prendes, Francisco</t>
  </si>
  <si>
    <t>Francisco Prendes</t>
  </si>
  <si>
    <t>la dirección del auxiliar D. Manuel Alvarez, los alumnos de primer año del quinto curso matemático D. Francisco Prendes, D. Joachín Campuzano y Marentes, D. Manuel García y Muñiz, D. Nicolás Carreño y D. Domingo González. 2.0 En dichos estudios y en geometría, trigonometría plana y esférica y logar</t>
  </si>
  <si>
    <t>Priego, Francisco</t>
  </si>
  <si>
    <t>Francisco Priego</t>
  </si>
  <si>
    <t>ente al segundo de granaderos D. Francisco Domeñé; á segundo Teniente de granaderos al de fusileros D. Francisco Priego; á segundo Teniente al Subteniente de granaderos D. Manuel Seco ; á Subteniente de granaderos al primer Subteniente D. Joseph de la Reguera; á primeros Subtenientes á los segundos</t>
  </si>
  <si>
    <t>Prieto AJvarez, Francisco</t>
  </si>
  <si>
    <t>Francisco Prieto AJvarez</t>
  </si>
  <si>
    <t>el 2 del corriente, baxo los apercibimientos que expresa la citada ley. El 17 de Mayo líltimo murió D. Francisco Prieto AJvarez en la villa de Navacerrada , provincia de Guadalaxara: y teniendo entendido sus herederos que ha .quedado á deber á varios sugetos cantidades que ignoran, les avuan que acudan ante</t>
  </si>
  <si>
    <t>Prieto Giraldo, Francisco</t>
  </si>
  <si>
    <t>Francisco Prieto Giraldo</t>
  </si>
  <si>
    <t>ventor de la administración del tabaco de Chihuahua , en las provincias internas de Nueva-España, á Don Francisco Prieto Giraldo; y para la plaza de Guarda de rentas Reales de Tabasco á D. Joseph María Herrera. El Rey ha premiado con (a pensión de quatro reales diarios á los Patrones pescadores de la matríc</t>
  </si>
  <si>
    <t>Prieto, Francisco</t>
  </si>
  <si>
    <t>Francisco Prieto</t>
  </si>
  <si>
    <t>n Golnez Zamora; las Tenencias de granaderos y cazadores del de Oviedo á los Tenientes de fusileros D. Francisco Prieto y D. Pedro Pelaez Campománes; la Tenencia de cazadores del de Chinchilla á D. Pedro Flores, Teniente de fusileros; Tenencia de esta clase en el de Betanzos al Subteniente D. Tose*Ti B</t>
  </si>
  <si>
    <t>Prieto, Joseph</t>
  </si>
  <si>
    <t>Joseph Prieto</t>
  </si>
  <si>
    <t>fantería, é Ingeniero extraordinario de sus exércitos , plazas y fronteras al Ayudante de Ingeniero Don Joseph Prieto. S. M. lia concedido grado de Capitán de infantería á D. Martin Raí» mirez, Teniente de Ingenieros Cosmógrafos de estado. En América. E l R ey se ha servido nombrar Portaguión del</t>
  </si>
  <si>
    <t>Prieto, Pedro</t>
  </si>
  <si>
    <t>Pedro Prieto</t>
  </si>
  <si>
    <t>el Evangelio meditado : D. Joseph María de los Ríos con las obras que. ha impreso el catedrático; y D. Pedro Prieto con las que tiene impresas D. Juan Rubio,quien se las dió á sus expensas. Se dedicó este certamen á la Real junta general de car ¡dad, que asistió al acto : el qual se concluyó co</t>
  </si>
  <si>
    <t>Primo Feliciano Marín</t>
  </si>
  <si>
    <t>bispado de Antequera de Oaxaca á D. Antonio Vergosa y Jordán ; y para el del Nuevo Rey no de León á D. Primo Feliciano Marín. También ha nombrado S. M. para la Canongü Magistral de la catedral de Antequera á D. Francisco de Borja Toranzo , provisto para una Ración de la misma iglesia; y á D. Alexandro d</t>
  </si>
  <si>
    <t>Príncipe de Gorstchakow, General</t>
  </si>
  <si>
    <t>General Príncipe de Gorstchakow</t>
  </si>
  <si>
    <t>nvió ahornóla cruz de mi orden militar de María Teresa, para que en mi nombre la deis al mencionado General Príncipe de Gorstchakow. Firmado: Francisco.” Vicna 15 de Enero. S e han despachado de aquí nuevas remesas de municiones~y artillería para el exército de Italia, para donde marcharán también 12 batallone</t>
  </si>
  <si>
    <t>Príncipe de Gorstchakow, Teniente General</t>
  </si>
  <si>
    <t>Teniente General Príncipe de Gorstchakow</t>
  </si>
  <si>
    <t>uiente carta al Conde de Suwarow con fecha de 2 de este mes: „Mi amado Príncipe Italiski. Aunque el Teniente General Príncipe de Gorstchakow no ha tenido proporción "de concurrir á la campana de Italia, he resuelto hacer una excepción á su favor; pues por una parte estoy bien informado de las pruebas de valor que lia d</t>
  </si>
  <si>
    <t>Príncipe de Hohenlohe, Feld-Mariscal</t>
  </si>
  <si>
    <t>Feld-Mariscal Príncipe de Hohenlohe</t>
  </si>
  <si>
    <t>dan desagradar á los franceses, é indisponerlos contra este pueblo. ;_ 13 Mánhehn /p de Mayo. i"*,! Feld-Mariscal Príncipe de Hohenlohe ha publicado el siguiente aviso: El Feld-Mariscrd Kray ha recibido un extraordinario del Barón de Melas, én qué le comunica que ha vencido nuevamente á los franceses, y que quando</t>
  </si>
  <si>
    <t>Príncipe de Ilohenlohe, General</t>
  </si>
  <si>
    <t>General Príncipe de Ilohenlohe</t>
  </si>
  <si>
    <t>ener el partido que lia adoptado este Príncipe de conservarse neutral. Manheim 14 de Diciembre. E I General Príncipe de Ilohenlohe ha recibido la noticia de oficio de que el 2 del corriente se entregó por capitulación la fortaleza de Coni, al cabo de 5 dias de abierta la trinchera y de 2 de bombardeo. La guar</t>
  </si>
  <si>
    <t>Principe de Lichtenstein, Teniente General</t>
  </si>
  <si>
    <t>Teniente General Principe de Lichtenstein</t>
  </si>
  <si>
    <t>or los buenos servicios hechos durante toda la guerra, y especialmente en la última campaña, por el Teniente General Principe de Lichtenstein, que mandó el sitio de Coni, confiriéndole el regimiento núm. 9 de dragones, que en adelante tendrá el nombre de dicho Príncipe. Se ha publicado la patenté imperial que señala la</t>
  </si>
  <si>
    <t>Príncipe de Monforte, Teniente General</t>
  </si>
  <si>
    <t>Teniente General Príncipe de Monforte</t>
  </si>
  <si>
    <t>a General del Reyno de Valencia, ^y la ha conferido con la Presidencia de?aquella Real Audiencia al Teniente General Príncipe de Monforte, Capitán General de las costas y exército de Andalucía: para la qual ha nombrado S. M. al Teniente General D. Tomas de Moría , conservándole el Gobierno militar y político de la p</t>
  </si>
  <si>
    <t>Príncipe de Reuss, General</t>
  </si>
  <si>
    <t>General Príncipe de Reuss</t>
  </si>
  <si>
    <t>16 por Ja noche en Martigni, en donde habia sentado su quartel general. strasburgo 25 de Mayo. E 1 General Príncipe de Reuss ha ido á Inspruck , capital del Tirol, á tratar con el Gobernador Bising en orden á las disposiciones que conviene hacer para defender el pais. Desde el dia 15 ha habido algunas a</t>
  </si>
  <si>
    <t>Príncipe de Reussse, General</t>
  </si>
  <si>
    <t>General Príncipe de Reussse</t>
  </si>
  <si>
    <t>de Roverea, Bachman y Salís han recibido orden de incorporarse con las tropas que á las órdenes del General Príncipe de Reussse hallan actualmente en las cercanías de Bregentz___ En las fronteras del Valais está el General Courten formando otro regimiento suizo, que igualmente entrará al sueldo de la Gran</t>
  </si>
  <si>
    <t>Príncipe Gortschakow, Teniente General</t>
  </si>
  <si>
    <t>Teniente General Príncipe Gortschakow</t>
  </si>
  <si>
    <t>que la cubriese la caballería ó los cazadores; dirige S. M. Imperial sus reconvenciones por ello al Teniente General Príncipe Gortschakow; y ademas advierte con este motivo que la falta de puntualidad y exactitud ae parte de los Gene-» rales fué la causa de haberse perdido las batallas en Suiza y en Holanda. Asimism</t>
  </si>
  <si>
    <t>Príncipe Suwarow, General</t>
  </si>
  <si>
    <t>General Príncipe Suwarow</t>
  </si>
  <si>
    <t>2j§ De Praga avisan que ya pasó por aquella ciudad la úWma colima de tropas rusas. Su General Príncipe Suwarow quedaba en Lchomhchd, que es el último lugar ce Bohemia en el camino de Troppau y Teschen. a Berlín J2 de lebrero. J~\ segúrase que la Busia junta tropas en las fronteras d i Prus</t>
  </si>
  <si>
    <t>Príncipe Wolkonskoi, General</t>
  </si>
  <si>
    <t>General Príncipe Wolkonskoi</t>
  </si>
  <si>
    <t>á de esta.corte del dia 13 se lee el siguiente artículo: „E1 Teniente General -Borosdin, y el Mayor General Príncipe Wolkonskoi, que hablan salido ya para Malta, tienen orden de volver á encargarse del mando de sus respectivos cuerpos de tropas.” Según avisos de Wolhinia un cuerpo considerable de tropas ru</t>
  </si>
  <si>
    <t>Prior, Obispo</t>
  </si>
  <si>
    <t>Obispo Prior</t>
  </si>
  <si>
    <t>endo su pa-^ drino el Exc. Sr. Príncipe de la Paz. El Rey se ha servido nombrar para la dignidad de Obispo Prior perpetuo del Real convento de Santiago de Ucles á D. Antonio Gaona, religioso de la misma orden, y Vicario Juez eclesiástico de la villa y partido de Totana: para la Canongía y Ar</t>
  </si>
  <si>
    <t>Priscot, General</t>
  </si>
  <si>
    <t>General Priscot</t>
  </si>
  <si>
    <t>que se les pueda hacer entrega del primer dividendo ó socorro que se hace de la fragata inglesa el General Priscot, debiendo servir dichos poderes para percibir el resto que les queda .en la mencionada presa ; y para que llegue á noticia de todos se da este aviso. A IX Juan de Morales, Caballe</t>
  </si>
  <si>
    <t>Proby, Lord</t>
  </si>
  <si>
    <t>Lord Proby</t>
  </si>
  <si>
    <t>tazgo, ha dado cuenta al Rey de haberse sublevado la tripulación de la fragata Danae mandada por ei Lord Proby , y de haberla conducido á Brest. Amsterdam jo de Marzo. E 1 General Marmont, Consejero de Espado de Francia, llegó aquí con credenciales del Embaxadoc de Holanda en París para es</t>
  </si>
  <si>
    <t>Prospero y Rosa</t>
  </si>
  <si>
    <t>gimiento de Gerona.................................. ^ Francisco Ribas, hijo de Prospero y Rosa , natural de AÍcubé, Corregimiento de Tarragona........ ....... ........... 50. Mer Busquets, hijo de Baldomero y Francisca, natural de Fubliá , Corregimiento de Gerona......... ...........</t>
  </si>
  <si>
    <t>Protain</t>
  </si>
  <si>
    <t>el jardín del quartel general tiene vistas á la plaza de Ezbekier. Queriendo el ciud. Protain defender al General, recibió 6 puñaladas. La primera herida que tuvo Kleber era mortal, y cayó en tierra. Protain vive todavía. El General Kleber, que estaba dand</t>
  </si>
  <si>
    <t>Proust, Luis</t>
  </si>
  <si>
    <t>Luis Proust</t>
  </si>
  <si>
    <t>e Extremadura, se rectifica este anuncio en esta parte para tranquilidad e inteligencia del público D. Luis Proust, profesor de chímica, principiará sus lecciones de esta ciencia en cT laboratorio provisional establecido en Madrid en la calle del Turco, el día 6 de Diciembre proxi.no y las con</t>
  </si>
  <si>
    <t>Prrcz, Nicolás</t>
  </si>
  <si>
    <t>Nicolás Prrcz</t>
  </si>
  <si>
    <t>n pasta á 6 rs. Catecismo de S. Pió V en iatin, dirigido á los Párrocos: corregido y anota-» do por D. Nicolás Prrcz , ex-Catedrático de teología moral en la universidad de Valencia, y socio literario- de la Ueal sociedad Vascongada. El mérito de esta oh»*a clásica es demasiado conocido para det</t>
  </si>
  <si>
    <t>Pu'ig, Antonio</t>
  </si>
  <si>
    <t>Antonio Pu'ig</t>
  </si>
  <si>
    <t>undo D. Román Gavilanes; y en el de Carabineros de la Eeyna María Luisa á Portaestandarte al Cadete D. Antonio Pu'ig. En el de dragones de la Reyna á Sargento mayor al Capitán de granaderos, gradúa</t>
  </si>
  <si>
    <t>Puente, Benito</t>
  </si>
  <si>
    <t>Benito Puente</t>
  </si>
  <si>
    <t>e la Comisión gubernativa de consolidación de Vales y Caxas de Extinción y Descuentos , los Señores D. Benito Puente y D. Juan de Morales Guzman y Tobar, Ministros del Supremo Consejo Real; D. Bernardo Febrer y D. Manuel Sixto Espinosa , del de Hacienda; D. Esteban Antonio de Orellana, Alcalde de su</t>
  </si>
  <si>
    <t>Pueyó, Ramón</t>
  </si>
  <si>
    <t>Ramón Pueyó</t>
  </si>
  <si>
    <t>do nombrar para la Canongía de Ja catedral de Jaén, vacante por fallecimiento de D. Diego Moyano, á D. Ramón Pueyó, Arcediano que ha sido de la catedral de la isla de Menorca: para otra de la de Osma, vacante por muerte de D. Ambrosio Marín, á D. Juan Francisco de Cárlos, Canónigo que también</t>
  </si>
  <si>
    <t>Puget de la Serre, Juan</t>
  </si>
  <si>
    <t>Juan Puget de la Serre</t>
  </si>
  <si>
    <t>pergamino y 30 en papel j y el chico á diez quartos. El Espejo que no aduta, escrito en francés por Mr. Juan Puget de la Serre* historiador de Francia; obra traducida por D. Nicolás Antonio Heredero y Mayoral. El aprecio qus merecen los escritos de este autor se acredita en las repetidas ediciones que de</t>
  </si>
  <si>
    <t>Puig de Samper, Joseph María</t>
  </si>
  <si>
    <t>Joseph María Puig de Samper</t>
  </si>
  <si>
    <t>tuvo exercicios públicos el 2 del corriente en las casas consistoriales, con la asistencia del Sr. D. Joseph María Puig de Samper, Presidente de esta Real Chancillería. Se dio principio con un razonamiento del profesor al objeto del acto; y habiéndose procedido al examen de doctrina christiana, historia sagr</t>
  </si>
  <si>
    <t>Puig, Juan</t>
  </si>
  <si>
    <t>Juan Puig</t>
  </si>
  <si>
    <t>Mqntblanch, Corregimiento idem.................................. 58. 13* Cabo.. Juan Puig , hijo de Joseph y María, natural de Caléis, Corregimiento de Gerona....................... .................... 69.; t* Magín Boleda, hijo de Joseph y Lucía, natural de Valls, Corregimi</t>
  </si>
  <si>
    <t>Puig, Juan Alexo</t>
  </si>
  <si>
    <t>Juan Alexo Puig</t>
  </si>
  <si>
    <t>de Aragón á segundos Subtenientes al Sargento primero de granaderos D. Martin de Sierra y al Cadete D. Juan Alexo Puig: en el de América á Capitán de granaderos al de fusileros graduado de Teniente Coronel Don Tomas de Santa Cruz ; á Capitanes á los primeros Tenientes dé granaderos D» Francisco Wi</t>
  </si>
  <si>
    <t>Pujana, Domingo Antonio</t>
  </si>
  <si>
    <t>Domingo Antonio Pujana</t>
  </si>
  <si>
    <t>iere de él avisará en Poza á D, Manuel de Mathso , contador mayor de aquellas salinas : en Burgos i D Domingo Antonio Pujana , de aquel comercio ; y en Madrid al mismo D. Anselmo García , plazuela de la Cebada , núm. \d\ quarto 3.°=^: El 19 de Agosto remitió el mismo D. Francisco Martínez de Hoz á D. An</t>
  </si>
  <si>
    <t>Pujol, Salvador</t>
  </si>
  <si>
    <t>Salvador Pujol</t>
  </si>
  <si>
    <t>Corregimiento de Lérida....... ................. ........... ...... .. 54. 30. Salvador Pujol, hijo de Joseph y Florentina , natural de Reus , Corregimiento de Tarragona........................ . 49. 14. Jayme Puigdemolas, hijo de Joseph y Rosa , natural de Riüdarenas , Corregim</t>
  </si>
  <si>
    <t>Pultney</t>
  </si>
  <si>
    <t>Pultney, General</t>
  </si>
  <si>
    <t>General Pultney</t>
  </si>
  <si>
    <t>ral ingles respondió que 110 tenia órdenes para ello. Con fecha del i.° del corriente ha escrito el General Pultney desdo los mares de Vigo, de los quales dice que debía alejarse ai dia siguiente. Anade á esto una gazeta inglesa que luego que dexe sus tropas en GibrJtar</t>
  </si>
  <si>
    <t>a la respuesta de Portsmouth á una pregunta hecha desde Londres. Se ha divulgado que las tropas dei General Pultney van á hacer un desembarco en la isla de Tenerife. Un navio de 98 cañones y dos de 74» pertenecientes á la esquadra del Lord S. Vicente, han entrado en Portsmouth. Es de temer que los</t>
  </si>
  <si>
    <t>Qlveyra, Capitán</t>
  </si>
  <si>
    <t>Capitán Qlveyra</t>
  </si>
  <si>
    <t>puertos de Inglaterra., escoltado de un navio de 74 cañones, una fragata y una goleta de guerra. El Capitán Qlveyra formó .inmediatamente el atrevido proyecto de seguirle, meterse en medio de él, y abordar alguno de sus Duques: animó á la tripulación del corsario, que convino en ello; y la noch</t>
  </si>
  <si>
    <t>Qnroria de Valdetrados</t>
  </si>
  <si>
    <t>esea saber el paradero;de Antonia García , -natural de la Sequera parroquial de Qnroria de Valdetrados , hija de Antonio y de Luisa Tablado, vecinos de Palacios de la Sierra, que faltó de esta corte el i&lt;5 de. Enero; y teniendo que comunicarla asuntos que la interesan, acudirá á la calle</t>
  </si>
  <si>
    <t>Qua-drado, Juan</t>
  </si>
  <si>
    <t>Juan Qua-drado</t>
  </si>
  <si>
    <t>Alféreces D. Ventura Pando y D. Lorenzo San Miguel : en el de Bprbon á Ayudante al primer Teniente D. Juan Qua-drado: en el de Alcántara á segundo Teniente al Alférez 1&gt;. Pedro Gómez: en el de Algarbe á segundo Teniente al Alférez D. Francisco .Sánchez : en el de la Costa de Granada á segundo Te</t>
  </si>
  <si>
    <t>Quadrado, Domingo</t>
  </si>
  <si>
    <t>Domingo Quadrado</t>
  </si>
  <si>
    <t>á Ayudante al primer Teniente D. Joseph Ximenez ; á primeros Tenientes á los segundos de granaderos D. Domingo Quadrado y D. Isidoro Acevedo; á segundos Tenientes de granaderos á los de fusileros D. Joseph Marín Ordoñez y D. Manuel Otero; á segundos Tenientes á los Subtenientes de granaderos D. Joseph</t>
  </si>
  <si>
    <t>Quadriilero, Cayetano</t>
  </si>
  <si>
    <t>Cayetano Quadriilero</t>
  </si>
  <si>
    <t>e Mayo. E I.dia 3 del mes último, murió en esta ciudad á los 65 anos y 8 meses de edad el limó. Sr. D. Cayetano Quadriilero, habiendo exercido^el ministerio pastoral en ella y en Ciudad-Rodrigo por espacio de 37 años. Lleno este Prelado de las sabias máximas que ordenó el Concilio de Tren-to par í el g</t>
  </si>
  <si>
    <t>Quadrillero, Cayetano Antonio</t>
  </si>
  <si>
    <t>Cayetano Antonio Quadrillero</t>
  </si>
  <si>
    <t>y se ha servido nombrar para la iglesia y obispado de León, vacante por fallecimiento del limo. Sr. D. Cayetano Antonio Quadrillero, al Sr. D. Pedro Luis Blanco, electo Obispo de Albarracin. S. M. se ha dignado nombrar para una Canongíá de la catedral de Segovia, vacante por fallecimiento de D. Miguel de Grija</t>
  </si>
  <si>
    <t>Quartas de Castro, Antonio</t>
  </si>
  <si>
    <t>Antonio Quartas de Castro</t>
  </si>
  <si>
    <t>leros á los Cadetes D. Vicente Díaz Sánchez, D. Joseph Francisco Fernandez Munida, D. Juan I asaña, D. Antonio Quartas de Castro, D. Francisco Fernandez Rábago, D. Pedro Perez Tagle, D. Dionisio María Mazuelo, D. Pedro Agustín Roncaii, D, Antonio Sacristán y D. Ignacio Vicente Unzeta. En el de infantería de</t>
  </si>
  <si>
    <t>Quartero, Tomás</t>
  </si>
  <si>
    <t>Tomás Quartero</t>
  </si>
  <si>
    <t>io de la Chancillería de Granada, para la plaza de Oidor de la misma, vacante por promoción del Sr. D. Tomas Quartero á otra del Consejo de Guerra: para una supernumeraria de Alcalde del Crimen de la propia Chancillería con sueldo á D. Antonio Valdecañas: para otra de Oidor de ella, vacante por f</t>
  </si>
  <si>
    <t>Quartery, Francisco</t>
  </si>
  <si>
    <t>Francisco Quartery</t>
  </si>
  <si>
    <t>á Subteniente de granaderos al de fusileros D. Luis Pignat, y á Subteniente de fusileros al Cadete D. Francisco Quartery: en el de Betschart á Teniente al Subteniente de granaderos D. Melchor Schwitter; y en el de Rutiman á Teniente supernumerario al Sargento D. Ignacio Catín.</t>
  </si>
  <si>
    <t>Queipo de Llano, Ramón</t>
  </si>
  <si>
    <t>Ramón Queipo de Llano</t>
  </si>
  <si>
    <t>l segundo Teniente agregado al propio cuerpo D. Joseph María de Roxas, y al de la misma clase en él Don Ramón Queipo de Llano. Por fallecimiento de D. Juan Vicente Cuervo ha conferido el Rey la plaza de Fiscal del tribunal de la Contaduría mayor de Cuentas, que obtenía, al Contador de resultas D. Pedro d</t>
  </si>
  <si>
    <t>Quer, Joseph</t>
  </si>
  <si>
    <t>Joseph Quer</t>
  </si>
  <si>
    <t>vasto campo de la naturaleza. Flora española, ó Historia de las plantas que se crian en España, por Don Joseph Quer , Cirujano que fue de S. M., consultor de sus Reales exércitos, primer profesor de botánica del Real jardín de Madrid &amp;c. : consta de 6 tomos en 4.0 mayor con muchas estampas. No</t>
  </si>
  <si>
    <t>Queraito, Francisco</t>
  </si>
  <si>
    <t>Francisco Queraito</t>
  </si>
  <si>
    <t>Varela y Verdes: para otra en la propia catedral, vacante por fallecimiento de D. Tomas Alvaréz, á D. Francisco Queraito: para otra de las parroquiales de Fraga de la* diócesis de Lérida, vacante por fallecimiento de D. Antonio Casillas, á D. Francisco Asensio^: para otra llamada de Derrengada, en l</t>
  </si>
  <si>
    <t>Quesada, Francisco</t>
  </si>
  <si>
    <t>Francisco Quesada</t>
  </si>
  <si>
    <t>r á Teniente del Real cuerpo de Artillería al Subteniente de Minadores de ¿1, graduado de Teniente, D. Francisco Quesada. La junta de gobierno del Banco nacional de S.Carlos, en virtud del ca^ pítulo 19 de Li Real cédula de erección, y de lo que previenen el i.° y 2.a del reglamento de juntas genera</t>
  </si>
  <si>
    <t>Quesada, Luis</t>
  </si>
  <si>
    <t>Luis Quesada</t>
  </si>
  <si>
    <t>a memoria de Ana Ximenez, tasado en 40,500 rs. Otro con 347 matas , en Majuelos , de la obra pia de D. Luis Quesada, tasado en 45,310 rs. y renta 1047. Un cortijo olivar, de dicha obra pía, en Pradillo, tasado en 68,086 rs. y renta 3$. Una huerta, en Sierra Hernando, de la misma obra pia , tasa</t>
  </si>
  <si>
    <t>Quijote</t>
  </si>
  <si>
    <t>Biblioteca de S. M., responden á la carta crítica que un anónimo dirigió al autor de las notas del D. Quijote, desaprobando algunas de ellas. = Carta publicada en el correo de Madrid , injuriosa i la buena memoria de Miguel de Cervantes. Reimprímese con notas apologéticas, fabricadas á ex</t>
  </si>
  <si>
    <t>Quilez y Ochoa, Juan Antonio</t>
  </si>
  <si>
    <t>Juan Antonio Quilez y Ochoa</t>
  </si>
  <si>
    <t>comisiones del Real servicio. También ha concedido S. M. los honores del mismo Consejo Real al Sr. D. Juan Antonio Quilez y Ochoa, como Ministro decano que ha quedado del citado tribunal de la Rota de la Nunciatura, por jubilación del referido Sr. D. Juan Manuel de Ton bes y Acevedo. El Rey se ha servido nom</t>
  </si>
  <si>
    <t>Quintana, Joseph</t>
  </si>
  <si>
    <t>Joseph Quintana</t>
  </si>
  <si>
    <t>y Paula, natural de Verdu, Corregimiento de Lérida..................... 55. 30. Joseph Quintana, hijo de Jayme y Ana María, natural de la Muga, Corregimiento de Gerona......... .............. 52. 15. Jayme Cantare!!, hijo de Tomas y Rosa, natural de Manresa, Corregí miento idem...</t>
  </si>
  <si>
    <t>Quintanar, Francisco</t>
  </si>
  <si>
    <t>Francisco Quintanar</t>
  </si>
  <si>
    <t>enientes á ios Alféreces D. Manuel Rascón y D. Francisco Olazeregui; á Alféreces á los Portaguiones D. Francisco Quintanar, D. Joseph Antonio de Jos Heros y D. ígnacio Ormachea, y á Portaguiones á D. Joseph Solis, D. Joseph Martínez y D. Manuel Rubio. El Consejo á consulta de la Comisión gubernativa,</t>
  </si>
  <si>
    <t>Quiroga y Arias, Antonio</t>
  </si>
  <si>
    <t>Antonio Quiroga y Arias</t>
  </si>
  <si>
    <t>an, D. Juan Calderón y Laso de la Vega, D. Gabriel Olivar y Esquella , D. Joachín Moreno y Mancha , D. Antonio Quiroga y Arias, D. Benito Bermudez de Castro y Vivero , D. Manuel Duque de la Cruz , D. Antonio Piñeyro y Maceda, Don Rafael de Mesa y Montero , D. Francisco Troncoso de Lira y Garza, Don Manuel</t>
  </si>
  <si>
    <t>Quiroga y Cornidc, Manuel</t>
  </si>
  <si>
    <t>Manuel Quiroga y Cornidc</t>
  </si>
  <si>
    <t>itán de cazadores del mismo cuerpo: las Sargentías mayores de los de Laredo, Badajoz 1 y Valencia á D. Manuel Quiroga y Cornidc, Capitán de granaderos del regimiento de infantería de Toledo, al Teniente Coronel D. Ramón Montieí, Ayudante del provincial de Toledo, y al Capitán de infantería D. Joachín</t>
  </si>
  <si>
    <t>Quirós, Vicente</t>
  </si>
  <si>
    <t>Vicente Quirós</t>
  </si>
  <si>
    <t>ros Subtenientes D. Juan Sarralde y Don Manuel de la Fuente; á primeros Subtenientes á los segundos D. Vicente Quirós y D. Francisco Exea; y á segundos Subtenientes al Cadete D. Joseph Ruvi del Castillo y al Sargento primero“D. Francisco Goméa 'r * y en ei</t>
  </si>
  <si>
    <t>Quixeno, Manuel</t>
  </si>
  <si>
    <t>Manuel Quixeno</t>
  </si>
  <si>
    <t>a, que se ausentó hace unos 40 dias , y se sospecha que está demente. Quien supiere de él avisará á D. Manuel Quixeno, tesorero de dicha colegiata de Santillana, ó en Madrid á D. Joseph Fernandez, puerta Cerrada, núm. a, quarto segundo. Homilía rio ó colección de homilías de los mas principales S</t>
  </si>
  <si>
    <t>Quixote</t>
  </si>
  <si>
    <t>se subscribe en la librería de Gómez, calle de las Carretas. Carta crítica al autor de las notas de D. Quixote: en la que se descubre el verdadero autor de su famosa historia, á quien Cervántes da el nombre de Cide líamete Ben-engeli. Por D. J. F. P. C. Esta carta , que puede ir por el cór</t>
  </si>
  <si>
    <t>ta de D. Joseph Conde, en que impugnáron Ja carta-crítica sobre el verdadero autor déla historia de D. Quixote; por D. Juan Francisco Pérez Cagigas, Cura párroco en el arzobispado de Toledo. Véndese con la antecedente del mismo autor en la librería de Tieso , calle de las Carretas. Puede i</t>
  </si>
  <si>
    <t>as, y enValladolid en ,1a de la viuda é hi-* jos-de Santander. * sEl Alcídesde 1a Mancha , y famoso D. Quixote t comedia nueva, con un saynete-, los Genios1 encontrados. Se Jhaílarán tén Ja ¡librería de González, calle, de Atocha , frente á ja casa de los'Grémios , y en el puesto.de Sánche</t>
  </si>
  <si>
    <t>e de dicho pueblo, y se admitirán hasta el *■ de Enero de —1801. Los subscriptores á la historia de D. Quixote en i&lt;S.° ilustrado con notas por D. Juan Antonio Pellicer, bibliotecario de S. M., acudirán á recoger los tomos 7.0 y 8.°, y el de la vida de Miguel de Cervántes Saavedra, á la libr</t>
  </si>
  <si>
    <t>Quixote de Cervantes</t>
  </si>
  <si>
    <t>á D. Manuel de Foronda, Oficial de la Real Tesorería: el segundo, que consistid en otro excmphr del Don Quixote de Cervantes, de ía edición de Sancha, á Don Joachín Riqüclmc; y el tercero, que fue un juego del Teatro histórico-crítico de la eloqtiencia española, de D. Antonio Capmany, á D. Vicente Sanz.</t>
  </si>
  <si>
    <t>Quixote de la Cantabria</t>
  </si>
  <si>
    <t>, en la de Cerro, red de S. Luis, y en su puesto, calle de Alcalá. Eos apasionados á la Historia de D. Quixote de la Cantabria podrán-subscribir al tomo 3.0, y se dará impreso en el término de dos meses eñ' la librería de Barco , carrera de S. Gerónimo , adelantando n rs. por el tomo en rús* tica , y 15 e</t>
  </si>
  <si>
    <t>Quixote de la Mancha</t>
  </si>
  <si>
    <t>Reimprímese con notas apologéticas, fabricadas á expensas de un devoto , que las dedica al autor de D. Quixote de la Mancha : por D. Tomas Antonio Sánchez , Bibliotecario de S. M. Véndense en las liberías de Sancha , calle del Lobo y de la Cruz, y en la de Castillo, frente á las gradas de S. Felipe el</t>
  </si>
  <si>
    <t>esenhanía de número de D. DiCgo Benigno González. Los subscriptores á la edición de la Historia de D. Quixote de la Mancha, que con notas, y viñetas y en 12.0 publica D. Juan Antonio. Peüicer , Bibliotecario de S. M., acudirán por los romos 5.0 y 6.” á la librería de Sancha, calle del Lobo* y se advie</t>
  </si>
  <si>
    <t>Quíxote de la Mancha</t>
  </si>
  <si>
    <t>oral del mas famoso escudero Sancho Panza , con arreglo á la historia que del mas hidalgo manchfigo Don Quíxote de la Mancha escribió Cide Hamete Benengeli: á 6 rs. en pergamino y 8 en pasta‘.r=:El Teatro; obra escrita en italiano por D. Francisco Milizia; y traducida por D J. F. O. == Juguetes de la niñe</t>
  </si>
  <si>
    <t>Quixote de la Real</t>
  </si>
  <si>
    <t>resentan en las 16 estampas nuevas de esta edición , la qual consta de 4 tomos en ia.° como los del D. Quixote de la Real imprenta , el Solis y otras, á razón de lo rs. cada tomo en rúvtjca pira los subscriptores. No.se venderán hasta publicarse toda la obra, y entonces se pagará á 48 rs. Queda abier</t>
  </si>
  <si>
    <t>Rabasa, Pablo</t>
  </si>
  <si>
    <t>Pablo Rabasa</t>
  </si>
  <si>
    <t>. de la Concepción de la metropolitana de Tarragona, vacante por fallecimiento de D. Pablo Plana, á D. Pablo Rabasa: para otro titulado Portería menor, en la catedral de Urgel, vacante por fallecimiento de D. Gil Verges, á D. Rafael Falomir: para otro Beneficio simple servidero de la parroquia</t>
  </si>
  <si>
    <t>Rabel, Juan</t>
  </si>
  <si>
    <t>Juan Rabel</t>
  </si>
  <si>
    <t>ranaderos D. Pedro Mingo,-D. Christóbal Ordoñez y D. Antonio TomiTba, y á los primeros Subtenientes D. Juan Rabel y D. Serafín Oliver; á Subtenientes de granaderos á los primeros Subtenientes Don Juan Calderón, D. Joachin Benitez y D. Nicolás Ortuño; á primeros Subtenientes X los segundos D. Jose</t>
  </si>
  <si>
    <t>Rabiet Piziuio</t>
  </si>
  <si>
    <t>ntería de Mallorca se ha servido pro mover el Rev á Subteniente de granaderos al primer Subteniente D. Rabiet Piziuio: en el de Aragón á segundo Subteniente al Cadete del de Zaragoza D. ¿u lian de León: en el de la Princesa á Capitán d Ayudante D. 1 aolo 1 om; á Ayudante al primer Teniente D. Fra</t>
  </si>
  <si>
    <t>Rabin</t>
  </si>
  <si>
    <t>ferencias eclesiásticas de Angers, recopiladas de orden del limo. Sr.Obispo de aquella diócesis por Mr. Rabin, Doctor en teología ¿kc., traducidas al castellano. Como apenas habrá un eclesiástico mediar.ámente instruido que no tenga noticia de esta obra tan honrosa para el clero de Franci</t>
  </si>
  <si>
    <t>Radía y Leblioh, Domingo</t>
  </si>
  <si>
    <t>Domingo Radía y Leblioh</t>
  </si>
  <si>
    <t>ayos , nieves, huracanes , sueño , volcanes , vejez &amp;c. : por Mr. Sigaud de la Fond , traducido por D. Domingo Radía y Leblioh , Individuo de Virios cuerpos patrióticos de España : tomo 1. Se hallará en rústica en el despacho de la imprenta Real á 1* rs. Esta obra, que constará de 4 tomos , presenta ia co</t>
  </si>
  <si>
    <t>Rafael Miguel</t>
  </si>
  <si>
    <t>iente graduado de Capitán de infantería D. Bernardo Albizú, y al Subteniente graduado de infantería D. Rafael Miguel: en el de Lugo compañía al Teniente de cazadores D. Joseph Feixoo: en el de Ronda la Tenencia y Subtenencia de granaderos al Teniente D. Pedro de Reyes y al Subteniente Don Franci</t>
  </si>
  <si>
    <t>Rafols, Benito</t>
  </si>
  <si>
    <t>Benito Rafols</t>
  </si>
  <si>
    <t>1043 Jaén; y para otra de la colegial de Manresa, diócesis de Vique, á D. Benito Rafols. En los regimientos provinciales ha conferido el Rey la primera compañía de fusileros del de Ciudad-Real al Teniente de la misma dase B. Juan Laguna, su resulta á D. Juan Benitez,</t>
  </si>
  <si>
    <t>Ragazini, Joseph</t>
  </si>
  <si>
    <t>Joseph Ragazini</t>
  </si>
  <si>
    <t>6o rías D. Ramón Diaz. Igualmente ha conferido S. M. el empleo de Teniente Coronel del de Ñapóles X D. Joseph Ragazini, Comandante del tercer batallón del mismo cuerpo: Subtenencia de granaderos en el Suizo de Betschart al de fusileros D. Antonio Kamer; y también ha promovido en el Suizo de Rutima</t>
  </si>
  <si>
    <t>Ragois</t>
  </si>
  <si>
    <t>-muerto al lado de este xefe. Entre los olí-' cíales heridos nombra Berthier al ciud. Ragois, Capitán de la guardia de infantería de los Cónsules, al Ayudante Didier, al Teniente Frorat,ai ciad; Ereri y al Teniente de artillería de á caballo Conrad , q</t>
  </si>
  <si>
    <t>Raí, Martín</t>
  </si>
  <si>
    <t>Martín Raí</t>
  </si>
  <si>
    <t>as al Ayudante de Ingeniero Don Joseph Prieto. S. M. lia concedido grado de Capitán de infantería á D. Martin Raí» mirez, Teniente de Ingenieros Cosmógrafos de estado. En América. E l R ey se ha servido nombrar Portaguión del esquadron de dragones de milicias disciplinadas de Guayaquil á D. R</t>
  </si>
  <si>
    <t>Raiberti, Juan</t>
  </si>
  <si>
    <t>Juan Raiberti</t>
  </si>
  <si>
    <t>l Sargento primero D. Isidro Valverde: y en el de Ñapóles a Ca^ pitan de granaderos al de fusileros D. Juan Raiberti ; a Capitán al primer Teniente de granaderos D. Pablo Duvernon ; a primer Teniente de grana-&gt; deros al de fusileros D. Vicente de Juan ; á primer Teniente al segundo; de granadero</t>
  </si>
  <si>
    <t>Raífael ComlhiD</t>
  </si>
  <si>
    <t>ríequémada ; á primeros*Subtenientes ¿ lós iségdndbs D. Antonio Madera y°Guzman, D. Antonio &gt;Rüi?z, D. Raífael ComlhiD. Pabló Andeyro, I&gt;. Joseph Andeyro, D. Manuel González y D. Manuel Corlantes; y á Segundos Subtenientes á los Sargentos primeros D. Juan González, D. Juan de Antón y D. Narciso Go</t>
  </si>
  <si>
    <t>Raiisbarn</t>
  </si>
  <si>
    <t>vios de Li compañía de la India, que salieron del Bengala el -'O ae Diciembre, han entrado en Cork. D Raiisbarn esarib 'n que el cuerpo del Príncipe de Conde ha prestado iuMnlc:'ito Jo fijtlhhd á U corona do Inglaterra en manos de Mr.Wiekhain. Sonan los últimos avisos Je Gibraltar es allí muy</t>
  </si>
  <si>
    <t>Ralfy, General</t>
  </si>
  <si>
    <t>General Ralfy</t>
  </si>
  <si>
    <t>también 3 veces consecutivas; y nuestra infantería ia rechazó otras tantas con bayoneta calada. El General Ralfy, que mandaba la caballería austríaca, fue muerto con otros 6 oficiales. Perdieron ios enemigos mas de ^co hombres y 300 caballos. El regimiento de Tatour ha quedado casi enteramen</t>
  </si>
  <si>
    <t>Ram, Miguel</t>
  </si>
  <si>
    <t>Miguel Ram</t>
  </si>
  <si>
    <t>del Cid , tasada en 6o9 rs. de 16 quartos. zrz Iglesuela del Cid : una heredad , del pió legado de D. Miguel Ram , tasada en 12,630 rs. de 16 quartos. = Ciudad de Alcañiz : un huerto , del legado de D. Manuel Portóles , tasado en 18,480 rs. de 16 quartos. Otro , de la misma obra pia , en 29^</t>
  </si>
  <si>
    <t>Ramírez Caívo, Gregorio</t>
  </si>
  <si>
    <t>Gregorio Ramírez Caívo</t>
  </si>
  <si>
    <t>, que este dexa, á D. Juan Francisco Méndez de la Vega; y para la Media-Ración, que este obtenia, á D. Gregorio Ramírez Caívo. Para la Tesorería de la de Arequipa á D. Cipriano Villota: parada Canongía, que este dexa, al Racionero D. Alexo de Paredes: para esta Ración á D. Francisco Xavier Chinchilla Chi</t>
  </si>
  <si>
    <t>Ramírez de Arellano, Joseph</t>
  </si>
  <si>
    <t>Joseph Ramírez de Arellano</t>
  </si>
  <si>
    <t>to de Reales Guardias Walonas se ha servido el Rey promover á Alférez de granaderos al de fusileros D. Joseph Ramírez de Arellano ; y en el Real cuerpo de Artillería á Teniente al Subteniente graduado de Teniente D. Pablo Sánchez. S. M. se ha dignado promover á Portaestandarte en el regimiento de Farnesio al</t>
  </si>
  <si>
    <t>Ramírez de Luque, Fernando</t>
  </si>
  <si>
    <t>Fernando Ramírez de Luque</t>
  </si>
  <si>
    <t>Doa Fernando Ramírez de Luque, Cura beneficado de la misma ciudad. Justa defensa de los escritos de D. Fernando Ramírez de Luque, Cura beneficiado de Lucena, contra la injusta censura del Compendio analítico del Cura de Montoro D. Fernando López de Cárdenas y los malos Argumentos del folleto que acaba de pu</t>
  </si>
  <si>
    <t>Ramírez de Ojeda, Francisco</t>
  </si>
  <si>
    <t>Francisco Ramírez de Ojeda</t>
  </si>
  <si>
    <t>0,150 rs. y renta 604. =Villa de Arjonilia. Una tierra de 36 fanegas, en Charcon, de la obra pia de D. Francisco Ramírez de Ojeda, tasada en 27© rs. Un olivar con 344 pies, en Vanegas, de la obra pia del hospital de dicha villa, tasado en 30,960 rs. Otro con 234 pies, en Manzanar, de dicha obra pia, tasado e</t>
  </si>
  <si>
    <t>Ramírez Ojeda, Francisco</t>
  </si>
  <si>
    <t>Francisco Ramírez Ojeda</t>
  </si>
  <si>
    <t>1. Una haza de 36 fanegas de tierra, en el sitiodel Charcon , término de Arjona , de la obra pía de D. Francisco Ramírez Ojeda, tasada en 37© rs. y renta 810. Úna casa en la calle de la Plaza, del hospital de la villa de Arjonilla, fundado por Doña Mayor Serrano, tasada en 43',643 rs. y renta 330. Otra en</t>
  </si>
  <si>
    <t>Ramírez y Cotes, Christóbal</t>
  </si>
  <si>
    <t>Christóbal Ramírez y Cotes</t>
  </si>
  <si>
    <t>tido posible para su alivio. El dia iS de Marzo falleció en esta corte á los 55 años de edad el Sr. D. Christóbal Ramírez y Cotes, Caballero pensionado de la distinguida orden española de Carlos III, y Ministro de capa y espada del Consejo de Hacienda. Entre sus servicios mereció particular aprecio el esmero</t>
  </si>
  <si>
    <t>Ramírez y Di Juan González de la Vega, Tomás</t>
  </si>
  <si>
    <t>Tomás Ramírez y Di Juan González de la Vega</t>
  </si>
  <si>
    <t>D* Antonio Camps ; á rimeros Tenientes á los segundos dé granaderos^ Di Joseph Meliton dé g araya, D. Tomas Ramírez y Di Juan González de la Vega; á segundos Tenientes dé granaderos á los do fusileros D* Genaro Remartínez , Di Juan de Abuin y Dl. Joachín dé Losada; á segundos Tenientes a los Subtenientes de granaderos D. Jo</t>
  </si>
  <si>
    <t>Ramírez, Diego</t>
  </si>
  <si>
    <t>Diego Ramírez</t>
  </si>
  <si>
    <t>38. Otro de Matute de id. , en 449. Otro de Espinarillo, en 16,200. Una casa mesón del patronato de D. Diego Ramírez , en 30,478. = Villa de Colomera; el cortijo llamado del Carretón , del patronato de D. Juan Ruiz del Moral , tasado en 23,900 rs. Otro llamado de Marina de Vega, del patronato fu</t>
  </si>
  <si>
    <t>Ramírez, Felipe</t>
  </si>
  <si>
    <t>Felipe Ramírez</t>
  </si>
  <si>
    <t>do á Ingenieros Directores de sus exércítos, plazas y fronteras á los en xefes D. Bernardo lecoqc y D. Felipe Ramírez: á Ingeniero ordinario á D. Joseph Gabriel, que lo era extraordinario; y á este empleo al Ayudante D. Juan Pió de la Cruz. Por fallecimiento de D. Joseph Ximeiifcz Bretón se ha di</t>
  </si>
  <si>
    <t>Ramírez, Joseph Jorge</t>
  </si>
  <si>
    <t>Joseph Jorge Ramírez</t>
  </si>
  <si>
    <t>María de Elzaburu: la de Oficial mayor de la administración principal de aguardientes dé Ley va. á D. Joseph Jorge Ramírez: la de Administrador particular de las rentas de tabaco y pólvora de Tequia á D. Joseph de Mérida Ximenéz; y la de Administrador particular de aguardientes del sitio del Corozal á</t>
  </si>
  <si>
    <t>Ramírez, Pedro</t>
  </si>
  <si>
    <t>Pedro Ramírez</t>
  </si>
  <si>
    <t>do Subteniente* al Cadete D. Pedro Morrondo: en él de voluntarios de Castilla á Capitán al Ayudante D. Pedro Ramírez; á Ayudante al primer Teniente D. Victoriano Laspeñas; á primer Teniente al segundo, graduado de Capitán, D. Francisco Ximenez; á segundo Teniente al Subteniente de granaderos D.</t>
  </si>
  <si>
    <t>Ramiro y Martín, Joseph Manuel</t>
  </si>
  <si>
    <t>Joseph Manuel Ramiro y Martín</t>
  </si>
  <si>
    <t>rrez y Mora!. En Santander...... Sres. Vial é hijo y compañía. En Segovia........... Sres. viuda de D. Joseph Manuel Ramiro y Martin. En Sevilla............ D. Joseph Antonio Gómez é hijo. En Soria.............. D. Andrés Martínez de Aparicio. ‘En Toledo............. Sres. Chavarri y Posadillo. En Toro.........</t>
  </si>
  <si>
    <t>rrez y Moral. En Santander...... Sres. Vial é hijo y compañía. En Segovia........... Sres. viuda de D. Joseph Manuel Ramiro y Martin. En Sevilla............ D. Joseph Antonio Gómez é hijo. En Soria............... D. Andrés Martínez de Aparicio. En Toledo............. Sres. Chavarri y Pasadillo. En Toro.........</t>
  </si>
  <si>
    <t>Ramiro, Jacinto</t>
  </si>
  <si>
    <t>Jacinto Ramiro</t>
  </si>
  <si>
    <t>0. Otra en la misma calle del Bello, la viuda de Argel Guillen, con 750 pies, en 3300, y renta 150. Don Jacinto Ramiro: una casa calle del Gallo, D. Francisco Palacio, con &lt;5893 pies, tasada en 12© rs. y renta 341. Doctor Toledano: una casa junto á las Monjas de Sta. Catalina, que habira el Dr. La</t>
  </si>
  <si>
    <t>Ramón Domingo</t>
  </si>
  <si>
    <t>Bulpellich, Corregimiento de Gerona............................... . 52. 20. , Ramón Domingo , hijo de Pablo y Teresa , natural de Mqntblanch, Corregimiento idem.................................. 58. 13* Cabo.. Juan Puig , hijo de Joseph y María, natural de Caléis, Corregimiento</t>
  </si>
  <si>
    <t>Ramona Nocedal</t>
  </si>
  <si>
    <t>ia por la naturalidad , despejo é instrucción de los niños en los mencionados ramos de enseñanza. A Doña Ramona Nocedal se le han extraviado desde Cádiz hasta Antequefa dos</t>
  </si>
  <si>
    <t>Ramos y Monroy, Joachín</t>
  </si>
  <si>
    <t>Joachín Ramos y Monroy</t>
  </si>
  <si>
    <t>glesia: para la Canongía de la de Plasencia, vacante por fallecimiento de D. Pedro Sánchez Mohno, á D. Joachín Ramos y Monroy, Racionero de la de Zamora: para ei Beneficio de la catedral de Plasencia, que se titula Mejorado Compañero, vacante por fallecimiento de D. Narciso Soto, á D. Francisco Xavier Pi</t>
  </si>
  <si>
    <t>Ramos y Poveda, Ramón</t>
  </si>
  <si>
    <t>Ramón Ramos y Poveda</t>
  </si>
  <si>
    <t>seph López , D. Simón Fuentes, D. Joseph Cavero y D. Juan Berindoaga. S. M. se ha dignado nombrar á D. Ramón Ramos y Poveda para tina plaza de Agente del número de Indias, vacante por fallecimiento de D011 Jomas Bellosillo. F1 dia i.° de Octubre próximo se abrirá la enseñanza en todos los Reales colegi</t>
  </si>
  <si>
    <t>Ramos, Diego</t>
  </si>
  <si>
    <t>Diego Ramos</t>
  </si>
  <si>
    <t>a colegial del Salvador de Sevilla, vacante por fallecimiento de D. Juan Eusebio Perez de Huelva, á D. Diego Ramos, Administador del hospital de Inocentes de aquella ciudad, dexando á beneficio de la expresada casa el salario que disfruta: para otra de la de Valpuesta, en el arzobispado de Bur</t>
  </si>
  <si>
    <t>Rampon, General</t>
  </si>
  <si>
    <t>General Rampon</t>
  </si>
  <si>
    <t>s qontinuas, pasó el Nilo el dia 21 á la altura de Attfiehhly, evitó el encuentro de las tropas del General Rampon, se internó en el valle db Legarement, siguió el camino de Suez, se detuvo algo allí, volvió á</t>
  </si>
  <si>
    <t>Rancaño de Cando, Luis</t>
  </si>
  <si>
    <t>Luis Rancaño de Cando</t>
  </si>
  <si>
    <t>culto divino sea restituido en ella á su antiguo estado. El Teniente Coronel é Ingeniero ordinario D. Luis Rancaño de Cando, que en el año próximo pasado tuvo la honra de presentar á SS. MM. y Real familia el moJlelo de un nuevo telégrafo militar , muy sencillo y portátil para comunica,j noticias impre</t>
  </si>
  <si>
    <t>Ranero y Gil, Joseph</t>
  </si>
  <si>
    <t>Joseph Ranero y Gil</t>
  </si>
  <si>
    <t>s Cacho, Alférez de Milicias provinciales de Artillería, D. Pedro Lozano, D.Benito María Alvarado y D. Joseph Ranero y Gil. En trigonometría plana y esférica D. Antonio Gil de Santiso. En cosmografía y navegación D. Pedro Conde y D. Joseph Cansobre. En navegación y maniobras de abordo D. Salvador Pere</t>
  </si>
  <si>
    <t>Rascón, Manuel</t>
  </si>
  <si>
    <t>Manuel Rascón</t>
  </si>
  <si>
    <t>nto de caballería provincial de Queretaro se ha servido el Rey promover á Tenientes á ios Alféreces D. Manuel Rascón y D. Francisco Olazeregui; á Alféreces á los Portaguiones D. Francisco Quintanar, D. Joseph Antonio de Jos Heros y D. ígnacio Ormachea, y á Portaguiones á D. Joseph Solis, D. Joseph M</t>
  </si>
  <si>
    <t>Rastoposchin, Conde</t>
  </si>
  <si>
    <t>Conde Rastoposchin</t>
  </si>
  <si>
    <t>san una fabrica de paños excelentes para uso de las tropas y de los vasallos de S. M-; y la otra al Conde Rastoposchin, Director de correos, por el esmero con que ha servido, y las ventajas que ha proporcionado al estado en el ramo que tiene á su cargo. También ha sido promovido á Consejero el Ten</t>
  </si>
  <si>
    <t>Rastopschin, Conde</t>
  </si>
  <si>
    <t>Conde Rastopschin</t>
  </si>
  <si>
    <t>ha escrito al Cónsul géneral rufo diciendole: „ Acabó de/^ recibir par extraordinario una carta del Conde Rastopschin, en que me avisa que S. M;: Imperial nuestro Soberano ha juzgado conveniente levantar ei embargo de las embarcaciones inglesas y el séqiiéstrd sobre los bienes de aquella'nación e</t>
  </si>
  <si>
    <t>Rato y Cisneros, Pedro</t>
  </si>
  <si>
    <t>Pedro Rato y Cisneros</t>
  </si>
  <si>
    <t>achín de Toledo y Parra, D. Joachín Leonés y Hernández Reyilo, D. Julián Leonés y Hernández Reyilo, D. Pedro Rato y Cisneros, D. Justo Salafranca y Matheus, D. Baltasar Cornelias y Rosiñol, D. Joseph Rodríguez Truxiilo y Lasqueti, D. Manuel Compains y Ochoa, D. Joseph Pereyra y Soto Sánchez, D. Santiago</t>
  </si>
  <si>
    <t>Ray</t>
  </si>
  <si>
    <t>resbíteros D. Agustín Perez, D. Juan Antonio Gil, D. Juan Antonio Jordán, que lo era del de Taen, y D. Ray mundo Arch. S. M. se ha servido nombrar para una plaza de Ministro de la Real Audiencia de Mallorca á D. Pedro, de Xávaga. En cumplimiento de lo mandado por S. M. en Real Pragmáti</t>
  </si>
  <si>
    <t>Raya, Juan</t>
  </si>
  <si>
    <t>Juan Raya</t>
  </si>
  <si>
    <t>á dichas fincas acuda ante el referido Señor Juez por la escribanía del número de Madrid que exerce D. Juan Raya en virtud de Real habilitación: advirtiendo que para el remate está señalado el 14 de Julio á las 12 de su mañana. Razón de fincas enagenables de obras pías. Intendencia de Aragón.</t>
  </si>
  <si>
    <t>Raymundo Andrés</t>
  </si>
  <si>
    <t>en el de México á Teniente Coronel al agregado en esta clase al mismo cuerpo, graduado de Coronel, D. Raymundo Andrés; á Sargento mayor al Capuan del de la Havana D. Manuel Remon, confiriéndole al mismo tiempo eí 'irado de Teniente Coronel; á Capitán al Teniente de granaderos D. Jóse o!; Cardoso;</t>
  </si>
  <si>
    <t>Raymundo Cia</t>
  </si>
  <si>
    <t>, D. Pedro Goossens, D. Joseph Fermín Cia, D. Joseph María Cia, D. Pedro Tavira, D. Rodrigo Tavira, D. Raymundo Cia, D. Joseph de Arellano y D. Joacliín Fernandez de Medrano. En sintaxis, baxo la dirección de D. Rufino Espada, D. Antonio Gilman, D. Manuel de la Riva-Agüero, D. Alexandro Barruch</t>
  </si>
  <si>
    <t>Raynier, General</t>
  </si>
  <si>
    <t>General Raynier</t>
  </si>
  <si>
    <t>in defenderse se entregó el 7.0 dia del ataque. Este contratiempo era tanto mas de sentir quanto el General Raynier estaba en marcha para librar del bloqueo aquella plaza ántes que llegase el cuerpo principal del exército turco. Desde aquel instante ya no quedaban esperanzas de alargar mucho las</t>
  </si>
  <si>
    <t>Real de Dinamarca, Príncipe</t>
  </si>
  <si>
    <t>Príncipe Real de Dinamarca</t>
  </si>
  <si>
    <t>y GAZETA DE MADRID DEL VIERNES 3 DE OCTUBRE DE 1800. . •• ... -V ■ ■ . Copenhague *G de Agosto. E 1 Príncipe Real dé Dinamarca pase ayer toda la noche en el puerto», dando disposiciones de seguridad , reconociendo las obras» y alentando en ellas á todos los trabajadores. La escuadra inglesa ha formado una</t>
  </si>
  <si>
    <t>Real de Suecia, Príncipe</t>
  </si>
  <si>
    <t>Príncipe Real de Suecia</t>
  </si>
  <si>
    <t>ronel ruso Rabi-r *ifl, que trae de parte de Paulo I las insignias de la orden de S. Andrés para el Príncipe Real de Suecia. El Rey ha nombrado á dicho Coronel Comendador de la orden de la Espada., así como el Emperador de Rusia creó caballero de Malta coa uní encomienda de 1®-rubios de renta ai Corone</t>
  </si>
  <si>
    <t>Rebbinder, Teniente General</t>
  </si>
  <si>
    <t>Teniente General Rebbinder</t>
  </si>
  <si>
    <t>eneral se ha fixado en Donaueschingen. En la gazeta de Petersburgo se ha publicado Ja promoción del Teniente General Rebbinder al empleo de Comandante de la isla de Malta. De.este nombramiento infieren algunos que la corte de Rusia mira como segura la conquista de aquella isla, y que está en ánimo de cons</t>
  </si>
  <si>
    <t>Reboles, Bernardo</t>
  </si>
  <si>
    <t>Bernardo Reboles</t>
  </si>
  <si>
    <t>s de Contadores de Exército á los xefes de mesa ds la Tesorería mayor D. Felipe Fernandez de Argüí, Don Bernardo Reboles , D. Ignacio Balbin, D. Manuel Gutiérrez de Teran, Don Antonio Melendro , y al Oficial tercero de número D. Joseph Moreno Martínez. Honores de Tesorero de Exército á D. Joseph Hen</t>
  </si>
  <si>
    <t>Recio</t>
  </si>
  <si>
    <t>5300 pies, tasada en 27© rs. y renta'800. Doctor Monte: una casa calle de las Damas, que habita el Dr. Recio, con 13,454 pies, tasada en 40© rs. y renta 1200. Memoria de Ortiz : una casa calle de las Damas, que habita la viuda de Baltasar Labad, con 1580 pies, tasada en 7© rs. y renta 22</t>
  </si>
  <si>
    <t>Recosa, Francisco</t>
  </si>
  <si>
    <t>Francisco Recosa</t>
  </si>
  <si>
    <t>segundos D. Joseph García Flores y D. Juan Labari; á segundos Tenientes á los primeros Subtenientes D. Francisco Recosa y D. Mariano Espatolero, graduado de Teniente ; á primeros Subtenientes á los segundos D. Francisco Latorre y D. Joachín Paño, y á segundos Subtenientes ai Sargento primero D. Joseph</t>
  </si>
  <si>
    <t>Redondo, Benito Xavier</t>
  </si>
  <si>
    <t>Benito Xavier Redondo</t>
  </si>
  <si>
    <t>rs. Manifestación de un medicamento cáustico para extirpar toda especie de abscesos impropios , por D. Benito Xavier Redondo, con el método de su aplicación y cautelas prácticas para .su uso, con estampas. Se vende á 6 rs. en la librería de Escribano, calle de las Carretas,y en casa del autor,calle de l</t>
  </si>
  <si>
    <t>Regento de Portugal, Príncipe</t>
  </si>
  <si>
    <t>Príncipe Regento de Portugal</t>
  </si>
  <si>
    <t>de Octubre. P ara Enviado extraordinario y Ministro plenipotenciario de Inglaterra en la corte del Príncipe Regento de Portugal ha nombrado el Rey á Mr. Juan Hookham. Mr. Listón, Ministro británico en los Estados-Unidos de América, ha dexado su empleo , y le reemplaza Mr. Merri, Enc irg ido que fue de nego</t>
  </si>
  <si>
    <t>Reich</t>
  </si>
  <si>
    <t>concierto dirigido por el célebre Mozart, el qual produxo 1607 escudos de Prusia. Hace dos años que Mr. Reich publicó ea Alemania.que había descubierto un remedio para todas las fiebres sin excepción, con tal que no hubiese t</t>
  </si>
  <si>
    <t>o ello b.vxo condición de que en beneficio general haría público su remedio. Acaba de cumplirlo asi Mr. Reich, dando á luz un tratado de 102 páginas de impresión, dividido en 88 aforismos; y esta obra se ha hecho digna de la atención de todos los facultativos por el nuevo sistema de calen</t>
  </si>
  <si>
    <t>Reinhard</t>
  </si>
  <si>
    <t>exa una suma bastante crecida, que se encontró enterrada. Basilea 4 de Mayo. Ll ciud. Reinhard ha tenido una conferencia con los principales individuos de los Consejos y de la junta executiva, á quienes exhortó á la mejor unión y concordia: aconsejó á lo</t>
  </si>
  <si>
    <t>Remon, Manuel</t>
  </si>
  <si>
    <t>Manuel Remon</t>
  </si>
  <si>
    <t>mismo cuerpo, graduado de Coronel, D. Raymundo Andrés; á Sargento mayor al Capuan del de la Havana D. Manuel Remon, confiriéndole al mismo tiempo eí 'irado de Teniente Coronel; á Capitán al Teniente de granaderos D. Jóse o!; Cardoso; á Teniente de granaderos al de fusileros D. Francisco Pliego</t>
  </si>
  <si>
    <t>Renaud</t>
  </si>
  <si>
    <t>se retiró, sin embargo de que estaban cerca otros buques de guerra ingleses. El ciud. Renaud, Comandante de la división francesa , consiguió con su serenidad y valor asegurar dicha división á vista de unas fuerzas sumamente superiores, v llevarla á su</t>
  </si>
  <si>
    <t>Rendon, Antonio</t>
  </si>
  <si>
    <t>Antonio Rendon</t>
  </si>
  <si>
    <t>e Nejar en la costa de Granada al Subteniente de la misma D. Vicente Viruega, y al de ia de Almería D. Antonio Rendon. En el Real cuerpo de Artillería se há servido el Rey promover á Te•ñientes Coroneles á los Capitanes D. Francisco Verais y D. Manuel Clairac, este último graduado de Teniente Cor</t>
  </si>
  <si>
    <t>Rengel, Manuel Santiago</t>
  </si>
  <si>
    <t>Manuel Santiago Rengel</t>
  </si>
  <si>
    <t>y D. Joseph Berdot; á Subtenientes de granaderos á los primeros Subtenientes D. Vicente Hernández, D. Manuel Santiago Rengel y 2&gt;. Francisco de Coniferas; á primeros Subtenientes á los segundos D. Antonio Martínez Orosa , D. Ramón de Vidondo , D. Juan Osorno, D. Manuel Teresa Vázquez, D. Vicente Moreno y</t>
  </si>
  <si>
    <t>Rengel, Melchor</t>
  </si>
  <si>
    <t>Melchor Rengel</t>
  </si>
  <si>
    <t>Nueros; á esti resulta al primer Teniente agregado D. Juan Dupac , y á segundo Teniente .al Alférez D. Melchor Rengel: en el del Infante á primer Tenien^ te al segundo graduado de Capitán D. Pedro Revenga: en el de Borbon á Alférez al Portaestandarte D. Joachin Salvador Izagúirre , y á esta resul</t>
  </si>
  <si>
    <t>Rengifo, Joseph</t>
  </si>
  <si>
    <t>Joseph Rengifo</t>
  </si>
  <si>
    <t>; y para Oficial mayor á D. Gonzalo García de Prado. Atendiendo el Rey á los méritos y servicios de D. Joseph Rengifo, Contador general del ramo de tributos de Quito, se ha servido concederle honores de Contador mayor dél tribunal de Cuentas del Vireynato de Santa Fe. &gt; Igualmente se ha dignado S</t>
  </si>
  <si>
    <t>Repide, Juan</t>
  </si>
  <si>
    <t>Juan Repide</t>
  </si>
  <si>
    <t>hi^do en 319^ ‘ré. Quién quisiere hacer postura acuda á la escribanía dél número de D. Juan Repide. El Sr. D. Pedro González Calderón , Teniente Corregidor de esta villa , ha s ¡alado el 11 de este mes de 12 á una del día en su audiencia para el remate de nra parte de casa, y e</t>
  </si>
  <si>
    <t>Rerthier, General</t>
  </si>
  <si>
    <t>General Rerthier</t>
  </si>
  <si>
    <t>ada, consiguió escapar. París jo de Octubre. P or decreto de antes de ayer ha nombrado Bonaparte al General Rerthier par.i Ministro de Guerra, en lugar del ciud. Carnot, que ha hecho dimisión. El dia 5 llegó de Berlín á Paris el ciud. Belair, Ayudante del General Beurijonville, Ministro de Franc</t>
  </si>
  <si>
    <t>Resino Estrada y Córdoba, Joseph</t>
  </si>
  <si>
    <t>Joseph Resino Estrada y Córdoba</t>
  </si>
  <si>
    <t>á Capítan de cazadores al de fusileros D. Manuel Olarte: en el de Toledo á Subteniente de bandera á D. Joseph Resino Estrada y Córdoba: en el de Castellón de la Plana á Capitanes al agregado en esta clase D. Agustín de Hortelani y al Teniente efectivo D. Salvador Catalá; á Tenientes á D. Agustín Escudar y D. Toma</t>
  </si>
  <si>
    <t>Reus, Andrés</t>
  </si>
  <si>
    <t>Andrés Reus</t>
  </si>
  <si>
    <t>la Media-Ración afecta i voz de contralto de la catedral de Orihuela, vacante por fallecimiento de D. Andrés Reus, á D. Miguel de Avila; y para el Beneficio, vacante en la metropolitana de Ntra. Sra. del Pilar de Zaragoza por fallecimiento de Don Miguel Montañés, á D. Rafael Blac y Castan. En</t>
  </si>
  <si>
    <t>Reuss, General</t>
  </si>
  <si>
    <t>General Reuss</t>
  </si>
  <si>
    <t>tetten y Marbach,y se adelantan hacia Urach, habiendo derrotado á los austríacos en Murgerkenen. El General Reuss, que tenia el dia 6 su quartel en Bregentz, despachó de allí la caxa y los almacenes, y se ha retirado hacia Immenstadt.__ Se ha intimado á los habitantes de Ingiostadt junten vív</t>
  </si>
  <si>
    <t>eral Conde Alercantin para que se acercase inas al ala izquierda por el lado de Immestadt. Queda el General Reuss en estado de formar contra el enemigo las empresas que las circunstancias exijan,” „ Finalmente, el General Barón de Kray escribe con fecha de 20 del misino mes que el Teniente Feld</t>
  </si>
  <si>
    <t>se dirigió con su izquierda hacia Renti, y por su derecha hxia Immenstaat. Una parte del cuerpo del General Reuss intentó impedir que los franceses penetrasen en el Vorarlberg; pero fue arrollada, y tuvo que replegarse hácia Ehrenberg y EIHttenwald. Continuó Lecourbe su marcha, y el dia 13 se</t>
  </si>
  <si>
    <t>Rey, General</t>
  </si>
  <si>
    <t>General Rey</t>
  </si>
  <si>
    <t>stado en la línea de demarcación desde el Vorarlherg hasta las fronteras de Italia: la división del General Rey está en los contornos deFeldkirch: la deMorlot en el pais de los Grisones : la de Baraguey-de Hilliers en la Valtelina , y la de Vandamme en los contornos de Bregentz. Como no tarda</t>
  </si>
  <si>
    <t>Rey, Nicolás</t>
  </si>
  <si>
    <t>Nicolás Rey</t>
  </si>
  <si>
    <t>íñiga: plaza de Oficial tercero de la Contaduría general de la renta de pólvora, del mismo Reyno, á D. Nicolás Rey: la de Oficial segundo de la administración y estanco de la propia renta, en México, á D. Joseph Ramón Továr: la de Guarda de la factoría del tabaco de Durango á D. Julián Zubia:</t>
  </si>
  <si>
    <t>Réy, Ramón</t>
  </si>
  <si>
    <t>Ramón Réy</t>
  </si>
  <si>
    <t>cisco Zavaja. En el de Extremadura á primer Teniente al segundo de granaderos, graduado de Capitán, D. Ramón Réy.^ En el de voluntarios de Castilla ¿í primer Teniente de granaderos al de fusileros D. Tomas Benet; a primer leniente al segundo de granaderos, graduado de Capitán, D. Joseph Lasq</t>
  </si>
  <si>
    <t>Reynaud, Bartolomé</t>
  </si>
  <si>
    <t>Bartolomé Reynaud</t>
  </si>
  <si>
    <t>Brigadier D. Fernando Gaber , Ingeniero en xefe* y á este empleo al Coronel é Ingeniero en segundo D. Bartolomé Reynaud. * Quando por Real decreto de 20 de Abril.del ano próximo pasado resolvió S. M. extinguir el Real Tribunal del Proto-Medicato, y determinar que se reuniesen en una las facultades</t>
  </si>
  <si>
    <t>Rhodez</t>
  </si>
  <si>
    <t>emonias que aquí se acostumbran un nacañones. Poco después se abrió la nueva dársena construida por Mr. Rhodez, ingeniero sueco, y en ella se forrará en cobre otro navio de 80. * De unos dias á esta parte se halla esta capital rodeada y como bloqueada por un gran número de bandidos, que ha</t>
  </si>
  <si>
    <t>Ribas, Francisco</t>
  </si>
  <si>
    <t>Francisco Ribas</t>
  </si>
  <si>
    <t>ural de San Julián, Corregimiento de Gerona.................................. ^ Francisco Ribas, hijo de Prospero y Rosa , natural de AÍcubé, Corregimiento de Tarragona........ ....... ........... 50. Mer Busquets, hijo de Baldomero y Francisca, natural de Fubliá , Corregimiento d</t>
  </si>
  <si>
    <t>Ribero Medrnno, Francisco</t>
  </si>
  <si>
    <t>Francisco Ribero Medrnno</t>
  </si>
  <si>
    <t>la misma, que se halla vacante por la promoción de D. Ramón Zorrilla al Arcedianato de Sepúlveda, á D. Francisco Ribero Medrnno: para la Ración de la Colegí.il de Xcrez de la Frontera, en el arzobispado de Sevilla, vacante' por fallecimiento de D. Francisco Celis y Vázquez, á D. Joseph María Mariscal; y pa</t>
  </si>
  <si>
    <t>Ribero, Joseph</t>
  </si>
  <si>
    <t>Joseph Ribero</t>
  </si>
  <si>
    <t>S. Vicente, Ntra. Sra. de la Misericordia, y fundaciones de D. Juan Bautista Mas: dos por el censor Don Joseph Ribero: quatro por el contador D. Manuel de Velasco: «eis por</t>
  </si>
  <si>
    <t>Ribot, Domingo</t>
  </si>
  <si>
    <t>Domingo Ribot</t>
  </si>
  <si>
    <t>tural de Barcelona, Corregimiento ídem.................... ............ 55. 50. Domingo Ribot, hijo de otro y Margarita, natural de S. Pol, Corregimiento de GeVona................................... 5 5. 30. Grau Matlleu, hijo de Miguel é Isabel, natural de la Bisbal, Corregimie</t>
  </si>
  <si>
    <t>Ric, Pedro María</t>
  </si>
  <si>
    <t>Pedro María Ric</t>
  </si>
  <si>
    <t>zcaíno, á D. Andrés Easauca: para la plaza de Oidor de la Audiencia de Aragón, que este obtenía , á D. Pedro María Ric, Alcalde del Crimen de ella ; y para esta resulta á D. Juan Garrido López. Asimismo ha concedido S. M. plaza de Alcalde del Crimen de la Chanciilería de Granada, vacante por ascen</t>
  </si>
  <si>
    <t>Ricafort, Vicente</t>
  </si>
  <si>
    <t>Vicente Ricafort</t>
  </si>
  <si>
    <t>niente al segundo D. Juan Baptista; á segundo Teniente al primer Subteniente, graduado de Teniente, D. Vicente Ricafort; á primer Subteniente al segundo D. Francisco Paul; y á segundo Subteniente al Sargento primero D. Macario Higuera: en el regimiento de cazadores de la Corona á primer Teniente al</t>
  </si>
  <si>
    <t>Ricciuüi, Francisco</t>
  </si>
  <si>
    <t>Francisco Ricciuüi</t>
  </si>
  <si>
    <t>D. Manuel de Urbina: en el de Reales Guardias Walonas á Alféreces de granaderos á los de fusileros D. Francisco Ricciuüi y D. Federico Moretti; y en el Real cuerpo de Artillería á Coronel al Teniente Coronel graduado de Brigadier D. Miguel de Cevallos: habiendo nombrado también S. M. Capellán del quárto</t>
  </si>
  <si>
    <t>Richcpanse, Teniente General</t>
  </si>
  <si>
    <t>Teniente General Richcpanse</t>
  </si>
  <si>
    <t>esta orden en quanto á Philipsburgo ; el Teniente General Garniel por lo tocante á Ingolstadt, y el Teniente General Richcpanse, ó el que lo-reemplaza, por lo relativo á Ulm. 7,° El Comandante del cuerpo de ingenieros del exército tomará en lo que le concierne las medidas que se requieran para el cumplimie</t>
  </si>
  <si>
    <t>Richenbach, Juan</t>
  </si>
  <si>
    <t>Juan Richenbach</t>
  </si>
  <si>
    <t>ani y D. Pablo de los Senderos: en el Suizo de Betschart Tenencias á los Subtenientes de granaderos D. Juan Richenbach y D. Luis Fesler; sus resultas á los Subtenientes D. Melchor Schwiter y D. Joseph Abhospital, y Subtenencia de fusileros al Sargento primero D. Juan Hellerbach; y en el Suizo de Yann</t>
  </si>
  <si>
    <t>Richepanse</t>
  </si>
  <si>
    <t>Richepanse, General</t>
  </si>
  <si>
    <t>General Richepanse</t>
  </si>
  <si>
    <t>44^ General Leclerc, seguía á la primera; y la tercera, mandada por el General Richepanse ,• se dirigió á S. Blas, en donde encontró 4 batallones enemigos, los quales, no obstante su buena resistencia, fueron arrollados. Hiciéron nuestras tropas 100 prisioneros, y dexa</t>
  </si>
  <si>
    <t>ivisión mandada por el General Bastoul sostuvo perfectamente estos dos ataques. Al propio tiempo el General Richepanse se empeñó fuertemente por la izquierda de Hohenhoven. Habiendo reunido sus principales fuerzas en aquellos puntos, opuso la resistencia inas tenaz , particularmente en Mulhausen ,</t>
  </si>
  <si>
    <t>de este xefe y de sus tropas. Duraba aun la acción quando llegó al campo de batalla la división del General Richepanse. Sostenidas nuestras tropas por este cuerpo, que no había peleado en todo el dia, acometiéron con nuevo vigor á los enemigos, y estos empezaron su retirada, y la concluyeron por l</t>
  </si>
  <si>
    <t>aron á los austríacos, en el barranco profundo que forma el rio, y j.en.etráfoir hasta Biberack. El General Richepanse , que había sufrido 4 Íloras un fuerte cañoneoviéndose ya sostenido vadeó el rio con sus tropas’, y gsino la altura casi inaccesible que domina á Biberack. En el mismo instante su</t>
  </si>
  <si>
    <t>ue parte de ellos pasaba á la ribera^ izquierda del Uler. Comunico el General Moreau' este aviso al General Richepanse r dio1 orden- al General Grenier para que le sostuviese. por el puente de-Kilmentz, y al General Lecourbe para que se apostase entre el Guntz y el Kamlack, en el camino Mef Babenh</t>
  </si>
  <si>
    <t>al vivíbosques, dexó allí en nuestro poder unos 1200 prisioneros con su artillería y municiones. El General Richepanse , que con menos de 6 batallones de infantería y caballería había defendido con constante empeño los puestos de Guttenzell y Beuren, empezó entonces á atacar, acometió á los austri</t>
  </si>
  <si>
    <t>. El mismo dia mandó Moreau que se adelantase el cuerpo del flanco de,.la izquierda, mandado por el General Richepanse, como también el ala izquierda á las órdenes del General Grenier, y el cuerpo de reserva. Este movimiento estaba concertado con las operaciones del cuerpo de Lecourbe. El General</t>
  </si>
  <si>
    <t>tambieri que el General Grenier, comandante del centro del exército, ha ocupado á Guntzburgo; y el General Richepanse,. que actualmente manda el alá izquierda, se ha aproximado á Ulm. El exército que se forma en Maguncia consta de 18® hombres, y reforzado con la legión de Francos del norte y con</t>
  </si>
  <si>
    <t>tende cruzan varios buques de guerra ingleses. Strasburgo 2 4 de Junio. L, ✓os dias 12 y 13 hizo el General Richepanse, comandante del ala izquierda del exército del Rhin, un movimiento hacia Ulm: atacó á los austríacos, y los obligó á encerrarse en aquella plaza,__ El cuerpo de reserva se adelant</t>
  </si>
  <si>
    <t>el cuerpo-del: General Gre- . nier en Guntzburgo hacia el Danubio ,.y la izquierda en Kisendorf. El General Richepanse , en, ambas orillas del Iller., cubría el. camino de Ulm á Memmingen,. y protegía nuestras comunicaciones con Suiza, que se hallaban molestadas por. destacamentos enemigos. Las 3</t>
  </si>
  <si>
    <t>pero su empresa era imposible. Al dia siguiente el cuerpo de Grenier se dirigid hacia Lavingen. E 1 General Richepanse ha hecho ya sus preparativos para cercar á Ulm así que el exército enemigo abandone aquella plaza á su sola guarnición. Estos combates se diéron en el harto famoso campo de Hochst</t>
  </si>
  <si>
    <t>idad que aquel Príncipe ha pedido al General Moreau. Han hecho los austríacos una salida de Ulm: el General Richepanse, que manda 'el bloqueo , los rechazo causándoles una pérdida de i jo hombres entre muertos y heridos, y casi otros tantos prisioneros. Los progresos de las armas francesas han obl</t>
  </si>
  <si>
    <t>cio del día 15----- En fuerza de dicho conventa se ha suspendido el ataque de Uta»; y el cuerpo del General Richepanse se acantonará en las cercanías de aquella plaza, la qual estaba muy bien provis» de víveres y municiones. ■ . Trátase de trasladar el quartel del General Colaud a Francfort: aquel</t>
  </si>
  <si>
    <t>Rico, Félix</t>
  </si>
  <si>
    <t>Félix Rico</t>
  </si>
  <si>
    <t>a sociedad y de Real orden tiene formalizado. El socio D. Tomas Ricord dixo el elogio del limo. Sr. D. Félix Rico , vice-director que fue de este cuerpo patriótico. El socio de mérito P. Rafael del Angel Custodio leyó un romance endecasílabo sobre el objeto de esta juntadla qual se concluyó e</t>
  </si>
  <si>
    <t>Rico, Francisco Xavier</t>
  </si>
  <si>
    <t>Francisco Xavier Rico</t>
  </si>
  <si>
    <t>aballería de la Rey na á Alférez al Portaestandarte D. Joseph Infante; y á esta resulta al Sargento D. Francisco Xavier Rico: en el del Príncipe á Capitanes al primer Teniente D. Juan Dupac y al Ayudante D. Miguel de Nueros; á Ayudante al primer Teniente D. Ignacio Coutoy; á primeros Tenientes á los seg</t>
  </si>
  <si>
    <t>Ricord, Tomás</t>
  </si>
  <si>
    <t>Tomás Ricord</t>
  </si>
  <si>
    <t>d al puerto del Grao, el que.por encargo de la sociedad y de Real orden tiene formalizado. El socio D. Tomas Ricord dixo el elogio del limo. Sr. D. Félix Rico , vice-director que fue de este cuerpo patriótico. El socio de mérito P. Rafael del Angel Custodio leyó un romance endecasílabo sobre el</t>
  </si>
  <si>
    <t>Ricote, Antonio</t>
  </si>
  <si>
    <t>Antonio Ricote</t>
  </si>
  <si>
    <t>ph Valdelomar: en el de Segovia compañía de fusileros al Teniente graduado de Capitán de infantería D. Antonio Ricote; la Tenencia de granaderos al Teniente Don Fernando García Valdés, y Tenencias de fusileros al Subteniente graduado de Capitán de infantería D. Bernardo Albizú, y al Subteniente g</t>
  </si>
  <si>
    <t>Riehepanse, General</t>
  </si>
  <si>
    <t>General Riehepanse</t>
  </si>
  <si>
    <t>Delmas y Bastoul, que eran parte de este cuerpo, se dirigieron por Weiterdengen hacia Engen. La del General Riehepanse marchó igualmente hacia aquel punto , yendo por la izquierda de Hohenhoven, al paso que el General Saint-Cyr se dirigía al mismo parage desde su puesto de Stuelingen. El Teniente</t>
  </si>
  <si>
    <t>Riera y Maeia, Francisco</t>
  </si>
  <si>
    <t>Francisco Riera y Maeia</t>
  </si>
  <si>
    <t>descendientes por línea aectamasculina. Asimismo se ha servido S. M. conceder á Francisco Riera y Maeia, vecino de la villa de Besalú, en dicho Principado de Cataluña, privilegio de Ciudadano honrado de Barcelona, paraisí, s,us hijos y descendientes por línea recta masculina. ■ ,. g; ; ■. •</t>
  </si>
  <si>
    <t>Riesch, Rafael</t>
  </si>
  <si>
    <t>Rafael Riesch</t>
  </si>
  <si>
    <t>Minio, D. Diego Lara, D. Vicente Ros, D. Joseph González Pardo, D. Martin Zarandía, D. Ramón Gómez, D. Rafael Riesch, D. Francisco Calderón de la Barca, D. Luis Solana, D.Fernán.lo Navia,D. Miguei Forcalio, Don Jacobo Gil de Avalle, D. Joachin Ponte, D.Francisco Arnau, D. Joachin Hidalgo y D. Lu</t>
  </si>
  <si>
    <t>Rigual, Joseph</t>
  </si>
  <si>
    <t>Joseph Rigual</t>
  </si>
  <si>
    <t>gradas de S. Felipe, se hallarán los exemplares ofrecidos del oficio de semana santa, traducido por D. Joseph Rigual , enquadernados en pasta y adornados con 34 estampas sacadas de la apreciable colección de la Biblia española , á 68 rs. cada exeinplar: otros déla traducción hecha por el mismo c</t>
  </si>
  <si>
    <t>de las ceremonias y disciplina eclesiástica de la semana santa, por el Dr. JD. Joseph Rigual, presbítero. Se hallará .en la librería de Aiverá, carrera de S. Gerónimo. Arte de escribir por reglas matemáticas y preceptos geométricos , inventado s por el maestro D. Juan Claudio Aznar d</t>
  </si>
  <si>
    <t>Rimont, Francisco</t>
  </si>
  <si>
    <t>Francisco Rimont</t>
  </si>
  <si>
    <t>ral de 18 del propio mes premios en dinero á D. Miguel de Ripa , D. Rafael Crespo, D. Vicente Royo, D. Francisco Rimont, D; Juan Antonio Ochotarena y D. Antonio Seta; y á D. Mariano Herrando un libro del Jardinero instruido, enquadernado en pasta, costeando estos premios la generosidad del presiden</t>
  </si>
  <si>
    <t>Rincón, Francisco Xavier</t>
  </si>
  <si>
    <t>Francisco Xavier Rincón</t>
  </si>
  <si>
    <t>de ta de Sahaguíiá D.ManuelLópez y Sagastizaba! ; para la vara de'Alcalde mayor de la dé Tobarra á D. Francisco Xavier Rincón, y pa*a la dé la Palma en Canarias áD. Francisco de Paula Padial. En América* El Rey se ha servido conceder á D. Indalecio González de Socasa , Coronel del regimiento de milicias</t>
  </si>
  <si>
    <t>Rinconada, Joseph</t>
  </si>
  <si>
    <t>Joseph Rinconada</t>
  </si>
  <si>
    <t>alacip Velarde, D. Isidro López Alban,D. Joseph Hernández San,u Cruz, Don Manuel González Villamil, D. Joseph Rinconada , D. Paulo de Norieí?a, D. Joachín Serra y Franch., D. Eustasio González, D. Juan Valle-Espinosa y D. Diego López. Presidió el Sr. D. Sebastian de Torres, dei Consejo de S. M., Al</t>
  </si>
  <si>
    <t>Ripoll, Vicente</t>
  </si>
  <si>
    <t>Vicente Ripoll</t>
  </si>
  <si>
    <t>enito Boada de las Costas: para una Ración de la catedral de Orihuela, vacante por fallecimiento de Don Vicente Ripoll, á D. Felipe de la Bodega: para otra de la de Santander, vacante por fallecimiento de D. Felipe Collado, á D. Manuel de San Pedro Ordoñcz , Cura mas antiguo de la misma: para otra</t>
  </si>
  <si>
    <t>Riqüclmc, Joachín</t>
  </si>
  <si>
    <t>Joachín Riqüclmc</t>
  </si>
  <si>
    <t>el segundo, que consistid en otro excmphr del Don Quixote de Cervantes, de ía edición de Sancha, á Don Joachín Riqüclmc; y el tercero, que fue un juego del Teatro histórico-crítico de la eloqtiencia española, de D. Antonio Capmany, á D. Vicente Sanz. Ademas ofreció uno de los concurrentes, cuya mod</t>
  </si>
  <si>
    <t>Riquehne y Corral, Antonio</t>
  </si>
  <si>
    <t>Antonio Riquehne y Corral</t>
  </si>
  <si>
    <t>o Guerrero y Canredondo, D. Francisco González de la Riva y Vivanco,D. Joseph de Letona y Betéluri, D. Antonio Riquehne y Corral, D. Joseph Vial y Cardigondi, D. Juan Ordoñez y Martínez, D. Pedro de Varo Franco y Areco, D. Manuel Ponce de León y Torres, D. Joseph de Tiscar y Pedrosa, D. Saturnino Aguado y P</t>
  </si>
  <si>
    <t>Ristori y Medina, Manuel</t>
  </si>
  <si>
    <t>Manuel Ristori y Medina</t>
  </si>
  <si>
    <t>de Echeverría y Padilla’, D. Francisco Torralbo y Valenciano ,#D. Joseph García de Prado y Osorno, D. Manuel Ristori y Medina, D. Salvador Ciezar y Bocanegra, D. Bonifacio de Tosta y Montano, D. Joachín de Abreu y Orta y D. Jayme Michelena y Moreno. En 3.a fecha. D. Juan Valdés é Inclan, D. Juan Calderón</t>
  </si>
  <si>
    <t>Rivas, Luis</t>
  </si>
  <si>
    <t>Luis Rivas</t>
  </si>
  <si>
    <t>el regimiento de infantería fixo de México se ha servido el Rey promover á Teniente al Subteniente D. Luis Rivas; y á Subteniente de bandera al Cadete O.) oseph Villamil. El Rey ha nombrado para la Administración de Real Hacienda de Nutrias, en la provincia de JSarinas , á D. Pedro Antonio G</t>
  </si>
  <si>
    <t>Rivaud, General</t>
  </si>
  <si>
    <t>General Rivaud</t>
  </si>
  <si>
    <t>ó vigorosamente la izquierda enemiga. Se adelantaron otras dos medias brigadas baxo las órdenes del General Rivaud, y otra atacó á los enemigos por su izquierda y cogió gran número de prisioneros. Una de aquellas medias bri gadas acometió con tal ímpetu al centro enemigo, que consiguió destroz</t>
  </si>
  <si>
    <t>Rivera, Joseph</t>
  </si>
  <si>
    <t>Joseph Rivera</t>
  </si>
  <si>
    <t>s de Húayaquil, donde se halla trabajando aquel infatigable viagero con dicho alumno y el dibuxante D. Joseph Rivera, se espera una buena colección de dibuxos, descripciones y productos naturales; con todo lo qual la expresada Flora comprehenderá sobre 4©( plantas nuevas dibuxadas é iluminadas a</t>
  </si>
  <si>
    <t>Rivero y Larrea, Alonso Bernardo</t>
  </si>
  <si>
    <t>Alonso Bernardo Rivero y Larrea</t>
  </si>
  <si>
    <t>aricio de la Torre, Abad de Sta. Marta de Tera, Dignidad y Canónigo de Astorga: para esta resulta á D. Alonso Bernardo Rivero y Larrea: para una Canongía de la catedral de Orihucla, vacante por promoción de D. Pablo Nicolás de San Pedro á otra de Ja santa Iglesia de Toledo, á D. Juan Francisco Martínez de Ilervas</t>
  </si>
  <si>
    <t>Rleber, General</t>
  </si>
  <si>
    <t>General Rleber</t>
  </si>
  <si>
    <t>ciones, dándose por cierto que se ha renovado el primer convenio concluido entre el Gran Visir y el General Rleber, ó á lo menos que ha servido de fundamentó para un nuevo arreglo. Pero, según otros avisos todo esto es falso: y en v^z de ello se asegura que los franceses mueven dificultades qu</t>
  </si>
  <si>
    <t>e Egipto sacadas de gazetas francesas que se imprimen en aquel pais. Son anteriores á la muerte del General Rleber, y contienen sucesos ya sabidos, aunque algunos de ellos se refieren mas circunstanciadamente—— El 17 de Junio se dio sepultura á Kleber con todo el aparato , ostentación y honore</t>
  </si>
  <si>
    <t>Robert, Pedro</t>
  </si>
  <si>
    <t>Pedro Robert</t>
  </si>
  <si>
    <t>miento idem................................................... 167. 28. Otro... Pedro Robert, hijo de otro y Ana María, natural de</t>
  </si>
  <si>
    <t>Roberto Barclay</t>
  </si>
  <si>
    <t>mpañó al mencionado Embaxador , y acreditó ser amigo de los ingleses. Ha llegado de París á Londres Mr. Roberto Barclay, que estuvo preso un año en el Temple, y á quien ha dado libertad el nuevo gobierno de Francia. Los Ministros ingleses han conferenciado con él para informarse del estado de las c</t>
  </si>
  <si>
    <t>Roberto Fleteson, Capitán</t>
  </si>
  <si>
    <t>Capitán Roberto Fleteson</t>
  </si>
  <si>
    <t>les. Corcubion de Diciembre. A ver entró en este puerto el bergantín ingles nombrado Bilbao-Paquet, Capitán Roberto Fleteson, cargado de ^fardería, estaño, cobre, palo'de Campeche y duelas, el qual fue apresado ¡éfdia 22 á 8 leguas de Oporto por el corsario español el Anima-Sola, al mando de D.'Joseph S</t>
  </si>
  <si>
    <t>Robina, Rafael</t>
  </si>
  <si>
    <t>Rafael Robina</t>
  </si>
  <si>
    <t>de Santo Domingo, en la de los Señores Olabarrieta hijo y compañía. En la de la Cebada, en casa de D. Rafael Robina. En la de Antón Martin, en casa de D. Josef Gómez del Helguera. En Puerta cerrada , en casa de D. Manuel Martínez de Salazar. En los portales de Sta. Cruz, en la tienda de D. Domi</t>
  </si>
  <si>
    <t>Robles Pobeda, Joseph</t>
  </si>
  <si>
    <t>Joseph Robles Pobeda</t>
  </si>
  <si>
    <t>el regimiento provincial de Segovia: del primero y segundo batallón del de infantería de Hibernia á D. Joseph Robles Pobeda y D. Manuel Ventura Morales: del segundo batallón del fixo de Ceuta á Don Antonio Torralba; y del regimiento de caballería del Principé á D. Manuel María Fernandez, Cirujano del de in</t>
  </si>
  <si>
    <t>Roca Escorcia, Antonio</t>
  </si>
  <si>
    <t>Antonio Roca Escorcia</t>
  </si>
  <si>
    <t>ndo Ayudante mayor al mismo D. Francisco Mosteirin; y á Segundos Tenientes al Alférez de granaderos D. Antonio Roca Escorcia, y al de fusileros D. Pedro Liñan. En el de infantería inmemorial del Rey á segundo Subteniente al Cadete D. Juan Manuel Astorga: en el de Saboya i segundo Teniente al Subteniente</t>
  </si>
  <si>
    <t>Roca, Antonio</t>
  </si>
  <si>
    <t>Antonio Roca</t>
  </si>
  <si>
    <t>te al Sargento de Carabineros D. Xavier Villanueva: en el de la Ré^na á segundo Teniente al Alférez D. Antonio Roca; á Alférez al Portaestandarte D. Paulino Vicente, y á esta resulta al Cadete D. Ramón Calderón de la Barca: en el del Príncipe á Capitán ai Ayudante D. Alexandro Manglano; á Ayuda</t>
  </si>
  <si>
    <t>Roca, Francisco</t>
  </si>
  <si>
    <t>Francisco Roca</t>
  </si>
  <si>
    <t>úmero al supernumerario Conde de Velveder; •Exento supernumerario al Brigadier de la misma compañía D. Francisco Roca; para esta resulta al Subrigadier D. Christóbal Montes ; para esta resulta al Cadete D. Mariano Garóes; para el empleo de Cadete de número al supernumerario D. Joseph Barsi; para</t>
  </si>
  <si>
    <t>Roca, Gerónimo</t>
  </si>
  <si>
    <t>Gerónimo Roca</t>
  </si>
  <si>
    <t>n del regimiento de infantería de Aragón: para otra de la de Orihuela, vacante por fallecimiento de D. Gerónimo Roca, á D. Tomas de Molina Martel; y para la Ración de Mensa de la santa iglesia de Zaragoza, vacante por fallecimiento de D. Pedro Benito Laguna , á D. Mariano Seira. En el regimiento</t>
  </si>
  <si>
    <t>Roca, Joseph</t>
  </si>
  <si>
    <t>Joseph Roca</t>
  </si>
  <si>
    <t>ranaderos; á estos empleos á los primeros Subtenientes D. Antonio Lara, D. V entura Macía y Areni y D. Joseph Roca; á primeros Subtenientes á los segundos Don Joachín Aguilera, D. Agustin Amanda, D. Joseph Lariz, D. Gregorio Espinosa, D. Francisco Piadas, D. Vicente Amat y D. Gregorio Di.iz; y</t>
  </si>
  <si>
    <t>Roca, Pedro</t>
  </si>
  <si>
    <t>Pedro Roca</t>
  </si>
  <si>
    <t>n vasta dependencia: vengo en habilitar por ahora al Contador dé Data de la misma Tesorería general D. Pedro Roca, para que en las enfermedades ó legítimas ausencias del actual Tesorero mayor D, Sebastian Martínez,^ le substituya en la firma, poniendo ántes de ella el motivo per que lo execut</t>
  </si>
  <si>
    <t>. Asimismo en consideración á los distinguidos méritos del Contador de Data de la Tesorería general D. Pedro Roca , contraídos en su dilatada carrera, y al extraordinario servicio que acaba de hacer desempeñando interinamente la Tesorería general sin perjuicio de su principal empleo, ha tenid</t>
  </si>
  <si>
    <t>Rocaberti, Francisco</t>
  </si>
  <si>
    <t>Francisco Rocaberti</t>
  </si>
  <si>
    <t>Otra dé la obra pia de Miguel Ca-? nut , tasada 59,428 rs. = Barcelona : una casa de la obra pia de D. Francisco Rocaberti, tasada en 136,509 rs. y renta 4302.= San Andrés de Palomar: dos casas y heredad del colegio Tridentino de Vich , tasadas en 107,563 rs. y rentan 3226. = Granollers : una pieza de</t>
  </si>
  <si>
    <t>Rocandio y Pérez, Antonio</t>
  </si>
  <si>
    <t>Antonio Rocandio y Pérez</t>
  </si>
  <si>
    <t>tima del Principado, el Teniente Coronel D. Alvaro Valdés Inclan, Comandante de Artillería en él, y D. Antonio Rocandio y Perez á otros 4 de las mismas circunstancias; habiendo merecidor todos los exercicios de uno y otro certamen el mayor apluuso.de las personas instruidas y zelosas del bien público, que</t>
  </si>
  <si>
    <t>Rochambeau, General</t>
  </si>
  <si>
    <t>General Rochambeau</t>
  </si>
  <si>
    <t>o del General Clausel, y la caballería baxo las órdenes del General Ouesnel, entraron en N iza___El'General Rochambeau con’ su división penetró por JMagnon y S. Isidoro, y se apostó en las alturas de Drappo, al paso que la 4/1 división marchó hácia Monte-Gordo. No habiendo podido Ja 6.a división a</t>
  </si>
  <si>
    <t>Rodrigo Angulo</t>
  </si>
  <si>
    <t>ctubre de 1767............................ ........................... 440.000 En otra otorgada por D. Rodrigo Angulo como Mayordomo de Fábrica de la Iglesia Parroquial de ► 1.040.009 Santa Cruz en 9 de Octubre de 1764..................... 400.000 En otra otorgada en 31 de Octubre de 1763 por D.</t>
  </si>
  <si>
    <t>Rodrigo de Mena, Vicente</t>
  </si>
  <si>
    <t>Vicente Rodrigo de Mena</t>
  </si>
  <si>
    <t>litana de Toledo, vacante por fallecimiento de D. Manuel Plácido Bustillo, al Racionero de la misma D. Vicente Rodrigo de Mena: para otra de la Catedral de León, vacante por fallecimiento de D. Juan Joseph Martínez, á D. Lino Alfonso García Alambra, con retención de la Prestamera que goza en la villa de T</t>
  </si>
  <si>
    <t>Rodrigo García Puerta</t>
  </si>
  <si>
    <t>n publico deWs alumnos en las casas consistoriales baxo la inspección de los comisarios do escuelas D. Rodrigo García Puerta y D. Juan de Castro. Presidió el Intendente Corregidor, y asistió numeroso y lucido concurso de todas clases do personas. Los niños se examinaron de doctrina sq#un el catecismo de Fl.</t>
  </si>
  <si>
    <t>Rodrigo Machuca</t>
  </si>
  <si>
    <t>a dignado promover en el regimiento de caballería del Príncipe á Capitanes á los primeros Tenientes D. Rodrigo Machuca y D. Juan Courtoy: en el de Farnesio á Capitán al Ayudante D. Joseph Merchante: en el de España á segundo Teniente al Alférez D. Mateo Coreóles; y á Alférez al Portaestandarte D. Manu</t>
  </si>
  <si>
    <t>Rodrigo Riquelme</t>
  </si>
  <si>
    <t>para suceder á D. Francisco Tomas Peréfc de los Cobos al Alcalde de la Quadra ^ de dicha Audiencia D. Rodrigo Riquelme, y para está plaza á D. Francisco * Toribio de Ugárte: para la plaza que obtenía D. Antonio Vicente Yáñez' al Alcalde también de la misma Quadra D. Pedro Joseph Pinuaga y Tole-&gt; d</t>
  </si>
  <si>
    <t>Rodrigo Tavira</t>
  </si>
  <si>
    <t>Francisco Necochea, D. Pedro Goossens, D. Joseph Fermín Cia, D. Joseph María Cia, D. Pedro Tavira, D. Rodrigo Tavira, D. Raymundo Cia, D. Joseph de Arellano y D. Joacliín Fernandez de Medrano. En sintaxis, baxo la dirección de D. Rufino Espada, D. Antonio Gilman, D. Manuel de la Riva-Agüero, D.</t>
  </si>
  <si>
    <t>Rodrigo Vallabriga, Francisco</t>
  </si>
  <si>
    <t>Francisco Rodrigo Vallabriga</t>
  </si>
  <si>
    <t>Sargentos primeros D. Juan Bronchal y D. Francisco Fernandez , este de granaderos, y á los Cadetes D. Francisco Rodrigo Vallabriga y D. Antonio Conty; y en el de Suizos de Reding á Subteniente de granaderos al de fusileros D. Joseph Cenen Zeberg. En el de caballería del Rey á Alférez al Portaestand irte D. Ildefo</t>
  </si>
  <si>
    <t>Rodrigo Zorrilla y Monroy</t>
  </si>
  <si>
    <t>S. M. se ha dignado nombrar para 3a Fiscalía del crimen de la Real Audiencia del Reyno de Aragón á D. Rodrigo Zorrilla y Monroy. En América, El Rey se ha servido nombrar Teniente de la segunda compañía franca de voluntarios ñxa del Reyno de Nueva España á Don Agustín de Islas, Subteniente de la misma; y pa</t>
  </si>
  <si>
    <t>Rodrigo, Joseph</t>
  </si>
  <si>
    <t>Joseph Rodrigo</t>
  </si>
  <si>
    <t>pe de Prado, Subteniente de las mismas; y ha concedido grados de Capitán de milicias provinciales á D. Joseph Rodrigo y D. Joseph Fita, destinados en calidad de Secretario y agregado á la Legación de Constantinopla : á D. Luis Viérgol, Secretario nombrado del ministerio de Iqs Estados-Unidos de Améri</t>
  </si>
  <si>
    <t>Rodrigue, Manuel</t>
  </si>
  <si>
    <t>Manuel Rodrigue</t>
  </si>
  <si>
    <t>regí miento de in fa ntér ía de Cuba á Ay ud ante coir grado de Capitán áí Teniente., de granaderos D. Manuel Rodrigue^; -á‘ Teniente de granaderos al de fusileros D. Miguel Gevallos; á Tenientes á los Subtenientes’ D. Bartolomé ^orales, de granaderos, y D. Francisco Válléjo; á Subteniente de gran</t>
  </si>
  <si>
    <t>Rodriguen de Cosgaya, Alexandro</t>
  </si>
  <si>
    <t>Alexandro Rodriguen de Cosgaya</t>
  </si>
  <si>
    <t>25 rs. Intendencia de Toro. Toro : la dehesa de S. Andrés , perteneciente i la obra pia fundada por D. Alexandro Rodriguen de Cosgaya,en el lugar de Espinama, jurisdicción de Potes, provincia de Lievana , tasada en 2.085,410 rs. Intendencia de Aragón. Monquernela : una dehesa, perteneciente al legado de D. Fr. J</t>
  </si>
  <si>
    <t>Rodríguez Boves, Tomás</t>
  </si>
  <si>
    <t>Tomás Rodríguez Boves</t>
  </si>
  <si>
    <t>estudio, y ademas en cosmografía, navegación, maniobra y artillería de mar, D. Teodoro de Condres, D. Tomas Rodríguez Boves y D. Joseph Fernandez Luanco, ba^í^la dirección del profesor de náutica el segundo Piloto D. Diego Cayon. El dia 6 se hizo la distribución de premios, adjudicándose el primero de mate</t>
  </si>
  <si>
    <t>Rodríguez Carrillo, Manuel</t>
  </si>
  <si>
    <t>Manuel Rodríguez Carrillo</t>
  </si>
  <si>
    <t>Rivas: para la Ración de la santa iglesia de Tuy, vacante por fallecimiento de D. Diego Alvarez, á D. Manuel Rodriguez Carrillo, Cura que fue de S. Juan de Letran en Valladolid: para otra de la colegial de Alfaro, vacante por fallecimiento de D. Joachín Martínez, á D. Joseph María de Mesa, Capellán que fue</t>
  </si>
  <si>
    <t>Rodríguez Catnargo, Antonio</t>
  </si>
  <si>
    <t>Antonio Rodríguez Catnargo</t>
  </si>
  <si>
    <t>ente de granaderos que entonces era del regimiento de infantería de León; sobre lo qual escribirá á D. Antonio Rodríguez Catnargo, Capitán del regimiento de infantería de las Ordenes Militares, que se halla de guarnición en la Isla de León. D. Luis Hennequin, escultor de piedra, residente en esta corte, ha e</t>
  </si>
  <si>
    <t>Rodríguez de Arellano, Vicente</t>
  </si>
  <si>
    <t>Vicente Rodríguez de Arellano</t>
  </si>
  <si>
    <t>rente el coliseo, y del diario frente á Sto. Tomas. = E1 Pintor fingido, comedia en tres actos, por D. Vicente Rodríguez de Arellano: representada po'r la compañía de Luis Navarro. Se hallará á a rs. en dichas librerías de Castillo y Cerro. En la librería de Campins, calle de las Carretas, y en la de Fernandez,</t>
  </si>
  <si>
    <t>Rodríguez de Caras, Manuel María</t>
  </si>
  <si>
    <t>Manuel María Rodríguez de Caras</t>
  </si>
  <si>
    <t>Canongía, vacante en dicha iglesia metropolitana por fallecimiento de D. Juan Salcedo, ai Racionero D. Manuel María Rodríguez de Caras!: para la Ración de este á D. Miguel de Espinosa: para otra Canonjía de la oropia iglesia metropolitana, vacante por fallecimiento de D. J oscph Rodríguez Bravo, á D. Joseph Goya</t>
  </si>
  <si>
    <t>Rodríguez de Peralta, Sebastián</t>
  </si>
  <si>
    <t>Sebastián Rodríguez de Peralta</t>
  </si>
  <si>
    <t>668 id. en 269,897. Otra calle de Santo Domingo, del patronato de D. Sebastian Rodríguez de Peralta, en 162,229. Otra calle de la Botica , de id. en 282,429. Otra calle de Flamencos, del patronato de D. Joseph Gutiérrez , en 199,558. Otra calle de la Amargura, de id. en 337,150.</t>
  </si>
  <si>
    <t>Rodríguez de Ribera, Antonio</t>
  </si>
  <si>
    <t>Antonio Rodríguez de Ribera</t>
  </si>
  <si>
    <t>z de Loaisa: para la vara de Alcalde mayor 1 entente primero de Asistente de la ciudad de Sevilla á D. Antonio Rodríguez de Ribera la segunda á D. Francisco Gutiérrez López Chavantes; y para la S la tercera de á D. Salvador Granada Vidal: á D. paraSantolam: Andrés la vara depaja Alcalde la mayor ^gundode ia á D</t>
  </si>
  <si>
    <t>Rodríguez de Rivas, Vicente</t>
  </si>
  <si>
    <t>Vicente Rodríguez de Rivas</t>
  </si>
  <si>
    <t>de Otero, xo* fe de mesa de la Tesorería general, y Caxero principal de ella. Por fallecimiento de D. Vicente Rodríguez de Rivas, Contador general de las tres gracias de Cruzada, Subsidio y Excusado, ha nombrado el Rey para servir este empleo al Sr. D. Gregorio García de Viouesa, Oficial 7.0 de la Secretarí</t>
  </si>
  <si>
    <t>Rodríguez de Vera, Joseph</t>
  </si>
  <si>
    <t>Joseph Rodríguez de Vera</t>
  </si>
  <si>
    <t>te de cazadores: esta resulta á D. Agustín Lozano, Teniente de fusileros: Tenencias de esta cíase á D. Joseph Rodríguez de Vera, D. Francisco Amores, D. Fernando González y D. Pedro Vicente Jareño, Subtenientes, los primeros de granaderos y cazadores, y los segundos de fusileros; y las Subtenencias de gran</t>
  </si>
  <si>
    <t>Rodríguez del Fierro, Felipe</t>
  </si>
  <si>
    <t>Felipe Rodríguez del Fierro</t>
  </si>
  <si>
    <t>mero de granaderos D. Francisco Iñiguez: en el de Málaga á Capitán al primer Teniente de granaderos D. Felipe Rodríguez del Fierro; á primer Teniente de granaderos al de fusileros D. Joseph Carrillo; £ primeros Tenientes á los segundos D. Alexo Zamora y D. Fernando de Rodas, este graduado de Capitán; á segund</t>
  </si>
  <si>
    <t>Rodríguez Ledesma, Francisco</t>
  </si>
  <si>
    <t>Francisco Rodríguez Ledesma</t>
  </si>
  <si>
    <t>a en que se publique el presente aviso en la gazeta de Madrid, dirigiendo sus composiciones al Lie. D. Francisco Rodríguez Ledesma , Secretario de la junta de dirección de teatros. Los autores de ellas omitirán su nombre, poniendo solo un lema ó epígrafe al principio, que pueda servir de contraseña, en el cas</t>
  </si>
  <si>
    <t>Rodríguez Mega, Joseph</t>
  </si>
  <si>
    <t>Joseph Rodríguez Mega</t>
  </si>
  <si>
    <t>ipió la sesión con la lectura de las actas, y luego pronunció una oración alusiva al asunto el Lie. D. Joseph Rodríguez Mega, consiliario y secretario de la misma escuela. Se procedió después á la distribución de premios por mano de S. E., los que ganaron en la primera clase Manuel Rodríguez, Manuel Tes</t>
  </si>
  <si>
    <t>Rodríguez Muñoz, Francisco</t>
  </si>
  <si>
    <t>Francisco Rodríguez Muñoz</t>
  </si>
  <si>
    <t>luntarios Blancos de Campeche se ha servido el Rey promover á Capitán de granaderos al de fusileros D. Francisco Rodríguez Muñoz; á Capitán de fusileros á D. Francisco Ruiz de la Peña, Subteniente de granaderos; á Teniente veterano de granaderos á Don Francisco Hurtado, Teniente de fusileros; á Teniente de</t>
  </si>
  <si>
    <t>Rodríguez Orgaz, Antonio</t>
  </si>
  <si>
    <t>Antonio Rodríguez Orgaz</t>
  </si>
  <si>
    <t>regimiento de infantería de Africa se ha servido promover el Rey á segundos Subtenientes al Cadeté D. Antonio Rodríguez Orgaz, y al Sargento primero de granaderos D. Joseph Rubio ; en el de Mallorca á primer Teniente al segundo de granaderos D. Antonio Serrano : en el de cazadores voluntarios déla Corona</t>
  </si>
  <si>
    <t>Rodríguez Plaza, Domingo</t>
  </si>
  <si>
    <t>Domingo Rodríguez Plaza</t>
  </si>
  <si>
    <t>ltas al Subteniente de fusileros D. Joseph Julián del Campo; y la vacante, que este dexa, al Cadete D. Domingo Rodriguez Plaza. En la extracción de la Real lotería executada el lunes 13 del corriente, salieron los números 33, 26, 49, 70 y 65 ; y con ellos han ganado los jugadores 322,498 rs. Por providenc</t>
  </si>
  <si>
    <t>Rodríguez Truxiilo y Lasqueti, Joseph</t>
  </si>
  <si>
    <t>Joseph Rodríguez Truxiilo y Lasqueti</t>
  </si>
  <si>
    <t>z Reyilo, D. Pedro Rato y Cisneros, D. Justo Salafranca y Matheus, D. Baltasar Cornelias y Rosiñol, D. Joseph Rodríguez Truxiilo y Lasqueti, D. Manuel Compains y Ochoa, D. Joseph Pereyra y Soto Sánchez, D. Santiago de Mazarredo y Gómez de la Torre, D. Joseph de Mazarredo y Gómez de la Torre, D. Sebastian de Heres y Ca</t>
  </si>
  <si>
    <t>Rodríguez Varas, Joseph</t>
  </si>
  <si>
    <t>Joseph Rodríguez Varas</t>
  </si>
  <si>
    <t>uros y cigarros de México á D. Ignacio Joseph de la Sierra : Oficial mayor de la misma Contaduría á D. Joseph Rodríguez Varas: primero y segundo Tercenistas de tabaco en la propia capital á D. Joseph Vilb.mil y D. Fernando Alvarez Godoy: Guardas de las factorías de la misma renta en Puebla, Oaxaca, Guada</t>
  </si>
  <si>
    <t>Rodríguez, Andrés</t>
  </si>
  <si>
    <t>Andrés Rodríguez</t>
  </si>
  <si>
    <t>bteniente de granaderos al primer Subteniente D. Santiago Lobera, y á primer Subteniente al segundo D. Andrés Rodríguez: en el de Córdoba á Teniente Coronel al de esta clase agregado al ae Granada, graduado de Coronel, D. Joachín de Gasaviella: en el de Toledo á segundo Teniente de granaderos al de</t>
  </si>
  <si>
    <t>Rodríguez, Blas</t>
  </si>
  <si>
    <t>Blas Rodríguez</t>
  </si>
  <si>
    <t>ñcz , Cura mas antiguo de la misma: para otra de la de Ciudad-Rodrigo, vacante por fallecimiento de D. Blas Rodríguez, á D. Manuel Criado: para otra de la colegial de Talayera de la Reyna, en la diócesis de Toledo, vacante por fallecimiento de D. Genaro Gómez de Encinas, á D. Joseph Antonio Monte</t>
  </si>
  <si>
    <t>Rodríguez, Domingo</t>
  </si>
  <si>
    <t>Domingo Rodríguez</t>
  </si>
  <si>
    <t>por la audiencia del Señor Alcaide Don Domingo Fernandez Campománes , y escribanía de provincia de D. Domingo Rodríguez , se ha señalado el jueves 19 del corriente á las 11 dq^ su mañana en la citada escribanía de provincia. Para el remate del lavadero y casa sitos en la orilla del rio de Manzanáre</t>
  </si>
  <si>
    <t>omingo Fernandez de Campománes, á virtud de las Reales órdenes, y por la escribanía de provincia de D. Domingo Rodríguez , donde se halla radicado el patronato Real de legos y memorias d-e Doña Gregoria Fernandez de Ribera , se ha mandado subastar por término de 30 dias tres casas pertenecientes á d</t>
  </si>
  <si>
    <t>do por la audiencia del Señor Alcalde D. Domingo Fernandez Campománes, y escribanía de provincia de D. Domingo Rodríguez, y dan por la primera ia§ rs. y por el segundo 4@«n vales Reales, se ha señalado el lunes 7 de Julio á las 11 de su mañana en la citada escribanía. Por el juzgado del Sr. D. Pedro</t>
  </si>
  <si>
    <t>por la audiencia del Señor Alcalde D. Domingo Fernandez de Campománes y escribanía de provincia de D. Domingo Rodríguez, tasada en 100,136 rs., y se halla puesta en el todo de la tasa en vales Reales, y ademas i9 rs. en moneda metálica, se ha señalado el jueves 24 del corriente á las ix de su mañan</t>
  </si>
  <si>
    <t>per la audiencia del Se Sor Alcalde D. Domingo Fernandez de Campománes y escribanía de provincia de D. Domingo Rodríguez , se ha señalado el lunes *8 del corriente a las ,i de su mañana en la citada escribanía de provincia. _ En virtud de providencia del Señor Alcalde de Corte D. Manuel Perez de Roz</t>
  </si>
  <si>
    <t>po»r la audiencia del Sr. Alcalde D. Domingo Fernandez Campotnénes, y escrrlT-anja de provincia de D. Domingo Rodríguez, se ha señalado el jueves 31 del corriente á las 11 de su mañana en ia citada escribanía de provincia. A virtud «de providencia del Sr. D. Juan Antonio Santa María , Teniente Corr</t>
  </si>
  <si>
    <t>por la audiencia del Señor Alcalde D. Domingo Fernandez de Campománes, y escribanía de provincia de D. Domingo Rodríguez . se ha señalado el iúnes it del corriente á las 11 de su mañana en la citadi escrioauía de proviici*. Y para el de otra perteneciente á dichas memorias, sita en la calle de S. Be</t>
  </si>
  <si>
    <t>a en la audiencia del Sr. Alcalde Don Domingo Fernandez de Campománes, y escribanía de provincia de D. Domingo Rodríguez por donde se está subastando. Y para el remate de otra casa sita en lia calle de Jesús y María y de la Espada, núm. 4, manz. 13, perteneciente á las memorias de Doña Gregoria Fern</t>
  </si>
  <si>
    <t>Rodríguez, Joachín</t>
  </si>
  <si>
    <t>Joachín Rodríguez</t>
  </si>
  <si>
    <t>de granaderos al primer Subteniente D. Antonio Hidalgo Torralba, y á primer Subteniente al segundo D. Joachín Rodríguez: en el dé Burgos a Capitán al primer Teniente de granaderos D. Fernando Morett; á primer Teniente de granaderos al de fusileros D. Fernando Martínez; á primeros Tenientes á los se</t>
  </si>
  <si>
    <t>Rodríguez, Joseph</t>
  </si>
  <si>
    <t>Joseph Rodríguez</t>
  </si>
  <si>
    <t>al Sargento primero distinguido D. Sebastian Duarte: en el de León á segundo Subteniente a! Cadete D. Joseph Rodríguez: en el de Burgos á primer Teniente ai segundo de granaderos D. Antonio Marinelerena: en el de Asturias á segundo Teniente de granaderos al de fusileros D. Vicente Cevallós; y á se</t>
  </si>
  <si>
    <t>egundos Subtenientes á los Sargentos primeros D. Antonio Merlo y D. Miguel Márquez, y á los Cadetes D. Joseph Rodríguez y D. Joseph Casaus: en el de Toledo á Capitán al primer Teniente de granaderos D. Joseph Muñoz; á primer Teniente de granaderos al de fusileros D. Diego García Hidalgo; X primer Tenie</t>
  </si>
  <si>
    <t>Rodríguez, Manuel</t>
  </si>
  <si>
    <t>Manuel Rodríguez</t>
  </si>
  <si>
    <t>as librerías de Escribano , calle de las Carretas, de Esparza., puerta del Sol, y en casa del autor D. Manuel Rodríguez, calle de la Montera , núm. 28. Se darán los 6 tomos juntos ó separados, y asimismo los retratos solos; y para mayor comodidad del público se darán quadernos sueltos con los sumar</t>
  </si>
  <si>
    <t>Branly; a Tenientes á los Subtenientes D. Antonio Tur, D. Juan Villers, D: Anastasio Castellanos y D. Manuel Rodríguez, los tres primeros de granaderos; á SubtenieBtes.de granaderos á los de fusileros D. Joseph del Rio, D. Joseph Sánchez Griñan y D. Pedro Sánchez Griñan; á Subtenientes de fusilero</t>
  </si>
  <si>
    <t>Rodríguez, Marcos</t>
  </si>
  <si>
    <t>Marcos Rodríguez</t>
  </si>
  <si>
    <t>nientes D. Pedro Pérez, D. Rafael García y D. Joseph Quirós; á primeros Subtenientes á los segundos D. Marcos Rodríguez, Don Antonio Xerez, D. Juan Carlos de Soto, D. Joseph Diaz, D. Juan de Serra y D. Domingo Navarro, y á segundo Subteniente al Sargento primero D. Mariano Araiz: en el de Zaragoza</t>
  </si>
  <si>
    <t>Rodríguez, Miguel</t>
  </si>
  <si>
    <t>Miguel Rodríguez</t>
  </si>
  <si>
    <t>Recoletos, que habita el Conde de Estaurio , con 7161 pies, tasada en 4c© rs. y renta 1203. Maestro D. Miguel Rodríguez : una casa calis Mayor , q-e habita Pedro Antonio González, con 2384 píos, tasada en 20© rs. y renta 600. María de Equzquiza: una casa plaza del Mercado, y sirve para despacho de</t>
  </si>
  <si>
    <t>Rodríguez, Pedro Alonso</t>
  </si>
  <si>
    <t>Pedro Alonso Rodríguez</t>
  </si>
  <si>
    <t>iñas y jóvenes , y acomodada al carácter, costumbres , leyes y religión de la nación española : por D. Pedro Alonso Rodríguez. Con privilegio. Es coustante que los varios libros y tratados que se veiañ .en nuestras escuelas de primeras letras para niños y niñas, aunque contienen' mucha erudición y doctri</t>
  </si>
  <si>
    <t>Rodríguez, Vicente</t>
  </si>
  <si>
    <t>Vicente Rodríguez</t>
  </si>
  <si>
    <t>' ' .• , 517 cía del profesor de chímica E&gt;¿ Francisco Gtano. Saliéron graduados en pri¿ mer lugar D. Vicente Rodríguez , D. Francisco Antonio Olivas y O. Miguel Antonio íuentes: en segundo D. Joseph Ainsa, D. Joachin Orozqueta, D. Mariano Serret, D* Pedro Lalane y D. Bernardo Ximeno; y en tercer J</t>
  </si>
  <si>
    <t>Rodulfo Gautier</t>
  </si>
  <si>
    <t>alas para cubrir sus flancos las de fusileros del Rey y las de Asturias , siendo los xefes de ellas D. Rodulfo Gautier, Comandante de dicho batallón del Rey, y D. Francisco Fulgosio, Sargento mayor del de Asturias; y formo segunda línea con toda la tropa de auxilio de la Marina al mando del Brigad</t>
  </si>
  <si>
    <t>ientes de Asturias D. Joseph de Zayas y D. Andrés Ortiz ; el Comandante del tercer batallón del Rey Don Rodulfo Gautier y el Subteniente de granaderos de Guadalaxara D. Teodoro San Martin. De Jos elogios con que finaliza Donadío su parte se infiere que en toda la seguida de las operaciones de los cuerp</t>
  </si>
  <si>
    <t>Rodulio Veirasat</t>
  </si>
  <si>
    <t>a satisfacción de que uno de ellos, joven de prendas muy recomendables, llamado Rodulio Veirasat, natural, de Ginebra, de la secta de Calvino , movido con los piadosos exercicios . v las exhortaciones freqüentes de ios asociados , haya abjurado sus errores V abrazado la fe católica co</t>
  </si>
  <si>
    <t>Rogei</t>
  </si>
  <si>
    <t>. Aquella colonia quedaba muy bien ...bastecida, y se esperaba en breve en ella al nuevo Gobernador Mr. Rogei: Curtís, que salió de Inglaterra en el navio Leandro. Haya 2 &lt;T de Enero. A ver noche llegó aquí el General Augereau. El Ministro Semonville lo presentó hoy al Directorio executiv</t>
  </si>
  <si>
    <t>Roget, General</t>
  </si>
  <si>
    <t>General Roget</t>
  </si>
  <si>
    <t>cazadores maguntinos se había apostado en la aldea de Attersheim, en la ribera derecha del Mein. El General Roget destacó para desalojarlos una compañía de infantería y 50 soldados de caballería; y a] cabo de una hora de defensa tuvieron los enemigos que abandonar su puesto,dexando prisioneros 1</t>
  </si>
  <si>
    <t>Roig de Lluis, Pedro</t>
  </si>
  <si>
    <t>Pedro Roig de Lluis</t>
  </si>
  <si>
    <t>o. S. M. ha promovido á Ingenieros en segundo de sus exércitos, plazas y fronteras á los ordinarios D. Pedro Roig de Lluis, D. Francisco Jacot y D. Antonio J acot. El Rey ha conferido el Gobierno de la plaza de Alburquerque al Brigadier é Ingeniero director D. Juan Francisco Mestre. En los cuerpos pro</t>
  </si>
  <si>
    <t>Roix, Esteban</t>
  </si>
  <si>
    <t>Esteban Roix</t>
  </si>
  <si>
    <t>frente á Sto. Tomas. Estampa que representa á Ntra. Sra. de la Concepción , díbuxada y grabada por D. Esteban Roix, por el célebre original del caballero Mengs, que posee S. M.: obra premiada por la Real Academia de §• Fernando, Se hallará en la. librería de Escribano , calle de las (barretas.</t>
  </si>
  <si>
    <t>Roldan Yarza, Antonio</t>
  </si>
  <si>
    <t>Antonio Roldan Yarza</t>
  </si>
  <si>
    <t>Média-Racion dé la catedral de Cartagena, vacante por fallecimiento de D. Jósepti Martínez Rosas, á D. Antonio Roldan Yarza: y para el Beneficio llamado de Compañía antiguó de la catedral de Plasencia, vacante por fallecimientó de B. Martin Togada* á D. Ramón Pacheco. En atención á lós méritos de D. TÓ</t>
  </si>
  <si>
    <t>Roldan, Christóbal</t>
  </si>
  <si>
    <t>Christóbal Roldan</t>
  </si>
  <si>
    <t>También en el de caballería de la Reyna se ha servido el Rey promover á Ayudante al primer Teniente D. Christóbal Roldan; y en el de Calatrava á Alférez al Portaestandarte D. Antonio Carrion. El Rey ha tenido á bien nombrar Sargento mayor del regimiento provincial de Burgos al Teniente Coronel, grad</t>
  </si>
  <si>
    <t>Roldan, Juan</t>
  </si>
  <si>
    <t>Juan Roldan</t>
  </si>
  <si>
    <t>= Villa de Coronil: tres casas, un solar, siete olivares y una huerta con su casa, del patronato de D. Juan Roldan , tasado todo en 201,743 rs. = Villa de Constantina : quatro casas, quatro olivares, una bodega con sus tinajas, una suerte de tierra jr</t>
  </si>
  <si>
    <t>Rolla</t>
  </si>
  <si>
    <t>o que la pérdida de un oficial humano y valeroso: pues otro General-francés, el ciud. Rolla, se encargó inmediatamente del rilando del exército: y así la muerte del General en xefe 110 ha causado mas mudanza qtíe la que habría habido si hubiese hecho</t>
  </si>
  <si>
    <t>Roma, Andrés</t>
  </si>
  <si>
    <t>Andrés Roma</t>
  </si>
  <si>
    <t>8i3 depositado el alcance que resulta i favor de D. Andrés Roma, Cirujano que fué del expresado batallón, en el último ajuste que se le formó; y no teniéndose noticia del paradero de la viuda, ni de quienes sean sus herederos, seda este aviso</t>
  </si>
  <si>
    <t>Román Gavilanes</t>
  </si>
  <si>
    <t>ara á primer Teniente ai segundo D. Ramón de Ortigosa: en el de España á primer Teniente ¿1 segundo D. Román Gavilanes; y en el de Carabineros de la Eeyna María Luisa á Portaestandarte al Cadete D. Antonio Pu'ig. En el de dragones de la Reyna á Sargento mayor al Capitán de granaderos, gradúa</t>
  </si>
  <si>
    <t>Román, Juan Antonio</t>
  </si>
  <si>
    <t>Juan Antonio Román</t>
  </si>
  <si>
    <t>rujano del quinto batallón del Real cuerpo de Artillería al primer Ayudante de cirugía del exército D. Juan Antonio Román, Cirujano del regimiento provincial de Segovia: del primero y segundo batallón del de infantería de Hibernia á D. Joseph Robles Pobeda y D. Manuel Ventura Morales: del segundo bat</t>
  </si>
  <si>
    <t>Romay, Joseph Ignacio</t>
  </si>
  <si>
    <t>Joseph Ignacio Romay</t>
  </si>
  <si>
    <t>. Francisco Pliego; ; Teniente al Subteniente D. Joseph Blanco, y á Subteniente de bandera a Cadete D. Joseph Ignacio Romay: en el batallón de infantería de Campv che el empleo ae Capitán al Ayudante D. Angel de Toro; el que este dexa al Teniente D. Joseph Ignacio Barrero; Tenencias de fusileros á Don</t>
  </si>
  <si>
    <t>Romeo, Manuel</t>
  </si>
  <si>
    <t>Manuel Romeo</t>
  </si>
  <si>
    <t>al de fusileros D. León Molero: en el de Córdoba á Subteniente de granaderos al primer Subteniente D. Manuel Romeo: en el de Guadalaxara á primer Subteniente al segundo D. Lorenzo Casado; y á segundo Subteniente al Sargento primero graduado de Subteniente D. Policarpo&gt; Algarra: en el de Zarago</t>
  </si>
  <si>
    <t>te de granaderos al de fusileros D. Rafael Eseovar; á segundo Teniente al Subteniente de granaderos D. Manuel Romeo; á Subteniente de granaderos ai primer Subteniente i), joachin Arizaga; á primer Subteniente al segundo D. Manuel Hernández ;V á segundo Subteniente al Cadete D. Agustín Wanherck</t>
  </si>
  <si>
    <t>Romero de Castilla, Francisco</t>
  </si>
  <si>
    <t>Francisco Romero de Castilla</t>
  </si>
  <si>
    <t>nuel del Hoyo: para la Canongía de la Catedral de Badajoz, que este obtiene, y resultará vacante, á D. Francisco Romero de Castilla: para otra de la Colegial de S. Hipólito de Córdoba, vacante por fallecimiento de D. Pedro de Barcia y Camacho, á D. Joseph Casal, Beneficiado mas antiguo de la parroquia de S. Lo</t>
  </si>
  <si>
    <t>Romero Valdés, Andrés</t>
  </si>
  <si>
    <t>Andrés Romero Valdés</t>
  </si>
  <si>
    <t>de su Real casa y corte, con opcion á las primeras vacantes, al Oidor de la Audiencia de Barcelona D. Andrés Romero Valdés, en atención á los particulares méritos que ha contraido en algunas comisiones importantes del Real servicio; y á D. Manuel de Jáuregui, Asesor de la Intendencia del Real sit'o de</t>
  </si>
  <si>
    <t>Romero y Montero, Diego</t>
  </si>
  <si>
    <t>Diego Romero y Montero</t>
  </si>
  <si>
    <t>criminal de la Audiencia de Caracas, vacante por fallecimiento de D. Francisco Morales Gabaldon, á D. Diego Romero y Montero, Abogado d,e los Reales Consejos. Igualmente ha nombrado Si M. .para la Alcaldía mayor de. Amantan y 'Zácatepequeseri la Presidencia de Goatemala, á D. Joseph Antonio Molina. . *</t>
  </si>
  <si>
    <t>Romero, Andrés</t>
  </si>
  <si>
    <t>Andrés Romero</t>
  </si>
  <si>
    <t>ica D. Joseph Villapol, Don Damaso Aldao , D. Agustín Mollon, Cadete de carabineros de María Luisa, D. Andrés Romero, Cadete del regimiento Inmemorial del Rey, y D.Esteban Piñeyro. En álgebra y trigonometrías D. Pedro Bringas y Marin y D. Vicente de Sada. En geometría elemental y práctica £&gt;, Lu</t>
  </si>
  <si>
    <t>Romero, Cipriano</t>
  </si>
  <si>
    <t>Cipriano Romero</t>
  </si>
  <si>
    <t>co, y de los referidos Arcediano titular y Don Antonio Roxasydel Presbítero D. Manuel de la Llana y D. Cipriano Romero, protectores de la escuela, de muchos eclesiásticos y personas mas distinguidas de .la villa: todos los quales celebraron con admiración su aplicación y aprovechamiento, y la grat</t>
  </si>
  <si>
    <t>Romero, María</t>
  </si>
  <si>
    <t>María Romero</t>
  </si>
  <si>
    <t>cantarilla,-__Otra haza de cabida de fanegas, al sitio del Carretoh, perteneciente a la obra pia dé Doña María Romero, tasada én 12,720 rs.-—Ótra Haza que llaman de Dt^ña Ana en el mismP sitio que, 1?. anterior, y de cabida de ,8 fanegas, tasada en 5640 rs.__ _ Qtra.que llaman de la Cruz, en la o</t>
  </si>
  <si>
    <t>Romero, Miguel</t>
  </si>
  <si>
    <t>Miguel Romero</t>
  </si>
  <si>
    <t>l de Velarde , Doña María Muñoz , ei Teniente Coronel D. Tomas Daquindehan, Doña Manuela Fernandez, D. Miguel Romero dorador, D. Vicente Ortiz de Salgousen, Doña Manuela Medina, Doña Ignacía Soto y Conde, Francisco del Riego , Lorenza Medina, y otras : vive dicha Doña Victoria plazuela de S. Ildefo</t>
  </si>
  <si>
    <t>Romero, Pedro Alonso</t>
  </si>
  <si>
    <t>Pedro Alonso Romero</t>
  </si>
  <si>
    <t>Cacho Caballero , en Xerez , ó á D. Manuel Barco en su librería carrera de S. Gerónimo, en Madrid. D. Pedro Alonso Romero , del comercio de la ciudad de Sevilla ; está encargado de pagar cierta cantidad de dinero á D. Arnaldo Ana y Jo.seph, natural de Toiosa de Francia, y hacendado de Lagar de, en la</t>
  </si>
  <si>
    <t>Ron Peñaroxa, Lorenzo</t>
  </si>
  <si>
    <t>Lorenzo Ron Peñaroxa</t>
  </si>
  <si>
    <t>avarra. aL presbítero D. Jacinto Pascual y Vaz. Atendiendo el Rey á la ilustre y antigua nobleza de D. Lorenzo Ron Peñaroxa , en el Rcyno de Valencia, á sus enlaces con personas que obtienen Grandeza de España y títulos, y otras condecoradas con los hábitos de órdenes militares, á sus distinguidos méri</t>
  </si>
  <si>
    <t>Roncaii, Pedro Agustín</t>
  </si>
  <si>
    <t>Pedro Agustín Roncaii</t>
  </si>
  <si>
    <t>Quartas de Castro, D. Francisco Fernandez Rábago, D. Pedro Perez Tagle, D. Dionisio María Mazuelo, D. Pedro Agustín Roncaii, D, Antonio Sacristán y D. Ignacio Vicente Unzeta. En el de infantería de Mallorca á segundo Teniente al Subteniente de granaderos Dbit Jo'epli Mana González Duran; y lia nombrado</t>
  </si>
  <si>
    <t>Rondeau, Juan</t>
  </si>
  <si>
    <t>Juan Rondeau</t>
  </si>
  <si>
    <t>z, D. Manuel Garavo y D. Joseph Arenas, y ai Cadete Vicente Asco; y para Portaguiones á los Cadetes D. Juan Rondeau, D. Andrés Ordoñez, y al Sargento graduado de Alférez D. Joachin Forner. En la extracción extraordinaria de la Real lotería executada el lunes 21 del corriente, saliéron los númer</t>
  </si>
  <si>
    <t>Ronnn Naranjo, Antonio</t>
  </si>
  <si>
    <t>Antonio Ronnn Naranjo</t>
  </si>
  <si>
    <t>; para un Beneficio servidero de la parroquia de la villa de Grazaíema, en el obispado de Malaga, á Don Antonio Ronnn Naranjo: para la Capellanía Doctoral supernumeraria, que fesulta vacante en la capilla del Real convento de la Encarnación de Madrid por ascenso de D. Juan Sánchez á la de número, que obt</t>
  </si>
  <si>
    <t>Ropotschin'y, Conde</t>
  </si>
  <si>
    <t>Conde Ropotschin'y</t>
  </si>
  <si>
    <t>, en que expuso que el Rey. su amo deseaba conferir dicha orden de S. Fernando al Consejero privado Conde Ropotschin'y ál Vice-Canciller Conde Panin, en consideración i sus talentos y dignidades. S. M. Imperial aprobó el deseo de su fiel aírd.v y entregó á los agraciados las insignias de aquella o</t>
  </si>
  <si>
    <t>Roque Eztenaga</t>
  </si>
  <si>
    <t>erir el empleo de Oficial primero de las Reales Caxas del puerto de Truxillo, Reyno de Goatemala, á D. Roque Eztenaga; y su resulta de Oficial segundo de las mismas Caxas á Don Joseph María Corona. En cumplimiento de los Reales decretos de S. M. de 2 de Agosto de 1795 y 9 de Junio de 1796 se reci</t>
  </si>
  <si>
    <t>Roque González de Fuga</t>
  </si>
  <si>
    <t>iente D. Manuel Ignacio Domeneeh , y las Subtenencias de granaderos y cazadores \á los Subtenientes D. Roque González de Fuga y D. Francisco Casal y Morado: en el de Bujalance compañía de fusileros al Teniente de granaderos D. Juan de Arroyo, y las Subtenencias de bandera á D. Joseph María Muñoz del Castillo</t>
  </si>
  <si>
    <t>Roque Marco</t>
  </si>
  <si>
    <t>de granaderos al primer Subteniente D. Fernando de Alcocer : en el de Aragón á Capitán al Ayudante D. Roque Marco: á Ayudante al primer Teniente de granaderos D. Juan Ungo: á primer Teniente de granaderos al de fusileros D. Lorenzo de Sierra: á primeros Tenientes á los segundos de granaderos</t>
  </si>
  <si>
    <t>Roque Parrada</t>
  </si>
  <si>
    <t>eres á los Sub-Brigadieres D. Mateo Iruegas y D. Joseph Guillen: para Sub-Brigadieres á los Cadetes D. Roque Parrada y D. Manuel Pallares : para Cadetes de número á los supernumerarios D. Manuel de Ayala'y D. Francisco Aguirre ; y para Cadetes supernumerarios á los Guardias Don Andrés de Castro y D.</t>
  </si>
  <si>
    <t>Roque y Rosa</t>
  </si>
  <si>
    <t>sanés , Corregimiento de Vique................... 55. 30. Joceph Casas, hijo de Roque y Rosa, natural de Sarria, Corregimiento de Gerona..................................................... 55. 30. Cabo.. Antonio Pallas , hijo de Joseph y Antonia , natural de M.nresa, Corregimient</t>
  </si>
  <si>
    <t>Ros, Lorenzo</t>
  </si>
  <si>
    <t>Lorenzo Ros</t>
  </si>
  <si>
    <t>o Reyno. Asimismo ha conferido S. M. la Comandancia del batallón de milicias de pardos de Caracas á Don Lorenzo Ros, Capitán agregado al batallón veterano de aquella capital. Igualmente se ha servido S. M. conferir el empleo de Oficial sexuado de las Caxas Reales de Guadalaxara á D. Francisco N</t>
  </si>
  <si>
    <t>Ros, Vicente</t>
  </si>
  <si>
    <t>Vicente Ros</t>
  </si>
  <si>
    <t>Real cuerpo á D. Joseph Paulin , D. Fernando Márquez de la Plata , D. Manuel Minio, D. Diego Lara, D. Vicente Ros, D. Joseph González Pardo, D. Martin Zarandía, D. Ramón Gómez, D. Rafael Riesch, D. Francisco Calderón de la Barca, D. Luis Solana, D.Fernán.lo Navia,D. Miguei Forcalio, Don Jacob</t>
  </si>
  <si>
    <t>Rosales, Manuel</t>
  </si>
  <si>
    <t>Manuel Rosales</t>
  </si>
  <si>
    <t>Tenientes á los Alféreces D. Joseph Herrera y D. Joseph Angel Nieto: á Alféreces á los Portaguiones D. Manuel Rosales , D. Eugenio de Teran y D. Tomas Sánchez ; y á Portaguiones á D. Agustin Ruiz de la Peña, D. Miguel Rosales y D. Manuel López. El Rey ha nombrado Teniente Veterano , con funciones</t>
  </si>
  <si>
    <t>Rosales, Miguel</t>
  </si>
  <si>
    <t>Miguel Rosales</t>
  </si>
  <si>
    <t>l Rosales , D. Eugenio de Teran y D. Tomas Sánchez ; y á Portaguiones á D. Agustin Ruiz de la Peña, D. Miguel Rosales y D. Manuel López. El Rey ha nombrado Teniente Veterano , con funciones de Ayudante de la plana mayor de Blancos agregada al batallón de Pardos libres de milicias disciplinadas de inf</t>
  </si>
  <si>
    <t>Rosarte, Isidoro</t>
  </si>
  <si>
    <t>Isidoro Rosarte</t>
  </si>
  <si>
    <t>literaria de los Reales estudios de Madrid -al concluirse el primer afio del curso académico;! por D. Isidoro Rosarte, Secretario de S. M. y de la Real academia de S. Fernando : trata esta obrita de la escultura, pintura y arquitectura entre los griegos y-idéí las bellas artes entre los antiguos</t>
  </si>
  <si>
    <t>Rosell, Manuel</t>
  </si>
  <si>
    <t>Manuel Rosell</t>
  </si>
  <si>
    <t>de la humildad christiana: carta de S. León el grande á la virgen Demetria: traducida del latin por D. Manuel Rosell, Canónigo que fue de San Isidro de Madrid. Se hallará en las librerías de Baylo y Ramos. Diálogo christiano entre la voluntad y el entendimiento, por D. Ramón Torbé, Teniente de R</t>
  </si>
  <si>
    <t>Rosenberg, General</t>
  </si>
  <si>
    <t>General Rosenberg</t>
  </si>
  <si>
    <t>iran á Rusia por Bohemia, Moravia y las dos Galitzias, en dos colunas, una de ellas dirigida por el General Rosenberg, y la otra por el General Derfelden. La primera división de la primer coluna ha llegado á Praga, y las demás tardarán pocos dias en llegar. El Conde Felipe de KollowratKrakowski,</t>
  </si>
  <si>
    <t>Rosendo Cal y Babamonde</t>
  </si>
  <si>
    <t>iente D. Diego Iíij’osa. Asimismo ha concedido grado de Teniente Coronel de Milicias provinciales á D. Rosendo Cal y Babamonde, Capitán de correos marítimos en la Havana r de Capitán á los Pilotos D. Mariano Merino y D. Manuel Hernández: de Tenientes al Capitán de correos en Puerto-Rico Don Manuel Balay y</t>
  </si>
  <si>
    <t>Rosenhe, General</t>
  </si>
  <si>
    <t>General Rosenhe</t>
  </si>
  <si>
    <t>los puestos avanzados hacia Illeriehheim, Laupheim y Illerdissen. El 22 el Archiduque Fernando y el General Rosenhe im, a quienes se encargó observasen la situación de los enemigos, y averiguasen los motivos de su retirada, se adelantaron con un cuerpo de caballería y artillería volante hasta E</t>
  </si>
  <si>
    <t>Rosicr, Juan</t>
  </si>
  <si>
    <t>Juan Rosicr</t>
  </si>
  <si>
    <t>747 López y D. Juan Rosicr; y eti este último á Teniente de fusileros al Subteniente de granaderos D. Francisco de Cozár Hidalgo: á Tenientes de fusileros en el de Jaén á los Subtenientes D. Joseph Valenzúe</t>
  </si>
  <si>
    <t>Ross</t>
  </si>
  <si>
    <t>una carta del mismo NapperTandy y sus compañeros, escrita en la cárcel de Kilmaynham, y dirigida á Mr. Ross, lino de los mensageros Reales. En ella le manifiestan su agradecimiento por el buen trato que les dio desde que los pusieron baxo su custodia en Sherness hasta su llegada aquí. D</t>
  </si>
  <si>
    <t>Rossy, Joseph</t>
  </si>
  <si>
    <t>Joseph Rossy</t>
  </si>
  <si>
    <t>Teniente de granaderos al de fusileros D. Jayme Gunning; á primer Teniente al segundo de granaderos D. Joseph Rossy; á segundos Tenientes de granaderos á los de fusileros D. Antonio Barellas y D. Lúeas Savage; á segundo Teniente al Subteniente de granaderos D. Pedro Fernandez; á Subteniente de</t>
  </si>
  <si>
    <t>Rostoían</t>
  </si>
  <si>
    <t>ara arreglar el asunto; pero ha renunciado á ello. Coblentza a6" de Agostó. E I ciud. Rostoían, xefe de la plana mayor del exércíto galo-bátávo, ha pasado por esta ciudad yendo á Holanda en busca de io® hombres de refuerzo para dicho exercito, el qual co</t>
  </si>
  <si>
    <t>RostoIIand</t>
  </si>
  <si>
    <t>blica. Strasburgo 4 de Agosto. H an llegado á Maguncia el General Augereau y el ciud. RostoIIand, xefe de su plana mayor. Está Augereau en ánimo de ir á Francfort, en donde se halla el quartei del General Souham. Han pasado por Ratisbona dos correos, uno d</t>
  </si>
  <si>
    <t>Rotenflué, Joseph</t>
  </si>
  <si>
    <t>Joseph Rotenflué</t>
  </si>
  <si>
    <t>o primero D. Juan Hellerbach; y en el Suizo de Yann Tenencia de granaderos al Teniente de fusileros D. Joseph Rotenflué, y Subtenencia al Sargento primero D. Joseph Kaysser. El Rey se ha servido conferir empleo de Capitán de la Milicia Urbana del Puerto de Santa María á D. Mariano de la Mega: y en</t>
  </si>
  <si>
    <t>Rousillon, Conde</t>
  </si>
  <si>
    <t>Conde Rousillon</t>
  </si>
  <si>
    <t>ntimasen á los insurgentes se retirasen sopeña de ser tra-( tados con la mayor severidad. Ademas el Conde Rousillon, Ayudante del ’ General Melas, ha venido á Milán con pliegos de aquel comandante imperial, quien declara que la ocupación de la Romaña por los austríacos fué efecto de una equivoc</t>
  </si>
  <si>
    <t>Roussel, General</t>
  </si>
  <si>
    <t>General Roussel</t>
  </si>
  <si>
    <t>mpidieron que el cuerpo que manda el General SaintCyr se hallase en dichas acciones. La brigada del General Roussel peleó 4 veces en las alturas de Engen. Desde que partimos de Francia no nos hemos detenido , y contamos ya 15 dias de marcha. Esta celeridad , y la fatiga que ñas causa , como tam</t>
  </si>
  <si>
    <t>pusieron al cuerpo del General Saint-Cyr, no permitieron que llegase á la línea sino la brigada del General Roussel, la qual al cabo de una acción muy reñida consiguió á las 7 de la tarde apoderarse de las alturas que cubren á Engen. La pérdida de los contrarios en esta jornada consistió en 5 ó</t>
  </si>
  <si>
    <t>Rouvroi</t>
  </si>
  <si>
    <t>eserva austríaca y todas las municiones de las tropas imperiales qué mandan los Generales Rouvroi y Schwatz; y Mr. Kray trasladó su quartel general á Ingolstadt, El General republicano Molitór forzó al cuerpo del Príncipe de Reuss á retirarse á sus antiguos puestos d</t>
  </si>
  <si>
    <t>Rovarella, Cardenal</t>
  </si>
  <si>
    <t>Cardenal Rovarella</t>
  </si>
  <si>
    <t>as y calles se han adornado con tapices y pin-* turas. El Sumo Pontífice ha nombrado Pro-Datario al Cardenal Rovarella, que?</t>
  </si>
  <si>
    <t>Roxo, Ventura</t>
  </si>
  <si>
    <t>Ventura Roxo</t>
  </si>
  <si>
    <t>cel. en 170. Un olivar con 26 pies á la senda que va al Lirio, en ñgo. Villa de Alocen. Memoria de D. Ventura Roxo: una casa en la calle Real encima de la plaza, tasada en 9140 rs. Villa de PeJíalver. Obra pia del hospital: una casa en el barrio del Hocino, tasada en xx9 rs. Una tierra en el A</t>
  </si>
  <si>
    <t>Royo, Antonio Joseph</t>
  </si>
  <si>
    <t>Antonio Joseph Royo</t>
  </si>
  <si>
    <t>Asimismo ha tenido S. M. á bien nombrar Alférez en el regimiento de dragones de Ffumancia áiCadete D. Antonio Joseph Royo ; y Ayudante y</t>
  </si>
  <si>
    <t>Royo, Manuel</t>
  </si>
  <si>
    <t>Manuel Royo</t>
  </si>
  <si>
    <t>ta, D. Mariano Serret, D* Pedro Lalane y D. Bernardo Ximeno; y en tercer Jugar D. Pedro Sebastian , D. Manuel Royo y D. Pedro Anaya. La sociedad determinó premiar el mérito de los discípulos; y en junta general de 23 del propio mes, á que concurrió el Exc. Sr. D. Fr. Jóachín Company, Arzobispo de</t>
  </si>
  <si>
    <t>Royo, Miguel Julián</t>
  </si>
  <si>
    <t>Miguel Julián Royo</t>
  </si>
  <si>
    <t>ubteniente de granaderos al primer Subteniente D. Lorenzo Wullez; y á primer Subteniente al segundo D. Miguel Julián Royo: en el batallen' de voluntarios de Gerona á primer Subteniente al segundo D. Juan Montaner; y á segundo Subteniente al Sargento primero, graduado de Subteniente, D. Joseph Ballest</t>
  </si>
  <si>
    <t>Royo, Vicente</t>
  </si>
  <si>
    <t>Vicente Royo</t>
  </si>
  <si>
    <t>ron en junta general de 18 del propio mes premios en dinero á D. Miguel de Ripa , D. Rafael Crespo, D. Vicente Royo, D. Francisco Rimont, D; Juan Antonio Ochotarena y D. Antonio Seta; y á D. Mariano Herrando un libro del Jardinero instruido, enquadernado en pasta, costeando estos premios la gen</t>
  </si>
  <si>
    <t>Rpchambeau, General</t>
  </si>
  <si>
    <t>General Rpchambeau</t>
  </si>
  <si>
    <t>gunas tropas de infantería y caballería han acudido á socorrer aquel país. Un cuerpo mandado por el General Rpchambeau atacó el dia 13 á la vanguardia dei General austríaco Xaxermanm y le hizo 150 prisioneros. Madrid zo de Junio, A ntes de ayer se vistió la corte de gala con motivo del cumpleaños</t>
  </si>
  <si>
    <t>Rpduiíb Conde</t>
  </si>
  <si>
    <t>ntía al primer Teniente D. Mi truel del Castillo j primera Tenencia, de. granaderos al de fúsilefos Don Rpduiíb Conde;primeras Tenencias de fusileros á los segundos Teniente*</t>
  </si>
  <si>
    <t>Ruano, Antonio</t>
  </si>
  <si>
    <t>Antonio Ruano</t>
  </si>
  <si>
    <t>la compañía Española del Real cuerpo de Guardias de Corps ha nombrado S. M. Sub-Brigadier al Cadete D. Antonio Ruano. En el regimiento dé Reales Guardias Españolas se ha servido el Rey romover á primeros Tenientes á los segundos de fusileros y granaderos S &gt;. Cárlos Alcedo y D. Francisco Cabrera</t>
  </si>
  <si>
    <t>Ruano, Joseph María</t>
  </si>
  <si>
    <t>Joseph María Ruano</t>
  </si>
  <si>
    <t>ubtenientes del mismo Real cuerpo á los caballeros Cadetes D. Manuel González, Don Pedro Gutiérrez, D. Joseph María Ruano, D. Joseph de Balbiani, Don Juan de Herrera, D. Rafael de Irazabal, D. Francisco González, D, Fulgencio Cevallos , D. Benito Sandoval, D. Antonio Galindo, D. Diego del Barco, Di G</t>
  </si>
  <si>
    <t>Rubio, Joachín</t>
  </si>
  <si>
    <t>Joachín Rubio</t>
  </si>
  <si>
    <t>segundo Teniente al primer Subteniente D. Francisco Caturla; á esta resulta al segundo Subteniente D. Joachin Rubio, y a segundo Subteniente al Sargento primero, graduado de Subteniente, D. Antonio Juárez : en el regimiento* süizo de Courten á Capitán secundo al Ayudante D. Antonio de Preux; á</t>
  </si>
  <si>
    <t>Rubio, Joseph</t>
  </si>
  <si>
    <t>Joseph Rubio</t>
  </si>
  <si>
    <t>y á segundos Subtenientes al Cadeté D. Antonio Rodríguez Orgaz, y al Sargento primero de granaderos D. Joseph Rubio ; en el de Mallorca á primer Teniente al segundo de granaderos D. Antonio Serrano : en el de cazadores voluntarios déla Corona á Capitán de gastadores al de cazadores D. Manuel.He</t>
  </si>
  <si>
    <t>Rubio, Juan</t>
  </si>
  <si>
    <t>Juan Rubio</t>
  </si>
  <si>
    <t>de D. Antonio Fernandez. En Colmenar Viejo se venden las siguientes fincas. De la memoria del Lie. D. Juan RubiOi La cerca de los Enebros, de pasto, su caber 28 fanegas de tierra, su valor en venta 27® rs. y en renta 8co. Otra de S. Buriel, de pasto y monte , su caber 16 fanegas de tierra en ven</t>
  </si>
  <si>
    <t>ó las conseqüencias de la buena y de la mala educación eni ios varios destinos de la sociedad : por D, Juan Rubio , Director y Visitador de; las escuelas Reales. Esta obrita es un tratado de moral práctica , provechosa para adultos y papa niños, acomodada á la capacidad, de estos , y contraid</t>
  </si>
  <si>
    <t>los Ríos con las obras que. ha impreso el catedrático; y D. Pedro Prieto con las que tiene impresas D. Juan Rubio,quien se las dió á sus expensas. Se dedicó este certamen á la Real junta general de car ¡dad, que asistió al acto : el qual se concluyó con una oración laudatoria que dixo el Lie.</t>
  </si>
  <si>
    <t>Rubion y Gutiérrez de la Huerta, Joseph</t>
  </si>
  <si>
    <t>Joseph Rubion y Gutiérrez de la Huerta</t>
  </si>
  <si>
    <t>y Horcadas, D. Antonio de Montoro y Andrade , D. Joseph Ley y Marqueti, D. Mateo Plowes y Sevilla , D. Joseph Rubion y Gutiérrez de la Huerta, D. Domingo de Mesa y Wandcnhcde, D. Jacinto de Marcaida y Madariaga , D, Lorenzo Belon y Becerra, Don Tuan de Lanz y Norris , D. Juan Alvarez Faxardo y Ruiz Mateos, Don Toachín d</t>
  </si>
  <si>
    <t>Rubion y Gutiérrez de la Huerta, Juan</t>
  </si>
  <si>
    <t>Juan Rubion y Gutiérrez de la Huerta</t>
  </si>
  <si>
    <t>Antonio Vázquez de Velasco y Ontañon, D. Santiago Palacio y Santibañez, D. Juan de Torres y Araujo, D. Juan Rubion y Gutiérrez de la Huerta,!). Joseph de Carracedo y Salgado, D. Fernando Ruiz y Villegas, Don Joseph González de la Riva y Vivanco, D. Francisco del Hoyo y Ortiz, D. Francisco del Solar y los Corrales, D.</t>
  </si>
  <si>
    <t>Rubira, Antonio</t>
  </si>
  <si>
    <t>Antonio Rubira</t>
  </si>
  <si>
    <t>Gualta, Corregimiento de Gerona............... ........... ,.... 42. 24. Cabo.. Antonio Rubira , hijo de otro y Magdalena, natural de Ceros, Corregimiento de Lérida............... .................. $9. 6. Joseph Vila, hijo de otro y Rosa , natural de Bellpuig, Corregimiento de Lé</t>
  </si>
  <si>
    <t>Ruchei, General</t>
  </si>
  <si>
    <t>General Ruchei</t>
  </si>
  <si>
    <t>este refuerzo se extenderá la línea de "demarcación hasta los margraviatos de Anspach y Bareuth. El General Ruchei mandará el ala izquierda, ei General Blucher el -centro, y el General ScbLvh.-n la derecha. Entre los regimientos de caballería é infantería que tienen orden de ir á dicho cordon,</t>
  </si>
  <si>
    <t>Ruchél, General</t>
  </si>
  <si>
    <t>General Ruchél</t>
  </si>
  <si>
    <t>oporción ' de abastecerlas de víveres.” Manheim 14 de Octubre. L a corte de Berlín ha dado orden al General Ruchél, que manda un cuerpo de tropas prusianas en Westphalia ,para qué pase con 12© hombres á reforzar las tropas encargadas de mantener'la neutralidad de las posesiones prusianas en Fr</t>
  </si>
  <si>
    <t>Ruffo, Cardenal</t>
  </si>
  <si>
    <t>Cardenal Ruffo</t>
  </si>
  <si>
    <t>oldo, el Almirante Nelson, el Príncipe Suwarow, el General Acton, el Príncipe Belmonte-Pignateü, el Cardenal Ruffo &amp;c.; y entre los Comendadores el Conmodoro ingles Townbridge , el Capitán Hood„y otros. En una fragata inglesa que entró en este puerto el‘dia i.° viniéron los Generales Abercromb</t>
  </si>
  <si>
    <t>eparativos de guerra en este estado, siendo parte de ellos armar al paisanage baxo la dirección del Cardenal Ruffo.__ Las tropas napolitanas se hallan campadas cerca de Frascati, y se cree que no tardarán en marchar hácia Toscana. Dícese que por orden del Sto. Padre las han gratificado con una</t>
  </si>
  <si>
    <t>Rufino Espada</t>
  </si>
  <si>
    <t>do Cia, D. Joseph de Arellano y D. Joacliín Fernandez de Medrano. En sintaxis, baxo la dirección de D. Rufino Espada, D. Antonio Gilman, D. Manuel de la Riva-Agüero, D. Alexandro Barruchi, D. Iñigo Ortés y D. Joseph María Ortés. En las humanidades y retórica, baxo la dirección de su profesor D.</t>
  </si>
  <si>
    <t>Rui, Joseph</t>
  </si>
  <si>
    <t>Joseph Rui</t>
  </si>
  <si>
    <t>e S«rrutó^y'Navá’, á D. Juan Francisco dé Campos: para la Maestrescolía, que este dexa; al Tesorero D. Joseph Rui* dé Conejares: para la Tesorería al Canónigo D. Juan de Mier Villar: para esta Canongía al Racionero Don Juan dé harria y Alderete; y para ésta resulta al Medio-Racionero Don Jose</t>
  </si>
  <si>
    <t>Ruil, Joachín</t>
  </si>
  <si>
    <t>Joachín Ruil</t>
  </si>
  <si>
    <t>ente de Oquendo; á primeros Tenientes á los segundos D. Joseph Joachin Narvarte, D. Joseph Alemany, D. Joachin Ruil y D. Manuel Casal y Varela, y á segundos Tenientes á los Subtenientes D. Nicolás Godet , D. Joseph Hontoria , D. Fermín Sánchez Franco, D. Teodoro Cañero y D. Ramón Puigros: en el bat</t>
  </si>
  <si>
    <t>Ruiz Alonso, Manuel</t>
  </si>
  <si>
    <t>Manuel Ruiz Alonso</t>
  </si>
  <si>
    <t>Antonio Mana de Ribas. . it»* ai - Habiendo dado á luz Joseph a López, muger de Manuel Ruiz Alonso, vecino de la villa de Poza, distante 8 leguas de la ciudau ce Lingos, un monstruo birorme en la t.rde del 28 de Junio, y noticioso de ello D. Saturnino Andrés DiezGuiLrte,Cura Beneficiad</t>
  </si>
  <si>
    <t>Ruiz Campuzano, Pedro</t>
  </si>
  <si>
    <t>Pedro Ruiz Campuzano</t>
  </si>
  <si>
    <t>Se hallará en el despacho de la imprenta Real. 1 ■ ■■■ 1 - — 1 » 1 ■ ■■ — 111^——————■————11——————— D. Pedro Ruiz Campuzano remitió desde Cádiz el 49 de Agosto último á Don Manuel Cacho Caballero, de Xerez de la Frontera , un vale Real de 300 pesos, creación de i.° de Julio, num. 67,107 , endosado por</t>
  </si>
  <si>
    <t>Ruiz Cubero, Vicente</t>
  </si>
  <si>
    <t>Vicente Ruiz Cubero</t>
  </si>
  <si>
    <t>ubteniente de granaderos Don Joseph Marco y Royo; á Subteniente de granaderos al primer Subteniente D. Vicente Ruiz Cubero, y á primer Subteniente al segundo D. Juan María Cumplido: en el de León á segundo Subteniente al Subteniente graduado y Sargento primero de granaderos D. Francisco Iñiguez: en el</t>
  </si>
  <si>
    <t>Ruiz de Aguirre, Joseph</t>
  </si>
  <si>
    <t>Joseph Ruiz de Aguirre</t>
  </si>
  <si>
    <t>a Alcaldía mayor de Vera-Paz á D. Pedro Antonia Alvarez; y para la de la provincia de Totonicapan á D. Joseph Ruiz de Aguirre, ambas en el mismo distrito. En el batallón de infantería de voluntarios Blancos de Campeche se ha servido el Rey promover á Capitán de granaderos al de fusileros D. Francisco Rod</t>
  </si>
  <si>
    <t>Ruiz de Celada, Joseph</t>
  </si>
  <si>
    <t>Joseph Ruiz de Celada</t>
  </si>
  <si>
    <t>sta clase al Ayudante D. Vicente Ceris. Atendiendo el Rey á la avanzada edad y quebrantada salud de D. Joseph Ruiz de Celada, Relator de la Cámara, y teniendo presente sus méritos y dilatados servicios, se ha servido S. M. jubilarle, concediéndole los .honores y sueldo de Alcalde de casa y corte ; y nom</t>
  </si>
  <si>
    <t>Ruiz de Estrada, Julián</t>
  </si>
  <si>
    <t>Julián Ruiz de Estrada</t>
  </si>
  <si>
    <t>r Subteniente al segundo D. Manuel Alcázar : en el dé Voluntarios de Castilla á Capitán al Ayudante D. Julián Ruiz de Estrada: en el 1 .primer batallón de Voluntarios de Cataluña á segunda Subteniente al Cadete D. Joseph Tomas Blanco; y en el regimiento suiza dé Betsehart á Tcnienfitj? aí Subteniente D;</t>
  </si>
  <si>
    <t>Ruiz de la Azuela, Manuel</t>
  </si>
  <si>
    <t>Manuel Ruiz de la Azuela</t>
  </si>
  <si>
    <t>ía del numero de D. Diego Benigno González, se hu pedido la entrega de 5586 rs. que pertenecieron á D. Manuel Ruiz de la Azuela, individuo que fué del gremio de paños, uno de ios cinco mayores de esta corte, que habrá 54 años que falleció ; y no constando si dexó herederos ó acreedores, se les convoca y ll</t>
  </si>
  <si>
    <t>Ruiz de la Bastida, Pablo</t>
  </si>
  <si>
    <t>Pablo Ruiz de la Bastida</t>
  </si>
  <si>
    <t>l Rey se ha dignado conferir plaza supernumeraria de Ministro del tribunal de la Contaduría mayor á D. Pablo Ruiz de la Bastida, Contador miyor decano del tribuml de Cuentas del Nuevo Reyno de Granada, con el goce del sueldo que actualmente disfruta. En America. En el regimiento de dragones de Buenos-Ayres</t>
  </si>
  <si>
    <t>Ruiz de la Peña, Agustin</t>
  </si>
  <si>
    <t>Agustin Ruiz de la Peña</t>
  </si>
  <si>
    <t>á los Portaguiones D. Manuel Rosales , D. Eugenio de Teran y D. Tomas Sánchez ; y á Portaguiones á D. Agustin Ruiz de la Peña, D. Miguel Rosales y D. Manuel López. El Rey ha nombrado Teniente Veterano , con funciones de Ayudante de la plana mayor de Blancos agregada al batallón de Pardos libres de milici</t>
  </si>
  <si>
    <t>Ruiz de la Peña, Francisco</t>
  </si>
  <si>
    <t>Francisco Ruiz de la Peña</t>
  </si>
  <si>
    <t>over á Capitán de granaderos al de fusileros D. Francisco Rodríguez Muñoz; á Capitán de fusileros á D. Francisco Ruiz de la Peña, Subteniente de granaderos; á Teniente veterano de granaderos á Don Francisco Hurtado, Teniente de fusileros; á Teniente de esta clase á Doa Francisco Argais, Sargento primero de</t>
  </si>
  <si>
    <t>Ruiz de Zelada, Miguel</t>
  </si>
  <si>
    <t>Miguel Ruiz de Zelada</t>
  </si>
  <si>
    <t>ha dignado poner al cuidado de la junta de Señoras. En seguida leyó el elogio del Rey nuestro Señor D. Miguel Ruiz de Zelada, socio de número, y el de la Reyna nuestra Señora la Sra. Doña Josepha Diez de la Cortina y Morales, socia de honor y mérito, y los dos merecieron el debido aprecio de la junta. A</t>
  </si>
  <si>
    <t>Ruiz del Moral, Juan</t>
  </si>
  <si>
    <t>Juan Ruiz del Moral</t>
  </si>
  <si>
    <t>Diego Ramírez , en 30,478. = Villa de Colomera; el cortijo llamado del Carretón , del patronato de D. Juan Ruiz del Moral , tasado en 23,900 rs. Otro llamado de Marina de Vega, del patronato fundado por la misma , en 31,300.= Villa de Illora: el cortijo llamado de las Rosuelas, del patronato de......</t>
  </si>
  <si>
    <t>Ruiz Tagle, Juan Antonio</t>
  </si>
  <si>
    <t>Juan Antonio Ruiz Tagle</t>
  </si>
  <si>
    <t>S. M. para la Contaduría Real de diezmos del arzobispado de Charcas , vacante por fallecimiento de D. Juan Antonio Ruiz Tagle, á D. Estéban Agustín Gascón. D. Joseph Castróviejo Barruso, Cura y Rector de Sta. María de Brion y villa de la Grana, en la diócesis de Mondoñedo, ha representado al Rey lo sigui</t>
  </si>
  <si>
    <t>Ruiz y Lúeas, Joseph Martín</t>
  </si>
  <si>
    <t>Joseph Martín Ruiz y Lúeas</t>
  </si>
  <si>
    <t>ón de Ayala y Silveyra, D. Antonio Callejas, D. Joseph López Berrio, D. Valentín Antonio Gutiérrez, D. Joseph Martin Ruiz y Lúeas y„D. Pedro Alcántara Alamanzon. Él Rey se ha servido nombrar para el Corregimiento, de capá y espada de Canaria , vacante por haber cumplido su sexenio D. Juan Martínez de Baños', á</t>
  </si>
  <si>
    <t>Ruiz y Vacas, Andrés</t>
  </si>
  <si>
    <t>Andrés Ruiz y Vacas</t>
  </si>
  <si>
    <t>as casas en la calle Maestra , tasadas en ag,&lt;53Ó rs. en venta, y en 660 en renta. A ¡a obra pia de D. Andrés Ruiz y Vacas otras casas en la calle Judería , tasadas en .25,315 rs. en venta , y en 550 en renta. := Asimismo existen en otros pueblos de la misma Intendencia los siguientes : en la villa de</t>
  </si>
  <si>
    <t>Ruiz y Villegas, Fernando</t>
  </si>
  <si>
    <t>Fernando Ruiz y Villegas</t>
  </si>
  <si>
    <t>Juan de Torres y Araujo, D. Juan Rubion y Gutiérrez de la Huerta,!). Joseph de Carracedo y Salgado, D. Fernando Ruiz y Villegas, Don Joseph González de la Riva y Vivanco, D. Francisco del Hoyo y Ortiz, D. Francisco del Solar y los Corrales, D. Manuel López de la Barrera y Cotarelo, D. Juan Patino y Acevedo</t>
  </si>
  <si>
    <t>Ruiz, Antonio</t>
  </si>
  <si>
    <t>Antonio Ruiz</t>
  </si>
  <si>
    <t>graduado de Teniente; á Subtenientes de granaderos á los primeros Subtenientes D. Joseph Castaño y-D. Antonio Ruiz; á primíeros Subtenientes á los sc°undo$ D. Juan Yustiniani y D.Antonio González; y á segundos Subtenientes á los Cadetes D. Vicente Sánchez y D. Joseph Conesa, y á los Sargentos</t>
  </si>
  <si>
    <t>Ruiz, Francisco</t>
  </si>
  <si>
    <t>Francisco Ruiz</t>
  </si>
  <si>
    <t>lahorra, el primero de granaderos; y en el de la Princesa á segundo Subteniente al Sargento primero D. Francisco Ruiz, Asimismo en el regimiento de infantería de la Corona ha concedido S. M. segunda Tenencia de fusileros al Subteniente de granaderos D. Francisco Aloy; esta resulta al primer Subte</t>
  </si>
  <si>
    <t>Ruiz, Lorenzo</t>
  </si>
  <si>
    <t>Lorenzo Ruiz</t>
  </si>
  <si>
    <t>al deOrihuela, á D. Francisco de Aranda; y para una Ración Patrimonial de la catedral de Tarazona á D. Lorenzo Ruiz. En el regimiento de Reales Guardias Walonas se ha servido el Rey promover á primer Teniente de granaderos al de fusileros D. Juan de Laportedespierres: en el de infantería de la</t>
  </si>
  <si>
    <t>Ruiz, Manuel</t>
  </si>
  <si>
    <t>Manuel Ruiz</t>
  </si>
  <si>
    <t>te: en el de España á segundo Teniente al Alférez D. Mateo Coreóles; y á Alférez al Portaestandarte D. Manuel Ruiz: en el de Algarbe. á primer Teniente al segundo D. Bartolomé Poiiibo; y en el de dragones de la Rey na á Capitán al de esta clase, agregado al de Villaviciosa, D. Joachin de v\ccd</t>
  </si>
  <si>
    <t>Ruiz, Simón</t>
  </si>
  <si>
    <t>Simón Ruiz</t>
  </si>
  <si>
    <t>edo, primo del fundador , los quales comparecerán ante dicho Señor, y por el oficio de provincia de D. Simón Ruiz, dentro de 30 dias , para que en vista de los documentos que presenten , y con arreglo á la fundación se haga el nombramiento en quien mejor derecho tenga , con apercibimiento que</t>
  </si>
  <si>
    <t>Ruiz, Vicente</t>
  </si>
  <si>
    <t>Vicente Ruiz</t>
  </si>
  <si>
    <t>nte D. Joseph Saturio Ovejas, y una Subtenencia de fusileros al Subteniente del provincial de Soria D. Vicente Ruiz: en el de Burgos Tenencias á los Subtenientes de granaderos y cazadores D. Jacobo Velarde y D. Pedro Villaluenga: en el de Córdoba la ,Tenencia de granaderos ai Teniente D. Rafael</t>
  </si>
  <si>
    <t>te D. Pedro Antonio de León y Navarrete : Subtenencia de granaderos en el de Logroño al Subteniente D. Vicente Ruiz; y Subtenencias de bandera en el de Ecija á D. Manuel Joseph y 0. Francisco de Paula Basques y Rivero: en el de Alicante y Orihuela á los Subtenientes agregados D. Salvador Lozano</t>
  </si>
  <si>
    <t>Ruocco, Vicente</t>
  </si>
  <si>
    <t>Vicente Ruocco</t>
  </si>
  <si>
    <t>hilo de plomo el 41 de Enero de este año, y se te cayó el dia 9 de Junio. Igualmente se le presentó D. Vicente Ruocco , escultor de S. M. en la Real fábrica de la china, con una fístula completa y muy callosa debaxo del cóccix : le hizo la ligadura del hilo de piorno^ el dia 14 de Marzo de este a</t>
  </si>
  <si>
    <t>Rutfo, Cardenal</t>
  </si>
  <si>
    <t>Cardenal Rutfo</t>
  </si>
  <si>
    <t>es, á conferenciar con el General Massena: se asegura que su encargo es de la mayor importancia. El Cardenal Rutfo , después de acompañar á la Reyna de Ñapóles hasta Ancona, ha ido á Roma en calidad de Ministro plenipotenciario del Rey de las Dos Sicilias. Müan 3 de Agosto. A tinque el General</t>
  </si>
  <si>
    <t>Rutz Vallejo, Vicente</t>
  </si>
  <si>
    <t>Vicente Rutz Vallejo</t>
  </si>
  <si>
    <t>e obtiene en Ja misma iglesia: para dos Canongías de la catedral de Segorve á D. Manuei Medrano y á D. Vicente Rutz Vallejo; para un Beneficio servidero de la parroquia de la villa de Grazaíema, en el obispado de Malaga, á Don Antonio Ronnn Naranjo: para la Capellanía Doctoral supernumeraria, que fesul</t>
  </si>
  <si>
    <t>Ruvi del Castillo, Joseph</t>
  </si>
  <si>
    <t>Joseph Ruvi del Castillo</t>
  </si>
  <si>
    <t>tenientes á los segundos D. Vicente Quirós y D. Francisco Exea; y á segundos Subtenientes al Cadete D. Joseph Ruvi del Castillo y al Sargento primero“D. Francisco Goméa 'r * y en ei</t>
  </si>
  <si>
    <t>S- Vicente, Lord</t>
  </si>
  <si>
    <t>Lord S- Vicente</t>
  </si>
  <si>
    <t>las costas de Bretaña. . De PUmouth deben, zarpar 2 navios de guerra para reforzar la ekpiadra dei Lord S- Vicente.. Parece que también se enviarán refuerzos á la que manda el Almirante Nelson para que haga una expedición contra Malta. A 30© personas asciende el número de prisioneros franceses</t>
  </si>
  <si>
    <t>Saavedra, Francisco</t>
  </si>
  <si>
    <t>Francisco Saavedra</t>
  </si>
  <si>
    <t>to: - .a , &gt;5 Hallándose vacante el empleo de Secretario de Estado y del Despacho por separación de D. Francisco Saavedra, he venido en nombrar para él á D&gt; Ped ro Cevállos Guerra. Tendreislo entendido para su. cumplimiento*;^: Palacio 13 de Diciembre de iSoo.rA D. Joseph Antonio Caballero.*? i $&gt; M.</t>
  </si>
  <si>
    <t>Sabater, Joseph</t>
  </si>
  <si>
    <t>Joseph Sabater</t>
  </si>
  <si>
    <t>de la Armada, vacante por fallecimiento de D. Domingo Vidal, que lo obtenía, al Ayudante consultor D. Joseph Sabater. En atención á los méritos y servicios del Sr. D. García Gómez Xara, Oficial mayor segundo/de la Secretaría de Estado, ha venido S. M. en con</t>
  </si>
  <si>
    <t>Sabatier, General</t>
  </si>
  <si>
    <t>General Sabatier</t>
  </si>
  <si>
    <t>iato á Manheim; pero no pudo traerse tierra adentro, y quedó expuesto, al fuego de los enemigos. El General Sabatier pidió al General austríaco Mylins , comandante de aquella plaza, le dexase retirar dicho puente , amenazándole que de lo contrario mandaría bombardear á Manheim; pero el General e</t>
  </si>
  <si>
    <t>Sacristán, Antonio</t>
  </si>
  <si>
    <t>Antonio Sacristán</t>
  </si>
  <si>
    <t>ncisco Fernandez Rábago, D. Pedro Perez Tagle, D. Dionisio María Mazuelo, D. Pedro Agustín Roncaii, D, Antonio Sacristán y D. Ignacio Vicente Unzeta. En el de infantería de Mallorca á segundo Teniente al Subteniente de granaderos Dbit Jo'epli Mana González Duran; y lia nombrado Capellán del segundo ba*t</t>
  </si>
  <si>
    <t>Sacristán, Isidoro</t>
  </si>
  <si>
    <t>Isidoro Sacristán</t>
  </si>
  <si>
    <t>gones del Rey á Capitán al Ayudante Don Francisco de Cabrera, y á Teniente al Alférez de granaderos D. Isidoro Sacristán: en el de Pavía á Teniente al Alférez D. Lorenzo .Martínez; y en el de Numancia á Alférez al Sargento primero de granaderos D. Fraila cisco Albert. El Rey ha conferido en los regi</t>
  </si>
  <si>
    <t>Sáenz Ramírez, Manuel</t>
  </si>
  <si>
    <t>Manuel Sáenz Ramírez</t>
  </si>
  <si>
    <t>encio Cevallos , D. Benito Sandoval, D. Antonio Galindo, D. Diego del Barco, Di Gabriel de Torres , D. Manuel Saenz Ramírez, D. Francisco de Hore é Iturralde, D. Francisco de Reyna, D. Manuel Domínguez y D. Félix Castillo. El Rey se ha servido promover á Ayudantes de Ingenieros de sus cxércitos, plazas</t>
  </si>
  <si>
    <t>Sáenz, Joseph</t>
  </si>
  <si>
    <t>Joseph Sáenz</t>
  </si>
  <si>
    <t>Don Hilario Pó'nce,"D. Manuel Caballero, D. Buenaventura Sanz, D. Juan Moreno, D. Joseph Perochena, D. Joseph Saenz, D. Mariano Moreno, Don M irtin de Arambulo y D. Pablo Gaona y Jáuregui; y empleos de Portaestandartes á D. Diego de Vega, D. Pedro Merino, D. Urbano Sugasti y D. Bartolomé Estrad</t>
  </si>
  <si>
    <t>Saez de Parayuelo, Francisco</t>
  </si>
  <si>
    <t>Francisco Saez de Parayuelo</t>
  </si>
  <si>
    <t>on el mapa-mundi iluminado 7 rs. Se subscribe al 2° quaderno en las mismas casas i £ rs. Poesías de D. Francisco Saez de Parayuelo. En estas poesias sobresale el genio poético, el buen gusto, y la imitación de ios mejores modelos antiguos y modernos; la invención, la disposición, el estilo y propiedad del len</t>
  </si>
  <si>
    <t>Sahuc, General</t>
  </si>
  <si>
    <t>General Sahuc</t>
  </si>
  <si>
    <t>que se peleaba de este modo en el centro de aquella división, la brigada de derecha mandada por el General Sahuc se veia vivamente atacada en sus puestos, y para defenderlos no tenia mas que una media brigada, un regimiento de cazadores y otro de caballería. Mando entonces el General Moreau</t>
  </si>
  <si>
    <t>Sahucf, General</t>
  </si>
  <si>
    <t>General Sahucf</t>
  </si>
  <si>
    <t>conscqiiencia el General Ney se adelantó por el puente de Kilmentz, y juntándose con las tropas del General Sahucf rechazó á los enemigos hasta Dictenheim. Apenas llegamos á esta aldea quando una crecida cotona enemiga con 8 cañones se presentó marchando contra Kirberg, en donde dos batallones</t>
  </si>
  <si>
    <t>Sahuguet, General</t>
  </si>
  <si>
    <t>General Sahuguet</t>
  </si>
  <si>
    <t>Ja paz, y el otro x efe Georges ha sido completamente derrotado.” Por carta del General Girardcn al General Sahuguet se sabe que también se ha sometido Mr. Bourmont coa toda la división que mandaba. Han desembarcado en Morlaix 400 prisioneros franceses canjeados. Hay entre ellos 3 irlandeses pat</t>
  </si>
  <si>
    <t>otros 3©. Mañana se formará el otro campamento de Quelerne: constará de 3® hombres, y lo mandará el General Sahuguet. Parts jj de Junio. C on fecha del 9 ha escrito el primer Cónsul Bonaparte á los otros dos Cónsules de la República la siguiente carta desde Milán: „ Por las cartas de Mr. Melas,</t>
  </si>
  <si>
    <t>e enviará qúanto antes á la isla de Santo Domingo un cuerpo crecido dé tropas, baxo las órdenes del General Sahuguet. £1 ciud. Chrestíen, médico de Montpeller, acaba de hacer uso con la mayor felicidad de la tintura de quina en fricciones para curar fiebres intermitentes. Dicho facultativo se pr</t>
  </si>
  <si>
    <t>Sai, General</t>
  </si>
  <si>
    <t>General Sai</t>
  </si>
  <si>
    <t>tamentos, y han cesado sus funciones. Buonaparte, como primer Cónsul de la República, ha escrito al General Sai nt-Cyr la siguiente carta: „Me ha dado el Ministro de Guerra cuenta de la victoria que habéis alcanzado contra el ata izquierda del exército austríaco. Recibid en testimonió de mi</t>
  </si>
  <si>
    <t>Sain</t>
  </si>
  <si>
    <t>La primera dice substancialmente lo que sigue: „ Los 2 cuerpos de los Tenientes Generales Sainte-Suzanne y Sain t-Cyr atravesaron eí Rhin el 2&lt;¡ de Abril. El primero yendo de Kell á Offemburgo encontró á los eneinigos, que en número de i 5 tS hombres le hiciéron-una resi</t>
  </si>
  <si>
    <t>Saint Cyr, General</t>
  </si>
  <si>
    <t>General Saint Cyr</t>
  </si>
  <si>
    <t>sí los granaderos dirigidos por el Ayudante Demolí y el Capitán de ingenieros Bois- Chevalier, y ei General Saint Cyr executó la misma operación en la puerta que hay por el lado que atacaba. Una lluvia de metralla con granadas y piedras caía sobre los valerosos franceses ocupados en colocar las fag</t>
  </si>
  <si>
    <t>Saint-Cir, General</t>
  </si>
  <si>
    <t>General Saint-Cir</t>
  </si>
  <si>
    <t>unica hace el mayor honor al denuedo de la oficialidad y tropa, y á las acertadas disposiciones del General Saint-Cir. „A no ser los triunfos de este dia (dice Championnet) no hubieran encontrado los enemigos sino una resistencia muy débil para entrar en la ciudad de Génova, que entonces se halla</t>
  </si>
  <si>
    <t>ronta á pasar por los Dardanelos. Génova 19 de Diciembre. P or las buenas disposiciones que hizo el General Saint-Cir después de la batalla del dia 14, se halla en finí esta ciudad enteramente á cubierto de los ataques de los austríacos. Estuvimos algunos dias en el mayor riesgo, sobre todo por la g</t>
  </si>
  <si>
    <t>Saint-Cyr, General</t>
  </si>
  <si>
    <t>General Saint-Cyr</t>
  </si>
  <si>
    <t>a total de los austríacos en las acciones del dia 13, en que fuéron derrotados completamente por el General Saint-Cyr: y ademas de 4 piezas de artillería, perdieron también sus muflid cienes y bagases. Un cuerpo de 1800 franceses derrotó una coluna enemiga de triple fuerza y muy bien atrincherada</t>
  </si>
  <si>
    <t>tarán en esta ciudad &gt; en Basiíea y Zurich. El General Sainte-Suzanne mandará el ala izquierda , el General Saint-Cyr el centro, y el General Lecourbe la derecha. Bruselas 14 de Marzo. P or cartas de Wesel se sabe que han llegado órdenes á Westphalia para que se formen en aquel pais grandes repuest</t>
  </si>
  <si>
    <t>3*4 campo de batalla cotí 7 Baxaes y 30$ tnrcos.” - Ha muerto el General Saintcry. El Almirante español Mazarredo, si cuñado, y muchos Generales asistieron al entierro. También ha muerto el ciud. Gauthier, célebre constructor de la marina. Roma 21 de Febrero, T</t>
  </si>
  <si>
    <t>ue sin duda trataron de las disposiciones que se requiere hacer para dar principio á la campaña. El General Saint-Cyr ha sentado su quartel en Obernay. Algunos avisos de Basilea expresan que los dos Consejos legislativos de la República helvética han suspendido sus sesiones, y que el pueblo elegi</t>
  </si>
  <si>
    <t>muchos heridos, pero pocos muertos. Los primeros se han traido á los hospitales de esta ciudad, El General Saint-Cyr atravesó también el Rhin el dia 25 con 34$ hombres : atacó á los austríacos y á los paisanos del Brisgaw, y al cabo de una acción muy sangrienta los rechazó. Aquella noche entraro</t>
  </si>
  <si>
    <t>s quales intentaban impedir su salida por el Kintzig. Les mató mucha gente, y cogió prisioneros. El General Saint-Cyr pasó el Rhin por Nuevo-Brisack, y entró el 26 en Friburgo. Todo el exército del Rhin quedaba marchando para atacar al enemigo___ 2.0 El cuerpo mandado por el General Sainte-Suzann</t>
  </si>
  <si>
    <t>rancé, xefe de brigada del 4.0 regimiento de cazadores, perdió la vida á la frente de su cuerpo. El General Saint-Cyr, que pasó el Rhin por Brisack, halló poca resistencia, pues los enemigos se retiraron casi sin esperarle, y evacuaron á Eriburgo, ett donde entramos el 25 por la noche. El cuerpo</t>
  </si>
  <si>
    <t>ncia, fueron arrollados. Hiciéron nuestras tropas 100 prisioneros, y dexando aquel puesto á las del General Saint-Cyr , volviéron á incorporarse con el exército de Moreau. Por todas partes se retiran los austriacos, sin duda para apostarse en la línea de Stokach. Nuestras tropas pasaron esta'maña</t>
  </si>
  <si>
    <t>ación de los dos exércitos no tiene igual. Algunos obstáculos impidieron que el cuerpo que manda el General SaintCyr se hallase en dichas acciones. La brigada del General Roussel peleó 4 veces en las alturas de Engen. Desde que partimos de Francia no nos hemos detenido , y contamos ya 15 dias de</t>
  </si>
  <si>
    <t>ehepanse marchó igualmente hacia aquel punto , yendo por la izquierda de Hohenhoven, al paso que el General Saint-Cyr se dirigía al mismo parage desde su puesto de Stuelingen. El Teniente General Lecourbe, con dos divisiones y el resto de la del General Lorge, encontró á los enemigos mas acá de S</t>
  </si>
  <si>
    <t>, ganó con marchas forzadas la línea del Riss; y el dia 9 lo encontráron en su marcha el cuerpo del General Saint-Cyr y el de re</t>
  </si>
  <si>
    <t>ado el día 28 en los contornos de Gunzburgo a la derecha del Danubio por los franceses al mando del General Saint-Cyr, y tuvo que retirarse á la izquierda de dicho rio. Al propio tiempo el General Lecourbe rechazó á los austríacos apostados en la derecha del Wertach y en las inmediaciones de Schw</t>
  </si>
  <si>
    <t>las divisiones de reserva. La retaguardia se forma con las divisiones del centro á las órdenes del General SaintCyr, y con las del ala izquierda mandadas por Sainte-Suzanne. La cabeza de la colima fue la que entró en Augsburgo, y la retaguardia se halla á 3 leguas de Ulm. El quartel general de</t>
  </si>
  <si>
    <t>uestos. El General Grenier, nombrado por Moreau Teniente General interino, reemplazo en el mando al General Saint-Cyr , que por sus achaques tiene que ir á tomar/aguas,-y el General- Richepanse se- encargo del mando de la división apostada en la izquierda del Iller. La noche de este dia supo el G</t>
  </si>
  <si>
    <t>halla ya cerca de Ginebra, y entrará en Italia por el monte de S. Bernardo. Ha llegado á Basilea el General Saint-Cyr, que se retira enfermo del exército del Rhin. Basilea 12 de Junio. D e Augsburgo y Ratisbona escriben que no tardará en firmarse una suspensión de armas entre la República frances</t>
  </si>
  <si>
    <t>xpuesto á una lluvia de balas y piedras, que su lado matáron á algunos soldados. Al mismo tiempo el General Saint-Cyr se apoderó de la puerta délo Mo«$a!ñay y un batalloa.de ^ de Pesusa. En un instante todalq ganáqias. Lo# are</t>
  </si>
  <si>
    <t>Saint-Cyr, Teniente General</t>
  </si>
  <si>
    <t>Teniente General Saint-Cyr</t>
  </si>
  <si>
    <t>andar la vanguardia del exército del Rhin; y restablecido ya de sus heridas no tardará en salir. El Teniente General Saint-Cyr y el Inspector general Yiilemancy van al segundo exército de reserva que se forma en Dijon. strasburgo 2 o de Junio. E xpresan algunas cartas del exército del Rhin que parte del cuerp</t>
  </si>
  <si>
    <t>Saint-Hilairc, General</t>
  </si>
  <si>
    <t>General Saint-Hilairc</t>
  </si>
  <si>
    <t>e entonces han venido 200 desertores, y declaran que en sus tropas reyna muchísimo descontento. Ji! General Saint-Hilairc ha llegado á este pais con 15© hombres, y espera todavía refuerzos. &gt; ^ Venecia 2$ de Mayo. ría celebrado S. B. un Consistorio en que preconizó varias mitras de la christUniad. ,</t>
  </si>
  <si>
    <t>Saiñt-Hilaire, General</t>
  </si>
  <si>
    <t>General Saiñt-Hilaire</t>
  </si>
  <si>
    <t>460 Desde Marsella ha escrito el General Saiñt-Hilaire lá siguiente carta: .„Las noticias que he recibido del exército de Italia con fecha de 3 de Mayo contienen que el General Massena se defiende como un león en Genova, y los enemigo</t>
  </si>
  <si>
    <t>Saint-Julien</t>
  </si>
  <si>
    <t>r secretos los presentes artículos hasta el cange de las ratificaciones. 10. Estando los poderes de Mr. Saint-Julien contenidos en una carta del Emperador al primer Cónsul, las plenipotencias dadas con las formalidades ordinarias se cangearán al tiempo de cangearse las ratificaciones de los pres</t>
  </si>
  <si>
    <t>Saint-julien, General</t>
  </si>
  <si>
    <t>General Saint-julien</t>
  </si>
  <si>
    <t>, antes bien les encargó que continuasen sirviendo su batería, y cuidasen de apuntar mas baxo___ El General Saint-julien y otros 4 ó 5 Generales austríacos, que habían quedado prisioneros de los tranceses en esta batalla , logare n * escaparse mientras que nuestros soldados acometían unos cañones €ne^</t>
  </si>
  <si>
    <t>Saint-Julien, General</t>
  </si>
  <si>
    <t>General Saint-Julien</t>
  </si>
  <si>
    <t>te francés, el qual tomó poco después el caminé de París, y Mr. Lherbach se restituyó á Viena.__ El General Saint-Julien pasó por Alt-Oetting el mismo dia 4, y sin detenerse siguió su viage 4 la misma ciudad de Viena. Bamberg 12 de Agosto. S e regula en 3 millones de libras el valor de lo que los fr</t>
  </si>
  <si>
    <t>Saint-Juliert, General</t>
  </si>
  <si>
    <t>General Saint-Juliert</t>
  </si>
  <si>
    <t>herar todos sus puestos, y asegurarlos contra las salidas que hiciesen los enemigos* La brigada deí General Saint-Juliert continuará el bloqueo de la ciudadela de Savona, en lugar de las 9 compañías de Stüart qüe lo formaban, las qu ites tienen orden de incorporarse coil el exército principal* El Alm</t>
  </si>
  <si>
    <t>Saint-Remy</t>
  </si>
  <si>
    <t>raxo prisionero en medio de las aclamaciones de sus v derosos compañeros. i. El ciud. Saint-Remy, que sdió de Tolon el 16 del mes de Mayo para Malta, ha vuelto con notieiisde iquella isla , á la qual llegó á fines del misino. Diez meses hacia qúe la guarni</t>
  </si>
  <si>
    <t>re pérdidas de nuestros exércitos, y disturbios interiores de Francia ; pero el ciud. Saint-Remy desengañó aquellas tropas, y las dexó satisfechas refiriendo hechos verdaderos. Son muchos los barcos empleados en pescar; y el General Vaubois ha formado un alma</t>
  </si>
  <si>
    <t>Saint-Remy, General</t>
  </si>
  <si>
    <t>General Saint-Remy</t>
  </si>
  <si>
    <t>rá un exército de reserva de 6o2&gt; hombres, y estará baxo las órdenes directas del primer Cónsul. El General Saint-Remy mandará la artillería,y el General Marescot el cuerpo de ingenieros. Los varios regimientos y conscriptos de que ha de componerse este exército, se pondrán inmediatamente en march</t>
  </si>
  <si>
    <t>Saintc-Suzanne, General</t>
  </si>
  <si>
    <t>General Saintc-Suzanne</t>
  </si>
  <si>
    <t>trasbwrgo íg de Agosto. H a llegado aquí un Ayudante del General en xefe Moreau con pliego» para el General Saintc-Suzanne, y ha declarado que en aquel exército se espera en breve la noticia de la paz. Se asegura que desde fines de Junio ofreció el Rey de Prusia su mediación al gobierno francés para c</t>
  </si>
  <si>
    <t>SaÍnte, General</t>
  </si>
  <si>
    <t>General SaÍnte</t>
  </si>
  <si>
    <t>ta que acaba de recibirse de allí refiere que Mr. Staray, después de ¡$ta¿ár con triples fuerzas al General SaÍnte~SÚ2ánné, que bloquea á Ulm ipor lá parte izquierda, fue rechazado con grandísima pérdida, y los franceses per</t>
  </si>
  <si>
    <t>Sainte-Snzanne, General</t>
  </si>
  <si>
    <t>General Sainte-Snzanne</t>
  </si>
  <si>
    <t>el quartel del General Colaud a Francfort: aquella ciudad no ha pagado aun los 800® francos que el General Sainte-Snzanne ’le ha pedido. Se han despachado de ella diputados para arreglar el asunto 611 Han vuelto los austríacos S las inmediaciones de Nuremberg-----La ciudad imperial de Rothemburgo, i</t>
  </si>
  <si>
    <t>Sainte-Sñzzanne</t>
  </si>
  <si>
    <t>halla estrechamente bloqueada por nuestras tropas. , Han llegado á Maguncia los Generales Sainte-Sñzzanne, Colaud:, Sóuham y otros destinados á servir en el exército que se formó entre aquella ciudad y Manheim, el qual habrá ya dado principio á sus operaciones. La</t>
  </si>
  <si>
    <t>Sainte-Stizanne, General</t>
  </si>
  <si>
    <t>General Sainte-Stizanne</t>
  </si>
  <si>
    <t>p hasta Kell al General SaintJulieri y al ciudadano Puroc,,. .qué ¡le acompaña .á'-.Viena.- .. r El General Sainte-Stizanne: ha dado órdep á las tropaS.de; su mandp: pa-I ra qué’ seacantoríeñ en los bayliages del obispado de Wurtzburgo, en el, Gdenwald y en parte del Palatiriaao:__.El General Moréau ha</t>
  </si>
  <si>
    <t>Sainte-Suzanne</t>
  </si>
  <si>
    <t>n á vista de los puertos de Blankenberg y Ostende. Strasburgo 13 de Junio. L os Generales Sainte-Suzanne, Souhan y Colaud saldrán hoy de aquí para Maguncia, en donde se forma un exército compuesto ya de 3 divisiones, y ha de reforzarse con la que manda el General</t>
  </si>
  <si>
    <t>Sainte-Suzanne, General</t>
  </si>
  <si>
    <t>General Sainte-Suzanne</t>
  </si>
  <si>
    <t>os 3 quartelesjíenerales del exército del Rhin se sentarán en esta ciudad &gt; en Basiíea y Zurich. El General Sainte-Suzanne mandará el ala izquierda , el General Saint-Cyr el centro, y el General Lecourbe la derecha. Bruselas 14 de Marzo. P or cartas de Wesel se sabe que han llegado órdenes á Westphali</t>
  </si>
  <si>
    <t>as 4 de madrugada empezó una batalla que duró hasta el anochecer, El ala izquierda del exército del General Sainte-Suzanne se apoderó de Marlenheim : el centro de Neiimilh, Kork, y Wiilstett, y la izquierda de Auenheim y Bitschen. Por .todas partes fueron derrotadas las tropas austríacas y las del Imp</t>
  </si>
  <si>
    <t>licado también de oficio los dos siguientes artículos relativos á los exércitos del Rhin: ,, i.° El General Sainte-Suzanne atravesó el Rhin por Iíell ei dia 25, y arrolló á quantos enemigos se le presentaron, los quales intentaban impedir su salida por el Kintzig. Les mató mucha gente, y cogió prision</t>
  </si>
  <si>
    <t>batir, depositada en Zurich, se ha despachado á las orillas del mismo rio. ................... ' El General Sainte-Suzanne ha impuesto á la ciudad de OlTemburgo una contribución de 12® florines,de los quales se pagaron inmediatamente 63; y para seguridad de los demas ha tomado rehenes, Eí 28 de Abril</t>
  </si>
  <si>
    <t>as, mas pronto que nosotros, á qualquier punto que hubiésemos amenazado. El General Moreau mandó al General Sainte-Suzanne saliese el 25 por Kell hácia Offemburgo, y al General SaintCyr marchase por Viejo-Brisack á Friburgo, enviando al valle de Infierno las tropas que iban delante de él. El primero,</t>
  </si>
  <si>
    <t>os de los emigrados que paga la Grart-Bretaña. El ala izquierda del exército francés mandada por el General Sainte-Suzanne sigue b.vxando por la orilla izquierda del Danubio; y una parte del ala derecha marcha hácia Lindau. La esquadrilla con que el Capitán Williams recorria el lago de Constanza ha si</t>
  </si>
  <si>
    <t>o tienen sino 25® hombres . que oponer por aquel lado á nuestras tropas. strasburgo iS de Mayo. E 1 General Sainte-Suzanne, que lia sentado su quartel en Donáueschingerrj, permanece aun allí, sin embargó de que el cuerpo de su mando se ha adelantado, quizá para atacar al General Staray en Rothwal, é i</t>
  </si>
  <si>
    <t>pero así que Moreau lo supo, destacó crecidos refuerzos á su ala izquierda, la qual mandada por el General Sainte-Suzanne &gt; se adelantó el 17 para apoderarse de Geislingen, en donde Mr. Staray había reunido muchas fuerzas. El 20 y el 21 hubo dos acciones sangrientas, cuyas resultas fuéron obligar Sai</t>
  </si>
  <si>
    <t>ército del General. Saint-Cyr, que había pasado el Danubio para Combinar sus operaciones con el del General Sainte-Suzanne, volvió á atravesar dicho rio con el ala izquierda la noche del 20 al 21, y se adelantó, hácia Ulm, sosteniéndole el cuerpo de reserva del ala derecha. El 22 hubo cerca de Ulm una</t>
  </si>
  <si>
    <t>ert; y la derecha, mandada por el Archiduque Fernando, en los contornos de Ulm. Anoche Uc-Ó aquí el General Sainte-Suzanne con sus Ayudantes. También han venido los Generales Colaud y Souham. _ El General Moreau ha despachado un correo al Electo!, de Bavieia: ignórase el contenido de sus pliegos, pero</t>
  </si>
  <si>
    <t>e aprobar la paz que se habia hecho entre el Ducado de Wurtemberg y Francia. El cuerpo que manda el General Sainte-Suzanne ha tenido ya ventajas. Después de pasar el Rhin, rechazo los puestos avanzados enemigos, y ata</t>
  </si>
  <si>
    <t>ncia • se ha recibidq una carta.;-del General Leval, en que incluye ía siguiente copia de; otra del General Sainte-Suzanne. 9iQuartel general de ídochheim 5 de Julio. La- jornada de.hoy ha*sido /muy,feliz : nos halla,mosen Rocdelheim..'Las tropas se» han portado muy bien: sobre todo la legión polacaap</t>
  </si>
  <si>
    <t>t, el de Eichstadt; en Anspach , el Duque de Wurtemberg en Erlangen &amp;c, .Francfort ij de Julio. E 1 General Sainte-Suzanne pidió ál Senado de esta ciudad una contribución de 400® francos en dinero, y el importe de igual suma en vestuario y equipages para las tropas, como asimismo barcas para formar do</t>
  </si>
  <si>
    <t>, con órdenes de que hagan adelantar l «s tropas hacia Baviera y el Tirol.__ El cuerpo que manda el General Sainte-Suzanne sitiará ó bloqueará las plazas de Philisfcurgo, Ulm é Ingolstadt: el exercito galo-b t. vo mandado por Augereau ocupará los puestos que dexen las trepas de Sainte-Suzanne ; y las</t>
  </si>
  <si>
    <t>cercanías del Mein para Suabia y B.iviera. Los Enviados austríacos se han retirado de Ratisbona. El General Sainte-Suzanne ha ido á Ncuburgo para dirigir desde allí et sitio de Ingolstadt. Francfort 7 de Setiembre. V arios estados del Imperio han acudido á los comerciantes de esta ciudad pidiéndoles d</t>
  </si>
  <si>
    <t>dad que si en el término de 10 dias no satisfacen la contribucioii de 800© francos que la impuso el General Sainte-Suzanne, entrarán aquí $ batallones de infantería con 2 fsquadrones de caballería, y vivirán á discreción. El Senado acaba de despacha* diputados al General Augereau, que está en Offenbac</t>
  </si>
  <si>
    <t>Sainte-Suzanne, Teniente General</t>
  </si>
  <si>
    <t>Teniente General Sainte-Suzanne</t>
  </si>
  <si>
    <t>burgo, 4 leguas mas allá de Kell. Se están haciendo preparativos para que el exército que majida el Teniente General Sainte-Suzanne pase el Rhin. Parts J.° de Julio. H an acordado los Cónsules de la República que el cadáver del General Desaix se lleve al convento del monte grande de S. Bernardo, y que allí se</t>
  </si>
  <si>
    <t>an baterías en las márgenes de dicho rio. Stuttgards&gt; de Setiembre, D esde ayer mañana está aquí el Teniente General Sainte-Suzanne, como también los Generales de división Colaud y Souham, y otros oficiales republicanos de graduación. Antes de ayer llegaron 2GL franceses á Canstadt, y han formado un campamento</t>
  </si>
  <si>
    <t>te de artillería mandará dar la cantidad de pólvora que se necesite para dichas operaciones. 6.° El Teniente General Sainte-Suzanne está especialmente encargado de acelerar el cumplimiento de esta orden en quanto á Philipsburgo ; el Teniente General Garniel por lo tocante á Ingolstadt, y el Teniente General Rich</t>
  </si>
  <si>
    <t>•' 1191 Teniente General Sainte-Suzanne manda en el Baxo-Rhin: finalmente, el General Augercau tendrá en breve baxo sus órdenes otros 30®. Resulta de estos datos que los franceses han puesto en campaña 260© hombres, y l</t>
  </si>
  <si>
    <t>vos avisos de París. La situación de los exércitos republicanos en Alemania es la siguiente: el del Teniente General Sainte-Suzanne, compuesto de 3 divisiones, ocupa la línea de Bamberg é Ingolstadt: su izquierda apoya en el exército de Augereau, y su derecha en el del Rhin mandado por el Teniente General Gren</t>
  </si>
  <si>
    <t>26 de Noviembre. D urante el armisticio se ha completado el exército del General Moreau: el que el Teniente General Sainte-Suzanne manda en el Baxo-Rliin se ha ausr mentado con cerca de 25© hombres , y puede formar el ala izquierda del de Moreau. El exército de los Grisones, que consta de otros 30© combatient</t>
  </si>
  <si>
    <t>SainteSuzanne, General</t>
  </si>
  <si>
    <t>General SainteSuzanne</t>
  </si>
  <si>
    <t>ado á Memmingen; y este General sigue los movimientos del ala derecha y del cuerpo de reserva.__ El General SainteSuzanne se retira del exército á causa de hallarse enfermo. ffaya 7 de Jimio. E 1 General Augereau y varios oficiales de su exército han salido para el ¡quartel general inmediato á BoiVle</t>
  </si>
  <si>
    <t>SaintJulien, Conde</t>
  </si>
  <si>
    <t>Conde SaintJulien</t>
  </si>
  <si>
    <t>an subido mucho los fondos públicos, y se cree que no tardará en firmarse la paz del continente. El Conde SaintJulien concurrió al teatro de la ópera la tarde del mismo dia do su llegada. Se ha publicado el estado de los principales objetos de artillería hallados en las plazas de Italia quando el</t>
  </si>
  <si>
    <t>SaintJulieri, General</t>
  </si>
  <si>
    <t>General SaintJulieri</t>
  </si>
  <si>
    <t>onor de no servir hasta: ser carigeado. Un destacamento, de caballería fue escoltandp hasta Kell al General SaintJulieri y al ciudadano Puroc,,. .qué ¡le acompaña .á'-.Viena.- .. r El General Sainte-Stizanne: ha dado órdep á las tropaS.de; su mandp: pa-I ra qué’ seacantoríeñ en los bayliages del obisp</t>
  </si>
  <si>
    <t>Saiz de Villegas, Benito</t>
  </si>
  <si>
    <t>Benito Saiz de Villegas</t>
  </si>
  <si>
    <t>adramany: para la de Sepúlveda á D. Joseph Nicolás Zarco: para la primera de la ciudad de Córdoba á Don Benito Saiz de Villegas: para el corregimiento de letras de Lacena, que este dexa, á D. Antonio de la Escalera; y para el de Chinchilla á.D. Joseph de Vargas. S. M. ha concedido á D. Vicente Menta y Albo</t>
  </si>
  <si>
    <t>Salazar y Allendelagua, Antonio</t>
  </si>
  <si>
    <t>Antonio Salazar y Allendelagua</t>
  </si>
  <si>
    <t>D. Joseph de Mazarredo y Gómez de la Torre, D. Sebastian de Heres y Canel, D. Víctor Urbina y Aniz, D. Antonio Salazar y Allendelagua, Don Francisco Salazar y Allendelagua y D. Vicente de Arizaga y Vázquez. En 2.a fecha. D. Horacio Publicóla y Santa Croce , D. Juan de Vera y Saurín, D. Pedro de Salazar y Valle,</t>
  </si>
  <si>
    <t>Salazar y Allendelagua, Francisco</t>
  </si>
  <si>
    <t>Francisco Salazar y Allendelagua</t>
  </si>
  <si>
    <t>a Torre, D. Sebastian de Heres y Canel, D. Víctor Urbina y Aniz, D. Antonio Salazar y Allendelagua, Don Francisco Salazar y Allendelagua y D. Vicente de Arizaga y Vázquez. En 2.a fecha. D. Horacio Publicóla y Santa Croce , D. Juan de Vera y Saurín, D. Pedro de Salazar y Valle, D. Felipe Esteiler y Febrer,D. Joseph del</t>
  </si>
  <si>
    <t>Salazar, Diego</t>
  </si>
  <si>
    <t>Diego Salazar</t>
  </si>
  <si>
    <t>ouligny, n Luis Gavarre V D. Cirilo de Morant, y los Sargentos pr.meros Don Francisco iCodrigtiez y D. Diego Salazar. E, atención á la áisfmguida calidad y circunstancias que concurren en Doña Tuana Tosepha de Herce y Dulce, vecina de la ciudad de Lima, raucer de D. Manuel Antonio de Arredondo,</t>
  </si>
  <si>
    <t>Salazar, Joseph</t>
  </si>
  <si>
    <t>Joseph Salazar</t>
  </si>
  <si>
    <t>rzobispado de México á D. Agustín Galicia, D. Joseph Joachín de Aguilar, D. Manuel María Cervantes, D. Joseph Salazar, D. Joseph García, D. Gabriel Gala» y D. Ignacio Mauri. Deseando S. M. reformar los teatros, y proporcionar ai pueblo una decente y honesta recreación, desterrando de la escena to</t>
  </si>
  <si>
    <t>Salazar, Manuel</t>
  </si>
  <si>
    <t>Manuel Salazar</t>
  </si>
  <si>
    <t>mayor á D. Lorenzo de la Puente: compañías á D. Hermenegildo y D. Manuel de la Puente; y Tenencia á D. Manuel Salazar. En el de Milicias urbanas de caballería de Camina compañía á D. Manuel Caballero, y Tenencia á D. Simón Sejuro. .En el de Milicias urbanas de caballería de S. Pablo de Chalaquez,</t>
  </si>
  <si>
    <t>Salazar, Pedro</t>
  </si>
  <si>
    <t>Pedro Salazar</t>
  </si>
  <si>
    <t>luntarios de caballería: D. Fernanda de Norzagaray, Subteniente del regimiento Provincial de Avila: D. Pedro Salazar , Subteniente del de Lo-: grono: D. Pablo Sirera, Subteniente del de Orihuela y Alicante : D* Miguel de Arechavala. Subteniente del de Valladolid; y D. Melchor Silvestre y D. Nico</t>
  </si>
  <si>
    <t>Salcedo, Ignacio</t>
  </si>
  <si>
    <t>Ignacio Salcedo</t>
  </si>
  <si>
    <t>Compañía al primer Teniente Don Francisco Vallejo: esta primera Tenencia al Teniente de granaderos D. Ignacio Salcedo: la Tenencia de granaderos, que dexa este, al segundo Teniente D. Antonio Borraya; y esta resulta al segundo Teniente agregado al propio cuerpo D. Dionisio Sánchez de Tejada. La R</t>
  </si>
  <si>
    <t>Salcedo, Juan</t>
  </si>
  <si>
    <t>Juan Salcedo</t>
  </si>
  <si>
    <t>an Fernandez Soler: para otra Canongía, vacante en dicha iglesia metropolitana por fallecimiento de D. Juan Salcedo, ai Racionero D. Manuel María Rodríguez de Caras!: para la Ración de este á D. Miguel de Espinosa: para otra Canonjía de la oropia iglesia metropolitana, vacante por fallecimiento</t>
  </si>
  <si>
    <t>Salces, Francisco</t>
  </si>
  <si>
    <t>Francisco Salces</t>
  </si>
  <si>
    <t>ázquez; á primer Teniente al segundo D. Francisco Corzan; á segundo Teniente al primer Subteniente ,D. Francisco Salces , y á primer Subteniente al segundo D. Manuel Briz : •en el de infantería de Extremadura á segundo Teniente de granaderos al .de. fusileros D. Joseph Zapino: en el de Jaén á segun</t>
  </si>
  <si>
    <t>Saldivar, Christóbal</t>
  </si>
  <si>
    <t>Christóbal Saldivar</t>
  </si>
  <si>
    <t>al Subteniente de^ cranaderos D, Cayetano Maffey; á Subteniente de granaderos ab primer Subteniente D. Christóbal Saldivar; á primer Subteniente al segundo Don Francisco Espejo y Ramírez, y á segundo Subteniente al Cadete D. Manuel Pasqual Ballester: habiendo también nombrado S. M. Capellán del primer</t>
  </si>
  <si>
    <t>Salgado, Manuel</t>
  </si>
  <si>
    <t>Manuel Salgado</t>
  </si>
  <si>
    <t>... D. Josef Tomé cíe Córdoba. En Segovia.............. D. Manuel de la Fuente. En Salamanca....... D. Manuel Salgado. En León................. D. Tomas Díaz Serrano. En Valíadalid........ D. Gabriel de Semprum. En Zamora........... D. Juan García Sexmilo. En Alicante........... D. Luis Pesceto.</t>
  </si>
  <si>
    <t>Sallent, Manuel</t>
  </si>
  <si>
    <t>Manuel Sallent</t>
  </si>
  <si>
    <t>8í ; tenientes D. Manuel Sallent, D. Francisco Montenegro, D. Juan Feixoo y D. Eustaquio Hernando, el primero, segundo y quarto de granaderos; á estos empleos á los primeros Subtenientes D. Antonio Lara, D. V ent</t>
  </si>
  <si>
    <t>Salmade</t>
  </si>
  <si>
    <t>de la ubre de las vacas , á la qual se ha dado el nombre de vacina, hay una del ciud. Salmade, médico acreditado; el qual, dando por sentado que la inoculación vulgar de las viruelas,quando se executa bien, no produce el menor daño ni trae riesgo alguno</t>
  </si>
  <si>
    <t>Salomón, Joseph</t>
  </si>
  <si>
    <t>Joseph Salomón</t>
  </si>
  <si>
    <t>on su eficacia los comandantes y subalternos de esta división, y singularmente el Teniente de navio D. Joseph Salomón, mi oficial de órdenes. Al místico León mandé que volviese á Palermo con el fin de recoger los enfermos que habían quedado en el hospital , y algunos otros individuos. Su comandan</t>
  </si>
  <si>
    <t>Salomony, Joseph</t>
  </si>
  <si>
    <t>Joseph Salomony</t>
  </si>
  <si>
    <t>En el‘regimiento de Reales Guardias Waíonas se ha servido promover el Rey á Alféreces á los Cadetes D. Joseph Salomony , D. Vicente de Qu esada, D. Fernando Hoscoso, D. Luis Genzaga Villena y D. Antonio Desmaisieres. En el de infantería de la Princesa á segundo Subteniente al Cadete D. Pedro Gramb</t>
  </si>
  <si>
    <t>Saludes, Juan</t>
  </si>
  <si>
    <t>Juan Saludes</t>
  </si>
  <si>
    <t>e ha servido S. M. conferir el empleo de Cirujano primero del hospital militar y plaza de Melilla á D. Juan Saludes, Cirujano del regimiento de infantería de Navarra. En 27 de Diciembre los individuos de la Real sociedad cantábrica residentes en Madrid celebraron junta pública en la librería de</t>
  </si>
  <si>
    <t>Salvio y Cecilia</t>
  </si>
  <si>
    <t>to idem...;..........:........................ 54; n.i Ignacio Morirás, hijo de Salvio y Cecilia, natural de Casa de la Selva , Corregimiento de Gerona................... 41. 22.' Isidro Quintana, hijo de Joseph y María, natural de Gualta, Corregimiento de Gerona............... ......</t>
  </si>
  <si>
    <t>Salzas, Ventura</t>
  </si>
  <si>
    <t>Ventura Salzas</t>
  </si>
  <si>
    <t>666 italiano por D. Ventura Salzas: un tomo en 8.° Véndese .en pasta á ió rs. en 1* librería de Castillo, frente á las gradas de S. Felipe; y en la de Millana , calle de Preciados ; en Zaragoza en la dé Monge , y e</t>
  </si>
  <si>
    <t>Sama- María, Juan Antonio</t>
  </si>
  <si>
    <t>Juan Antonio Sama- María</t>
  </si>
  <si>
    <t>66 rs., se ha señalado el miércoles 27 del corriente! á las 12 de su mañana en la audiencia del Sr. D. Juan Antonio Sama- María, del Consejo de S, M. y primer Teniente Corregidor de esta villa, por ante D. Vicente de ia Costa, Escribano del número de ella. I?.azon de fincas enagenables. Intendencia de Bada</t>
  </si>
  <si>
    <t>Samanlego, Félix María</t>
  </si>
  <si>
    <t>Félix María Samanlego</t>
  </si>
  <si>
    <t>las librerías de ésta corte á 20 .rs. en pergamino y 24 en pasta. Fábulas en. verso castellano, por D. Félix María Samanlego. En esta última edición se ha puesto la moralidad-de cada fábula en letra cursiva: un tbmo en 8.° Se hallará en las librerías ..de esta Corte, y en Zaragoza en la de Yagiie. EN LA</t>
  </si>
  <si>
    <t>Samuel Foart Símons</t>
  </si>
  <si>
    <t>puesto del diario, píazqela. de Sto. Domingo. Observaciones sobre la curación de lar gonorrea, por Mr. Samuel Foart Símons, Doctor en medicina, individuo del Real colegio de Médicos y de la sociedad Real de Londres, y de la Real de medicina de Paris: traducidas por D. Francisco Xavier de Cascaron , Ci</t>
  </si>
  <si>
    <t>San Vicente, Almirante</t>
  </si>
  <si>
    <t>Almirante San Vicente</t>
  </si>
  <si>
    <t>sladará al S. Joseph de 112 así que este se halle enteramente listo, y servirá baxo las órdenes del Almirante San Vicente. Un emigrado francés acaba de publicar aquí un nuevo método de su invención para el alumbrado de fas calles, y consiste principa&gt;.nente en hacer que la lúz de los reverberos pase</t>
  </si>
  <si>
    <t>Sañ Vicente, Lord</t>
  </si>
  <si>
    <t>Lord Sañ Vicente</t>
  </si>
  <si>
    <t>ndera el Almirante Hidé-Parker, quó durante este invierno mandará toda la esquadra por ausencia del Lord Sañ Vicente. Prosigue la inquietud en muchos pueblos de Inglaterra á causa de la carestía. Se espera con ansia la abertura dél Parlamento, á fia de que el gobierno adopte medidas que remedien</t>
  </si>
  <si>
    <t>Sancha y Prado, Tomás</t>
  </si>
  <si>
    <t>Tomás Sancha y Prado</t>
  </si>
  <si>
    <t>ierdo. Por la audiencia del mismo Sr. D. Pedro González Calderón, y escribanía de número que exerce D. Tomas Sancha y Prado , se está subastando otra casa sita en la calle de Santa Bárbara la vieja, que hace fachada á la deS. Joachin, barrio de S. Ildefonso de esta corte , núm. 11 , manz. 453 , pertene</t>
  </si>
  <si>
    <t>Sancha, Tomás</t>
  </si>
  <si>
    <t>Tomás Sancha</t>
  </si>
  <si>
    <t>ph de la Torre: en el de León á primeros Tenientes á los agregados en esta clase D. Ramón Herrero v D. Tomas Sancha; v á segundo Teniente al agregado D. Fernando Miyares. Asimismo se ha dignado S. M. promover en el regimiento de caballería de la Rey na á Alférez al Portaestandarte D. Joseph Inf</t>
  </si>
  <si>
    <t>Sanche, Manuel</t>
  </si>
  <si>
    <t>Manuel Sanche</t>
  </si>
  <si>
    <t>egundo Teniente de granaderos al de fusileros D. Isidoro Acevedo; y á primer Subteniente al segundo D. Manuel Sanche^:, en el de Cazadores Voluntarios de la Corona á primer Teniente de tiradores al primer Teniente D. Manuel Bayona; y á segundo Teniente de tiradores al segundo Teniente Don Juan d</t>
  </si>
  <si>
    <t>Sánchez</t>
  </si>
  <si>
    <t>ue sirviese de su' plemento al tomo p.° de arquitectura de sus Elementos de matemática. Su autor el Dr. Sánchez , portugués, discípulo predilecto de Boerbaave, y primer médico de la corte de Rusia, convencido de que la corrupción del ayre que se respira es la causa de casi todas las epidemi</t>
  </si>
  <si>
    <t>Sánchez Blazquez, Felipe</t>
  </si>
  <si>
    <t>Felipe Sánchez Blazquez</t>
  </si>
  <si>
    <t>probados que quisieren pretenderle remitirán sus memoriales á D. Silvestre Hernández Pillarte , ó á D. Felipe Sánchez Blazquez, comisarios electos para este fin; quienes los admitirán hasta el dia 13 de Julio. Entre los muchos exemplares de desgracias que la experiencia ha acreditado por falta de conocimi</t>
  </si>
  <si>
    <t>Sánchez Bravo, Matías</t>
  </si>
  <si>
    <t>Matías Sánchez Bravo</t>
  </si>
  <si>
    <t>z, á Dv Manuel Callejas; y para el Mcdio^-Présta— mo de Diego. Alvaro, vacante por fallecimiento de D. Matías Sánchez Bravo : el de S. Chrisfcóbaf del Monte, agregado á Gallegos-¿de Sobrinos , vacante por fallecimiento de Di Francisco Varona; y La Prestamera del Horcajo de las Torres; que1 lo está por</t>
  </si>
  <si>
    <t>Sánchez Dalp, Manuel</t>
  </si>
  <si>
    <t>Manuel Sánchez Dalp</t>
  </si>
  <si>
    <t>El Rey se ha dignado conceder honores de Ministro del tribunal de la Contaduría mayor de Cuentas á D. Manuel Sánchez Dalp, Contador del Real Fondo vitalicio. El Rey se ha servido mandar que se suspendan las ferias de Ecija , Santi Ponce y Villa Martin, por ahora y entre tanto que duren, ó haya riesgo</t>
  </si>
  <si>
    <t>Sánchez de Gaspar, Francisco</t>
  </si>
  <si>
    <t>Francisco Sánchez de Gaspar</t>
  </si>
  <si>
    <t>stillo de Bayuela, en el obispado de Avila, vacante por fallecimiento de D. Pió Antonio Martínez, á D. Francisco Sánchez de Gaspar, con la obligación de servirlo por sí mismo: para otro de la parroquia de S. Blas de la ciudad de Carmona, en la diócesis de Sevilla, vacante por fallecimiento de D. Joseph Ignaci</t>
  </si>
  <si>
    <t>Sánchez de la Campa, Manuel</t>
  </si>
  <si>
    <t>Manuel Sánchez de la Campa</t>
  </si>
  <si>
    <t>iembre de 1799 se na dignado S. M* conceder permiso y privilegio exclusivo por término de 10 años á D. Manuel Sánchez de la Campa, Buzo mayor de la Real armada, para usar en los puerros de España de una máquina hidráulica con que se puede operar dentro del agua, y sacar lo que se encuentre en el fondo del ma</t>
  </si>
  <si>
    <t>Sánchez de la Peña, Manuel</t>
  </si>
  <si>
    <t>Manuel Sánchez de la Peña</t>
  </si>
  <si>
    <t>te dje infantería graduado y efectivo del misino D. Joachin Baámonde; el de Teniente al Subteniente D. Manuel Sánchez de la Peña ; y Subtenencias de bandera á D. Joseph María Padriñan y D. Antonio María Moscoso: Compañía en el de Ciudad-Rodrigo al Teniente de granaderos D. Antonio Pizarro: Tenencias en el d</t>
  </si>
  <si>
    <t>Sánchez de Mansilla, Lorenzo</t>
  </si>
  <si>
    <t>Lorenzo Sánchez de Mansilla</t>
  </si>
  <si>
    <t>por Ataúlfo, y cerrando el rasgo los nombres de nuestros augustos Soberanos, Esta orla, grabada por D. Lorenzo Sánchez de Mansilla, da al retrato mucho lucimiento. Véndese á 3 rs. en la librería de Campo. EN LA IMPRENTA REAL.</t>
  </si>
  <si>
    <t>Sánchez de Neyra, Domingo</t>
  </si>
  <si>
    <t>Domingo Sánchez de Neyra</t>
  </si>
  <si>
    <t>referida herencia, 3o deduzcan delante de dicho Corregidor por el oficio de su Escribano de numero D. Domingo Sánchez de Neyra dentro del término de 30 dias, y pasado no lo haciendo se procederá en rebeldía según por derecho se previene. A voluntad de su dueño , en virtud de facultad Real y de providencia de</t>
  </si>
  <si>
    <t>Sánchez de Tejada, Dionisio</t>
  </si>
  <si>
    <t>Dionisio Sánchez de Tejada</t>
  </si>
  <si>
    <t>l segundo Teniente D. Antonio Borraya; y esta resulta al segundo Teniente agregado al propio cuerpo D. Dionisio Sánchez de Tejada. La Real Academia de Derecho español, establecida en los Reales estudios de S. Isidro de esta corte, ha tenido a bien, en junta general ordinaria de 17 de Diciembre último, adjudi</t>
  </si>
  <si>
    <t>Sánchez Gómez, Joseph</t>
  </si>
  <si>
    <t>Joseph Sánchez Gómez</t>
  </si>
  <si>
    <t>uan María Osorio; y para la Raciomque resulta Vacante eh iá catedral ele Avila'por fallecimiento de D. Joseph Sánchez Gómez, á DJ Joseph'Gómez,García. En el primer batallón de infantería ligera de Cataluña ha promovido S&lt; M^ áprimer Capitán al primer Ayudante D. Juan Porta; á esta resulta al segundo Ca</t>
  </si>
  <si>
    <t>Sánchez Griñan, Joseph</t>
  </si>
  <si>
    <t>Joseph Sánchez Griñan</t>
  </si>
  <si>
    <t>los tres primeros de granaderos; á SubtenieBtes.de granaderos á los de fusileros D. Joseph del Rio, D. Joseph Sánchez Griñan y D. Pedro Sánchez Griñan; á Subtenientes de fusileros á los dé bandera D. Joseph María de Tá Torre, D. Antonio Mancebo, D. Diego Olivares y D. Martin Florez Quixano, y á esta clase á</t>
  </si>
  <si>
    <t>Sánchez Lcmeña, Salvador Joseph</t>
  </si>
  <si>
    <t>Salvador Joseph Sánchez Lcmeña</t>
  </si>
  <si>
    <t>Subteniente de cazadores al de fusileros D. Francisco Noríega, y á Subteniente de bandera al Cadete D. Salvador Joseph Sánchez Lcmeña: en el de Santiago á Subteniente de granaderos al. de fusileros D. Severo Cardesid: en el de Córdoba á Subtenientes de cazadores .y de bandera al de; fusileros D. Joseph Ortiz y,</t>
  </si>
  <si>
    <t>Sánchez Macías, Juan</t>
  </si>
  <si>
    <t>Juan Sánchez Macías</t>
  </si>
  <si>
    <t>1-52 El 23 de Enero, á una legua de Mérida, fue robado, Juan Sánchez Macías,vecino del lugar de Carrascalejo, y entre otras cosas le quitáron un vale Real de 300 pesos , creación de i.° de Julio de 1799 , número 43,867 , que el mismo dia le había endosado á su f</t>
  </si>
  <si>
    <t>Sánchez Mohno, Pedro</t>
  </si>
  <si>
    <t>Pedro Sánchez Mohno</t>
  </si>
  <si>
    <t>gía que goza en la misma iglesia: para la Canongía de la de Plasencia, vacante por fallecimiento de D. Pedro Sánchez Mohno, á D. Joachín Ramos y Monroy, Racionero de la de Zamora: para ei Beneficio de la catedral de Plasencia, que se titula Mejorado Compañero, vacante por fallecimiento de D. Narciso S</t>
  </si>
  <si>
    <t>Sánchez Muñoz, Vicente</t>
  </si>
  <si>
    <t>Vicente Sánchez Muñoz</t>
  </si>
  <si>
    <t>. Igualmente se ha servido S. M. nombrar para el Corregimiento de letras de la ciudad de Betánzos á D. Vicente Sánchez Muñoz: para la Vara segunda de la ciudad de Cádiz, vacante por fallecimiento de D. Pedro Ba</t>
  </si>
  <si>
    <t>Sánchez Noceda, Tomás</t>
  </si>
  <si>
    <t>Tomás Sánchez Noceda</t>
  </si>
  <si>
    <t>. Fr. Prudencio Asturio de la Cantabria, y dei hermano Fr. Modesto Isleño de Tenerife: escritas por D. Tomas Sánchez Noceda, presbítero. Esta pequeña obra, recomendable por lo original de su título y por el asunto, contiene reflexiones útiles ,y sus casos y estilo semiquixotesco son divertidos. Los lec</t>
  </si>
  <si>
    <t>Sánchez Ramírez de Arellano, Manuel</t>
  </si>
  <si>
    <t>Manuel Sánchez Ramírez de Arellano</t>
  </si>
  <si>
    <t>rto Illanes Camaño; y para la Media-Ración de la catedral de Popayan , vacante por fallecimiento de D. Manuel Sánchez Ramírez de Arellano , á D. Eusebio Ramírez de Árellano , Cura de Guasca, en el arzobispado de Sta. Fe. Nota. En la gazeta próxima anterior, en el capítulo de Cádiz y su última línea, se olvidó involu</t>
  </si>
  <si>
    <t>Sánchez Suturgain, Juan</t>
  </si>
  <si>
    <t>Juan Sánchez Suturgain</t>
  </si>
  <si>
    <t>untos de Guadalaxara dirigió un testimonio, del qual aparece que falleció en la provincia de Sayula D. Juan Sánchez Suturgain, que deeja ser vizcaino:; que sus bienes consistieron en 109 pesos 4 rs. y 6 granos, de los quales se hallan depositados en caxa 1971 rs.r=:Tamb,ien dirigió el Juez de bienes jde</t>
  </si>
  <si>
    <t>ntos de Guadalaxara dirigió un testimonio , del qual aparece que falleció en la provincia de Sayula D. Juan Sánchez Suturgain, que decia ser vizcaino ; que sus bienes consistieron en 109 pesos , 4 rs. y 6 granos, de los quales se hallan depositados en caxa 1971 rs. También dirigió el Juez de bienes de di</t>
  </si>
  <si>
    <t>Sánchez Yebra, Joseph</t>
  </si>
  <si>
    <t>Joseph Sánchez Yebra</t>
  </si>
  <si>
    <t>do de Coronel* D. Joseph Sánchez Yebra; y en el de Almansa á Teniente al Alférez de granaderos D. Joseph Zafra. Pragmática Sanción en fuerza de ley, por la qual ratifica S. M., y en caso necesario de su propio motu y c</t>
  </si>
  <si>
    <t>Sánchez, Ángel</t>
  </si>
  <si>
    <t>Ángel Sánchez</t>
  </si>
  <si>
    <t>n el original latino, y aclarado con notas que explican el sentido literal de cada capítulo m 7 por D. Angel Sánchez , Presbítero. Se hallarán los quatro tomos en 4.0 de que consta en la librería de .Godos, gradas de S. Felipe , á 44 rs. en rústica y &lt;54 en pasta. ^ La nueva Clarisa, ó cartas y</t>
  </si>
  <si>
    <t>Sánchez, Antonio María</t>
  </si>
  <si>
    <t>Antonio María Sánchez</t>
  </si>
  <si>
    <t>iente dé granaderos al primer Subteniente D. Juan de la Caballería; á primer Subteniente al segundo D. Antonio María Sánchez, y á segundó Subteniente al Cadete D. Ramón de Vilialonga: en el de cazadores voluntarios de la Corona á Subteniente al segundo Subteniente dél de infantería' de León D. Miguel Co</t>
  </si>
  <si>
    <t>Sánchez, Domingo</t>
  </si>
  <si>
    <t>Domingo Sánchez</t>
  </si>
  <si>
    <t>r al Teniente D. Francisco Moreno; Tenencia al Subteniente D. Pedro Sánchez ; Subtenencia al Cadete Don Domingo Sánchez, y agregación de Teniente veterano al regimiento prorvincial de Córdoba, Orizava y Xalapa á D. Manuel Torres, Subteniente del de infantería de Cuba. 1 Asimismo ha nombrado S, M. G</t>
  </si>
  <si>
    <t>Sánchez, Esteban</t>
  </si>
  <si>
    <t>Esteban Sánchez</t>
  </si>
  <si>
    <t>ndencia de Salamanca. Ciudad-Rodrigo : una huerta llamada de la Paz, perteneciente á la obra pia de D. Esteban Sánchez , tasada en 40,575 rs. y renta 600. Tres viñas contiguas de cabida de 9 aranzadas, con su casa y lagar, perteneciente á la obra pia de D. Berna: dino Gerardino de Guzman, tasadas</t>
  </si>
  <si>
    <t>Sánchez, Joseph María</t>
  </si>
  <si>
    <t>Joseph María Sánchez</t>
  </si>
  <si>
    <t>cia de fusileros al Subteniente de cazadores D. Rafael Perez de Aguilar; y Subtenencia de bandera a D. Joseph María Sánchez : en el de Chinchilla Compañías de fusileros á los Tenientes D. Joseph Cutoli, D. Fernando Martínez y D. Sebastian García, el primero de cazadores; y Tenencia de fusileros ai Subt</t>
  </si>
  <si>
    <t>Sánchez, Juan</t>
  </si>
  <si>
    <t>Juan Sánchez</t>
  </si>
  <si>
    <t>a Excma. Sra. Condesa de Torrejon , Marquesa viuda de Villagarcía : el que quiera comprarla acuda á D. Juan Sánchez , que vive en la plazuela de S. Xavier, junto á la del Cordon , quien dará razón de las yerbas que disfruta en posesión, así de invierno como de verano, y también dei número de ca</t>
  </si>
  <si>
    <t>y al secundo Ayudante D. Buenaventura del Campo ; i segundo Teniente de granaderos al de fusileros D. Juan Sánchez; á segundo Ayudante al segundo Teniente D. Joseph Dugi; á segundos Temantes al Subteniente de granaderos D. Juan Perdomo y al Subteniente D. Carlos Carta, a Subteniente de granade</t>
  </si>
  <si>
    <t>ria, que fesulta vacante en la capilla del Real convento de la Encarnación de Madrid por ascenso de D. Juan Sánchez á la de número, que obtenía D. Joseph de Vela, á D. Leandro Gonzalo, con obeion á da primera vacante, y con la consignación hasta entonces de 200 ducados de vn. al año: para otra</t>
  </si>
  <si>
    <t>Sánchez, Manuel</t>
  </si>
  <si>
    <t>Manuel Sánchez</t>
  </si>
  <si>
    <t>ta Teresa de Madrid, vacante por renuncia que ha hecho de ella su poseedor D. Tomas Perez Moros , á D. Manuel Sánchez , con la pensión anual de 150 ducados de vn. á favor del mismo D. Tomas Perez Moros: para una de las dos Sochantrías de la Real iglesia de S. Isidro de Madrid, que se halla vacant</t>
  </si>
  <si>
    <t>Fernando de Flores, y está vacante por su promoción á la Capellanía primera del mismo monasterio, á D. Manuel Sánchez. . En el regimiento de Reales Guardias Walonas se ha servido el Rey promover á primeros Tenientes de granaderos á los de fusileros D. Mariano Ruiz de Cárdenas y D. Carlos Reynaldo</t>
  </si>
  <si>
    <t>Sánchez, Pablo</t>
  </si>
  <si>
    <t>Pablo Sánchez</t>
  </si>
  <si>
    <t>írez de Arellano ; y en el Real cuerpo de Artillería á Teniente al Subteniente graduado de Teniente D. Pablo Sánchez. S. M. se ha dignado promover á Portaestandarte en el regimiento de Farnesio al Cadete D. Elias Cantalapiedra: á Alférez en el de España al Portaestandarte D. Tomas Amaya; y á Ayu</t>
  </si>
  <si>
    <t>e perdió un vale Real de-igo pesos, creación de 1 «¿ de Marro , mím.dado por la Tesorería general á D. Pablo Sánchez, y endosado por^este¿* D: Joachín Abraides. Quien le encontrare avisará á D. Manuel Sayas, enr Madrid &gt; calle del Prado , núm. 4, quarto entresuelo inmediato al quar-r tei,de invá</t>
  </si>
  <si>
    <t>Sánchez, Pedro</t>
  </si>
  <si>
    <t>Pedro Sánchez</t>
  </si>
  <si>
    <t>D. Francisco de Sucre ; la Ayudantía mayor al Teniente D. Francisco Moreno; Tenencia al Subteniente D. Pedro Sánchez ; Subtenencia al Cadete Don Domingo Sánchez, y agregación de Teniente veterano al regimiento prorvincial de Córdoba, Orizava y Xalapa á D. Manuel Torres, Subteniente del de infant</t>
  </si>
  <si>
    <t>Sánchez, Sebastián</t>
  </si>
  <si>
    <t>Sebastián Sánchez</t>
  </si>
  <si>
    <t>bas, de. 6 cel. en\4o. Una. frontera junto á la póbl^cion^ de 3 cel. en i¿. Obra pia del Licenciado D. Sebastian Sánchez: una tierra á Valdeeimanto, de ia fanegas, tasada eo doo rs. Otra al Horcajo, de 4 fan. en 480. Otra camino del Alamo, que fue viña, y cabía doo cepas, á do rs. cada fanega. Otra</t>
  </si>
  <si>
    <t>Sánchez, Tomás Antonio</t>
  </si>
  <si>
    <t>Tomás Antonio Sánchez</t>
  </si>
  <si>
    <t>icas, fabricadas á expensas de un devoto , que las dedica al autor de D. Quixote de la Mancha : por D. Tomas Antonio Sánchez , Bibliotecario de S. M. Véndense en las liberías de Sancha , calle del Lobo y de la Cruz, y en la de Castillo, frente á las gradas de S. Felipe el Real. Pueden ir en carta. Tomo</t>
  </si>
  <si>
    <t>Sánchez, Vicente</t>
  </si>
  <si>
    <t>Vicente Sánchez</t>
  </si>
  <si>
    <t>tes á los sc°undo$ D. Juan Yustiniani y D.Antonio González; y á segundos Subtenientes á los Cadetes D. Vicente Sánchez y D. Joseph Conesa, y á los Sargentos primeros de granaderos D. Antonio Xerez, graduado de Subteniente, y D. Domingo Acevedo. En el de Granada á segundo Teniente de granaderos al de f</t>
  </si>
  <si>
    <t>Sancho, Francisco</t>
  </si>
  <si>
    <t>Francisco Sancho</t>
  </si>
  <si>
    <t>al Teniente D. Ambrosio Pinedo : para Tenientes á los Alféreces D. Matías Sancho, D. Luis Lafinur, Don Francisco Sancho, D. Miguel de Irigoyen y D. Norberto Manterola, el primero graduado de Teniente: para Alféreces al agregado en la misma clase D. Manuel Ordoñez, á los Portaguiones D. Juan López,</t>
  </si>
  <si>
    <t>Sancho, Matías</t>
  </si>
  <si>
    <t>Matías Sancho</t>
  </si>
  <si>
    <t>D. Cosme Becar: para Ayudante mayor al Teniente D. Ambrosio Pinedo : para Tenientes á los Alféreces D. Matías Sancho, D. Luis Lafinur, Don Francisco Sancho, D. Miguel de Irigoyen y D. Norberto Manterola, el primero graduado de Teniente: para Alféreces al agregado en la misma clase D. Manuel Ordo</t>
  </si>
  <si>
    <t>Sandcval, Francisco</t>
  </si>
  <si>
    <t>Francisco Sandcval</t>
  </si>
  <si>
    <t>ijo con 147 fanegas de tierra, en el sitio de Benatac , fundado en la parroquial de dicho lugar por D. Francisco Sandcval, tasado en 39,968 rs. \ y renta dicho cortijo 31 fanegas y 9 ceiémines de trigo, 29 fanegas de cebada y 198 rs. al año.rrr:Jabalquinto. Dos olivares, uno con 500 matas, y otro con</t>
  </si>
  <si>
    <t>Sande, Diego</t>
  </si>
  <si>
    <t>Diego Sande</t>
  </si>
  <si>
    <t>iego Becerra; á primer Subteniente al segundo D. Antonio Delgado; y á segundo Subteniente al Cadete D. Diego Sande: en el segundo batallón de Voluntarios de Aragón á Capitán primero al segundo, graduado de Teniente Coronel - Don Francisco Xavier Cornel; á Capitán segundo al primer Teniente y s</t>
  </si>
  <si>
    <t>Sandoval, Benito</t>
  </si>
  <si>
    <t>Benito Sandoval</t>
  </si>
  <si>
    <t>albiani, Don Juan de Herrera, D. Rafael de Irazabal, D. Francisco González, D, Fulgencio Cevallos , D. Benito Sandoval, D. Antonio Galindo, D. Diego del Barco, Di Gabriel de Torres , D. Manuel Saenz Ramírez, D. Francisco de Hore é Iturralde, D. Francisco de Reyna, D. Manuel Domínguez y D. Félix Ca</t>
  </si>
  <si>
    <t>Sandoval, Joseph</t>
  </si>
  <si>
    <t>Joseph Sandoval</t>
  </si>
  <si>
    <t>Barcelona, Corregimiento ídem......:............................ Tambor. Joseph Sandoval, hijo de Pedro y María, natural de Ubeda, Reyno de Jaén................ ................................. Juan Casas, hijo de Francisco y María , natural de Fornells , Corregimiento de</t>
  </si>
  <si>
    <t>l Rey á Carpitan al Ayudante D. Christobal Carrillo: en el de Santiago á Capitán ál primer Teniente D. Joseph Sandoval: en el de Carabineros dé la Reyna María Luisa á Capitán al primer Teniente. D. Christobal Mariano; y en el de la Costa de Granada á Alférez, al agregado en esta clase, graduado de</t>
  </si>
  <si>
    <t>Sandoz-Roilin</t>
  </si>
  <si>
    <t>ongreso de Luncville en nombre del Rey de Prusia, al paso que Mr. Luchesini permanecerá en París, y Mr. Sandoz-Roilin se retirara de aquella capital á Neuchatel. París 7 de Noviembre. G ion motivo de haber publicado algunas gazetas de París que la entrada de las tropas francesas en Tos cana se hi</t>
  </si>
  <si>
    <t>Sangenis, Fernando</t>
  </si>
  <si>
    <t>Fernando Sangenis</t>
  </si>
  <si>
    <t>e granaderos al de fusileros D. Francisco Cortazar; á segundo Teniente ai Subteniente de granaderos D. Fernando Sangenis; á esta resulta al primer Subteniente D. Juan Bautista Maure ; á primer Subteniente al segundo D. Joachin Fontán, y á segundo Subteniente al Cadete D. Joseph Pardo: e'n e! de Jaén</t>
  </si>
  <si>
    <t>Sanjurjo, Joseph</t>
  </si>
  <si>
    <t>Joseph Sanjurjo</t>
  </si>
  <si>
    <t>a.de la parroquial 4$ Huerta de Yjerp: .para ptra.de. Ja de Mondoñedo, vacante por fallecimiento de D. Joseph Sanjurjo, á í). Joseph Gómez Baamonde: para la Ra</t>
  </si>
  <si>
    <t>Sanmillan, Fernando</t>
  </si>
  <si>
    <t>Fernando Sanmillan</t>
  </si>
  <si>
    <t>onel, D. Juan Bautista de Urrucla: en el de Saboya á segundo Teniente de granaderos al de fusileros D. Fernando Sanmillan; á segundo Teniente aí Subteniente de granaderos D. Gabriel Moreno; á Subteniente de granaderos al primer Subteniente D. Joachin de Villena; á primer Subteniente al segundo D. Jos</t>
  </si>
  <si>
    <t>Santa Casilda, Princesa</t>
  </si>
  <si>
    <t>Princesa Santa Casilda</t>
  </si>
  <si>
    <t>de reglas y leyes para jugar la malilla , revesino y cientos : un tomo en 8.° Estampa nueva .de lá Princesa Santa Casilda virgen, como se venera en la' iglesia del Espíritu Santo de Clérigos menores de esta corte, en cuya sacristía se vende. EN LA IMPRENTA REAL*</t>
  </si>
  <si>
    <t>Santa María, Antonio</t>
  </si>
  <si>
    <t>Antonio Santa María</t>
  </si>
  <si>
    <t>re los ¿emitirá al mismo Reguera, de la Corufia. Por el juzgado deUSr. rD.rjpan Antonio Santa María , Teniente Corregidor de esta villa, se están subastando.,jo;.pedazos -«de tierra de pan Jlevarentért£ittodft' los Carabanchetes , una casa y ;úa, solar d3 otra, en la población del deabaXft</t>
  </si>
  <si>
    <t>Santa María, Juan Antonio</t>
  </si>
  <si>
    <t>Juan Antonio Santa María</t>
  </si>
  <si>
    <t>una de sus respectivas tardes, en el pórtico de Ja lieal cárcel de esta villa ante el Sr. Teniente D. Juan Antonio Santa María y D. Diego Benigno González, Escribano del número. ... A, virtud de providencia del mismo Sr. D. Juan Antonio Santa María, Ts-? niente Corregidor de esta villa, por ante D. Antonio Fe</t>
  </si>
  <si>
    <t>ez de $¿edesnia, Oficial de la contaduría general de Propios de esta corte. Por providencia del Sr. D. Juan Antonio Santa María , caballero de la orden de Cárlos III, del Consejo de S, M., Teniente Corregidor de esta villa, se vendé una casa sita en la calle de Toledo, núm. 9, manzana 144, perteneciente £</t>
  </si>
  <si>
    <t>para el día 4 de Febrero, y la segunda para el g , á las 12 de sus mañanas en la audiencia de] Sr. D. Juan Antonio Santa María § Teniente Corregidor de esta villa. Quien quisiere hacer mejora acuda al oficio dé D, Juan López Fando, Escribano del número dé la mis$ná , .que se admitirán las que hicieren. Re</t>
  </si>
  <si>
    <t>por dicho término de orden de los Señores inquisidores del mismo .Tribunal. Por providencia del Sr. D. Juan Antonio Santa María , caballero de la Real y distinguida orden española de Cárlos III , del Consejo de S. M. y Teniente Corregidor de esta villa , se ha mandado sacar nuevamente á pública subasta una</t>
  </si>
  <si>
    <t>eyiniepdo ser la postura el importe de la tasación , que es 34^ rs. A virtud de providencia del Sr. D. Juan Antonio Santa María, primer Teniente de Corregidor en esta villa, y escribanía de número de D. Joachin González de Castro, se venden 9 casas : dos correspondientes á la sacramental de S. Miguel, sita</t>
  </si>
  <si>
    <t>onan en las operaciones de la renovación semejantes defectos de buen orden. En la audiencia del Sr. D. Juan Antonio Santa María, Teniente Corregidor de esta villa , por la escribanía numeraria de D. Diego Benigno González, se subasta una casa sita en la calle de Toledo , núm. 9 , manzana 144 , pertenecient</t>
  </si>
  <si>
    <t>a acuda á dicha escribanía , que se le admitirá. ' Por la audiencia del Sr. 1X4 Juan Antonio Santa María , Teniente Corregidor de está villa , y escribanía del núme ro que exerce D. Tomas de Sancha -y Prado, se subastan dos casas pertenecientes al patronato que fundó D. Julián de Olivares, síta</t>
  </si>
  <si>
    <t>remate el 28 del corriente á las doce y media ce sé ntaútrna á las puertas de Ja audiencia del Sr. D. Juan Antonio Santa María, Te cíeme Corregidor de esta villa. Otra en la calle de la Comadre de Granada,mím. 3. ; manzana 36, tasada en 32,333 rs. , y tiene de sitio 2056 pies. Otra en la calle de Silva, m</t>
  </si>
  <si>
    <t>la Cruz, num. 31, lonja de modista, casa de lús Sres.Richart y ^compañía. Por providencias del Sr. D. Juan Antonio Santa María , caballero de la Real distinguida orden española de Cirios III , del Consejo de S. Mr, primer Teniente de Corregidor de esta villa» y escribanía del numero de D. Joachiri Gonzále</t>
  </si>
  <si>
    <t>acuda al oficio de D. Juan López Fando, Escribano del número de esta villa. Por providencia del Sr. D. Juan Antonio Santa María , Teniente Corregidor de esta villa ,an,te D. Antonio Fernandez , Escribano del número, se ha mandado sacar á subasta una casa sita en la calle del Lobo , núm. 33 , manzana 218 ,</t>
  </si>
  <si>
    <t>eda y compañía, y en Madrid al citado Lobera, calle de las Fuentes, núm. 6, quarto 2.0 1 Por el Sr. D. Juan Antonio Santa María, caballero de la Real y distinguida orden española de Cárlos III, del Consejo de S. M., y primer Teniente Corregidor de esta villa , se cita y emplaza á los acreedores que tengan</t>
  </si>
  <si>
    <t>allarse así m-andado por-S¿ Mi Por providencia del Sr, Teniente primero de Corregidor de esta villa D. Juan Antonio Santa María se subasta una casa de*; la calle de Preciados,núm. 14, manzana 396* perteneciente á las-memprias de Doña-María Bernarda de Quiros: comprehende 2746 píes y | de sitio: se compone*</t>
  </si>
  <si>
    <t>muerto, indicar en que parage. Por providencia del Sr. Teniente primero dq Corregidor de esta villa D. Juan Antonio Santa María se subasta una casa , sita en la costanilla de los Caños, d.el Peral, núm. 24, manzana 414, perteneciente á las memorias de D. Felipe, Fernandez de Santiliana , que comprehende 38</t>
  </si>
  <si>
    <t>a hora y en el sitio señalado. Por providencia del Sr. Teniente primero de Corregidor de este villa D. Juan Antonio Santa María se subasta una casa , sita en la calle del Príncipe , núm. 2, manzana 212 , perteneciente á las memorias de D. Felipe Fernandez de Santiilana , que comprehende 1799! pies quadrado</t>
  </si>
  <si>
    <t>a misma cantidad, está señalado el 21 de Abril próximo ¿las 12 de su mañana en la audiencia del Sr. D. Juan Antonio Santa María , Teniente Corregidor de esta villa. Quien quisiere hacer mejora acuda hasta dicho dia al oficio de D. Juan López Fardo, Escribano del número, que se admitirá.=Quien quisiere comp</t>
  </si>
  <si>
    <t>Por 1os juzgados de los dos Sres. Tenientes de Corregidor D. Juan Antonio Santa María y D. Pedro González Calderón se están subastando las fincas siguientes : por la escribanía de D. Antonio López Salazar una casa en la calle de S. bernardo , barrios de S. Lorenzo , nú</t>
  </si>
  <si>
    <t>ores á ella. ¿&gt;e hallará Ü 4 quartos en el despacho de la imprenta Real. , Por la audiencia del Sr. D. Juan Antonio Santa María, Teniente Corregidor de esta villa , y escribanía de D. Joachin González de Castro, se venden las siguientes tierras , pertenecientes al Real ^colegio de niñas de la Paz de esta c</t>
  </si>
  <si>
    <t>362; tiene de sitio 4895 pies, y está tasada en 207,07$ rs. 32 mrs. Por la audiencia del mismo Sr. D. Juan Antonio Santa María, y escribanía del número del cargo de D. Antonio Fernandez , se han mandado sacar á pública subasta por término de 30 dias tres casas sitas en esta corte: una en la calle de Borda</t>
  </si>
  <si>
    <t>de las Huertas, núm.. 10,. quarto principal , frenteá la del Lobo. En virtud de providencia del Sr» D. Juan Antonio Santa María, Teniente Corregidor de esta villa y á voluntad de su dueño se vende á pública subasta una casa sita en esta corte, calle de la Bola, núm» i y 3, manzana 40(5, propia de Doña Mica</t>
  </si>
  <si>
    <t>la la misma cantidad , está señalado el 9 de este mes á las 12 de su mañana en la audiencia del Sr. D. Juan Antonio Santa María , Teniente Corregidor de esta villa. Quien quisiere hacer mejora acuda al oficio de D- Juan López Fando,' Escribano del número. En la ciudad de Cartagena de levante se ha abierto</t>
  </si>
  <si>
    <t>siendo en ménos de las dos terceras partes de suS respectivas tasaciones. Por la audiencia del Sr. D. Juan Antonio Santa María y escribanía del número de D. Joachin González de Castro se vende una casa en la calle de Embaxa—</t>
  </si>
  <si>
    <t>tablecida en Madrid , que ha dado punto á aus negocios ante el Señor Teniente primero de Corregidor D. Juan Antonio Santa María, y por la escribanía del número de D. Casimiro Antonio Gómez , celebra junta dé acreedores el Domingo iS de esté mes á las 9 de la mañana en la sala de juntas generales del Banco</t>
  </si>
  <si>
    <t>dan por ella 310^ de la misma moneda, se ha señalado el dia ai de este mes en la audiencia del Sr. D. Juan Antonio Santa María, de doce á una de su mañana. Quien quisiere hacer mejora acuda á la escribanía del número de Don Juan Antonio de Urraza. Para el de otra casa sita en la calle del Ave-María, mím.</t>
  </si>
  <si>
    <t>rio , conforme á la ley 25, tít. 14 , lib. 9 de la Recopilación de Ipdias. Por la audiencia del Sr. D. Juan Antonio Santa María y escribanía de D. Joachin González de Castro se venden las casas siguientes : una en la calle de Santa Ana, núm. 4, manz. 9g , perteneciente á las memorias de D. Juan de Cuellar y S.</t>
  </si>
  <si>
    <t>ura á quaksquiera de dichas fincas acudirán á la citada escribanía. A virtud de providencia del Sr. D. Juan Antonio Santa María , Teniente Corregidor de esta villa , se ha mandado sacar á púolica subasta una casa en la calle de las Huertas , núm. 4 , manzana 255 , que tiene 358^ pies superficiales y 19 32</t>
  </si>
  <si>
    <t>lez Calderón , y por ante el Escribano del número D. Juan Antonio de Drraza. Por el Juzgado del Sr. D. Juan Antonio Santa María se venden las siguien</t>
  </si>
  <si>
    <t>SUPLEMENTO Á LA GAZETA DE MADRID DEL VIERNES 13 DE JUNIO DE l800. A virtud de providencia del Sr. D. Juan Antonio Santa María se ha mandado sacar á pública subasta una casa sita en la calle del Olivo, núm. &lt;5, manz. 360, que contiene 5&gt;iS£ pies quadrados superficiales de sitio, tasada en 42,358 rs. Quien</t>
  </si>
  <si>
    <t>está señalado el 16 del corriente entre doce y una á las puertas de la audiencia del Señor Teniente D. Juan Antonio Santa María, por la escribanía del número de Don. Jóachin González de Castro. Sigue la razón de las fincas de oirás pías fundadas en pueblos de la Intendencia de Madrid, para cuya venta esta</t>
  </si>
  <si>
    <t>n cq. yal^s Reales. , está señalado el dia i»; de J«U°&lt;í las n de su mañana en lá audiencia del Sr, D. Juan Antonio Santa María: quién quisiere hacer mejora acuda hasta dicho día al ofício de X). Juan López Fando, escribano del número. Por el juzgado del Sr. D. Juan Antonio Santa María se venden á voluntad</t>
  </si>
  <si>
    <t>as acuda ante dicho Señor Alcalde y citada escribanía de provincia. A virtud de providencia del Sr. D. Juan Antonio Santa María se ha mandado sacar á pública subasta una casa en las Platerías, núm. 9, manz. 417 , tasada en 49,890 rs. Quién quisiere hacer postura acuda ante dicho Señor Juez y por la escriba</t>
  </si>
  <si>
    <t>y ios 1479 restantes en vales Reales, esta sefía’ado el dia 17 de este mes en la audiencia del Sr. D. Juan Antonio Santa María, Teniente Corregidor de esta villa, a las ia de la mañana. Quien quisiere hacer mejora acuda al oficio de D. Juan López Fando, escribano de número.—.También está sen tado para rem</t>
  </si>
  <si>
    <t>n mas citarles ni emplazarles, sé providenciará lo que haya lugar.. A virtud de providencia del Sr. D. Juan Antonio Santa María, Teniente Corregidor de esta villa , se han mandado sacar á pública subasta dos casas contiguas sitas en la calle de Legan i-tos., que corre» baxo el núm. 22, manz. 551,0ue contie</t>
  </si>
  <si>
    <t>ñor AlcaldO/por la escribanía de provincia de D. Joseph Fernandez de Uceda. Por providencia del Sr. D. Juan Antonio Santa Mana, Teniente Corregidor d, esta villa, acte D. Gervasio Fernandez Izquierdo, Escribano de su numero, se h, mandado sacar á pública subasta por término de 9 dias una casa sita en la c</t>
  </si>
  <si>
    <t>riente á las 11 de su mañana en ia citada escribanía de provincia. A virtud «de providencia del Sr. D. Juan Antonio Santa María , Teniente Corregidor detesta villa , se ha mandado sacar á pública subasta una casa sita en la calle de Icss Preciados , núm. -27 , manz. 379 , que contiene 1066 pies, tasada en</t>
  </si>
  <si>
    <t>e Vera , tasada en 99,690 rs. mrs. Las personas que quieran hacer postura á ella acudan ante el Sr. D. Juan Antonio Santa María, y escribanía dei número de D. Vicente de la Cesta, en el término de doce 'dias. Razon.de fincas enagénabíes de obras pías. Intendencia de León. León : cuatro casas pertenecientes</t>
  </si>
  <si>
    <t>udiencia y escribanía, se ha señalado el urártes 12 á las 11 de su mañana. Por providencias del Sr. D. Juan Antonio Santa María, del Consejo de S. M., Teniente Corregidor de esta villa, se subastan 3 casas pertenecientes á las me</t>
  </si>
  <si>
    <t>do los entregará á dicho Diaz en Sevilla , ó á D. Antonio Franco en Zafra. Por la audiencia del Sr. D. Juan Antonio Santa María y escribanía del número de D. Joaquín González de Castro, se están subastando tres casas, correspondientes á las memorias fundadas por la Excma. Sra. Doña María Teresa Juliana Por toc</t>
  </si>
  <si>
    <t>ere hacer postura acuda ante dicho Sr. Alcalde y por la citada escribanía. Por la audiencia del Sr. D. Juan Antonio Santa María, y escribanía del número de D. Gervasio Fernandez Izquierdo, se ha mandado sacar á pública subasta por término de 30 dias una casa sita en esta corte en la calle del Olivo alto, n</t>
  </si>
  <si>
    <t>or la citada escribanía. Con facultad Real cometida al Sr. Teniente primero de Corregidor de Madrid D. Juan Antonio Santa María, se ha mandado vender á pública subasta un título de Castilla, con la denominación de Marques de la Nava de Bracinas, regulado en «id ducados. Quien quisiere hacer postura acuda á</t>
  </si>
  <si>
    <t>rido Muñoz y Usparicha, de Bilbao, ó en Madrid á D. Santiago de las Ribas. Por la audiencia del Sr. D. Juan Antonio Santa María, Teniente Corregidor de esta villa , y por la escribanía del numero de D. Gervasio Fernandez Izquier-? do , se ha mandado sacar á pública subasta por término de 30 dias una casa,</t>
  </si>
  <si>
    <t>á D. Manuel García Malde, calle de Cantarínas, núm. 9, frente al pasadizo. Por la audiencia del Sr. D. Juan Antonio Santa María, Teniente Corregidor de esta villa, y escribanía del número de D. Gervasio Fernandez Izquierdo , se está subastando una casa sita en la calle de la Cabeza , núm. 14, manz. 8 : con</t>
  </si>
  <si>
    <t>lado el jueves 30 dei corriente á las 12 de su mafiana en dicha escribanía. Por provideneia del Sr. D. Juan Antonio Santa María, Teniente Corregidor de esta villa, se ha mandado sacar á pública subasta una huerta (conocida con el nombre del Alguacil mayor) sita en !a inmediación del canal de Manzanáres, co</t>
  </si>
  <si>
    <t>o tolo en a.s,í,*79 rs. Quien ¡s¡ h " COmiS,°nad0 ^ eSCTÍbaDla d“ « A virtud de providencia del Sr. D. Juan Antonio Santa María, Teniente Cor</t>
  </si>
  <si>
    <t>nto a la °gazeta del viérnes 14 de este. _ - — ---------------------■ --~~ Por providencias del Sr. D. Juan Antonio Santa María, Teniente Corregidor de esta villa , se subastan dos casas en esta corte , pertenecientes á la o n.^rega— Cion de Ntra. Sra. de la Misericordia de la parroquial de S. Sebastian, l</t>
  </si>
  <si>
    <t>ada en 16*5,239 rs. 19 mrs. Las personas que quieran hacer postura á ella lo ejecutarán ante el Sr. D. Juan Antonio Santa María, del Consejo de S. M., primer Teniente Corregidor de esta villa, por la escribanía de número de D. Vicente dq la Costa. Por providencia del Sr. Teniente de Corregidor D. Juan Anto</t>
  </si>
  <si>
    <t>rosidad y zelo eran generalmente apreciadas, y hacen sensible su pérdida. Pc¡r la audiencia del Sr. D. Juan Antonio Santa María, y escribanía de Don Antonio Fernandez, se ka sacado á subasta una casa en la plazuela de los Truxi— líos, ó del Clavel á S. Martin, núm 4, rnanz. 399, que tiene de sitio 3040 pie</t>
  </si>
  <si>
    <t>y Suprema de Castilla, ante el Escribano del número D. Julián González Saez. Por el juzgado del Sr. D. Juan Antonio Santa María, Teniente Corregidor de esta villa, y escribanía del número que exerce D. Juan de Repide, se están subastando diferentes tierras en término de los lugares de Ambroz y CcsJ&amp;da. Una</t>
  </si>
  <si>
    <t>ta corte, acuda dentro de 30 dias precisos, contados desde 6 de esta mes de Diciembre , ante el Sr. D. Juan Antonio Santa María, Teniente primero de Corregidor de este villa, y escribanía de su número, que exerce D Tomas de Sancha y Prado, á acreditar y deducir su derecho jpius de lo contrario se substanci</t>
  </si>
  <si>
    <t>30; y con ellos han ganado ios jugadores 338,969 rs.: • ■ ■ ■ ________ . , por lac audiencia delSr. D. Juan Antonio Santa María, f é*c&gt;it&amp;nía*v(déi' * n¿* mero que «aeree &amp; Téaiás deSanchay Prado, se ha mandado sacar ¿subasta, v t \ _ . _ 1 . » . .. ■ &gt;</t>
  </si>
  <si>
    <t>Santiago Lorenzo</t>
  </si>
  <si>
    <t>te de granaderos al de fusileros D. Ricardo Butler; á segundo Teniente al Subteniente de granaderos D. Santiago Lorenzo; á Subteniente de granaderos al primer Subteniente D. Juan María Narganes; á primeros Subtenientes á los segundos D. Joachín Buil, D. Olaguer i omas Aloy, D. Carlos Stonor, Don Fe</t>
  </si>
  <si>
    <t>Santos Allende</t>
  </si>
  <si>
    <t>4)0 y O. Juan Ordoño: á primeros Subtenientes á los segundos D. Andrés Bejerano, D. Manuel Arcada , D. Santos Allende y D. Julián Maamud ; y á segundos Subtenientes al Sargento primero D. Tomas Domingo y al Cadete del de infantería del Príncipe Ó. Juan Ximenez : en el de granaderos voluntarios de Est</t>
  </si>
  <si>
    <t>Santos Domínguez, Martín</t>
  </si>
  <si>
    <t>Martín Santos Domínguez</t>
  </si>
  <si>
    <t>ha dignado nombrar para una plaza de Oidor de k Audiencia de Guadalaxara, vacante por jubilación de D. Martin Santos Domínguez, á D. Manuel de Irigoyen, Relator de la Audiencia de BuenosQ' ■% • i _ :__ i_— 4.^ o TU ♦i.-vclvrlnr* o Ti Annipnriu Cvníi-. JlUei , tlCi ivau-ij j w. plaza de Guadalaxara que aqu</t>
  </si>
  <si>
    <t>Santos Martínez</t>
  </si>
  <si>
    <t>dro Moritoro: para la Ración de la santa iglesia de Toledo, que.este-obtiene y resultará vacante, á D. Santos Martínez: para' la Canongía que resultará vacante^ en la catedral de Jaén por promoción de D. Juan Antonio Cornel apotra de la de Zaragoza, á D. Francisco Mulero Delgado: para otrátde la m</t>
  </si>
  <si>
    <t>Santos Quixano</t>
  </si>
  <si>
    <t>añía flamenca del mismo Real cuerpo ha conferido S. M. empleo de Cadete de número al supernumerario D. Santos Quixano ; y ha nombrado por Cadete supernumerario de la misma compañía al Guardia de ella D. Gabriel Mercier. Ha conferido S. M. eí empleo de Teniente Coronel del regimiento provincial de</t>
  </si>
  <si>
    <t>Santos, Alonso</t>
  </si>
  <si>
    <t>Alonso Santos</t>
  </si>
  <si>
    <t>Losada; las Subtenencias de granaderos y cazadores dtT dé Sog-ovia á los Subtenientes de fusileros: D. Alonso Santos y D. Esteban Pastor; la de cazadores del de Sigüenza al Subteniente D. Estanislao Tenajas; y Subtenencias de bandera en los de Laredo, Plasencia y S. Felipe á D. Joaehín. María de Cas</t>
  </si>
  <si>
    <t>Santos, Miguel</t>
  </si>
  <si>
    <t>Miguel Santos</t>
  </si>
  <si>
    <t>las de Castro: para Tenientes ai Subteniente de granaderos D. Francisco Mendieta, y al de fusileros D. Miguel Santos: para Subteniente de granaderos al de fusileros D. Bartolomé Guilloto; y para Subtenientes de bandera á los Cadetes D. Joachín González de la Torre y D. Joseph Tellez. Asimismo se</t>
  </si>
  <si>
    <t>Sanz de Santuola, Gregorio</t>
  </si>
  <si>
    <t>Gregorio Sanz de Santuola</t>
  </si>
  <si>
    <t>ez ; á primer Subteniente al segundo D. Francisco Matute Rubio, y á segundos Subtenientes al Cadete D. Gregorio Sanz de Santuola y al Sargento primero de granaderos Don Francisco Peralta: en el primer batallón de infantería ligera de Cataluña á primer Subteniente al segundo D. Juan Cansy , y á esta resulta al</t>
  </si>
  <si>
    <t>Sanz de Soria, Francisco</t>
  </si>
  <si>
    <t>Francisco Sanz de Soria</t>
  </si>
  <si>
    <t>drid : en Badajo* i D. Patricio Lacámara : en Mérida á D. Alonso Atanasio Pacheco ; y en Truxillo á Don Francisco Sanz de Soria. El 24 de Abril robáron á Mateo Fresno , ordinario de la villa del Barco, entre el lugar de Navaelpéral y Avila, dos vales Reales de 600 pesos, creación de Marzo, números 371,909</t>
  </si>
  <si>
    <t>Sanz, Buenaventura</t>
  </si>
  <si>
    <t>Buenaventura Sanz</t>
  </si>
  <si>
    <t>Manuel 4,e Fuentes, D. Joseph Eguizabal, D. Manuel Huete, Don Hilario Pó'nce,"D. Manuel Caballero, D. Buenaventura Sanz, D. Juan Moreno, D. Joseph Perochena, D. Joseph Saenz, D. Mariano Moreno, Don M irtin de Arambulo y D. Pablo Gaona y Jáuregui; y empleos de Portaestandartes á D. Diego de Vega, D.</t>
  </si>
  <si>
    <t>Sanz, Vicente</t>
  </si>
  <si>
    <t>Vicente Sanz</t>
  </si>
  <si>
    <t>numeroso y lucido el concurso. Por la mañana se abrid el certamen con un breve discurso del alumno D. Vicente Sanz, dirigido á hacer ver las ventajas de tales establecimientos con relación a su clase de eloqiiencia española; y por la tarde se dio principio con una disertación del alumno D. Man</t>
  </si>
  <si>
    <t>que fue un juego del Teatro histórico-crítico de la eloqtiencia española, de D. Antonio Capmany, á D. Vicente Sanz. Ademas ofreció uno de los concurrentes, cuya modestia no permite se nombre, otro premio extraordinario compuesto de un exemplar de la Historia-de Mariana, de la edición de Cana c</t>
  </si>
  <si>
    <t>Saravia, Rafael</t>
  </si>
  <si>
    <t>Rafael Saravia</t>
  </si>
  <si>
    <t>s D. Jacobo Velarde y D. Pedro Villaluenga: en el de Córdoba la ,Tenencia de granaderos ai Teniente D. Rafael Saravia, y una Subtenencia de bandera al Sargento primero D. Felipe Pacheco: en el de Ciudad-Rodrigo -las Subtenencias de granaderos y cazadores á los Subtenientes D. Juan Antonio Frade y</t>
  </si>
  <si>
    <t>Sardo</t>
  </si>
  <si>
    <t>uella ciudad oficiales y comisionados del Rey de Cerdeña. El Sr. Balbo, que fue Embaxador Sardo en París, está también en Turin como Intendente nombrado por S. M. para el ramo de Hacienda. Sin embargo, se asegura que aunque estos empleados gobiernan en nomb</t>
  </si>
  <si>
    <t>Saritós Grtiz</t>
  </si>
  <si>
    <t>dichb sugéro. Quien supiere ctééf lo re ña i ti rá al ’nfismo D. Benito Navarro, Ó en está corte ¿ D. Saritós Grtiz, én la tienda dé las covachuelas de S. Felipe el Real donde íé venden las munícionés. Ritos y ceremonias de los hebreos confutados: escritos en italiano por un Rabino, que convenc</t>
  </si>
  <si>
    <t>Sarralde y Manuel de la Fuente, Juan</t>
  </si>
  <si>
    <t>Juan Sarralde y Manuel de la Fuente</t>
  </si>
  <si>
    <t>bteniente de granaderos D. Joseph Alvarez; á Subtenientes de granaderos á los primeros Subtenientes D. Juan Sarralde y Don Manuel de la Fuente; á primeros Subtenientes á los segundos D. Vicente Quirós y D. Francisco Exea; y á segundos Subtenientes al Cadete D. Joseph Ruvi del Castillo y al Sargento primero“D. Francisco G</t>
  </si>
  <si>
    <t>Sarralde, Juan</t>
  </si>
  <si>
    <t>Juan Sarralde</t>
  </si>
  <si>
    <t>segundo, graduado de Capitán, D. Francisco Ximenez; á segundo Teniente al Subteniente de granaderos D. Juan Sarralde; á Subteniente dé granaderos al primer Subteniente D. Juan de la Caballería; á primer Subteniente al segundo D. Antonio María Sánchez, y á segundó Subteniente al Cadete D. Ramón d</t>
  </si>
  <si>
    <t>Sarraziíi, General</t>
  </si>
  <si>
    <t>General Sarraziíi</t>
  </si>
  <si>
    <t>no las causaron daño.. . yr* v.« Brest S de Julio rbi J O de este mes á ia 1111a dé la madrugada el General Sarraziíi echó la voz de que los ingleses habían hecho ún desembarco de 25® hombres, y en tíli instante todas las tropas del campamento de S. Renando se pusiéronlobre las armas, y corrieron á</t>
  </si>
  <si>
    <t>Sarrazin, General</t>
  </si>
  <si>
    <t>General Sarrazin</t>
  </si>
  <si>
    <t>e campaña, en la qual se habia dispuesto una comida frugal. Hubo varios brindis : el primero por el General Sarrazin, comandante del campamento} á.U alianza-.entre España y Francia, y á la felicidad de. las dos naciones! El Almirante Gravina dixo : brindo al primer Cónsul: deseo vivamente, ver á</t>
  </si>
  <si>
    <t>es el dia 7: consta de 4 batallones de granaderos y 2 compañías de arridería ligera , y la manda el General Sarrazin. Estas tropas descansarán aquí dos dias, y luego saldrán, según se dice, para Italia á reforzar el exército del General Bruñe. Luneville 18 de Noviembre. I aos Plenipotenciarios J</t>
  </si>
  <si>
    <t>General Murat, que llegó aquí el 25 por la noche, pasó la mañana siguiente revista á la brigada del General Sarrazin, la qual en número de 8 batallones ha marchado en dos colunas hacia Chamberí. La segunda colana lleva 12 piezas de artillería. Quedan en esta ciudad y en las aldeas de los contorn</t>
  </si>
  <si>
    <t>Saturio Ovejas, Joseph</t>
  </si>
  <si>
    <t>Joseph Saturio Ovejas</t>
  </si>
  <si>
    <t>l Subteniente de granaderos D. Francisco Xavier Avales-; la Subtenencia de cazadores al Subteniente D. Joseph Saturio Ovejas, y una Subtenencia de fusileros al Subteniente del provincial de Soria D. Vicente Ruiz: en el de Burgos Tenencias á los Subtenientes de granaderos y cazadores D. Jacobo Velarde y</t>
  </si>
  <si>
    <t>Saturnino Aguado y Payan</t>
  </si>
  <si>
    <t>, D. Pedro de Varo Franco y Areco, D. Manuel Ponce de León y Torres, D. Joseph de Tiscar y Pedrosa, D. Saturnino Aguado y Payan, D. Joseph Bayo y García de Prado, D. Joseph de Arbizu y Alava, Don Antonio Vázquez de Velasco y Ontañon, D. Santiago Palacio y Santibañez, D. Juan de Torres y Araujo, D. Juan Rub</t>
  </si>
  <si>
    <t>Saturnino Andrés DiezGuiLrte</t>
  </si>
  <si>
    <t>leguas de la ciudau ce Lingos, un monstruo birorme en la t.rde del 28 de Junio, y noticioso de ello D. Saturnino Andrés DiezGuiLrte,Cura Beneficiado de aquella paiioquial,paso á cerciorarse del suceso con asistencia del Alcalde ordhiarioManuel Maninez Fuente, y del Escribano Real y del número de la misma villa</t>
  </si>
  <si>
    <t>Saturnino Duarte, Andrés</t>
  </si>
  <si>
    <t>Andrés Saturnino Duarte</t>
  </si>
  <si>
    <t>uia de Vaíde-Nuño, en este arzobispado, vacante por haber contraído matrimonio D. Jorge Martínez, á D. Andrés Saturnino Duarte. ; En el Real cuerpo de Ingenieros del exército ha promovido S. M. á Ingeniero en xefe á D.Francisco Villarocl, que era Ingeniero en segundo; á este empleo á D. Carlos Cabrer y D.</t>
  </si>
  <si>
    <t>Sauniac Duforat, Juan Bautista</t>
  </si>
  <si>
    <t>Juan Bautista Sauniac Duforat</t>
  </si>
  <si>
    <t>cuerpo de lanceros de Veracruz; y agregación de Subteniente en el regimiento fíxo de la Luisiana á D. Juan Bautista Sauniac Duforat, Cadete que ha sido del mismo cuerpo.</t>
  </si>
  <si>
    <t>Saurín</t>
  </si>
  <si>
    <t>ó que aun quando el Parlamento tuviese esté derecho, seria imprudente y peligroso que lo exerciera. Mr. Saurín solicitó que sé suspendiese algunos dias dicho exámcn, á fin de que los vocales tuviesen.</t>
  </si>
  <si>
    <t>Sauvin</t>
  </si>
  <si>
    <t>guiré á lo menos que mi nombre no llegue á la posteridad cotí los de tantos enemigos de mi patria.” Mr. Sauvin apoyó esta propósicion oon mucha vehemencia: otros vocales se opusieron á «lia; y al fin se desechó por 135 votos contra 77. y-, Berna 1$ de Junio* JÍ1 Sr.Caamaño, Ministro de Esp</t>
  </si>
  <si>
    <t>Sauz, Joseph</t>
  </si>
  <si>
    <t>Joseph Sauz</t>
  </si>
  <si>
    <t>niente al segundo de granaderos D. Joseph Fernandez y ásebndo Teniente al Subteniente de granaderos D. Joseph Sauz: en el de MaUorca á Ayudante al primer Teniente D. Diego Hernández y G-'rdon; V á segundo Subteniente al Cadete D. Félix de Toda: en el secundo batallón de Voluntarios de Cataluña</t>
  </si>
  <si>
    <t>Savary</t>
  </si>
  <si>
    <t>Sayas, Manuel</t>
  </si>
  <si>
    <t>Manuel Sayas</t>
  </si>
  <si>
    <t>eneral á D. Pablo Sánchez, y endosado por^este¿* D: Joachín Abraides. Quien le encontrare avisará á D. Manuel Sayas, enr Madrid &gt; calle del Prado , núm. 4, quarto entresuelo inmediato al quar-r tei,de inválidos. -Por el juzgado de la Comandancia general de Artillería al cargo del Sr. Don Melcho</t>
  </si>
  <si>
    <t>Scarabaloi</t>
  </si>
  <si>
    <t>primer Cónsul de Francia, ha nombrado este gobierno al ciud. Melzi de Erüe. El ciud. Scarabaloi, Diputado cisalpino cerca del Duque de Parma, tuvo el dia 11 la primera audiencia de S. A. R. Ha vuelto á abrirse la navegación del Po. Se ha aumentado el terr</t>
  </si>
  <si>
    <t>Scarle, Capitán</t>
  </si>
  <si>
    <t>Capitán Scarle</t>
  </si>
  <si>
    <t>y se dispongan á atacar á la esquadra combinada. La fragata Ethalion de 38 cañones, mandada por el Capitán Scarle, se perdió el 24 de Diciembre cerca de Penmorks. Se salvó toda la tripulación, y ha llegado á Falmouth. Se han inventado nuevas señales para las banderas de la marina inglesa, med</t>
  </si>
  <si>
    <t>ScbLvh, General</t>
  </si>
  <si>
    <t>General ScbLvh</t>
  </si>
  <si>
    <t>Anspach y Bareuth. El General Ruchei mandará el ala izquierda, ei General Blucher el -centro, y el General ScbLvh.-n la derecha. Entre los regimientos de caballería é infantería que tienen orden de ir á dicho cordon, están nombrados los de gensdarmes y de húsares de Guking,que forman parte de</t>
  </si>
  <si>
    <t>Schelly, Miguel</t>
  </si>
  <si>
    <t>Miguel Schelly</t>
  </si>
  <si>
    <t>Canut: en el de Hibernia á Capitán al primer Teniente de granaderos, graduado de Teniente Coronel, D. Miguel Schelly; á primer Teniente de granaderos al de fusileros D. Alexandro O-Donntll; á primer Teniente* al segundo de granaderos D. Tomas Macoris; á segundo Teniente de granaderos al de fusil</t>
  </si>
  <si>
    <t>Schiafñnaty, Pedro</t>
  </si>
  <si>
    <t>Pedro Schiafñnaty</t>
  </si>
  <si>
    <t>a servido el Rey promover en el regimiento de infantería de Ñapóles á primer Subteniente al segundo D. Pedro Schiafñnaty; y á segundo Subteniente al Sargento primero D. Henrique Beltran: en eí Suizo de Yann á Teniente al Subteniente D. Remigio Kaysser; á Subtenientes de granaderos á los de fusileros</t>
  </si>
  <si>
    <t>Schilt</t>
  </si>
  <si>
    <t>Schimmeípennink</t>
  </si>
  <si>
    <t>j i de Enero. A ntes de ayer llegó á esta ciudad el ciud. Combs, Secretario del ciudadano Schimmeípennink, Embajador de la República bátava en Paris. Virio en calidad de correo, y solo tardó 6o horas en su viage. Se hacen en esta República reclutas para completar e</t>
  </si>
  <si>
    <t>Schimmelpenninck</t>
  </si>
  <si>
    <t>2^1 de Roma: ciud. Cerbellont, Embaxador cisalpino: ciud. Schimmelpenninck, Embaxador y Ministro plenipotenciario de la República bátava: ciud. Zeítner» Ministro plenipotenciario cjue íué de la República helvética , que presento sus r</t>
  </si>
  <si>
    <t>grandes sumas ílayei ji de Agosto. H a llegado á esta ciudad con su familia el ciud. Schimmelpenninck, Ministro de Holanda en París,y de aquí á 4dias saldrá para Ovéryssel. Créese que ha venido por orden de este gobierno, y que no volverá á servir su empleo : l</t>
  </si>
  <si>
    <t>Schimmelpennink</t>
  </si>
  <si>
    <t>rom con este motivo; y que se distribuyan exemplares á todos los miembros..— El ciud. Schimmelpennink, Embaxador de Holanda en Paríslúe quien, comunicó por extraordinario esta noticia al Directorio. Antes de ayer mañana llegó aquí el General Víctor, que por aus</t>
  </si>
  <si>
    <t>Schladcn, General</t>
  </si>
  <si>
    <t>General Schladcn</t>
  </si>
  <si>
    <t>a que conceda el paso por territorio bátavo á una parte del cuerpo de tropas prusianas que manda el General Schladcn , el qual diputó 2 Comisarios de guerra para pedirlo, exponiendo que dieho cuerpo se ve obligado a mudar de quarteles, porque teme se rompa un dique del Rhin , y resulte de ello l</t>
  </si>
  <si>
    <t>Schladen</t>
  </si>
  <si>
    <t>a no "quedan tropas francesas en el Baxo-Rhin. Dícese que se reforzará eí cuerpo prusiano que manda Mr. Schladen. Parece que en el exército imperial se hacen disposiciones para reforzar quanto antes el cordon que forma por el Rhin desde Coira hasta Kell. Quizá no tardará en haber alguna acci</t>
  </si>
  <si>
    <t>Schladen, General</t>
  </si>
  <si>
    <t>General Schladen</t>
  </si>
  <si>
    <t>acer una guerra terrible, ofensiva ó defensiva, según las circunstancias. De Wcsel escriben que. el General Schladen , comandante del cuerpo prusiano de observación, acaba de renovar las órdenes de que los emigrados franceses no puedan permanecer en Westfalia, y ha mandado salir á los que había</t>
  </si>
  <si>
    <t>oriental para examinar los -parages en que convenga formar puestos militares en caso de guerra. El General Schladen tiene encargo de ir esta primavera á Wessel, adonde también acudirá el Duque de Brunswick para revistar las tropas. Dícese que no formarán un campamento, sino que el Duque pasará</t>
  </si>
  <si>
    <t>nos días á esta parte se advierte mucho movimiento en el quartel general de observación___ Acaba el General Schladen de enviar 2^ hombres de caballería á Huissen para aumentar el destacamento que hay en aquella ciudad prusiana, la qual ( probablemente por equivocaciónj se ha comprehend ido en el terr</t>
  </si>
  <si>
    <t>a revista de su guarnición. Se trata de formar un campamento entre Wesel y Emmerich___Por orden del General Schladen, comandante deí cuerpo de observación prusiano, se han reforzado todos los puestos de tropas colocados en las fronteras de la República bátava, como también en la orilla derecha d</t>
  </si>
  <si>
    <t>artel general de dicho exército estará en Minden, y lo mandará el Duque de Brunswick. El cuerpo del General Schladen permanecerá por ahora en el Rhin-Inferior. Francfort 14 de Abril. E 1 Ministro británico residente en Stockolmo ha entablado negociaciones con aquel gabinete para ajustar un trata</t>
  </si>
  <si>
    <t>Schloet</t>
  </si>
  <si>
    <t>265 Mr. Schloet, Agente de la ciudad de ILamburgo, ha pasado por aquí yendo á París. Ha concedido el Cuerpo legislativo á la ciudad de Amsterdam una suma de medio millón de florines, que habrá de</t>
  </si>
  <si>
    <t>Schmid</t>
  </si>
  <si>
    <t>Schroeder</t>
  </si>
  <si>
    <t>uniforme de Feld-Mariscal austríaco , y comió en casa del Conde de Kaunitz. El 13 le dio un convite Mr. Schroeder, Comandante de la plaza: este dia iba con uniforme de General ruso. A las 12 de la noche salió para Petersburgo. Hoy entró aquí la primera división del exército ruso: todos los so</t>
  </si>
  <si>
    <t>Schuch, Francisco</t>
  </si>
  <si>
    <t>Francisco Schuch</t>
  </si>
  <si>
    <t>D. Aliguel Rey, y al Ayudante, graduado también de Capitán, D. Jorge Goeble; á Ayudante al Teniente Don Francisco Schuch; á Tenientes de granaderos á los de fusileros D. Alexandro de Korb y D. Manuel Gerig; á Tenientes á los Subtenientes D. Bernardo Yutz, D. Fidel de Reding, de granaderos, D. Franci</t>
  </si>
  <si>
    <t>Schutz</t>
  </si>
  <si>
    <t>eos los Tenientes Generales Duque de Richelieu y Príncipe Meschitscherskoi, los Generales Schutz, Wvangel y Knorring, los Mayores generales Dolgouruckow y Juccate, y otros Generales y Coroneles. A todos se les permite usar el uniforme de su respectivo grad</t>
  </si>
  <si>
    <t>Schwatz</t>
  </si>
  <si>
    <t>Schwiter, Melchor</t>
  </si>
  <si>
    <t>Melchor Schwiter</t>
  </si>
  <si>
    <t>los Subtenientes de granaderos D. Juan Richenbach y D. Luis Fesler; sus resultas á los Subtenientes D. Melchor Schwiter y D. Joseph Abhospital, y Subtenencia de fusileros al Sargento primero D. Juan Hellerbach; y en el Suizo de Yann Tenencia de granaderos al Teniente de fusileros D. Joseph Rotenflué, y</t>
  </si>
  <si>
    <t>Schwitter, Melchor</t>
  </si>
  <si>
    <t>Melchor Schwitter</t>
  </si>
  <si>
    <t>sileros al Cadete D. Francisco Quartery: en el de Betschart á Teniente al Subteniente de granaderos D. Melchor Schwitter; y en el de Rutiman á Teniente supernumerario al Sargento D. Ignacio Catín.</t>
  </si>
  <si>
    <t>Sció y Riaza, Felipe</t>
  </si>
  <si>
    <t>Felipe Sció y Riaza</t>
  </si>
  <si>
    <t>anotada conforme al sentido de los santos Padres y expositores católicos, per el lin o; y Riñe. Sr. D. Felipe Sció y Riaza; dispuesto por el P. Luis Mirguez de S. Fernando, del orden de las escuelas Pías, tomo i.° Esta obra, que sirve como de registro y complemento á la traducción castellana de la Bib</t>
  </si>
  <si>
    <t>Scliimmelpenninck</t>
  </si>
  <si>
    <t>de loo© personas. Udya 2 de Octubre, • H a despachado el gobierno un correo al ciud. Scliimmelpenninck, Embaxador de Holanda en Francia, que actualmente se halla en sus haciendas en ia provincia de. Overysel.¡ X-,e lleva arden de volver Inmediatamente á servir ,</t>
  </si>
  <si>
    <t>Scrrallach, Francisco</t>
  </si>
  <si>
    <t>Francisco Scrrallach</t>
  </si>
  <si>
    <t>anada: D. Joseph Velarde, segundo Subteniente del primer batallón do infantería ligera de Cataluña: D. Francisco Scrrallach y D. Joseph Castellar, primer Subteniente y Cadete del primero de Barcelona : D. Gaspar Durrwel, Teniente del regimiento Suizo de Betschart: D. Juan Sociats, Cadete de la compañía fix</t>
  </si>
  <si>
    <t>Seco, Manuel</t>
  </si>
  <si>
    <t>Manuel Seco</t>
  </si>
  <si>
    <t>de granaderos al de fusileros D. Francisco Priego; á segundo Teniente al Subteniente de granaderos D. Manuel Seco ; á Subteniente de granaderos al primer Subteniente D. Joseph de la Reguera; á primeros Subtenientes á los segundos D. Nicolás Juan de Ariza, D. Ximen Ruiz de Liory y D. Ildefonso</t>
  </si>
  <si>
    <t>Sedaño, Diego Joseph</t>
  </si>
  <si>
    <t>Diego Joseph Sedaño</t>
  </si>
  <si>
    <t>honores de Oidor ae la Audiencia de Sevilla al Alcalde honorario de la Quadra de la misma Audiencia D, Diego Joseph Sedaño, Asesor general de la Intendencia de exército de la Havana. Asimismo se ha servido S. M. nombrar para la Vara de Alcalde mayor de la ciudad de Málaga á D. Mariano Madramany: para</t>
  </si>
  <si>
    <t>Sedeño, Juan Antonio</t>
  </si>
  <si>
    <t>Juan Antonio Sedeño</t>
  </si>
  <si>
    <t>regimientos de Milicias provinciales de España, á Coronel del de Segovia al graduado de infantería D. Juan Antonio Sedeño, Teniente Coronel del mismo cuerpo : á Capitanes de fusileros en los de Sevilla y Ronda á los Tenientes de cazadores D. Ramón</t>
  </si>
  <si>
    <t>Segovia, Juan Andrés</t>
  </si>
  <si>
    <t>Juan Andrés Segovia</t>
  </si>
  <si>
    <t>le los .honores y sueldo de Alcalde de casa y corte ; y nombrar para sucederle en el mismo empleo á D. Juan Andrés Segovia, Relator del Consejo. También se ha servido S. M. nombrar á D. Pedro Garrido y Duran, Oidor supernumerario de la Chancillería de Granada, para la plaza de Oidor de la misma, vacan</t>
  </si>
  <si>
    <t>Segoviano Anures Laguna</t>
  </si>
  <si>
    <t>imas oraciones que pronunció Cicerón contra Catilina; traducidas por el célebre Segoviano Anures Laguna , médico que fue del sumo Pontífice Julio III: tercera edición. Se hallará en Ja librería de Castillo frente á las gradas de S. Felipe el Rea!; en la de Cerro, red de S. Luis, y en su pues</t>
  </si>
  <si>
    <t>Seguróla, Joseph María</t>
  </si>
  <si>
    <t>Joseph María Seguróla</t>
  </si>
  <si>
    <t>h -Carneros y al Subteniente D. Bernardo Nieto, y á los Subtenientes D. Vicente Kindelán y Meneses, D. Joseph María Seguróla y D. Manuel Antonio Salaza*: Subtenencias de granaderos y cazadores en los de Valladolid y Compostela á los Subtenientes de fusileros D. Vicente Moneada y D. Juan Moscoso; y Subtenenc</t>
  </si>
  <si>
    <t>Seid-Ali-Bey, Almirante</t>
  </si>
  <si>
    <t>Almirante Seid-Ali-Bey</t>
  </si>
  <si>
    <t>enecianas, en las quales se han movido bastantes alborotos. Hace 3 dias llegó á este puerto el Vice-Almirante Seid-Ali-Bey coa parte de su esquadra. Semlin 21 de Marzo. A visan de Belgrado que se han ajustado las desavenencias que habia entre Baswan-Oglow y el Baxá de Nissa, habiendo este ofrecido cum</t>
  </si>
  <si>
    <t>Sejuro, Simón</t>
  </si>
  <si>
    <t>Simón Sejuro</t>
  </si>
  <si>
    <t>zar. En el de Milicias urbanas de caballería de Camina compañía á D. Manuel Caballero, y Tenencia á D. Simón Sejuro. .En el de Milicias urbanas de caballería de S. Pablo de Chalaquez, Tenencia á D. Mitías Díaz , y empleo de Alférez á D. Mariano Arribaspíata. En el de Milicias urbanas de dragone</t>
  </si>
  <si>
    <t>Sellart</t>
  </si>
  <si>
    <t>división de 3 fragatas y 5 cañoneras francesas al mando del ciud. Landolphe, el qual, según refiere Mr. Sellart, Capitán de la Diana , llevaba encargo de destruir todos los castillos de la costa; estaban sus buques armados para este efecto , é iban en ellos 1© hombres de tropas. Las presas</t>
  </si>
  <si>
    <t>Selle</t>
  </si>
  <si>
    <t>de las carretas. Introducción al estuiio de la naturaleza y de la medicina : escrita en aleman por Mr. Selle , médico de! Rey de Prusia, miembro de la Rs.-al academia de. ciencías de Berlín &amp;c. , y traducida del francés por D. Francisco Bonai'on , proíésor de medicina : un tomo en 8.° de</t>
  </si>
  <si>
    <t>Seminan</t>
  </si>
  <si>
    <t>, en que los habitantes se hallan con recursos para ello. De Lúea avisan que el Ministro Seminan va escribió el dia 8 al General de brigada francés Launai, quejándose de la ocupación del estado de Lúea por los republicanos, sosteniendo que era contraria al</t>
  </si>
  <si>
    <t>Semonviile</t>
  </si>
  <si>
    <t>ese que el ladrón perderá parte de la mano. Haya 2/ de Enero. A yer presentó el ciud. Semonviile , nuevo Ministro plenipotenciario de la. Kepública francesa, sus credenciales al Directorio ejecutivo , introduciéndole en la audiencia su antecesor el ciud. D</t>
  </si>
  <si>
    <t>Semonville</t>
  </si>
  <si>
    <t>sboa, y posteriormente fue á cruzar entre Cádiz y Argel. Haya 18 de Enero. L os ciudadanos Semonville , Ministro plenipotenciario de Francia, y Marivaux, Secretario de legación, llegáron aquí el dia 14. Como se rezela que la expedición que disponen los ingleses</t>
  </si>
  <si>
    <t>vio Leandro. Haya 2 &lt;T de Enero. A ver noche llegó aquí el General Augereau. El Ministro Semonville lo presentó hoy al Directorio executivo, y hubo entre ellos una conferencia de cerca de dos horas. Parece que dicho General mandará no solo las tropas francesa</t>
  </si>
  <si>
    <t>Sempcrei, Joseph Ignacio</t>
  </si>
  <si>
    <t>Joseph Ignacio Sempcrei</t>
  </si>
  <si>
    <t>ndera en los de Laredo, Plasencia y S. Felipe á D. Joaehín. María de Casuzo, D. Juan Bishc y Arnau, D. Joseph Ignacio Sempcrei y D. Ensebio Doiiat, estos dos agregados de Subtenientes al expresado de San 1 Felipe. S. M. se ha servido prorogar á D. Joachin Varón por otros seis años en la Vara de Alcalde mayor</t>
  </si>
  <si>
    <t>Senent y Magdalena</t>
  </si>
  <si>
    <t>ento ídem.................................... 52. 19. Jacinto Armengol, hijo de Senent y Magdalena, natural de Barcelona, Corregimiento ídem.................... ............ 55. 50. Domingo Ribot, hijo de otro y Margarita, natural de S. Pol, Corregimiento de GeVona......................</t>
  </si>
  <si>
    <t>Senra, Luis</t>
  </si>
  <si>
    <t>Luis Senra</t>
  </si>
  <si>
    <t>on: en el de Alicante y Orihuela ai Subteniente agregado D.. \ icente Escolano; y en el de Orense á D. Luis Senra. Asimismo lia nombrado S. M. Secretario de la Inspección general de milicias al Sargento mayor agregado ai regimiento provincial de Salamanca D. Joseph María Cano Henriquez; y ha</t>
  </si>
  <si>
    <t>Sentiens, Juan</t>
  </si>
  <si>
    <t>Juan Sentiens</t>
  </si>
  <si>
    <t>ndos D. Domingo Arríete, D. Juan Pinto y D. Joseph Francés; y á segundos Subtenientes á los Cadetes Don Juan Sentiens y D. Joseph Perez Cerda, y al Sargento primero de granaderos D. Antonio Ibañez: en el de Granada á Ayudante al primer Teniente D. Gabriel Varela; y á segundo Teniente de granaderos al</t>
  </si>
  <si>
    <t>Serafín de Pinto y Velarde</t>
  </si>
  <si>
    <t>varez en la calle de la Yedra, y ocupa 941 pies, en venta 3550 rs. y en renta 105. De la memoria de D. Serafín de Pinto y Velarde: media cerca en los Chórrales cercada de pared de piedra , como.su mitad de tapia doble , y lo demas de sencillo , su caber de 3! fanegas de pasto , en venta 4% rs. y en renta 120</t>
  </si>
  <si>
    <t>Serapio Sinués</t>
  </si>
  <si>
    <t>te, y los socios Dr. D. Manuel de Latorre, Canónigo penitenciario, y censor segundo de la sociedad, D. Serapio Sinués, D. Tomas López, D. Juan Polo y Catalina, D. Joseph Duaso y D. Pedro Gregorio de Echeandía, catedrático de botánica, en calidad de examinadores, á presen</t>
  </si>
  <si>
    <t>especies de las expresadas plantas con sus propiedades, virtudes y uso?. Fuéron examinadores elDr. D. Serapio Sinués, Médico colegial de esta ciudad. .y Catedrático,de ágricultura; el Dr. B. Tomas ^López, también Médico colegialD. Francisco Otano, Catedrático de chímica ; el Be- D. Juan Polo y C</t>
  </si>
  <si>
    <t>Serbent, Gerónimo</t>
  </si>
  <si>
    <t>Gerónimo Serbent</t>
  </si>
  <si>
    <t>ba á D. Nicolás Antonio Mella y Carvajal: para la vara de Alcalde mayor de la ciudad de Cartagena á D. Gerónimo Serbent; y para la de la de Badajoz á D. Joseph Manuel Calderón de Guevara. El Rey se ha servido nombrar para la plaza de Oficial archivero de la Superintendencia general de los archivos</t>
  </si>
  <si>
    <t>Sercey, Almirante</t>
  </si>
  <si>
    <t>Almirante Sercey</t>
  </si>
  <si>
    <t>fue apresado después por los enemigos. Parece que al tiempo de su rendición no lo mandaba el Contra-Almirante Sercey, pues de JBombay escriben con fecha de 2 de Agesto que este Comandante de la esquadra francesa en la India vive muy retirado en una factoría holandesa de la isla de Java. Los comi</t>
  </si>
  <si>
    <t>Serra y Franch, Joachín</t>
  </si>
  <si>
    <t>Joachín Serra y Franch</t>
  </si>
  <si>
    <t>eph Hernández San,u Cruz, Don Manuel González Villamil, D. Joseph Rinconada , D. Paulo de Norieí?a, D. Joachín Serra y Franch., D. Eustasio González, D. Juan Valle-Espinosa y D. Diego López. Presidió el Sr. D. Sebastian de Torres, dei Consejo de S. M., Alcalde de su Real casa y corte. El 19 de Marzo fall</t>
  </si>
  <si>
    <t>Serra, Joseph</t>
  </si>
  <si>
    <t>Joseph Serra</t>
  </si>
  <si>
    <t>teniente de granaderos al primer Subteniente D. Joachin de Villena; á primer Subteniente al segundo D. Joseph Serra; y á segundos Subtenientes al Sargento primero de granaderos, graduado de Subteniente, D. Francisco Olivencía, y al Cadete del primer batallón de Voluntarios de Aragón D. Juan Ant</t>
  </si>
  <si>
    <t>Serra, Juan Carlos</t>
  </si>
  <si>
    <t>Juan Carlos Serra</t>
  </si>
  <si>
    <t>un Ministro para el Congreso de Luneville, y se cree recaerá la elección en el ciud. Juan Carlos Serra. El ciud. Boccardi, Ministro que fué de esta Kepública en París, está ya sirviendo el empleo de Ministro ae Relaciones exteriores. Milán 1 í de 'Noviembre. E 1</t>
  </si>
  <si>
    <t>plenipotenciario de esta República en el congreso deXuneyille está nombrado el ciud. Juan Carlos Serra. Se asegurxa que¿ este gobierno propuso tres sugetos de mérito al primer "Cónsul de tprancia, para que entre ellos eligiese al que mas le agradase. ^ ¡(^JLQS ^</t>
  </si>
  <si>
    <t>Serraclara, Joseph</t>
  </si>
  <si>
    <t>Joseph Serraclara</t>
  </si>
  <si>
    <t>y también ha tenido á bien el nombrar Maestro mayor de Herrería de la citada Maestranza ai Sargento D. Joseph Serraclara. El dia 24 de Marzo próximo pasado falleció en esta corte de edad de 71 años y 7 meses cumplidos el Exc. Sr. D. Bernardo del Campo, Marques del Campo , Caballero Gran Cruz de la R</t>
  </si>
  <si>
    <t>Serrano Manzano, Joaquín</t>
  </si>
  <si>
    <t>Joaquín Serrano Manzano</t>
  </si>
  <si>
    <t>n al ingles con comentos é ilustraciones por el mismo autor, y del ingles al castellana por el í)r. D. Joaquín Serrano Manzano , Físico, Secretario perpetuo del Real colegio de medicina de Madrid, y del Real de la Facultal reunida de S. Cárlos. Seria inútil hacer elogio de un autor tan conocido en Europa.</t>
  </si>
  <si>
    <t>Serrano, Alonso</t>
  </si>
  <si>
    <t>Alonso Serrano</t>
  </si>
  <si>
    <t>amón García’de Segovia: en el de Voluntarios de España á Alférez ai Sargento, graduado de Alférez , D. Alonso Serrano ;y en el de dragones de la Reyna á Teniente al Alférez D. Antonio Castilla. También ha nombrado S. M. Capellanes de los regimientos de infantería de la Reyna, España, Aragón y bat</t>
  </si>
  <si>
    <t>Serrano, Antonio</t>
  </si>
  <si>
    <t>Antonio Serrano</t>
  </si>
  <si>
    <t>rimero de granaderos D. Joseph Rubio ; en el de Mallorca á primer Teniente al segundo de granaderos D. Antonio Serrano : en el de cazadores voluntarios déla Corona á Capitán de gastadores al de cazadores D. Manuel.Herrero; á Gapitan al primér Teniente de gastadores D. Agustín Moriaiio ; á primer T</t>
  </si>
  <si>
    <t>Serrano, Gonzalo</t>
  </si>
  <si>
    <t>Gonzalo Serrano</t>
  </si>
  <si>
    <t>de 4 fanegas , tierra calma, tasada en 20,064 rs. : ambas pertenecientes á la obra pia fundada por Don Gonzalo Serrano. Al patronato de ánimas que fundó Diego López Fuentecilia pertenece una haza en el sitio de los Villares , de cabida de 44-! fanegas de tierra, con casa cortijo, valuado todo en 4</t>
  </si>
  <si>
    <t>Serrano, Juliana</t>
  </si>
  <si>
    <t>Juliana Serrano</t>
  </si>
  <si>
    <t>vy 86-, siete olivas en el sitio llamado pago de Caladas , pertenecientes á la obra pia de Doña Juliana Serrano, en 11,28®. Ochenta y ocho olivos en el sitio llamado pago de Cerrada, pertenecientes á id., en 15,840. Otros ii&lt;5 en id., á id. ¿en 8800, n^»nc i/4 ^ J •*• ^ ■* ^~ 1 . A --------</t>
  </si>
  <si>
    <t>Serras, General</t>
  </si>
  <si>
    <t>General Serras</t>
  </si>
  <si>
    <t>avisa el General Souchet con fecha del ¿7, que conserva las alturas de Mdogno y Settepani. Mandó ai General Serras se apoderase de las de Muriatto; y este General, á la frente de un cuerpo de granaderos, cogió 150 prisioneros, inclusos 3 oficiales. Massena se hallaba en Genova, y diariamente t</t>
  </si>
  <si>
    <t>Seta, Antonio</t>
  </si>
  <si>
    <t>Antonio Seta</t>
  </si>
  <si>
    <t>guel de Ripa , D. Rafael Crespo, D. Vicente Royo, D. Francisco Rimont, D; Juan Antonio Ochotarena y D. Antonio Seta; y á D. Mariano Herrando un libro del Jardinero instruido, enquadernado en pasta, costeando estos premios la generosidad del presidente Dean de esta santa Iglesia, que arengó á lo</t>
  </si>
  <si>
    <t>Severo Aguirre</t>
  </si>
  <si>
    <t>ntos ó separados, y en Haro en casa del Médico rituiar. Continuación y suplemento del Prontuario de D. Severo Aguirre, en el que se han insertado las cédulas, decretos y Reales resoluciones expedidas en el año de 1799 , y algunas de los anteriores, con lo que se forma el 4.° tomo de la obra. Se h</t>
  </si>
  <si>
    <t>Severo Cardesid</t>
  </si>
  <si>
    <t>e D. Salvador Joseph Sánchez Lcmeña: en el de Santiago á Subteniente de granaderos al. de fusileros D. Severo Cardesid: en el de Córdoba á Subtenientes de cazadores .y de bandera al de; fusileros D. Joseph Ortiz y, Fernandez; y D.. Joseph Gandan; y á Subtenientes de bandera en los-de Betanzós, Alc</t>
  </si>
  <si>
    <t>Severo de OHver</t>
  </si>
  <si>
    <t>§44 Capitán de granaderos de Asturias D. Severo de OHver y e- Teniente de Navio D. Agustín Matute. Los heridos los Alféreces de Navio D. Manuel Luengas y D. Antonio Balzoná; y los de Fragata D. Rafael Basabe y D. Tomas de Gana, y el Tenient</t>
  </si>
  <si>
    <t>Sevilla, Pedro</t>
  </si>
  <si>
    <t>Pedro Sevilla</t>
  </si>
  <si>
    <t>imiento.” El Rey ha nombrado en el regimiento de caballería de Santiago segundo Teniente al Alférez D. Pedro Sevilla; y para esta resulta al Alférez agregado D. Tomas Uson. . Asimismo ha conferido S. M. el empleo de Capellán del regimiento de dragones de Pavía á D. Joseph Matute , que obtenía el</t>
  </si>
  <si>
    <t>Seward, Coronel</t>
  </si>
  <si>
    <t>Coronel Seward</t>
  </si>
  <si>
    <t>cia durante el bloqueo de aquel puerto. El cuerpo de artillería , que baxo las órdenes del Teniente Coronel Seward debe embarcarse en Southampton, consiste en 3 compañías con muchos’oficiales de plana mayor. Lleva un gran tren de cañones de batir. A todas las tropas empleadas en la expedición sec</t>
  </si>
  <si>
    <t>Seymour, Capitán</t>
  </si>
  <si>
    <t>Capitán Seymour</t>
  </si>
  <si>
    <t>lan*. te de Brest, á fin de precaver los intentos de los enemigos. El cúter Spitfire de 16 cañones, Capitán Seymour, se ha apoderado de un buque holandés que venia de Batavia con un cargamento de mucho precio. Según las últimas cartas de la costa de Africa, 3 fragatas francesas han apresado 13</t>
  </si>
  <si>
    <t>Shairp</t>
  </si>
  <si>
    <t>nerales Abercombrie y Puíthey; Parece que esta expedición se dirige á Egipto. , ? Habíase dicho que Mr. Shairp, Cónsul general ingles en Rusia, no consiguió licéúcia de desembarcar en Cronstadt á causa de una falta de formalidad que había en sus pasaportes; pero en el diaTse sabe que habie</t>
  </si>
  <si>
    <t>Sheffield, Lord</t>
  </si>
  <si>
    <t>Lord Sheffield</t>
  </si>
  <si>
    <t>es contra el proyecto de unión de parte de diferentes gremios de aquella capital. El dia 5 pidió el Lord Sheffield se presentase á la Cámara un estado del trigo, harina, arroz y otros granos sacados é introducidos anualmente en el Beyno desdé al año de 1794.__ El Lord Canciller de Irlanda ha i</t>
  </si>
  <si>
    <t>Sheridan</t>
  </si>
  <si>
    <t>ó Mr- Pitt en la Cámara baxa presentar,el 2.5 úbudjet, ó estado de gastes y recursos para este año. Mr. Sheridan, al cabo de un discurso muy fundado,pidió, que ,se exámí-: nasen en la misma Cámara las causas del desgraciado fin de la expedido» de Holanda. Replicó Mr. Dundas que dicha expedic</t>
  </si>
  <si>
    <t>que no se prolongaba la suspenden dedos privilegios de dicha acta sino para evitar los males á que Mr. Sheridan hacia alusión: que ajustada la paz tomaría la--Cámara ..las precauciones que juzgase convenientes; y que para hacer esta paz era forzoso continuar, la guerra, como lo manifestaría</t>
  </si>
  <si>
    <t>oyne en nombre de los trabajadores de Lancaster, Mr. Bourdet Jones de parte de los de Manchester, y Mr. Sheridan en nombre de los de Bristol, Plimouth y Bath. En la misma sesión acordó la Cámara dar algunos socorros á Mr. Tomas Fowden, para que pueda continuar sus experiencias sobre la utilida</t>
  </si>
  <si>
    <t>r Francia que aquella ciudad ha vuelto al poder de los franceses. En la Cámara de tos Comunes hizo, Mr. Sheridan el dia 27 la proposición de que se convocase á todos los vocales para de allí á 15 dias, á fin de tratar de la paz. Examinó si las mudanzas acaecidas en nuestra situación y en la de</t>
  </si>
  <si>
    <t>e este Ministro han salido falsos, se empeña en continuar la guerra por un motivo personal. Recordó Mr. Sheridan los baldones y ultrajes con que Mr. Pitt zahirió á Bonaparte en público Parlamento: por consiguiente (añadió) se halla en el mayor embarazo para tratar con un hombre á quien insultó t</t>
  </si>
  <si>
    <t>nos. Observó Mr. Buxton que las sesiones estaban muy adelantadas para ocuparse en este asunto; pero Mr. Sheridan replicó que esto no debía ser impedimento, supuesto que el bilí se aprobó quando estaban mucho mas adelantadas las del año anterior: de suerte que los agraviados no tuvieron tiemp</t>
  </si>
  <si>
    <t>nase si convenia seguir la guerra, y sota ye los otros puntos referidos en Ja gazeta anterior, dixo Mr. Sheridan que el objeto que se trataba no era precisamente el ajuste de la paz ni la destitucii n de ios Ministros, sino averiguar el estado de las cosas, á fin de que los representantes de</t>
  </si>
  <si>
    <t>osee grandes talentos, y que la nación francesa es una gran nación. ¡Confesión admirable!”—Concluyó Mr. Sheridan escarneciendo á ios que después de hablar con la mayor indecencia del primer magistrado de la República francesa , se ven! forzados á reconocerle como un hombre grande. A conseqiien</t>
  </si>
  <si>
    <t>I 1$2 ral.”__ Mr. Sheridan aprobó la respuesta con ciertas restricciones. Habló luego Mr. Grey, cuyo extenso discurso se resumirá aquí. ,, El Ministro se muestra mas solícito que otras veces en conseguir la</t>
  </si>
  <si>
    <t>Sherldám</t>
  </si>
  <si>
    <t>ecido: lo qual se concedió tam*bjen, suspendiéndose por consiguiente hasta el 10 la proposición que Mr. Sherldám se proponia hacer él dia i.p sobre la malograda expedición de Holanda. Según variar gazetas inglesas no se cree generalmente que la enferme*dad de Mr. Pitt sea verdadera; sino pol</t>
  </si>
  <si>
    <t>Siados, Jacinto</t>
  </si>
  <si>
    <t>Jacinto Siados</t>
  </si>
  <si>
    <t>e Igualada, Corregimiento de Villafranca....................... 100. 6» Otro... Jacinto Siados, hijo de otro y Rosa, natural de Barcelona , Corregimiento idetn................................................ 72. 21. Otro... Jacinto Vidal, hijo de Joseph y Francisca, natural de Se</t>
  </si>
  <si>
    <t>Sicard</t>
  </si>
  <si>
    <t>iceo de las artes, y del liceo republicano, por los sordo-mudos, discípulos del ciud. Sicard, sucesor del Abate de I’Epée en la enseñanza de estos desgraciados. El Prefecto del departamento del Var ha comunicado al Ministro de lo Interior el siguiente</t>
  </si>
  <si>
    <t>Sidncy-Smith</t>
  </si>
  <si>
    <t>, y causó desastres en las embarcaciones del puerto. Según noticias recientes de Levante no tardará Mr. Sidncy-Smith en salir de Chipre con la esquadra de su mando para sostener la expedición del Gran Visir j cuyo exército quedaba en Jaita esperando refuerzos para entrar en Egipto. a Haya jo de No</t>
  </si>
  <si>
    <t>Sidney Smith</t>
  </si>
  <si>
    <t>duda pagarán con su cabeza da mera sospecha de ser partidarios de los enemigos. También se dice que Mr. Sidney Smith ha hecho contra Damieta otra tentativa tan desgraciada como la primera, pues se regula esta nueva pérdida en 3® hombres entre muertos, prisioneros y extraviados. Después de su mal</t>
  </si>
  <si>
    <t>o el Gran Señor de que se haya violado de este modo la capitulación firmada por su Gran Visir y por Mr. Sidney-Sinith, se propone pedir satisfacción del insulto. Petersburgo 18 dt Abril, P or orden del Emperador se prohíbe la introducción de géneros y mercancías extrangeras en cuya composición ó</t>
  </si>
  <si>
    <t>O DE 1800. Consiantinopia 2 8 de Abril. S egun noticias recientes de Egipto, la esquadra inglesa de Mr. SidneySmitíi ha sido reemplazada en aquellos mires por otra de la propia n icion, cuyo comandante (añaden) ha declarado que no reconoce el convenio ó capitulación para la retirada de los franc</t>
  </si>
  <si>
    <t>ario de la embaxada inglesa en Constantinopia, ha sido despachado de aquella ciudad para informar á Mr. Sidney-Smith que el gobierno británico se ha negado á ratificar el tratado que el mismo Mr. Smith firmó de acuerdo con el Gran Visir___ No puede por desgracia dudarse de que se ha renovado la</t>
  </si>
  <si>
    <t>ntes fuese posible el tratado concluido entre el General Kleber y el Gran Visir con intervención de Mr. Sidney Smith, quando el Embaxador ingles Elgin declaro al ministerio otomano que su corte no adoptaba la capitulación, y que sus fuerzas navales se opondrían al retorno de las embarcaciones de</t>
  </si>
  <si>
    <t>xá lia salido con 12 navios de línea, 7 fragatas y 6 corbetas para la isla de Chipre, y tratará con Mr. Sidney Smith sobre las medidas que convengan tomar según las circunstancias.” Vienajo dé Mayo.E spérase aquí en todo el mes próxímó á la Reyna de Ñapóles, que se embarcará en Palermo para Trie</t>
  </si>
  <si>
    <t>la aprobación cíe su corte al tratado de Egipto, y ha dado aviso de ello á Mr. Sidney Smith, que sigue cruzando en los mares de Alexandría. Las casas de los Principes de Nassau y el condado de Hachenburgo han ajustado un convenio con el gobierno francés, en virtud del qu</t>
  </si>
  <si>
    <t>en Liorna el consentimiento de esta corte para la capitulación de Egipto, y no tardó en enviarla á Mr. Sidney-Smith. Según el embarco de tropas y los preparativos que se hacen en varios puertos, podría conjeturarse que este ministerio no cree que la corte de Viena acepte las proposiciones de pa</t>
  </si>
  <si>
    <t>Turquía, qué los ingleses mandados por el Teniente Coronel Murray se han hecho dueños de Suez: que Mr. Sidney Smith tuvo de oficio este aviso, y lo comunicó á Constantinopla por el conducto del Cónsul ingles que reside en Chipre. Añaden que Mr. Smith había dexado el apostadero de Alexandría, é</t>
  </si>
  <si>
    <t>que tenia anunciada en orden á los asuntos de Egipto. De varias qüestiones que propuso infirió que Mr. Sidney Smith había obrado como Plenipotenciario del ministerio ingles: intentó probar que las órdenes de los Aíinistros habían sido causa de que 8® turcos perdiesen la vida á manos de los fran</t>
  </si>
  <si>
    <t>n efecto la República ha perdido uno de sus mas ilustres guerreros.” J. Me ñau , General en xefe, d Mr. Sidney Smith comandante delfktr •rfj ingles Tigre. Qu irtel general del Cayro 20 de Junio ,, He recibido la Car,ti con que me honráis, fecha el 9 de Junio á bordo del Tigre delante de Rhodas.</t>
  </si>
  <si>
    <t>024 Por e! último correo de Hamburgo se han recibido noticias de la costa de Egipto del 6 de Julio. Mr. Sidney Smith seguía correspondencia con el General Menou, y esperaba con impaciencia respuesta á los últimos pliegos que había enviado al Cavro por el Teniente Vngíu, El Gran Visir quedaba cam</t>
  </si>
  <si>
    <t>cimiento de sopas económicas en uno de ios barrios de esta capital. En la carta del General Menou á Mr. Sidney-Smith (publicada en la gazeta del 19 de Setiembre) se hace mención de un secretario del Lord Elgin y de las astucias de guerra que había aconsejado. Una gazeta de Londres contiene sobre</t>
  </si>
  <si>
    <t>las negociaciones entre Francia y Viena, de todas las cartas, órdenes é instrucciones comunicadas á Mr. Sidney-Smith sobre la evacuación de Egipto por los franceses; final</t>
  </si>
  <si>
    <t>Sidney Smitii</t>
  </si>
  <si>
    <t>o no hubo truenos ni relámpagos. &gt;$egun avisos de Constantinopla ha salido ya de Chipre para Egipto Mr. Sidney Smitii , y va con ánimo de bombardear á Aíexandría. El Conde dé Clare se ha despedido de S. M. ,y se transferirá quanto tintes á D.ublin en .calidad'*de Virey de Irlanda. "r- . Nó tardar</t>
  </si>
  <si>
    <t>Sidney-Smitb</t>
  </si>
  <si>
    <t>propio día llego á este puerto procedente de Rhódas una bombarda apresada en los mares de Siria por Mr. Sidney-Smitb.__ Asimismo han entrado varios buques de la esquadra del Capitán Baxá, y este Almirante sé halla también de vuelta, habiendo fondeado en Ponte-Grando á la entrada «del mar de Marm</t>
  </si>
  <si>
    <t>Sidney-Smith</t>
  </si>
  <si>
    <t>e en estas cocinas es lo que proporciona dar la comida á precio tan baxo. Se han recibido cartas de Mr. Sidney-Smith; quedaba sobre las costas de Caramania haciendo aguada y proveyéndose de leña. — Sábese también que ha llegado á Constantinopla el Lord Elgin, que va á reemplazar á Mr. Spenccr-Sm</t>
  </si>
  <si>
    <t>Sídney-Smith</t>
  </si>
  <si>
    <t>édito algunas cartas particulares de Turquía, la sublime Puerta, de acuerdo con el Conmodoro ingles Mr. Sídney-Smith , ha concluido un armisticio por algunos meses con el General Kleber. Después de haberse dicho estos dias que ios franceses no pudiendo sostenerse en Egipto por haber perdido la i</t>
  </si>
  <si>
    <t>lmirantazgo el Capitán Maitland y el Teniente Coronel Douglas, oficiales del navio Tigre, que manda Mr. Sidney-Smith, de quien traen pliegos con la noticia de la capitulación del exército francés de Egipto.—-Por cartas del Lord Nelson, qüe el Almirantazgo recibió el mismo dia, se sabe que ha sid</t>
  </si>
  <si>
    <t>ito no tardó en llegar á Jaffa. Pocos dias ántes del desembarco de Damieta me escribió el Conmódoro Mr. Sidney-Smith; y sabiendo yo todo el influxo que gozaba con el Visir, juzgué á propósito no solo contestarle, sino también proponerle p ira las conferencias el navio que montaba; pues me causab</t>
  </si>
  <si>
    <t>ussielgue, á quienes nombré por plenipotenciarios, empezaron en el navio Tigre las conferencias con Mr. Sidney-Smith, á quien el Gran Visir había dado plenipotencias para tratar. Debían mantenerse en las aguas desde Damieta á Alexandría; pero un huracán les obligó á hacerse al mar, y corriéron p</t>
  </si>
  <si>
    <t>a concluido la capitulación, y que el Lord Keith no solo ratificó todos los empeños estipulados por Mr. Sidney-Smith, sino que ademas envió órdenes á los buques que están baxo su mando para que respetasen los pasaportes del Conmódoro Smith. Se asegura que de resultas ha sido depuesto el Lord Elg</t>
  </si>
  <si>
    <t>sentadas por el Ministro. Léese en las gazetas inglesas que el Baxá Djezzar ha intentado asesinar á Mr. Sidney-Smith. Qrtnebra 2c&gt; de Abril. L ms primeras operaciones del exército francés han sido tan gloriosas como</t>
  </si>
  <si>
    <t>Siehenthol, Coronel</t>
  </si>
  <si>
    <t>Coronel Siehenthol</t>
  </si>
  <si>
    <t>Óe na publicado el siguiente convenio: !Condiciones propuestas por el Coronel Siehenthol, comandante de Liorna, y acepte das por el General de brigada Clement, del exército francés. Artículo i.° Las fuerzas imperiales encargadas déla defensa de Liorna, su comandante y</t>
  </si>
  <si>
    <t>Sigaud de la Fond</t>
  </si>
  <si>
    <t>ncendios , terror, muerte aparente , rayos , nieves, huracanes , sueño , volcanes , vejez &amp;c. : por Mr. Sigaud de la Fond , traducido por D. Domingo Radía y Leblioh , Individuo de Virios cuerpos patrióticos de España : tomo 1. Se hallará en rústica en el despacho de la imprenta Real á 1* rs. Esta obr</t>
  </si>
  <si>
    <t>Signeul</t>
  </si>
  <si>
    <t>Mr. Manthey, Encargado de negocios, de Dinamarca: Mr. Kopp j Encargado de negocios de Hesse-Cassel: Mr. Signeul, Agente general del comercio y Encargado de negocios de Suecia 5 y Mr. Classen, Agente general del comercio de Dinamarca. Las credenciales de estos Embaxadores y Ministros fueron</t>
  </si>
  <si>
    <t>SiJney Smith</t>
  </si>
  <si>
    <t>ublicanos evacuasen el Egipto. Otra carta de Constantinopla de 15 de Junio añade á esta noticia que Mr. SiJney Smith había dado ya pasaportes á varias embarcaciones que lian salido de los puertos de Egipto con tropas escoltadas por una fragata francesa. lia obtenido su libertad en Rusia el céleb</t>
  </si>
  <si>
    <t>Silva, Obispo</t>
  </si>
  <si>
    <t>Obispo Silva</t>
  </si>
  <si>
    <t>o posee la universidad de Canónigos de Baeza, y el de 76 es de la capellanía que fundó el limo. Sr. Obispo Silva, tasados en 31,056 rs. y rentan i728.nmVilla de la Guardia. Una huerta de 3 fanegas, sita en las Eras bsxas,de la cofradía del Santísimo, tasada en 31,400 rs. y renta 80c. Un oliv</t>
  </si>
  <si>
    <t>Silvestre de Novoa</t>
  </si>
  <si>
    <t>nislao Gutiérrez Tenajas y D. Marcelo Francisco Dávila : la Tenencia de cazadores del de Santiago á D. Silvestre de Novoa , Teniente de fusileros-. la Subtenencia de granaderos del de Monterey á D. Joseph María Casanova, Subteniente de fusileros: en el de Segó vía Tenencias de fusileros á los Subteni</t>
  </si>
  <si>
    <t>Silvestre Hernández Pillarte</t>
  </si>
  <si>
    <t>alor total en 12&amp; rs. Los profesores aprobados que quisieren pretenderle remitirán sus memoriales á D. Silvestre Hernández Pillarte , ó á D. Felipe Sánchez Blazquez, comisarios electos para este fin; quienes los admitirán hasta el dia 13 de Julio. Entre los muchos exemplares de desgracias que la experiencia ha</t>
  </si>
  <si>
    <t>Silvestre Prieto, Manuel</t>
  </si>
  <si>
    <t>Manuel Silvestre Prieto</t>
  </si>
  <si>
    <t>Oficial segundo de tesorería de la Administración principal de tabacos de la capital de Santa Fe ¿ D, Manuel Silvestre Prieto: el emplea de Administrador y Factor de la propia renta en Pore » Provincia de los Llanos» á D. Francisco Xavier García: el de Administrador de Alcabalas de Riobamba á D. Ramón Ab</t>
  </si>
  <si>
    <t>Silvestre Pueyo</t>
  </si>
  <si>
    <t>ento de D. Pedro Manuel Isla, á D. A ntonio' Sacristán: para el Deanato de la catedral de Solsona á D. Silvestre Pueyo: para una Canongía de la santa iglesia de Ciudad-Rodrigo, vacante por fallecimiento de D. Joseph Xerez, 4 D* Joseph Bribuega y Ortega, Cura Párroco de la villa de Renera, en la di</t>
  </si>
  <si>
    <t>Silvestre Rodríguez</t>
  </si>
  <si>
    <t>nfronta con dicho camino de Malón, con heredad del convento de la Merced de esta ciudad , y otra de D. Silvestre Rodríguez , tasada en 440 libras de dicha moneda , y de renta al afio en 4 cahíces y 6 medias de trigo. ¿,° Otra heredad sita en dicho término de Balsiel, con 10 olivos ^ es de 4 medias , a</t>
  </si>
  <si>
    <t>Silvestre, Melchor</t>
  </si>
  <si>
    <t>Melchor Silvestre</t>
  </si>
  <si>
    <t>Subteniente del de Orihuela y Alicante : D* Miguel de Arechavala. Subteniente del de Valladolid; y D. Melchor Silvestre y D. Nicolás Verdejo, Cadetes aspirantes del cuerpo de Ingenieros Cosmógrafos de Estado. __ También ha promovido S. M. á Teniente é Ingeniero extraordinario al Ayudante de Ingeniero D</t>
  </si>
  <si>
    <t>Simbschen, General</t>
  </si>
  <si>
    <t>General Simbschen</t>
  </si>
  <si>
    <t>z, y las recoja á sus guarniciones respectivas. Manheim 8 de Setiembre. K a llegado á Wuítzburgo el General Simbschen, comar cante del cuer</t>
  </si>
  <si>
    <t>Simbschen, Teniente General</t>
  </si>
  <si>
    <t>Teniente General Simbschen</t>
  </si>
  <si>
    <t>laterra, aunque está al servicio de la corre imperial, entró el 2 de Octubre, por orden expresa del Teniente General Simbschen, en el bayliage de Koenigsberg, y tomó posesión de su principal aldea sin embargo de hallarse aquel país</t>
  </si>
  <si>
    <t>Simbschoen, General</t>
  </si>
  <si>
    <t>General Simbschoen</t>
  </si>
  <si>
    <t>uel pais á sus hogares, y.las tropas regladas se han reunido eon el cuerpo austriaco mandado por el General Simbschoen. Francfort 21 de Setiembre. H a concedido el Emperador á cada oficial de su exército de Alemania un mes de sueldo por via de gratificación, y á cada Sargento y soldado 3 dias de p</t>
  </si>
  <si>
    <t>Simbschon, General</t>
  </si>
  <si>
    <t>General Simbschon</t>
  </si>
  <si>
    <t>ecían á Ingolstadt y Ulm irán á reforzarle, así como las de Philipsburgo reforzarán al exército del General Simbschon, que ha transferido nuevamente su quartel á Scheweinfurth. Parte de la división del General Labonde ha tomado ya posesión de dicha fortaleza de Philipsburgo. El Elector de Baviera</t>
  </si>
  <si>
    <t>Simcoe, Coronel</t>
  </si>
  <si>
    <t>Coronel Simcoe</t>
  </si>
  <si>
    <t>spués de sacado del horno, supuesto que es menor el consumo del pan sentado que el del tierno___ £1 Coronel Simcoe, en virtud de orden del Duque de Yorck, ha intimado á todos los oficiales y soldados de la guarnición de Plimouth que no se empolven mientras dure Ja actual carestía. £1 día 14 ll</t>
  </si>
  <si>
    <t>Simhschoen, General</t>
  </si>
  <si>
    <t>General Simhschoen</t>
  </si>
  <si>
    <t>ad de Fulda y el obispado de este nombre. El cuerpo de austríacos y wurtzbur* gueses mandado por el General Simhschoen se ha adelantado desde Bam* berg hasta las inmediaciones de Wurtzburgo; y las tropas maguntinas se han retirado de dicho obispado de Fulda hácia Saxonia. París go de Setiembre. H</t>
  </si>
  <si>
    <t>Simschen</t>
  </si>
  <si>
    <t>Singel Car, Manuel</t>
  </si>
  <si>
    <t>Manuel Singel Car</t>
  </si>
  <si>
    <t>s de .obras pías fundadas en pueblos de la Inténdencia de Madrid,y para cuya venta está comisionado D. Manuel Singel Car¡r}rancio.. Villa de la Albóndiga. Ntra. Sra. del Sai: un huerto con su bimbrada junto ¿ la ermita, tasado en 350 rs. Una tierra junto á dicha ermita, de 3 cel. en 100Í Un nogal in</t>
  </si>
  <si>
    <t>Sinvaro</t>
  </si>
  <si>
    <t>Viena. ¡ Eí que el General Bellega-rde ha hecho de Viena á Praga no fue tanto para concertar con * Mr. Sinvaro w el plan de la campaña próxima, como, para darle quejas de los repetidos excesos que cometen los rusos en Bo^hernia*</t>
  </si>
  <si>
    <t>Sirera, Pablo</t>
  </si>
  <si>
    <t>Pablo Sirera</t>
  </si>
  <si>
    <t>, Subteniente del regimiento Provincial de Avila: D. Pedro Salazar , Subteniente del de Lo-: grono: D. Pablo Sirera, Subteniente del de Orihuela y Alicante : D* Miguel de Arechavala. Subteniente del de Valladolid; y D. Melchor Silvestre y D. Nicolás Verdejo, Cadetes aspirantes del cuerpo de Ing</t>
  </si>
  <si>
    <t>Sitgreaves</t>
  </si>
  <si>
    <t>las tropas de S. M. mandadas por el General Clarke, carece de verdad.” Acaba de llegar á Inglaterra Mr. Sitgreaves, uno de los Comisarios enviados por los Estados-Unidos para quejarse de la inobservancia de algunos artículos del tratado entre aquella República y este Reyno. Amsterdam 4 de Abri</t>
  </si>
  <si>
    <t>Sixto García, Cayetano</t>
  </si>
  <si>
    <t>Cayetano Sixto García</t>
  </si>
  <si>
    <t>Sto. Tomas de esta corte el examen público de eloqiiencia española, cuyo primer curso dirigido por D. Cayetano Sixto García, Presbítero y profesor de letras humanas, se abrid el 4 de Marzo de este año, y se concluyo ^n igual Jia del mes último. Presidid el acto el Sr. D. Ignacio Martínez de Viilela, de</t>
  </si>
  <si>
    <t>6 de Octubre se dará principio al 2.° curso de eloqiiencia española, baxo la dirección del profesor D. Cayetano Sixto García, que le concluirá en el término preciso de 4 meses como el i.°, dando igualmente pruebas públicas, y 3 premios para los 3 mas sobresalientes del fondo de las mismas contribuciones</t>
  </si>
  <si>
    <t>Sixto Vila</t>
  </si>
  <si>
    <t>ural de Riiídepéras , Corregimiento de Vique......;........ ........... 42. «5. Sixto Vila, hijo de Juliart y Ana, natural dé Salrá, Corregimiento de Gerona....;...............A.....d... '¡¡y. 30. Pedro Pons * hijo de Pablo y Catalina , natural de Fscála, Corregimiento de Ger</t>
  </si>
  <si>
    <t>Sixto, Cayetano</t>
  </si>
  <si>
    <t>Cayetano Sixto</t>
  </si>
  <si>
    <t>mbrar á D. Agustín Vázquez de Novoa para el Corregimiento de Zipaquira, en el Vireynato de Sta. Fe. D. Cayetano Sixto, presbítero, en continuación de su plan de bellas letras aprobado por el Consejo- abrirá este año en su casa un curso de latinidad de 5 á 7 de la noche, que se concluirá en 320 le</t>
  </si>
  <si>
    <t>principio el 4 de dicho mes de Marzo. Acudirán á subscribirse los pretendientes á la propia casa de D. Cayetano Sixto., que vive en Ja de la Excma. Sra. Duquesa de Alba, sita en la plazuela de S. Miguel, quarto z.° Por la escribanía de número de D. Antonio López de Salazar ,se están subastando la</t>
  </si>
  <si>
    <t>a gazeta del mártes 18, en el anuncio de los dos cursos de lengua latina y eloqiiencia española de D. Cayetano Sixto, se cometieron dos equivocaciones: i.a Quando dice que los subscriptores al curso latino pagaran 38 duros en tres plazos fixos; debe leerse en diferentes plazos de 20 en 20 dias;</t>
  </si>
  <si>
    <t>Skal, General</t>
  </si>
  <si>
    <t>General Skal</t>
  </si>
  <si>
    <t>to juntaré yo todas las fuerzas de que puedo disponer , y espero dar en breve el golpe decisivo. El General Skal prosigue guardando el Po •. estoy algo mas sosegado en quanto á la seguridad de este rio , como también por lo que hace al abasto de varias plazas, el qual no tardará en completar</t>
  </si>
  <si>
    <t>de la batalla de Maringo el General Alelas pidió á los puestos avanzados licencia para enviarme al General Skal, y el mismo dia se arregló el convenio de que incluyo copia, el qual se firmó por la noche entre el General Berthier y el General Melas. Espero que el pueblo francés estará satisf</t>
  </si>
  <si>
    <t>Skall, General</t>
  </si>
  <si>
    <t>General Skall</t>
  </si>
  <si>
    <t>4® hombres de tropas para guarnecer el castillo, y 6® para la ciudad, cuyo mando se ha conferido al General Skall. Con la mayor actividad se están construyendo dos cabezas de puente sobre ambas orillas del Po en Ponte-di-Lago. Trabajan en estas obras mas de 1500 habitantes. Bolonia 28 de Jimi</t>
  </si>
  <si>
    <t>Smancini</t>
  </si>
  <si>
    <t>ierno: para el de Hacienda el ciud. Soldini, y para el de Policía y Justicia el ciud. Smancini, individuo que era de la Consulta legislativa. Por orden de la misma Junta de gobierno se manda que todos los cisalpinos traigan escarapela nacional, y los ext</t>
  </si>
  <si>
    <t>Smit, Andrés</t>
  </si>
  <si>
    <t>Andrés Smit</t>
  </si>
  <si>
    <t>Andrés Smit, hijo de Felipe y Adriana...</t>
  </si>
  <si>
    <t>Smith</t>
  </si>
  <si>
    <t>ón en Siria no tuvo mas causa que ia falta de medios, y de la artillería y municiones que les cogió Mr. Smith. Han fortificado unos, pozos del desierto, y han cegado los demas, para impedir que intente atravesarlo el General otomano, cuyas tropas parecen mas bien una caravana que un exérc</t>
  </si>
  <si>
    <t>e Corfú otras varias naves turcas, y además se» espera en breve á Seid Aly, que baxo las órdenes de Mr. Smith mandó la última expedición tan desgraciada en las costas de Egipto. Ha enviado el Embaxador de Inglaterra á Londres un correo, que se cree lleva la ratificación al tratado de alia</t>
  </si>
  <si>
    <t>los puestos que afianzan la seguridad de su exército. Es de creer que el Almirante ingles avisase á Mr. Smith, en Egipto, que habia pedido á su corte órdenes sobre el asunto; pero en la incertidumbre de lo que podría determinar aquel gabinete, no debía el General Kleber cumplir definitiva</t>
  </si>
  <si>
    <t>ormar á Mr. Sidney-Smith que el gobierno británico se ha negado á ratificar el tratado que el mismo Mr. Smith firmó de acuerdo con el Gran Visir___ No puede por desgracia dudarse de que se ha renovado la guerra en Egipto, pues el Ministro ha recibido de oficio esta noticia. La batalla en</t>
  </si>
  <si>
    <t>rcito francés quedase todo entero prisionero de guerra. Al mismo tiempo envió el Lord Keith orden á Mr. Smith para que siguiese y estrechase el-bloqueo de Ale-^ xandría. Llegó esta carta precisamente en ocasión en que los franceses iban á evacuar al Cayro conforme al tenor de la capitulac</t>
  </si>
  <si>
    <t>Smíth</t>
  </si>
  <si>
    <t>ta saber si lo aceptará el General francés. Ei Capitán Baxá, cuya esquadra debia juntarse con la de Mr. Smíth, ha recibido orden de dirigirse á JaíFa, y unir sus tropas con las del Gran Visir. Entre tanto, otros buques turcos de guerra cruzan con los ingleses en las aguas de Alexandría. t</t>
  </si>
  <si>
    <t>, y lo comunicó á Constantinopla por el conducto del Cónsul ingles que reside en Chipre. Añaden que Mr. Smith había dexado el apostadero de Alexandría, é ¡do á Rhódas para conferenciar con el Capitán Baxá. Haya 16 de Julio. A yer mañana llegaron á Dusseldorf! las tropas que forman la vang</t>
  </si>
  <si>
    <t>igual— mente honoríficas para ellas, y ventajosas para su posteridad. Quedo &amp;c.” ( La respuesta de Mr. Smith se incluirá en otra gazeta.) Milán 17 de Agosto. N o tardará en desmantelarse el castillo de Pizwangs, en el Tirol, que está ocupado por los franceses en virtud del armisticio. En</t>
  </si>
  <si>
    <t>rd Keith ha venido á encargarse del ruando del apostadero ingles en el Mediterráneo, y ha avisado á Mr. Smith que no cumpliría ninguno de los artículos de la capitulación, y que si pudiera.ajustarse alguna, seria quedando los franceses prisioneros de guerra, y dexando sus cañones, sus fus</t>
  </si>
  <si>
    <t>Entre los turcos y los ingleses reyna la mejor armonía; y el Capitán Baxá visita freqisentemente á Mr. Smith en su navio el Trigre----- Por otra parte se sabe que la chalupa de guerra nombrada el Cuervo-marino, despachada con pliegos por el mismo Mr. Smith, zozobró á principios de Julio no</t>
  </si>
  <si>
    <t>dió que no tenia aviso ni antecedente de tal expedición; pero por otra parte el Ministro Smith asegura que es cierta. La esqüadra rusa que al volyer de Corfú al mar Negro se ha detenido cerca de aquí, está muy maltratada, y se restituye á repararse en su</t>
  </si>
  <si>
    <t>Smith, Adam</t>
  </si>
  <si>
    <t>Adam Smith</t>
  </si>
  <si>
    <t>. Investigación, de la naturaleza y causas de la riqueza de las naciones , escrita en ingles por el Dr. Adain Smith , traducida y aumentada considerablemente con ilustraciones relativas á España por D. Joseph Alonso Ortiz. Esta obra se halla suficientemente recomendada por la notoriedad de su m</t>
  </si>
  <si>
    <t>Smith, Juan</t>
  </si>
  <si>
    <t>Juan Smith</t>
  </si>
  <si>
    <t>tica : por Herrenschwand 5 publicados en Londres, traducidos al francés , y ahora al castellano por D. Juan Smith, Brigadier de la Real Armada. Es obra elemental , casi indispensable á los que se dedican al estudio y conocimientos de la importante ciencia de que trata , y cuyos principios gen</t>
  </si>
  <si>
    <t>Sociats y Soler, Francisco</t>
  </si>
  <si>
    <t>Francisco Sociats y Soler</t>
  </si>
  <si>
    <t>nnudez y Lara. S. M. se ha servido nombrar para el Corregimiento de Letras de la ciudad de Gijona á D. Francisco Sociats y Soler; y para la Alcaldía mayor de la villa de igualada á D. Francisco Coll y Puig. En América. En el regimiento de Milicias urbanas de dragones de Ca-r rabayllo del Perú se ha servido</t>
  </si>
  <si>
    <t>Sociats, Juan</t>
  </si>
  <si>
    <t>Juan Sociats</t>
  </si>
  <si>
    <t>y Cadete del primero de Barcelona : D. Gaspar Durrwel, Teniente del regimiento Suizo de Betschart: D. Juan Sociats, Cadete de la compañía fixa de Rosas: D. Simón Trevilla, Cadete del de Voluntarios de caballería: D. Fernanda de Norzagaray, Subteniente del regimiento Provincial de Avila: D. Ped</t>
  </si>
  <si>
    <t>Soficto, Bernardo</t>
  </si>
  <si>
    <t>Bernardo Soficto</t>
  </si>
  <si>
    <t>ral de esta corte , y por la de ios Médicos dél mismo hospital. Uno y otro aceytes están hechos por D. Bernardo Soficto, de nación genoves, domiciliado en Madrid de 30 afíos á esta parte. El precio del i.° de dichos aceytes es 6 rs. con el frasco , y volviendo este $ ; y el de almendra dulce 6 rs.</t>
  </si>
  <si>
    <t>Soíignac</t>
  </si>
  <si>
    <t>rolo , y parte á Fourcoin, abandonando muchos bagages. El dia 2 al amanecer los Generales Soíignac, Brustet y Mancume acometieron al col de Broix, y cogieron la retaguardia enemiga, compuesta de 400 hombres y 42 caballos, mandada por el Coronel Bonna. Fue ta</t>
  </si>
  <si>
    <t>Soinmariva, General</t>
  </si>
  <si>
    <t>General Soinmariva</t>
  </si>
  <si>
    <t>en estos términos: „ Así que el Sargento mayor austríaco despachado á Milán volvió á Florencia, el General Soinmariva hizo todos sus esfuerzos para mover una insurrección general: mando adelantar todas sus legiones, y tocar á rebato en Florencia y en las aldeas. De este modo cumplid las promesas</t>
  </si>
  <si>
    <t>Solana, Luis</t>
  </si>
  <si>
    <t>Luis Solana</t>
  </si>
  <si>
    <t>lez Pardo, D. Martin Zarandía, D. Ramón Gómez, D. Rafael Riesch, D. Francisco Calderón de la Barca, D. Luis Solana, D.Fernán.lo Navia,D. Miguei Forcalio, Don Jacobo Gil de Avalle, D. Joachin Ponte, D.Francisco Arnau, D. Joachin Hidalgo y D. Luis de Sotomayor. El Rey se ha servido promover á Te</t>
  </si>
  <si>
    <t>Solanés, Joseph</t>
  </si>
  <si>
    <t>Joseph Solanés</t>
  </si>
  <si>
    <t>na, Obispo de Asuria, Auxiliar dé Sigiienza; y para quptro Succentorías de la c tedr I de Segorbe á D. Joseph Solanés, D. Joseph Broch, D. Felipe López y D. Vicente Ctrvera. En el regimiento de infantería del Rey se ha servido S. M. conferir segundas, Subtenencias al Sargento primero de granadero</t>
  </si>
  <si>
    <t>Solano, Felipe Antonio</t>
  </si>
  <si>
    <t>Felipe Antonio Solano</t>
  </si>
  <si>
    <t>los que han fallecido en esta acción. El 9 de Mayo ultimo murió en la ciudad de Cuenca el limo. Sr. Don Felipe Antonio Solano, Obispo de aquella diócesis, á los 76 años cumplidos de edad. Exerció 26 años el ministerio pastoral en los obispados de Ceuta y Cuenca: acreditó ser de carácter afable , laborios</t>
  </si>
  <si>
    <t>s. El Rey se ha servido nombrar p’ra el Obispado de Cuenca, vacante por fallecimiento del limo. Sr. D. Felipe Antonio Solano, ai Sr. D. Anta</t>
  </si>
  <si>
    <t>Solano, Manuel</t>
  </si>
  <si>
    <t>Manuel Solano</t>
  </si>
  <si>
    <t>y á Alféreces en el mismo cuerpo y el de Carabineros de la Reyna María Luisa á los Portaestandartes D. Manuel Solano y D. Fernando Mulero. ' D. Manuel González de Lobera, de esta corte, remitió el 1$ de Enero á Don Juan Bautista Billón, de Palma, 3 vales endosados á su órdeii en dicho dia, * de á 60</t>
  </si>
  <si>
    <t>Soldado y Tomás Rodrigo, Juan</t>
  </si>
  <si>
    <t>Juan Soldado y Tomás Rodrigo</t>
  </si>
  <si>
    <t>ría Casanova, Subteniente de fusileros: en el de Segó vía Tenencias de fusileros á los Subtenientes D. Juan Soldado y Don Tomas Rodrigo , el primero de cazadores; y Subtenencia de bandera á D. Diego Artacho y Durango: la Compañía de granaderos del de CiudadReal al Capitán de fusileros D. Francisco Calderón y Laso</t>
  </si>
  <si>
    <t>Soldini</t>
  </si>
  <si>
    <t>el ciud. Pancaldi, Consultor legal que fue del gobierno: para el de Hacienda el ciud. Soldini, y para el de Policía y Justicia el ciud. Smancini, individuo que era de la Consulta legislativa. Por orden de la misma Junta de gobierno se manda que todos lo</t>
  </si>
  <si>
    <t>Solé, Juan</t>
  </si>
  <si>
    <t>Juan Solé</t>
  </si>
  <si>
    <t>, natural de Fubliá , Corregimiento de Gerona......... .................. . 30, Juan Solé, hijo de Antonio y Serafina, natural de Barcelona, Corregimiento idem...;..........:........................ 54; n.i Ignacio Morirás, hijo de Salvio y Cecilia, natural de Casa de la Sel</t>
  </si>
  <si>
    <t>Soler y Cases, Tadeo</t>
  </si>
  <si>
    <t>Tadeo Soler y Cases</t>
  </si>
  <si>
    <t>,enfermedad ó ausencia del referido Capitán general D« Tomas de Moría. Asimismo ha nombrado S. M. a D. Tadeo Soler y Cases para la plaza de Oidor de la chanciilería de Granada , vacante por promoción del expresado I)*- Juan Antonio González Carrillo a la Regencia de la de Vallado— ;lid; y para la plaz</t>
  </si>
  <si>
    <t>Soler, Francisco</t>
  </si>
  <si>
    <t>Francisco Soler</t>
  </si>
  <si>
    <t>io Marín, y á Ayudante al primer Teniente D. Francisco rA!zainóra; y en el del Infurte á Capellán á D. Francisco Soler, que lo era del de infantería del 'Príncipe: en el do dragones de !a Reyna á Capitán al Ayudante, graduado de Capitán, D. Miguel de Torres; y en el de Alman</t>
  </si>
  <si>
    <t>Soler, Miguel Cayetano</t>
  </si>
  <si>
    <t>Miguel Cayetano Soler</t>
  </si>
  <si>
    <t>me á su instituto la junta de gobierno de la misma compañía, y ámbas su Presidente nato el Exc. Sr. D. Miguel Cayetano Soler , Secretario de Estado y del Despacho universal de Hacienda de Indias, si sus ocupaciones se lo permitiesen. Los accionistas que tuvieren 20 6 mas acciones propias deberán hacerlo</t>
  </si>
  <si>
    <t>Solier, Fernando</t>
  </si>
  <si>
    <t>Fernando Solier</t>
  </si>
  <si>
    <t>entes á la obra pia que fundó en la iglesia parroquial de S. Martin de aquella ciudad el Arcipreste D. Fernando Solier: el uno titulado del Puente, con tres piedras de moler, tasado en 235® rs. , y su renta anual á dinero en 10,500, y á grano en 300 fanegas de trigo \ y el otro nombrado del Desier</t>
  </si>
  <si>
    <t>Solignac, General</t>
  </si>
  <si>
    <t>General Solignac</t>
  </si>
  <si>
    <t>. El xefe de batallón Chevalier perdió la vida; seguimos peleando todo el dia 12, y quedó herido el General Solignac___ Acaba de llegar aquí el General Oudinot, xefe de la plana mayor general, con noticias del General en xefe* Me hallo actualmente en las alturas de Final y de Melogno. También ha</t>
  </si>
  <si>
    <t>cortó así ia comunicación á las tropas que defendían á Brois. Se atacó aquel pueblo, y se ganó. El General Solignac llegó por Berolet al mismo tiempo que Brunet perseguía á les enemigos por el camino real , y que Manante rechazaba por Pigna las tropas que querían huir por Vintimiglia. Se execut</t>
  </si>
  <si>
    <t>escribió desde Imola la siguiente carta al General : austríaco Milius: „ Os envió la respuesta del General Solignac al primer artículo de vuestra carta del 11 de Agosto. Vereis en ella que quando salió de la ciudad de Pesaro no entendía que vuestras tropas fuesen á ocuparla. Ni podía hacer seme</t>
  </si>
  <si>
    <t>Solis, Joseph</t>
  </si>
  <si>
    <t>Joseph Solis</t>
  </si>
  <si>
    <t>es D. Francisco Quintanar, D. Joseph Antonio de Jos Heros y D. ígnacio Ormachea, y á Portaguiones á D. Joseph Solis, D. Joseph Martínez y D. Manuel Rubio. El Consejo á consulta de la Comisión gubernativa, y con aprobación de S. M. ha acordado la qnarta amortización de 888 Vales de 300 pesos.de</t>
  </si>
  <si>
    <t>SoltihorFy Rehbinder</t>
  </si>
  <si>
    <t>o: „No tiene ya duda de que se han puesto en marcha 6o@ rusos, mandados por los Generales SoltihorFy Rehbinder; pero no puede asegurarse si el objeto de la reunión de estas tropas y el de algunos preparativos que se advierten es recobrar para el Imperio el territorio qu</t>
  </si>
  <si>
    <t>Somariva, General</t>
  </si>
  <si>
    <t>General Somariva</t>
  </si>
  <si>
    <t>A ntcs de ayer noche llegó á esta capital el Duque de Berri, y ayer comió con el Rey de Cerdeña. El General Somariva publicó el dia 23 algunas noticias del exército, en las quales dice que el 18 derrotaron los austríacos á los franceses en Voltri, cogiéndoles al pie de 1® prisioneros. En Liorna</t>
  </si>
  <si>
    <t>Sommariva, General</t>
  </si>
  <si>
    <t>General Sommariva</t>
  </si>
  <si>
    <t>e dexe una memoria funesta.” Pocos.dias ántes se había igualmente publicado, en fuerza de orden del General Sommariva, un aviso que decía así: ,, Los habitantes de Toscana, resueltos á defender con el posible esfuerzo y energía sus hogares y sus fronteras contra los ataques del enemigo, han forma</t>
  </si>
  <si>
    <t>n xefe Bruna, dado á tenor de órdenes del primer Cónsul, se han conferido á los ciudadanos Sommariva, Visconti y Rugga las facultades de la Junta de gobierno. Los otros 5 vocales que había en ella conservan sus títulos y sueldo hasta el arreglo y formación def</t>
  </si>
  <si>
    <t>ia. El armamento general del pueblo de Toscana, dirigido por oficiales austríacos, y mandado por el General Sommariva, se apoderó de Lúea y de una parte del país de Bolonia, quando el General Bruñe tenia reconcentradas sus fuerzas en la izquierda del Po. El General Dupont salió de Bolonia con tin</t>
  </si>
  <si>
    <t>s á sus casas: pues las tropas francesas no necesitaron para vencerles mas que su fama y nombre. El General Sommariva y el cuerpo de austríacos que estaban en Toscana se han retirado á Anccna. Todas las mercancías inglesas halladas en Toscana, y especialmente en Liorna, han sido confiscadas á benefic</t>
  </si>
  <si>
    <t>potenciario del Rey de Cerdeña, siguió su viage á Ñapóles. Ayer llegó otro correo despachado por el General Sommariva, que parece pide socorros por hallarse la Toscana amenazada de una inva</t>
  </si>
  <si>
    <t>s opmíóiies políticas y réíigiosasYy así podéis' persuadiros ¿jhe no sé tratar de otro modo. £1 Sr. General Sommariva me conoce. Fir~ ma'dóx Cle’ment.” ; El General Düpont ha dado orden para que todos los habitantes dd Toscana entregúen stfs' armas en él término de 3 dias, sopeña de ser juzgad 8d</t>
  </si>
  <si>
    <t>la entrada de los franceses en Italia. El General Damas, que había salido de Roma para verse con el General Sommariva, no pasó de Sena por haber sabido allí'que los franceses se hallaban ya en Florencia y Liorna. Por consiguiente se restituyó aquí &amp; toda priesa; y queda disponiéndose para salir c</t>
  </si>
  <si>
    <t>ubre. El dia 8 recibí en Bolonia vuestra carta del 6 relativa á la Tóscana. Inmediatamente emvié al General Sommariva vuestra intimación sobre que licencíase y desarmase la leva y armamento extraordinario, á fin de estar en disposición, según vuestras órdenes , de penetrar repentinamente en Tósca</t>
  </si>
  <si>
    <t>informes confírmáron'lóá anteriores, y no me dexáron la menor duda de las intenciones hostiles del General Sommariva, y de su manifiesta voluntad de no desarmar á los insurgentes. Y esta convicción, que lo era también de todos los Generales, me movió á marchar. Había ya espirado el ultimo términ</t>
  </si>
  <si>
    <t>stencia. Se habían vencido todas las dificultades del paso del Apenino; pero igualmente supe que el General Sommariva redoblaba sus esfuerzos y disposiciones militares desde que volvió el oficial que había despachado á Milán ; y esto no obstante Jas promesas que habia dado: y en todas partes mand</t>
  </si>
  <si>
    <t>defensa; pero como subsistía el armisticio entre los dos exércitos francés y austríaco, conocia el General Sommariva que sin comprometerse gravemente no podía oponerme las tropas austríacas que estaban ál sus ordenes. Finalmente, á algunas millas de Florencia recibí una carta de dicho General av</t>
  </si>
  <si>
    <t>Somoza, Isidoro</t>
  </si>
  <si>
    <t>Isidoro Somoza</t>
  </si>
  <si>
    <t>os Sochantrías de la Real iglesia de S. Isidro de Madrid, que se halla vacante por fallecimiento de D. Isidoro Somoza, á D. Juan L’ Escolie , Salmista de la misma Real iglesia ; y para el Curato derdespoblado de Buzarabaxo y su anexo Majazul, en el arzobispado de Toledo, vacante por fallecimiento</t>
  </si>
  <si>
    <t>Sonficnleithner</t>
  </si>
  <si>
    <t>to lo evacuaron al instante los franceses. Se está disponiendo en Alemania una obra que hará época. Mr. Sonficnleithner va á publicar, con el auxilio de los célebres Serger, Ilaydn y Salieri, una Historia de la música en monumentos, en 50 tomos en folio, de 50 pliegos cada uno. Costará la obra 450</t>
  </si>
  <si>
    <t>Sonflenleithner</t>
  </si>
  <si>
    <t>I o; o Mr. Sonflenleithner está viajando con el fin de recoger materiales v r i concluirla y perfeccionarla. El número de subscriptores es ya bastante crecido para que el año próximo pueda empezarse la impres</t>
  </si>
  <si>
    <t>Sonnnariva, General</t>
  </si>
  <si>
    <t>General Sonnnariva</t>
  </si>
  <si>
    <t>mmento de toda la Toscana. La Regencia cstxbleció aquí éin gobierno interino antes de su salida. El General Sonnnariva llevo todos ios caudales publicos.” Ei dia 17 escribió el mismo General Dupont á Bruñe otra carta concebida en estos términos: „ Así que el Sargento mayor austríaco despachado á M</t>
  </si>
  <si>
    <t>Soria y Espinosa, Benito</t>
  </si>
  <si>
    <t>Benito Soria y Espinosa</t>
  </si>
  <si>
    <t>s imitados á los de Alemania: en Bárcelo* na en casa de D. Pedro Martin Font: en Valencia en lá cíe D. Benito Soria y Espinosa; y ea Zaragoza en la de D. Miguel Pescador. : , ¿ ^ Xa junta de gobierno de la Reál compañía de seguro* terrestres y. marítimos convoca los accionistas, interesados.en ella en cin</t>
  </si>
  <si>
    <t>Sotnmáciva, General</t>
  </si>
  <si>
    <t>General Sotnmáciva</t>
  </si>
  <si>
    <t>ra carta para el desarmamento ¡ban á concluir , y aun no. recibía, yo la respuesta que esperaba del General Sotnmáciva, sin embargo de constarle que yo estaba exclusivamente encargado de vuestras instrucciones. Este silencio me causaba la mayor extrañezaíiyitoqúe mas la aumentó fué avisarme el Gen</t>
  </si>
  <si>
    <t>Souchet, General</t>
  </si>
  <si>
    <t>General Souchet</t>
  </si>
  <si>
    <t>de las discordias domésticas, ni otra recompensa que la esperanza de vivir en vuestra memoria.'’ El General Souchet, Teniente del General en xefe del exército de Italia, ' ha escrito la siguiente carta al General Bonaparte, primer Cónsul de la República: „Quartelgeneral de Melogno 16de AbriL Mi</t>
  </si>
  <si>
    <t>ral , 2 Coroneles, varios Sargentos mayores y 200 oficiales: ademas ganó 7 banderas y 6 cañones. El General Souchet cógió por suJ parte 1800 prisioneros y una bandera. A nosotros nos han hecho pocos prisioneros, y en estos diferentes ataques tuvimos 200 muertos y de 400 á 500 heridos. Los enemi</t>
  </si>
  <si>
    <t>421 Cóilcertaf con el General Souchet la acción que ha de haber el 2t, la qual será decisiva para uno de los dos ejércitos.” Han salido de aquí para Dijon 500 hombres del cuerpo de Guardias de los Cónsules; y, solo queda</t>
  </si>
  <si>
    <t>al Oudinot ha escrito al ciud. Corveto en estos términos: „Os comunico sin pérdida de tiempo que el General Souchet, al apoderarse del puesto importante de Santiago hizo 2© prisioneros. Vamos siguiendo el alcance á los enemigos. Hoy hará noche en Vareggio el General en xefe.” Igualmente, el Gen</t>
  </si>
  <si>
    <t>estaban guarnecidas de tropas francesas. Hay en aquella ciudad víveres hasta mediados de Junio. El General Souchet se mantenía en las alturas de Final y Melogno. Los dos exercitos trataban del cange de sus prisioneros. El General Massena tenia 6® mas que el enemigo.”__ „ Desde el quartel gener</t>
  </si>
  <si>
    <t>ino con vuestro valor y con vuestro afecto á la patria y á la gloria.” .AI propio tiempo dirigió el General Souchet una proclama á la guarnición, exhortándola á sufrir con resignación y constancia las fatigas y Jas privaciones que no puede ménos de padecer, y á defender la plaza á todo trance.</t>
  </si>
  <si>
    <t>Souchet, Teniente General</t>
  </si>
  <si>
    <t>Teniente General Souchet</t>
  </si>
  <si>
    <t>ndo las alturas de Savona , y se dirigió hácia Albisola á fin de juntarse al resto del exército. El Teniente General Souchet defendió todo el dia 7 los puestos de Santiago y de Melogno; y después se retiró á la línea de Borghetto para tener tiempo de recibir órdenes del General en xefe. El 11 atacó Souchct</t>
  </si>
  <si>
    <t>te artículo: „]íl Teniente General Souchet escribe desde su quartel general de Melogno, con fecha de 21 de Abril, que á fin de disponerse ai ataque general, mandó desde luego atacar el primer puesto que ocupaban los enemigos</t>
  </si>
  <si>
    <t>Los esemigos no se atreven á acometerla á viva fuerza, y parece que esperan ganarla por hambre. El Teniente General Souchet, comandante del centro, ha escrito la carta siguiente del General Buget, que manda en aquel castillo : Quartel de la Ptetra 2/ de Abril. » Acabo de recibir vuestra carta de ayer.</t>
  </si>
  <si>
    <t>Souham</t>
  </si>
  <si>
    <t>Souham, General</t>
  </si>
  <si>
    <t>General Souham</t>
  </si>
  <si>
    <t>xefe de su plana mayor. Está Augereau en ánimo de ir á Francfort, en donde se halla el quartei del General Souham. Han pasado por Ratisbona dos correos, uno de Prusia y otro de Baviera. Se asegura que llevan pliegos para el General Moreau, que se halla en Augsburgo, y que son relativos á la p</t>
  </si>
  <si>
    <t>ndante y la municipalidad de Neuburgo, 3 compañías de infantería, los individuos de plana mayor, el General Souham, y gran número de personas de aquellos pueblos y de otros inmediatos. Durante este acto hubo música fúnebre. Dicho monumento, que es muy sencillo, consiste en un gran sarcófago gr</t>
  </si>
  <si>
    <t>Souhan, General</t>
  </si>
  <si>
    <t>General Souhan</t>
  </si>
  <si>
    <t>o los austríacos repasado ántes de ayer el Mein se adelantaros hacia Borghen contra la división del General Souhan, y como eran muy superiores en número, obligáron á los franceses á retirarse. Al mismo tiempo la división del General Colaud, que manda el ala derecha al otro lado del Mein, se ha</t>
  </si>
  <si>
    <t>Soult</t>
  </si>
  <si>
    <t>ancesa ha confirmado el nombramiento que el General en xefe Massena hizo de los Generales Soult y Suchet para Tenientes Generales de su exército. El primero mandará el ala derecha, y tiene su qiiartel en Genova. El segundo, que manda el centro, tiene el suyó eit l</t>
  </si>
  <si>
    <t>Soult, General</t>
  </si>
  <si>
    <t>General Soult</t>
  </si>
  <si>
    <t>nclusos 3 oficiales. Massena se hallaba en Genova, y diariamente tenia ataques con los enemigos. El General Soult hizo el dia 24, cerca dei puente de Polcevera , 600 prisioneros, entre los quales hay 27 oficiales y un Coronel del regimiento de Nadasti.”</t>
  </si>
  <si>
    <t>erales. Uno de los primeros es el General Chabran, que mandaba aquí. Le reemplaza en dicho mando el General Soult. Están ya enteramente derribadas las fortificaciones de esta ciudad. Se ocupa este gobierno en juntar caballos para los dragones, húsares, y otras tropas piamontesas; se necesitar</t>
  </si>
  <si>
    <t>Soult, Teniente General</t>
  </si>
  <si>
    <t>Teniente General Soult</t>
  </si>
  <si>
    <t>4io directamente. El 6 del corriente ataco el General Melas las alturas de Savona. El Teniente General Soult, que mandaba aquel puesto, sostuvo todo el día los ataques de los enemigos en Cadiborna y Montenotte, á fin de dar lugar de que se introduxese en el castillo de Savona lo que se n</t>
  </si>
  <si>
    <t>igos nos atacaron dicho dia por toda la línea, y fuéron rechazados en la derecha y en el centro. El Teniente General Soult, comandante del centro, que con el extremo de su izquierda ocupaba á Montenotte, advirtiendo que la coluna que se adelantaba contra él por este lado era mucho mas considerable que</t>
  </si>
  <si>
    <t>Spadafora, Salvador</t>
  </si>
  <si>
    <t>Salvador Spadafora</t>
  </si>
  <si>
    <t>arranco, D. Joseph de Soubiran y Montealm, D. Fernando Muñoz y Abreu,D. Aii toni'o Tacón y Rosique, D. Salvador Spadafora,D. Ramón Caamaño, Don Isidoro Postigo y Bulnes, D. Joseph de Echeverría y Padilla’, D. Francisco Torralbo y Valenciano ,#D. Joseph García de Prado y Osorno, D. Manuel Ristori y Me</t>
  </si>
  <si>
    <t>Spanocche, General</t>
  </si>
  <si>
    <t>General Spanocche</t>
  </si>
  <si>
    <t>periales. Las francesas han evacuado á Sospello y Ovailla para reunirse entre Genova y Savona.__ El General Spanocche ha ido á Toscana á encargarse del mando de las tropas que se hallan en aquel Ducado, é incorporarlas luego con las que están baxo las órdenes del Conde de Klenau. Zamora 14 de Ene</t>
  </si>
  <si>
    <t>Spanocchí, General</t>
  </si>
  <si>
    <t>General Spanocchí</t>
  </si>
  <si>
    <t>insultar ai exército francés de Ñapóles.... El quartel general de los insurgentes, mandados por el General Spanocchí, se hallaba en Barberino, de donde fueron arrojados ayer. Como se veian amenazados por 3 partes, tuvieron que dividirse : y temiendo ser cortados, abandonaron los puestos mas vent</t>
  </si>
  <si>
    <t>Sparmochí, General</t>
  </si>
  <si>
    <t>General Sparmochí</t>
  </si>
  <si>
    <t>ino , en donde tenían su quartcl general, y nosotros marchamos aceleradamente hacia aquel lugar. El General Sparmochí, que los mandaba, evacuó con precipitación la ciudad, en la qual entramos aquella tarde al cabo de una marcha de 30 millas. Al llegar á ella supe que los insurgentes, engañados (c</t>
  </si>
  <si>
    <t>Spenccr-Smith</t>
  </si>
  <si>
    <t>dose de leña. — Sábese también que ha llegado á Constantinopla el Lord Elgin, que va á reemplazar á Mr. Spenccr-Smith, como Enviado extraordinario y Ministro plenipotenciario ingles cerca de la Puerta otomana. En la última pesca hecha en la isla de Ceylan se han cogido algunas perlas encarnadas d</t>
  </si>
  <si>
    <t>Spencer</t>
  </si>
  <si>
    <t>stuvo allí sino en calidad de Capitán de Navio; pues aunque sirvió como Plenipotenciario adjunto de Mr. Spencer, su hermano, para firmar el tratado de alianza entre Turquía é Inglaterra, concluyeron con esto sus funciones diplomáticas. Mañana concurrirá S. M. al Parlamento para poner fin á</t>
  </si>
  <si>
    <t>Spencer Smith</t>
  </si>
  <si>
    <t>M. mandase comunicar á la Cámara copia de las instrucciones y órdenes despachadas al Lord Keith, á Mr. Spencer Smith, Ministro entonces en Constantinopla, á Air. Sidney y á otros comandantes. Respondió Mr. Dundas que en buena política no podían comunicarse dichos documentos, y declaró que quando</t>
  </si>
  <si>
    <t>Spencer, Lord</t>
  </si>
  <si>
    <t>Lord Spencer</t>
  </si>
  <si>
    <t>arte de presa de los buques holandeses cogidos en Helder. ; : Ayer fuéron á Blackwall Mr. Pitt y eí Lord Spencer, para asistir á la experiencia que se hizo sobre la velocidad de un buque arbolado con 5 masillesEl 31 del mes anterior recibid el Embaxador turco en esta corte orden de restituir</t>
  </si>
  <si>
    <t>Spencer-Smith</t>
  </si>
  <si>
    <t>reúna su exército con el del Gra» Visir para acometer al énemigo común ; pero se duda lo execute. , Mr. Spencer-Smith, Ministro británico en Constantinopla, tomó ya.posesion: del. palacio ó casa de los Embaxadores de Francia, que actualmente se llama palacio de Inglaterra; y asimismo la ha tomado</t>
  </si>
  <si>
    <t>Sporck</t>
  </si>
  <si>
    <t>Sporidonow, Almirante</t>
  </si>
  <si>
    <t>Almirante Sporidonow</t>
  </si>
  <si>
    <t>tico ha sido depuesto el Almirante Mussing-Pusching que la mandaba: le reemr plaza interinamente el Almirante Sporidonow, hasta que el Vice-Almirante Muckarow llegue á encargarse del mando. Ha nombrado S. M. Imperial al Conde de Langeron Inspector en el distrito de Brzesc. Stockolmo 8 de Julio* L a</t>
  </si>
  <si>
    <t>Sprengpopten, General</t>
  </si>
  <si>
    <t>General Sprengpopten</t>
  </si>
  <si>
    <t>imentado aquí mucho el precio del arroz. . , : ' -A&gt; .1; ., ... &lt; r Mañana saldrá de esta ciudad'el General Sprengpopten fpara Rrusélas yt París, adonde ileva una comisiona particular del Emperador de Rusia para* el primer Cónsul. Quizá sérá la respuesta á las proposiciones que le hizo e£ gobierno d</t>
  </si>
  <si>
    <t>Sqwarow</t>
  </si>
  <si>
    <t>bentzel se restituyese á Viena para nombrarle sucesor , y de resultas mandó también este gabinete á Mr. Sqwarow volviese á Rusia. ' Los emigrados franceses que naufragáron en Calais, y estuviéron mucho tiempo presos en Francia, expuestos á ser sentenciados á muerte, pero que obtuvieron su l</t>
  </si>
  <si>
    <t>Ssez Parayuelo, Tomás</t>
  </si>
  <si>
    <t>Tomás Ssez Parayuelo</t>
  </si>
  <si>
    <t>por promoción de D. Francisco Tuero á Oidor de Cananas, a D. FranAtendiendo el Rey á los méritos de D. Tomas Ssez Parayuelo, Oidor decano de la Audiencia de Mallorca y Ministre, honorario del Consejo de Hacienda, y á los distinguidos servicios que acaba de hacer en el desempeño de bs comisiones que S.</t>
  </si>
  <si>
    <t>St, General</t>
  </si>
  <si>
    <t>General St</t>
  </si>
  <si>
    <t>erta 4 de Junio. Hccse que el General Kray ha pedido su dimisión si no se retiran de su ejercito el General St.aray y el Príncipe de Reuss, á quienes acusa de que se oponen de continuo á sus disposiciones y proyectos* Han llegado aquí dos diputados de la ciudad deUlm, y hoy tuvieron audien</t>
  </si>
  <si>
    <t>Sta, Juan Antonio</t>
  </si>
  <si>
    <t>Juan Antonio Sta</t>
  </si>
  <si>
    <t>a su remate el dia 22 de este mes á las 12 de su mañana en la audiencia del Sr. Teniente Corregidor D. Juan Antonio Sta. María, acuda al oficio de D. Juan López Fando, Escribano del número, que se admitirán las pujas y mejoras que se hicieren. Por providencias del Sr. D. Pedro González- Calderón ,</t>
  </si>
  <si>
    <t>Stael, Barón</t>
  </si>
  <si>
    <t>Barón Stael</t>
  </si>
  <si>
    <t>ha puesto en ellos el Rey. Del Haya escriben que ha salido de aquella ciudad para volver á Paris el Barón Stael, Embaxador de esta corte cerca de la República francesa. Hamburgo 2j de Noviembre. H a salido de Altona para restituirse á Francia el ciud.' Lagau, Cónsul general francés; pocos d</t>
  </si>
  <si>
    <t>Stanhope, Lord</t>
  </si>
  <si>
    <t>Lord Stanhope</t>
  </si>
  <si>
    <t>la qüestion como intempe stiva, y sostuvo que no debía limitarse el consumo de pan. Le contestó el Lord Stanhope en un discurso muy dilatado. Empezó diciendo que á ro ser la -impon;;-acia.del punto que se trataba, no hubiera roto el silencio que se había propuesto observar en la Cámara. Atribu</t>
  </si>
  <si>
    <t>bras esterlinas: lo que viene á estar en la proporción de 1 á 13, como lo dixo en la Cámara alta el Lord Stanhope. Se da por positivo que luego que lo permita la estación se embarcarán en Riga 46® rusos para Inglaterra. En Plimouth ha entrado la fragata Aventurera; y uno de sus oficiales escr</t>
  </si>
  <si>
    <t>Staray, General</t>
  </si>
  <si>
    <t>General Staray</t>
  </si>
  <si>
    <t>tos prisioneros, de los quaies unos se enviaron á Manheim y otros á Landáu. Posteriormente llegó el General Star ay con refuerzos para ios austríacos; atacaron estos al exército, y consiguiérori se levantase el bloqueo de Philipsburgo: han ocupado nuevamente á Manheim y la cabeza de puente d</t>
  </si>
  <si>
    <t>e un ejército que en el Baxo-RIiin ha de reforzarse con los cuerpos del Príncipe de Hohenlohe y del General Staray, con las milicias y con los contingentes del Imperio. El exército del R hin-Superior, que será mucho mas crecido, queda por ahora, según parece, baxo las órdenes del Archiduque Ca</t>
  </si>
  <si>
    <t>. El Mayor general Conde de Giulay manda todo el cordon de puestos avanzados del Rhin.El cuerpo del General Staray, que consta de 20© hombres, está separado del exército principal,y tiene con proporción á los demas mayor número de tropas de caballería ligera, como húsares, dragones, ulhanos &amp;c</t>
  </si>
  <si>
    <t>ras; y la respuesta á estas últimas, es la que lleva ahora á Viena el General Stippschutz. Acaba el General Starray, que manda los cuerpos austríacos apostados</t>
  </si>
  <si>
    <t>illas del Rhin. Por estos y otros antecedentes se cree que no tardará la abertura de la campaña. £1 General Starray está nombrado comandante de la parte del ala derecha del exército imperial y del Imperio que há de obrar en el RhinInferior, y tiene baxo su mando á los Príncipes de Hohenlohe y Hoh</t>
  </si>
  <si>
    <t>dia 4 : finalmente ha comunicado dicho General á su plana mayor que va á abrirse la campaña---- El General Starray, comandante del ala derecha, trasladará su quartel de Heildelberga á Manheim. Londres 8 de Abril. U n oficial de la esquadra que cruza delante de Malta escribe que la guarnición f</t>
  </si>
  <si>
    <t>s ligeros y de húsares se han reunido con el cuerpo de Mr. Klinglin. También se ha reforzado el del General Staray con 8 batallones de tropas de línea del imperio.—El General Kray na recibido dos correos de Mr. Melas, General del exército de Italia, con la noticia de haberse abierto la campaña</t>
  </si>
  <si>
    <t>nte desde Donawerthj á orillas del Rhin. hacia ¡os contornos de Schaffhusa. Apénas supo el referido General Staray que parte del exercito de Moreau habia pasado el Rhin por Kell, y que dos colunas se adelantaban hacia Oflemburgo y Rastadt, despachó hacia aquellos parages la mayor parte</t>
  </si>
  <si>
    <t>e los austríacos. Los almacenes que había en los valles de la Selva-Negra han retrocedido mucho. El General Staray, que se hallaba antes de ayer en Pforzheim, se propone evacuar inmediatamente con el cuerpo de su mando todos los países de la Suabia-Inferior , y reunirse con el exército de Mr.</t>
  </si>
  <si>
    <t>permanece aun allí, sin embargó de que el cuerpo de su mando se ha adelantado, quizá para atacar al General Staray en Rothwal, é impedirle que llegue á ÜJ111. Las últimas cartas de Saboya refieren que el General austríaco Melas junta un cuerpo considerable de sus tropas para enviarlo contra los</t>
  </si>
  <si>
    <t>stadt.__ Se ha intimado á los habitantes de Ingiostadt junten víveres para 3 meses. El exército del General Staray se dirige á esta plaza en dos colunas, pasando por Blaubeuren. Francfort 15 de Mayo. D e Berlin escriben que el Príncipe heredero de Orange no consigue persuadir á su hermano polí</t>
  </si>
  <si>
    <t>49* , Dícese que no habiendo podido el General Staray incorporarse con el exército de Mr. Kray, se halla cortado por los franceses. También se nse-x gura que el General Kray está en ánimo de reconcentrar sus fuerzas en Baviera, adond</t>
  </si>
  <si>
    <t>l mandada por el General Sainte-Suzanne &gt; se adelantó el 17 para apoderarse de Geislingen, en donde Mr. Staray había reunido muchas fuerzas. El 20 y el 21 hubo dos acciones sangrientas, cuyas resultas fuéron obligar Sainte-Suzanne á Staray á retirarse baxo la artillería de Ulm, y empezar l</t>
  </si>
  <si>
    <t>rvaba su quartel en Ulm, y una gran parte de sus tropas está en dicha margen izquierda del Danubio. Mr. Star ay ha tomado el mando del ala izquierda austríaca, la qual se ha reforzado con tropas de Wnrtcmberg y bavaro-paiatinas: el General Nauheoiorí manda el centro; y el Príncipe Fernan</t>
  </si>
  <si>
    <t>de la guerra cerca de 500© -florines. Manheim 1 de Junio. Oegun noticias particulares el cuerpo del General Staray fue atacado el día 28 en los contornos de Gunzburgo a la derecha del Danubio por los franceses al mando del General Saint-Cyr, y tuvo que retirarse á la izquierda de dicho rio. Al</t>
  </si>
  <si>
    <t>siguen baxando por la margen del Danubio, y se reúnen hácia Donawert; su ala izquierda, al mando de Mr. Staray se ha colocado en Newburgo de Baviera: el centro, baxo las órdenes de Mr. Nauendorff, en Donawert; y la derecha, mandada por el Archiduque Fernando, en los contornos de Ulm. Anoch</t>
  </si>
  <si>
    <t>ta que padeció el 5 cerca de Illerdrssen r se retiró á Ulm. Tres cuerpos austriacos mandados por el General Staray se han apostado entre el Lech é Ingolstadt para cubrir esta última fortaleza. También se han fortificado mucho los austriacos por Burgaw y Guntzburgo. El exército de Moreau penetr</t>
  </si>
  <si>
    <t>as tropas recien reclutadas.---- Están sumamente desavenidos los xefes del exército de Mr. Kray. El General Staray dio. orden á Mr. Hugel para que defendiese una altura, ofreciendo enviarle socorros. Defendióse muy bien el General Hugel esperando los refuerzos ofrecidos; y viendo que no llegab</t>
  </si>
  <si>
    <t>r el obispado de Eichstett, han; entrado en el Palatifiado-Superior, y han obligado al exército del General Staray á retirarse hacia Lengenfeld. Las dos colunas francesas que han penetrado en Bavicra prosiguen adelantándose: una de ellas se ha apoderado de Geisenfeld y Neustatt á orillas del D</t>
  </si>
  <si>
    <t>ublicano Molitór forzó al cuerpo del Príncipe de Reuss á retirarse á sus antiguos puestos de Renti. Mr. Staray se halla todavía con sus tropas en Neumark; y el General Mercafttin ha retrocedido hacia las fronteras del Tirol. Inspruck n de Jimio. E 1 dia 17 publicó aquí el Conde de Bissinge</t>
  </si>
  <si>
    <t>o para obrar en Italia, incluye 30© hombres, parte de los quales se halla ya en el Mediterráneo. El General Staray, que vino aquí desde el exército austríaco de Alemania, acaba de salir para Praga. Ratisbona 11 de Agosto. E 1 Duque de Wurtemberg y el Príncipe heredero pasaron ayer por esta ciu</t>
  </si>
  <si>
    <t>y; y á una reñida contienda que tuvo con el Conde de Lehrbach: siendo de advertir que así este como Mr. Staray tienen mucho influxo y partido en la corte; y esto fué lo que mas perjudico al General Kray. Augsburgo 20 de Setiembre. E 1 Emperador, al dia siguiente de su llegada á Alt-Oetting</t>
  </si>
  <si>
    <t>Staray, Teniente General</t>
  </si>
  <si>
    <t>Teniente General Staray</t>
  </si>
  <si>
    <t>uesta por haberse roto ayer el puente, y hallarse casi sin comunicación con la orilla izquierda. El Teniente General Staray se ha trasladado á Rastadt con su quartel general y parte de sus tropas. Parts 27 de Diciembre. H a nombrado Buonaparte por Secretario de Estado al ciud. Hugo Bernardo Maret, y po</t>
  </si>
  <si>
    <t>Starray</t>
  </si>
  <si>
    <t>ala derecha del exército del Archiduque Cárlos: y á fin de estar en el centro de ellas, ha sentado Mr. Starray su quartel en Heidelberga. Su vanguardia ocupa el distrito entre Wisloch y Lorsch al mando del Príncipe de Hohenlohe , recien promovido á Teniente General, y ha puesto su quartel</t>
  </si>
  <si>
    <t>Starray, General</t>
  </si>
  <si>
    <t>General Starray</t>
  </si>
  <si>
    <t>73 ha hecho en lo interior de Suabia. El cuerpo que manda el General Starray tiene orden de invernar en los contornos de Bruschal, y de observar los movimientos de los. franceses en la izquierda del Rhin* Una parte del exército de Suwarow ha pasado por Pra</t>
  </si>
  <si>
    <t>timas noticias de Manheitn no ha habido mudanza alguna en la situación de las tropas del cuerpo del General Starray, que manda todas las austríacas entre el Necker y el Mein, las quales forman el ala derecha del exército del Archiduque Cárlos: y á fin de estar en el centro de ellas, ha sentado</t>
  </si>
  <si>
    <t>s quales empiezan á acercarse á Maguncia, en cuyas inmediaciones se espera igualmente el cuerpo del General Starray, que está en el Bergstrat.__ Dícese que á fines del mes próximo vendrá aquí un cuerpo de rusos. Sin embargo las gazetas y otros papeles públicos de Alemania dan por seguro que el</t>
  </si>
  <si>
    <t>o y maltratado á los húsares que querían obligarles á marchar: varios húsares perdieron la vida. El General Starray mandó prender á unos 40 de estos desobedientes, y pasár*por las armas á 3, de ellos. ' ,¡ . ''.Y.:;YY . ' &lt; •• . Paris. 31. de Enero. Y.v.’ ■ .Y v Y&gt;Vj N o causa ya estragos lá en</t>
  </si>
  <si>
    <t>mandará la campaña próxima .etfltáüa, y tendrá baxo: sus órdenes á los Generales Me las y Kray. El 'General Starray mandará otro cuerpo por el Rhin hácia Huninga, el qual estará dependiente del de Italia, y obrará de acuerdo con él. En los demas'países que baña el Rhin militarán los rusos manda</t>
  </si>
  <si>
    <t>e de ellos. Francfort 26 de Enero. E 1 Magistrado de Francfort ha escrito al Archiduque Carlos y al General Starray pidiendo se restablezca- la comunicación entre esta ciudad y Maguncia ? pero hast'a ahora no ha podido conseguirlo. A los movimientos que hace el exército francés en la izquierda</t>
  </si>
  <si>
    <t>Stephens, Teniente General</t>
  </si>
  <si>
    <t>Teniente General Stephens</t>
  </si>
  <si>
    <t>e infantería y 6© de caballería el campamento que se dispone en Windsor : mandará á los primeros el Teniente General Stephens, y á los segundos el General Gwynn. Las gazetas de Londres se explican en los términos siguientes sobre los primeros acontecimientos de esta campaña en el llhin: „No puede ménos d</t>
  </si>
  <si>
    <t>Sterens</t>
  </si>
  <si>
    <t>Mrs. Chinget Buttler, en la qual y no en otra parte se venden las botellas por cuenta del inventor. Mr. Sterens, ya difunto, emprendió explicar y comentar las obras de Shakespeare, el mas célebre de los poetas dramáticos ingleses: y fue tál el número de obras que recogió á este efecto, que</t>
  </si>
  <si>
    <t>Stermund, Gerónimo</t>
  </si>
  <si>
    <t>Gerónimo Stermund</t>
  </si>
  <si>
    <t>anuel Motes y D. Joseph María Rindelan; y á segundos Subtenientes á los Cadetes ]&gt;. Antonio García, D. Gerónimo Stermund, Di Ramón Urraca, Don Melchor Magrath y D. Joachín Calderónjr Losada, y á los Sargentos primeros D. Nicolás Petit, D. Camila Nazary y D. Pedro Spraeckmans: en el de Aragón á segun</t>
  </si>
  <si>
    <t>Stippschutz, General</t>
  </si>
  <si>
    <t>General Stippschutz</t>
  </si>
  <si>
    <t>Vicna, como también los cuerpos que salen de varias partes de Hungría, van destinados á Italia. El General Stippschutz ha ido á Viena con pliegos que los franceses entregaron en los puestos avanzados. No se duda que sean relativos al ajuste de la paz, pues se dice que en vez de haberse desechado l</t>
  </si>
  <si>
    <t>gobierno francés enviándole otras; y la respuesta á estas últimas, es la que lleva ahora á Viena el General Stippschutz. Acaba el General Starray, que manda los cuerpos austríacos apostados</t>
  </si>
  <si>
    <t>Stonor, Carlos</t>
  </si>
  <si>
    <t>Carlos Stonor</t>
  </si>
  <si>
    <t>uan María Narganes; á primeros Subtenientes á los segundos D. Joachín Buil, D. Olaguer i omas Aloy, D. Carlos Stonor, Don Felipe Ancora y D. Benito Albiny; y á segundos Subtenientes á los Cadetes D. Tomas Cantón, D. Guillermo Lyons, D. Andrés Aguado y Oquendo y D. Joseph Alvarez, este del de Sor</t>
  </si>
  <si>
    <t>Story, Almirante</t>
  </si>
  <si>
    <t>Almirante Story</t>
  </si>
  <si>
    <t>de Relaciones exteriores habrá un banquete á que asistirá el cuerpo diplomático. Se espera aquí al .Almirante Story, comandante que era de la esquadra holandesa quando se entregó á los ingleses;ha pedido ser juzgado por un consejo de guerra. Doce marineros de dicha esquadra, que han vuelto de I</t>
  </si>
  <si>
    <t>Strolst</t>
  </si>
  <si>
    <t>de este suceso á aquel ministerio. Augsburgo 5 de Setiembre. H a vuelto aquí el ciud. Strolst, Ayudante dei General Moreau, que había ido al quartel general austríaco para intimar la conclusión del armisticio. Asegura que Mr. Kray extrañó mucho el aviso</t>
  </si>
  <si>
    <t>Stronc, Tomás</t>
  </si>
  <si>
    <t>Tomás Stronc</t>
  </si>
  <si>
    <t>y D. Francisco de Paula Eernuy : en la Americana ha nombrado S. M. para Brigadier al Sub-Brigadier D. Tomas Stronc : para esta resulta al Cadete D. V Ícente Bustamante : para Cadete de número al supernumerario D. Domingo Estevez ; y para Cadete supernumerario- al Guardia D. Rafael Pascual. Asi</t>
  </si>
  <si>
    <t>Stuart, Cárlos</t>
  </si>
  <si>
    <t>Cárlos Stuart</t>
  </si>
  <si>
    <t>cree que irá también al Mediterráneo parte de la expedición secreta, cuyo mando se había confiado á Mr. Cárlos Stuart. Igualmente han zarpado de Plimouth los navios Príncipe y Atlas de 98 cañones, Edgar de 74 y la fragata Tritón, que van á reforzar la esquadra grande. Constará de 13® hombres de i</t>
  </si>
  <si>
    <t>Stuart, Carlos (general)</t>
  </si>
  <si>
    <t>General Carlos Stuart</t>
  </si>
  <si>
    <t>ará la artillería. Se ha suspendido asimismo la expedición que debía hacerse á la vela al mando del General Carlos Stuart. Finalmente acaba de enviarse por el telégrafo orden á Portsmouth para que se suspenda por ahora la salida de los transportes de tropas, y que se desembarquen estas y los caballos</t>
  </si>
  <si>
    <t>Stub</t>
  </si>
  <si>
    <t>ue hay en aquel mar, .y proteger la navegaeion y el comercio de Dinamarca. Espérase en breve aquí á Mr. Stub, Secretario del Gonsuiado dinamarqués en Argel, de donde viene en calidad de correo, y á solicitud del Dey, para informar á este ministerio que se han arreglado las diferencias qu</t>
  </si>
  <si>
    <t>Su, General</t>
  </si>
  <si>
    <t>General Su</t>
  </si>
  <si>
    <t>de Avensleben, Ministro de'negocios extranjeros dePrusia, que el Emperador su amo ha dado orden al General Su\varo\r para que vuelva á Rusia con su exército. Berna 14 de Febrero. E 1 ciud. Pichón , Encargado interino de negocios de Francia, en Suiza, ha dado parte al gobierno helvético de</t>
  </si>
  <si>
    <t>Suárez de Déza y Yebra, Francisco</t>
  </si>
  <si>
    <t>Francisco Suárez de Déza y Yebra</t>
  </si>
  <si>
    <t>También ha nombrado S. M. para una plaza de Oidor supernumerario de la Chancillería de Valíadolid á D. Francisco Suarez de Déza y Yebra : para la de Oidor, que este obtenía, en la Audiencia de Sevilla, á D Joseph Montemayor y Priego, Alcalde del crimen de la expresada Chancillería; y para la Fiscalía del crimen de</t>
  </si>
  <si>
    <t>Suárez y Juana Romo, Sebastián</t>
  </si>
  <si>
    <t>Sebastián Suárez y Juana Romo</t>
  </si>
  <si>
    <t>rdió un libramiento de la renta vitalicia de 1633 rs* a7 mrs., núm. 248, imposición 3.a, á'favor de D. Sebastian Suarez y Doña Juana Romo su muger. Quien le haya hallado le entregará en la reloxería de la carrera de S. Gerónimo , frente á la casa del Exc. Sr. Marques de Villescas. El 8 de Julio remitió X). Bernardo</t>
  </si>
  <si>
    <t>Suárez, Francisco</t>
  </si>
  <si>
    <t>Francisco Suárez</t>
  </si>
  <si>
    <t>del de Zamora.: Ú. Felipe de la Corte y O. Alexandro Pastor, primeros Subtenientes del de Sevilla: D. Francisco Suarez, segundo Teniente del de Míircía: D. Luis Valanzati ídem del de Navarra: D. Nazareo Eguia, D. Pedro Díaz de Ribera, D. Benito Irazabal y D. Isidoro García de Montejo, Cadetes del</t>
  </si>
  <si>
    <t>Suárez, Joseph</t>
  </si>
  <si>
    <t>Joseph Suárez</t>
  </si>
  <si>
    <t>o, graduado de Teniente, D. Juan Manuel Cibidancs y D. Rafael Bracho, y á los primeros Subtenientes Don Joseph Suarez y D. Joseph Berdot; á Subtenientes de granaderos á los primeros Subtenientes D. Vicente Hernández, D. Manuel Santiago Rengel y 2&gt;. Francisco de Coniferas; á primeros Subtenientes á lo</t>
  </si>
  <si>
    <t>Suárez, Julián</t>
  </si>
  <si>
    <t>Julián Suárez</t>
  </si>
  <si>
    <t>a, en la Corufia en casa de D. Ramón Varela , Cirujano del Real hospital , y en Santiago en casa de D. Julián Suarez , Visitador de las boticas de la provincia. = Memoria sobre la prolongación morbífica de la lengua fuera de la boca, escrita en francés por el mismo autor Pedro Lassus, leída y de</t>
  </si>
  <si>
    <t>Suca, Carlos</t>
  </si>
  <si>
    <t>Carlos Suca</t>
  </si>
  <si>
    <t>Carlos Suca, natural de Alejandría en el Piamonte...</t>
  </si>
  <si>
    <t>Súchel, General</t>
  </si>
  <si>
    <t>General Súchel</t>
  </si>
  <si>
    <t>tte revista á lias tropas que hay en París. Desde el quartel general de Cornigliano- ha dirigido eL General Súchel una proclama* á les habitantes de la Liguria dándoles aviso de la victoria de Marengo,del armisticio sobre ki* entrega de-krSplazas,y de su próxima entrada en Genova. Encarga se o</t>
  </si>
  <si>
    <t>Suchet</t>
  </si>
  <si>
    <t>Suchet, General</t>
  </si>
  <si>
    <t>General Suchet</t>
  </si>
  <si>
    <t>e 150 hombres. La insurrección empieza á manifestarse en los valles del Bisagno y del Pelcevera. El General Suchet se ha adelantado hacia Ceva con un cuerpo de 3© hombres para reconocer á los enemigos y forragear. Han vuelto los franceses á ocupar á Ormea, Garessio y Bagnasco. Vergara 26de Abr</t>
  </si>
  <si>
    <t>fuerzos, y cedeis con honor; pero creo que ya es tiempo de que escuchéis la voz de la humanidad. El General Suchet tuvo ayer otra pérdida en el monte de Santiago; y así no os queda esperanza alguna de poder luchar mas tiempo con las fuerzas de mi mando. Contra vos clamará toda la sangre que vu</t>
  </si>
  <si>
    <t>quartel general en esta última ciudad. París 11 de Junio. S e ha publicado una correspondencia del General Suchet, en que da cuenta al General Massena de lo acaecido en territorio de Niza desde el 8 de’ Mayo. Refiere la entrada de los austriacos, y los varios ataques que sostuvo Suchet con un</t>
  </si>
  <si>
    <t>nte informe de las operaciones del centro del exército desde 28 de Mayo hasta 3 del corriente: ,,E1 General Suchet atacó el 28 á los enemigos delante de la cabeza de puente, y Ies cogió 4 cañones y 300 prisioneros. Nuestra pérdida no pasó de- 60 hombres. La acción fue reñida, y hubo varios ata</t>
  </si>
  <si>
    <t>l austríaco Elsnitz, que ha evacuado á Niza, no ha podido hacer su retirada por el col de Tenda. El General Suchet lo echó del col de Brans, y le obligó á dirigirse hácia las fuentes del Tánaro; el 6 por la tarde se acogió á Ormea. Según las cartas interceptadas de Mr-. Melas parece que Alexan</t>
  </si>
  <si>
    <t>ción por la total falta de víveres. Parece que Massena tiene io© combatientes baxo sus órdenes : el General Suchet tiene casi otros tantos; y si ambos cuerpos se han reunido entre Oneilla y Savona,como ío supongo, podrán entrar rápidamente en Piamonte por el Tanaro, y ser muy útiles en ocasión</t>
  </si>
  <si>
    <t>vación de Italia , sino su retirada á las fronteras. Ki General Massena se habrá ya juntado con el: General Suchet, habrá llegado á Oneilla , y no tardará en entrar en Píamente.” Exército del Rhin.■ El General de división Dcssollé ha escrito substancia Imen te en estos términos al Ministro de</t>
  </si>
  <si>
    <t>Pierias, que mandó 8 dias en Niza. Antes de ayer se leyó en el teatro de esta ciudad una carta del General Suchet, fecha en el quartei de Tenda, en que avisa una nueva victoria ganada en los campos de Rauss. y Verceli 12 de Jimio. JLn división francesa que baxó por el monte de S. Gothardo. en</t>
  </si>
  <si>
    <t>profesores de las varías cátedras de que ha de componerse aquel cuerpo. * El exército del General Suchet llego el 19 á Campo-Maron delante de Génova. Después de algunas conferencias con el General Hohenzoliern, se firmó en Cornigliano el dia 20 un convenio sobre el moda de cumplir el</t>
  </si>
  <si>
    <t>Willot y Assareto,se embarcaron; y los ingleses muy enojados con los austriacos leváron anclas. El General Suchet hizo el 22 otro convenio con el General Hohenzollern, en fuerza del qual la ciudad de Génova se habrá entregado á los franceses el dia 24 á las 4 de la madrugada. El General de -b</t>
  </si>
  <si>
    <t>l General Massena. £1 General Berthier ha llegado á Turin para arreglar el gobierno de Piamonte. El General Suchet ocupó el dia 23 todos los castillos de Génova. Se ha encontrado allí toda la artillería, y aun aumentada con algunos cañones: pues los ingleses no pudréron llevarse mas que 10 que</t>
  </si>
  <si>
    <t>quartel en Brescia; el General Dupont, que manda el centro, ha sentado el suyo en Cremona, y el del General Suchet, que manda el ala derecha, está en Módetia. El General en xefe Bruñe saldrá á visitar el exército, y se cree que su plana mayor irá á Cremona. Las tropas francesas que había en es</t>
  </si>
  <si>
    <t>Suchet, Teniente General</t>
  </si>
  <si>
    <t>Teniente General Suchet</t>
  </si>
  <si>
    <t>2© de caballería. Nuestra pérdida consistió en 60 muer tos .y ^00 heridos.” Exército de Italia. El Teniente General Suchet al General Bonaparte. Qttartel general del enda 3 de Junio. Debo comunicaros algunas circunstancias mas de las que sabéis sobre las brillantes acciones de los dias 1,2 y 3.__ La d</t>
  </si>
  <si>
    <t>Suero González, Joseph</t>
  </si>
  <si>
    <t>Joseph Suero González</t>
  </si>
  <si>
    <t>estrescuela de la metropolitana deChárcas, vacante por fallecimiento de Don Cárlos de San Martin, á D. Joseph Suero González: para la Canongía, que este dexa, al Racionero D. Francisco Antonio de Areta: para esta Ración al Medio-Racionero D. Alberto Illanes Camaño; y para la Media-Ración de la catedral</t>
  </si>
  <si>
    <t>Suífolk, Lord</t>
  </si>
  <si>
    <t>Lord Suífolk</t>
  </si>
  <si>
    <t>, que fue de paz, se empezaron á traer de otros países. Siguió respondiendo á los demas cargos del Lord Suífolk; y como este había culpado á los Ministros de ser causa de que los franceses conservasen todavía el Egipto, por haber roto el convenio de El-Arisch , replicó que los franceses hab</t>
  </si>
  <si>
    <t>Suinte-Suzanne, General</t>
  </si>
  <si>
    <t>General Suinte-Suzanne</t>
  </si>
  <si>
    <t>Offenburgo, y el del General Beauregard d ■ Friburgo. Pasa de 30® hombres el cxército qúe manda el General Suinte-Suzanne, el qual no tardará en adelantarse hacia Aschaftemburgo y Wuitzburgo, do donde probablemente seguirá á Nuremberg y Rutisbona., Brest 29 de Junio*. L as tropas francesas y española</t>
  </si>
  <si>
    <t>Sultán del Masur</t>
  </si>
  <si>
    <t>o de su escribano D. Dionisio María Ximenez. Memorias del célebre Typpoo-Zai'b, Sultán del Masur, hijo del famoso Heyder-Aiy-Kan. Las gazetas de Europa han repetido por muchos años los nombres de estos dos guerreros ilustres, cuyos talentos militares fueron dignos de mejor suerte.</t>
  </si>
  <si>
    <t>Suñez, Joseph</t>
  </si>
  <si>
    <t>Joseph Suñez</t>
  </si>
  <si>
    <t>de granaderos al de fusileros Di Vicente González Moreno; á segundo Teniente al primer Subteniente D. Joseph Suñez; á primer Subteniente* al segundo D. Vicente López, y a segundo Subteniente al Sargento primero de granaderos D. Manuel González: en el de Guadalaxara á primer Subteniente al segu</t>
  </si>
  <si>
    <t>SurcofF, Capitán</t>
  </si>
  <si>
    <t>Capitán SurcofF</t>
  </si>
  <si>
    <t>ociedad asiática de Calcuta está traduciendo este interesante documento. Según cartas de Calcuta el Capitán SurcofF ha apresado en la bahía del Bengala un bergantín portugués que llevaba á bordo gran cantidad de dinero, cuya mayor parte despachó el Capitán apresador á la Isla de Francia en otra</t>
  </si>
  <si>
    <t>Suria, Francisco</t>
  </si>
  <si>
    <t>Francisco Suria</t>
  </si>
  <si>
    <t>el modo de criar los de nido; y una instrucción sobre criar canarios y curar sus enfermedades : por D. Francisco Suria. Se vende en la librería de González, calle de Atocha , frente á la casa de los Gremios; en Cádiz en casa de Pajáres, en Sevilla en la de Caro, en Salamanca en la de Barco, en Zam</t>
  </si>
  <si>
    <t>Suwarow</t>
  </si>
  <si>
    <t>de aquella potencia. Según avisos de Munich el Conde de Broglio ha declarado al Elector de parte de Mr. Suwarow, que el Emperador su amo retira del Imperio sus tropas , porque el Emperador de Alemania ha abierto negociaciones de paz con la República francesa. a Londres 25 de Noviembre. xlkl</t>
  </si>
  <si>
    <t>r el Comisario británico del exército imperial , y traxo noticia de que el de los rusos mandado por Mr. Suwarow se retira á Rusia. Inmediatamente se celebró consejo secreto, y concluido se envió un correo á Petersburgo. Hablase de convocar el Parlamento antes del ^o de Enero, que es el día</t>
  </si>
  <si>
    <t>e asegura no sólo qué las tropas rusas han recibido orden de suspender su marcha, sino también que Mr. Suwarow sentará su cuartel general en Praga, y Ja vanguardia dc.su exército invernará en Baviera. Añaden que un extraordinario de Petersburgo, que llegó el 8 , comunicó á dicho General es</t>
  </si>
  <si>
    <t>algunas gazetas que las potencias aliadas contra Francia han convenido ya en el siguiente proyecto. Mr. Suwarow se pondrá á la frente de un exército de 100® hombres: los 80© serán rusos, y los 20® restantes se compondrán del cuerpo de Conde y de tropas palatinas, bávaras y suizas. Obrará in</t>
  </si>
  <si>
    <t>s, el qual consta ya de mas de 5® hombres. El General Hiller, Comisario austríaco en el exército de Mr. Suwarow, se retira del servicio, y se transfiere á Badén, para restablecerse de las heridas que recibió en la acción cerca de Zurieh. Francfort 13 de Enero. D ase por cierto que si no se</t>
  </si>
  <si>
    <t>r de Gatschina dicho Príncipe, despacho el ministerio ruso 2 correos: uno llevaba la orden para que Mr. Suwarow permaneciese en Alemania, y el otro iba dirigido al General Lascy, en Lithuania, mandándole se dispusiese á marchar con el exército de su mando para reforzar al de Súwarow. El men</t>
  </si>
  <si>
    <t>y el Archiduque Palatino de Hungría mandaran un cuerpo separado cada uno; pero baxo las ordenes de Mr. Suwarow..__ Los franceses por su parte se refuerzan mucho en la izquierda del Rhin; y se cuentan ya 25©hombres que solo esperan la última orden para pasar aquel rio por Maguncia. Durante</t>
  </si>
  <si>
    <t>Suwarów</t>
  </si>
  <si>
    <t>, y obrará de acuerdo con él. En los demas'países que baña el Rhin militarán los rusos mandados por Mr. Suwarów.</t>
  </si>
  <si>
    <t>rdieron la vida 18 soldados rusos. Dicen los avisos de aquel pais que el 27 de Enero salió de Praga Mr. Suwarow con varios Generales para Brunn de Moravia , y añaden que aquellas tropas prosiguen su marcha por la Silesia austríaca y Galitzia á la Polonia rusa. Parece que los asuntos de Ital</t>
  </si>
  <si>
    <t>onia, en la qual se ocupan mucho una y^otra. Se dixo algunos dias que Paulo I había enviado orden á Mr. Suwarów para que volviese á Rusia con su exército; pero ahora se da por cierto que á fines de la semana anterior se expidieron órdenes para que 4 regimientos marchen á nuestro exército de</t>
  </si>
  <si>
    <t>ira el exército ruso, y que ha emprendido ya su vi'age por Moravia y Silesia. Según avisos de Praga Mr. Suwarow se detendrá en Olmutz de Moravia, y sentará su quartel general en aquella ciudad con la esperanza de recibir nueva orden de su Soberano para volver al Rhin. Se advierte que hasta</t>
  </si>
  <si>
    <t>confirman la retirada de los rusos, la quai consta también por cartas de la Chancillería de Viena. Mr. Suwarow llegó el día 2 con su plana mayor á Moravia, y el 3 salió para Petersburgo. Todos los comandantes de los cuerpos que componen el exército imperial tienen orden de estar prontos de</t>
  </si>
  <si>
    <t>elas 2 de Marzo. S egun cartas recientes de Alemania no tiene duda que el exército ruso mandado por Mr. Suwarow se ha detenido en Meravia y en la Silesia austríaca. El referido General, que ha despachado á Petersburgo un oficial de su plana mayor, parece va á Viena, en donde esperará la res</t>
  </si>
  <si>
    <t>u patria acaba de recibir orden de caminar 10 leguas cada dia hasta llegar á su destino. Añaden que Mr. Suwarow ha caído de la gracia de su Soberano, quien le</t>
  </si>
  <si>
    <t>una polaca con Madama TrautsmandorfF. El 12, fiesta de la Candelaria según el rito griego, asistió Mr. Suwarow á los oficios divinos con gran séquito de Generales y oficiales de superior graduación. Llevaba uniforme de Feld-Mariscal austríaco , y comió en casa del Conde de Kaunitz. El 13 l</t>
  </si>
  <si>
    <t>sí un partido poderoso. Se asegura que el Rey de Prusia es quien se opone al casamiento del hijo de Mr. Suwarow con la Princesa de Curlandia, porque no conviene que pase á manos de un extranjero un feudo considerable dependiente do la soberanía de Prusia. Berlín 3ro de Marzo. P or disposici</t>
  </si>
  <si>
    <t>Súwarow, Conde</t>
  </si>
  <si>
    <t>Conde Súwarow</t>
  </si>
  <si>
    <t>utas que van á hacerse con Ja mayor priesa. En la gazeta de la corte se ha impreso una relación del Conde Súwarow, fecha en Taverne á 9 de Setiembre. En ella se queja de que contra la promesa formal del Barón de Thugut, Ministro de la corte de Viena, y del Xord Murgrave, Comisario ingles, hic</t>
  </si>
  <si>
    <t>Suwarow, Conde</t>
  </si>
  <si>
    <t>Conde Suwarow</t>
  </si>
  <si>
    <t>e Diciembre. H a pasado por esta ciudad un * correo de Petersburgo que va al. qu artel general del. Conde Suwarow, y lleva á este Fejd-M^riscal el despacho de su nombramiento á ía dignidad de Generalísimo délos exércítos rusos,’y asimismo el retrato del Emperador su amo guarnecido de brillant</t>
  </si>
  <si>
    <t>difinitivamente el plan de la campaña próxima. Asistirán á dicha asamblea el Archiduque Cárlos y el Conde Suwarow; y quizá resultará de ello la reconciliación de ambos Generales, cuyas desavenencias no han dexado de perjudicar á los intereses de la colicion. Entre tanto dan por supuesto algun</t>
  </si>
  <si>
    <t>nte General Conde de Bellegarde, han salido de esta ciudad para Praga, á fin de conferenciar con el Conde Suwarow sobre asuntos importantes. Ratisbona j de Enero. A seguran varias gazetas que la primera coluna de rusos que vuelve hacia el Rhin llegará de Bohemia á esta ciudad el 5 de Febrero,</t>
  </si>
  <si>
    <t>es austríacos hecho dimisión de su mando en los exércitos, no queriendo servir baxo las órdenes del Conde Suwarow por lo mal que los trataba. « Dresde 2 t de AbriL C orno en las gazetas de Alemania se ha referido' con mucha variedad el incendio de las minas de cobre de Rnmelsberg, los emplead</t>
  </si>
  <si>
    <t>lines por cada niño para gastos de viage. Se ha hablado con mucha variedad en orden á la muerte del Conde Suwarow. Ahora se asegura que ai llegar cerca de Petersburgo, en donde esperaba le recibiesen en triunfo, le llego un correo con pliegos del Emperador que le deponía de todas sus dignidad</t>
  </si>
  <si>
    <t>Suwarow, Feld-Mariscal</t>
  </si>
  <si>
    <t>Feld-Mariscal Suwarow</t>
  </si>
  <si>
    <t>to del Rhin pasan al de Italia se regulan en 20$ hombres. Refieren algunos papeles: públicos que el Feld-Mariscal Suwarow ha. llegado á Praga. Parts jo de Diciembre. H an señalado los Cónsules de la República francesa las recompensas que habrán de darse á los militares que hagan alguna hazaña por la</t>
  </si>
  <si>
    <t>ir la campaña en dicha estación. Sin embargo de que los avisos de Petersburgo dan por seguro que el Feld-Mariscal Suwarow tiene orden de su Soberano para permanecer en Alemania con el exército de su mando, se sabe que aquellas tropas siguen marchando á Rusia. Dícese que en Viena se celebrará un Conse</t>
  </si>
  <si>
    <t>e rusos que vuelve hacia el Rhin llegará de Bohemia á esta ciudad el 5 de Febrero, añadiendo qwa el Feld-Mariscal Suwarow mandará en xefe el exército combinado austríaco y ruso que ha de militar en Alemania. Parece según otros papeles públicos que el Ayudante francés Puroc, enviado por Bonaparte á Be</t>
  </si>
  <si>
    <t>de se enviará á Bohemia. Son muchos los correos rusos, ingleses y austríacos que recibe en Praga el Feld-Mariscal Suwarow. El Lord Minto, Enviado británico, que fue á verle con el General Bellegarde, llevaba encargo de arreglar todo lo relativo á la manutención de las tropas rusas durante la campaña</t>
  </si>
  <si>
    <t>a en el Cabo désde que salieron las demas para sujetar aquellos descontentos. Aunque se sabe que el Feld-Mariscal Suwarow recibió el 21 de Enero 'térden para volver á Rusia , se cree en general que esto es una mera amenaza de su soberano para obligar al gabinete de Viena á que desista dé sus ideas de</t>
  </si>
  <si>
    <t>léy Francfort 24 de Febrero. E, ti exército del Feld-Mariscal Suwarow se juntará con las tropas que hay actualmente en Polonia, y cuyo número, según dicen, asciende á 100‘J hombres. Como nada se trasluce en orden á los proyectos de la corte de Rusia</t>
  </si>
  <si>
    <t>niega su contingente para el exército del Imperio. Todos los dias se publican algunas noticias del Feld-Mariscal Suwarow, de las quales pocas se verifican. La que ahora corre es que ha muerto repentinamente de apoplexía en Cracovia. Dícese también que el Emperador de Rusia se ha opuesto al matrimoni</t>
  </si>
  <si>
    <t>ena para asistir al Consejo de guerra en que ha de ser juzgado el General Eroelich. • Dícese que el Feld-Mariscal Suwarow, poco después de salir de Cracovia, recibió orden de no entrar en aquella capital, y de retirarse á sus haciendas. Atribuyen esta desgracia á las quejas que el Ministro ingles Wic</t>
  </si>
  <si>
    <t>Cracovia 4 de Marzo. A »yer salió de aquí la última coiuna de tropas rusas. El Feld-Mariscal Suwarow se sintió algo indispuesto ántes de partir de esta ciudad; llegó luego á sus haciendas de Krarnoskow, y allí cayó gravemente enfermo, en términos que ya se dice que ha muerto. ¿-</t>
  </si>
  <si>
    <t>Suwarow, General</t>
  </si>
  <si>
    <t>General Suwarow</t>
  </si>
  <si>
    <t>andia se halla en esta ciudad, en la qual parece se propone pasar el invierno, Hoy llegó también el General Suwarow, y se apeó én casa del Te-, iliente Coronel Wimers, Algunos prisioneros franceses transitáron por aquí el dia 7 siguiendo su marcha i Theresienstadt, en donde permanecerán hasta s</t>
  </si>
  <si>
    <t>cartas particulares de aquel país sostienen ahora que la mayor parte del exército ruso al mando del General Suwarow va á embarcarse para Inglaterra; y añaden que Paulo I ha pedido ya al Rey de Dinamarca el paso por sus estados para un cuerpo muy crecido de tropas. Sea de esto lo que fuere, lo c</t>
  </si>
  <si>
    <t>cration irán á Inglaterra; pero otros sostienen que se embarcará la mayor parte del exército con su General Suwarow, el qual al frente de 8o© hombres entre rusos é ingleses hará un desembarco en las costas de Francia,</t>
  </si>
  <si>
    <t>Archiduque Carlos se retira de los exércitos,y va á Bohemia en calidad de Gobernador del Reyno. El General Suwarow ha pasado de Moravia con parte de la plana mayor de su exército. El 8 de Febrero había ya cuerpos de tropas rusas en Troppau y Jagerndorf, en la Silesia austríaca y Galitzia. En e</t>
  </si>
  <si>
    <t>división. Se ha publicado el siguiente artículo en gazeta de Petersburgo: „ Aunque el exército del General Suwarow abandona la Alemania para volver á Polonia, no se debe inferir de ello que nuestro Soberano ha desistido de sus proyectos contra Francia, ni que se separa de la colicion. Si algun</t>
  </si>
  <si>
    <t>a izquierda del Rhiru Hay noticias de que todo el exército ruso ha entrado ya en Galrtzia* y que el General Suwarow ha llegado á Lemberg. Las tropas austríacas, que forman el ala izquierda del exército de Suabia, y hace algunos dias se habian reunido, han vuelto ahora si sus anteriores acantona</t>
  </si>
  <si>
    <t>pto los empleados en asuntos de la Dieta. Cracovia 1$ de Febrero. E 1 11 al anochecer llegó aquí el General Suwarow, y se alojó en casa de uno de sus amigos antiguos. Al dia siguiente le dio el Conde de Trautsmandorff un sarao, que el mismo General rompió baylando una polaca con Madama Trautsma</t>
  </si>
  <si>
    <t>las americanas de Sto. Tomas y Sto. Domingo. De varias partes se recibe la noticia de la muerte del General Suwarow. Aseguran que no habiéndole permitido el Emperador que se presentase en la corte, se retiró á una de sus haciendas de Lithuania, en donde murió de pesadumbre, y aun algunos dicen</t>
  </si>
  <si>
    <t>axada de Rusia , que llegó aquí antes de ayer, desmiente la noticia tan acreditada de la muerte del General Suwarow, la qual igualmente se ha desmentido en la gazeta de esta corte. Parece no 'obstante que está enfermo. Casi no se habla ya del embarco de tropas rusas en Riga ni en los puercos de</t>
  </si>
  <si>
    <t>los fundados motivos de queja que el ministerio de Londres ha dado á este Soberano. El entierro del General Suwarow se hizo con la mayor ostentación; acompañaban al cadáver 15© hombres de la guarnición de esta capital. ~" _ Copenhague JO de Junio. E 1 Príncipe Cárlos de Hesse lia salido de aquí</t>
  </si>
  <si>
    <t>u&gt;¡ nunuet;: el 3.0 una pastorela: el 4.0 un rondó: el 3.0 una polaca ; y el 6.° la marcha rusa di! General Suwarow : 6 polacas de id. para dicho instrumento: 6 rondóes con sus minuetes: 6 contradanzas: 6 dúos á dos guitarras: 6 id.- á flsuta y guitarra: 3 quartetos para guitarra, violin y baxo</t>
  </si>
  <si>
    <t>Suwarow, Mariscal</t>
  </si>
  <si>
    <t>Mariscal Suwarow</t>
  </si>
  <si>
    <t>mandada por el General DerÍ elden, y se dirige por Brounau, Li^zy Moravia: la segunda, al mando del Mariscal Suwarow, baxará por las márgenes del Iller hasta el Danubio, y de allí atravesará la Bohemia: su quartel general debía salir de Augsburgo el 25; y se esperaba á dicho Feld-Mariscal en Mun</t>
  </si>
  <si>
    <t>Suwarow, Príncipe</t>
  </si>
  <si>
    <t>Príncipe Suwarow</t>
  </si>
  <si>
    <t>y propagada de que un cuerpo de tropas rusas habia salido de Wolhinia para reforzar el exército del Príncipe Suwarow. Por el contrario añade que los 15© rusos acantonados en las cercanías de Brzesc han tenido orden de permanecer allí, en vez de adelantarse hacia Galitzia. Londres 21 de Diciembre</t>
  </si>
  <si>
    <t>os contornos de Lintz, en donde espera un correo de Petersburgo sobre su nuevo destino. El hijo del Príncipe Suwarow se casa con la Princesa de Curlandia, y el 26 de Enero se celebraron en Praga los esponsales con bayle y cena. ' Parts 26 Je Febrero. £ &lt;1 General Bruñe escribo desde Vannes con f</t>
  </si>
  <si>
    <t>es se hallan el Emperador de Rusia, el Príncipe Real, el Príncipe Leopoldo, el Almirante Nelson, el Príncipe Suwarow, el General Acton, el Príncipe Belmonte-Pignateü, el Cardenal Ruffo &amp;c.; y entre los Comendadores el Conmodoro ingles Townbridge , el Capitán Hood„y otros. En una fragata inglesa</t>
  </si>
  <si>
    <t>Suwavow, Conde</t>
  </si>
  <si>
    <t>Conde Suwavow</t>
  </si>
  <si>
    <t>Pnncioe Echando, casaron una hija del Duque de Cudandia que Paulo I había destinado para el hüo del Conde Suwavow* \ ..... . , ■ Mr.Tomas Grenville, hermano del Ministro ingles, paso por esta ciudad «1 dia l 6 yendo á Berlín- ^ j r v . Vien* tSde Julia. . .. . . Nó minos en esta capital que e</t>
  </si>
  <si>
    <t>Suwaxow, General</t>
  </si>
  <si>
    <t>General Suwaxow</t>
  </si>
  <si>
    <t>íasde Brzeszc y Cobryn constará de 8o© hombres de infantería y 20© de caballería. Debía mandarlo el General Suwaxow, y parece estaba ya nombrado quando le co^ió la muerte., p, Munich 8 de Junio. or una ordenanza electoral se manda á todos los extrangeros y forasteros salgan inmediatamente de es</t>
  </si>
  <si>
    <t>Swetschin, Teniente General</t>
  </si>
  <si>
    <t>Teniente General Swetschin</t>
  </si>
  <si>
    <t>. A. Imperial el Gran Duque Constantino ha sido nombrado Inspector de caballería en Petersburgo: el Teniente General Swetschin está nombrado General de infantería y Gobernador militar de esta ciudad; y el Príncipe Alejandro de Wurtemberg ha sido promovido á General de caballería. Copenhague 21 de Setiembre.</t>
  </si>
  <si>
    <t>Swinburne, Capitán</t>
  </si>
  <si>
    <t>Capitán Swinburne</t>
  </si>
  <si>
    <t>de aumentar basta el número de 12® plazas los regimientos de Guardias, sin contar los oficiales. El Capitán Swinburne, que ha llegado aquí de Holanda, trae proposiciones del gobierno de Francia para cangear el General ingles¡Down y el General ruso Hermann por los Generales franceses Colii, Grouch</t>
  </si>
  <si>
    <t>Szeczen de Temerin, Alexandro</t>
  </si>
  <si>
    <t>Alexandro Szeczen de Temerin</t>
  </si>
  <si>
    <t>de Croacia se ha celebrado una junta general de aquel Condado, presidida por el Canciller de corte Mr. Alexandro Szeczen de Temerin, y en ella se resolvió armar 720 hombres de infantería con 217 de caballería para contribuir á la defensa del país; Los franceses se adelantan en gran número de Baviera á las fron</t>
  </si>
  <si>
    <t>Tabeada Márquez de Ulloa, Pedro</t>
  </si>
  <si>
    <t>Pedro Tabeada Márquez de Ulloa</t>
  </si>
  <si>
    <t>sileros al Subteniente de cazadores D. Antonio Gayoso, y á esta resulta al Subteniente de fusileros D. Pedro Tabeada Márquez de Ulloa: en el de Murcia á Teniente de fusiL-ros al Subteniente de esta clase D. Aquilino Perez, y á Subtenientes de Lindera al Cadete D. Aparicio Corbalan y D. Joseph María Spuche y Lore</t>
  </si>
  <si>
    <t>Taberner, Joseph</t>
  </si>
  <si>
    <t>Joseph Taberner</t>
  </si>
  <si>
    <t>r Lyons. En el de caballería de la Reyna se ha servido también S. M. promover a Capitán al Ayudante D. Joseph Taberner: en el de Borbon á segundo Teniente al Alrcrez D. Joseph María Cerralde: en el de Alcántara á primer Teniente ai segundo D. Ramón de Ortigosa: en el de España á primer Teniente ¿1</t>
  </si>
  <si>
    <t>Taboada, Miguel</t>
  </si>
  <si>
    <t>Miguel Taboada</t>
  </si>
  <si>
    <t>gimiento de infantería de Hibernia; y el del castillo de Santa Catalina del puerto de Santa María á D. Miguel Taboada, Capitán del de infantería íixo de la plaza de Ceuta. En la Compañía Americana del Real Cuerpo de Guardias de Corps ha nombrado el Rey Cadete de numero al supernumerario D. Rafael</t>
  </si>
  <si>
    <t>Tacón, Miguel</t>
  </si>
  <si>
    <t>Miguel Tacón</t>
  </si>
  <si>
    <t>García: la de Oficial primero de la Administración y Tesorería de tabacos de Cartagena de Indias á D, Miguel Tacón: la dé Oficial segundo de tesorería de la Administración principal de tabacos de la capital de Santa Fe ¿ D, Manuel Silvestre Prieto: el emplea de Administrador y Factor de la pro</t>
  </si>
  <si>
    <t>Tafalla, Juan</t>
  </si>
  <si>
    <t>Juan Tafalla</t>
  </si>
  <si>
    <t>lantas nuevas, que ha enviado para aumento de la Flora del Perú y Chile, el catedrático de Botánica D. Juan Tafalla. Ademas, en la fragata Ja Aurora remitió este Botánico en 1795 siete caxones de producciones vegetales con 160 dibuxos de otras tantas plantas descritas y bien esqueletadas. En la</t>
  </si>
  <si>
    <t>Talbbt</t>
  </si>
  <si>
    <t>DICIEMBRE DE 1800. . i}. ) 'Stóckohno 31 de Octubre* ¿ Auncfue desde el mes de Julio se halla aquí Mr. Talbbt, Encargado de negocios de Inglaterra, no lo ha reconocido ni admitido aun la corte, así como el Secretario de gabinete sueco Netzel, que al mismo tiempo fué á Londres como Encarga</t>
  </si>
  <si>
    <t>Talens, Joseph</t>
  </si>
  <si>
    <t>Joseph Talens</t>
  </si>
  <si>
    <t>s Subtenientes á los segundos 1&gt;. Pedro Torrequemada, D. Francisco Latorre, D. Francisco Collantes, D. Joseph Talens, D. Joseph Alemany y D. Manuel Arnaez, y á segundo Subteniente al Cadete D. Joseph Andeyro: en el de Asturias á Capitán aí Ayudante D. Francisco Manglano; á Ayudante al primer Ten</t>
  </si>
  <si>
    <t>Talens, Vicente</t>
  </si>
  <si>
    <t>Vicente Talens</t>
  </si>
  <si>
    <t>eéülta vacante en la citada Audiencia de Canarias, por fallecimiento de D. Alvaro de Ribadeneyra, á D. Vicente Talens. 1 También ha nombrado S. M. para una plaza de Oidor supernumerario de la Chancillería de Valíadolid á D. Francisco Suarez de Déza y Yebra : para la de Oidor, que este obtenía, en</t>
  </si>
  <si>
    <t>Talepsr, Vicente</t>
  </si>
  <si>
    <t>Vicente Talepsr</t>
  </si>
  <si>
    <t>sta áiDv;FernandouMaríaíGarvia de Torrevedraf ynparac l^de d&gt;. Joseph ®íaría&gt;Galdiáno y Zalduendo á D. Vicente Talepsr, Oídprh de la Audiencia dé Canarias, y para íesta; resultará D. Francisco; de Que- ? vpdb yBuenó. Teridráse'entendido en ía Qámaru, y se dispondrá lo correspondiente á su cumplimi</t>
  </si>
  <si>
    <t>Talle, Antonio</t>
  </si>
  <si>
    <t>Antonio Talle</t>
  </si>
  <si>
    <t>storiadores, y particularmente de la que escribió el R. P. Fr. Josepbde Montas, dél orden seráfico, D. Antonio Talle* de Acevedo: un tomo en 4.0 Sé hallará en la librería de Calleja, calle angosta de Majaderitos. Prevención para la hora de i* muerte, método fácil y eficaz, y tan necesario para t</t>
  </si>
  <si>
    <t>Talleyrand</t>
  </si>
  <si>
    <t>uí un correo francés con una carta del Cónsul Bonapartc para el Rey, y otra del ciud. Talleyrand, Ministro de Relaciones exteriores, al Lord Greíiviile. Acompañaba al correo Mr. Crow, empleado en la aduana de Donvres. Una y otra carta tratan , según se dic</t>
  </si>
  <si>
    <t>na inteligencia entre las dos Repúblicas. Mr. Murray ha tenido ya audiencia del ciud. Talleyrand, Ministro de Relaciones exteriores. Ha pedido este gobierno 40® caballos á los departamentos de la República para servicio de los cxércitos. Se asegura que los</t>
  </si>
  <si>
    <t>s preliminares de paz se firmaron en París el 9 Termidor (28 da Julio) entre el ciud. Talleyrand, Ministro de Relaciones exteriores, y el Conde de S. Julián, y se ratificáron por los Cónsules 24 horas después. El ciud. Duroc los llevaba á Viena: pero las i</t>
  </si>
  <si>
    <t>liminares de paz en París á 28 de Tulio de 1800. Firmado \ J- Conde de Saint-Julien, General.__ Ch. Mr. Tajieyrand.” * El Contra-Almirante Latouche-TrevlIIe, comandante de la esquadra de Brest, ha escrito al Ministro de Marina la siguiente carta: ,,E1 i.° del corriente, 4 navios de línea enemi</t>
  </si>
  <si>
    <t>capitular por hambre. París 7 de Octubre. E 1 Conde de Lehrbach ha informado al ciud. Talleyrand, Ministro de Relaciones exteriores , de que está nombrado Ministro de Negocios extranjeros en lugar del Barón de Thugut, á quien S. M. el Emperador ha concedid</t>
  </si>
  <si>
    <t>Talleyrand Perigord</t>
  </si>
  <si>
    <t>as mismas dimensiones. Londres 10 de Febrero de 1800. L a nota con que el ciud. Talleyrand Perigord, Ministro de Relaciones exteriores de Francia, respondió a la del Lord Grenville, decía así: „Parts 13 de Enero___ Habiendo presentado al primer Cónsul de la República francesa la nota de o</t>
  </si>
  <si>
    <t>Tama, Conde</t>
  </si>
  <si>
    <t>Conde Tama</t>
  </si>
  <si>
    <t>cange de las. ratificaciones para, garantir la constitución de las islas ex-venecianas , entre5 el Conde Tama-: ra, Ministro de Rusia, y el Bey Ismed-Mehemet, Gadisleskier de Romelia» y Ministro plenipotenciario nombrado á este efecto por. la Puerta. Cele-’ oróse dicho acto con salva de lo</t>
  </si>
  <si>
    <t>Tamariz y Aguayo, Juan Joseph</t>
  </si>
  <si>
    <t>Juan Joseph Tamariz y Aguayo</t>
  </si>
  <si>
    <t>&gt;. Juan Francisco Silvestre: el de Contador de la Aduana dé la capital del Nuevo Reyno de Granada á D. Juan Joseph Tamariz y Aguayo: el de Contador de la Administración principal de tabacos de Cuenca á D. Manuel Tirado y Merino: la plaza de Oficial segundo de la Contaduría gene*</t>
  </si>
  <si>
    <t>Tangen</t>
  </si>
  <si>
    <t>DEL MARTES 30 DE .SETIEMBRE DE 1800. Stockohno ig.de Agosto... M r. ,Zibtét, Secretarlodé Estado* y Mr. Tangen , Secretarlo delprotoco* lo, están nombrados por S. M. para tratar con los estados” de Poixierania sobre el cobro de las contribuciones que tiene aun que satisfacer aquella provin</t>
  </si>
  <si>
    <t>Taváresde Ulloa, Francisco</t>
  </si>
  <si>
    <t>Francisco Taváresde Ulloa</t>
  </si>
  <si>
    <t>mente para la extracción de aceyte j modo de cultivarle y beneficiarle para bien de la nación : por D. Francisco Taváresde Ulloa , Canónigo prebendado de Valencia. Véndese en la librería de Fernandez frente á S. Felipe , y en Valencia en la de Mallen. Escarmiento del alma y guia á la unión con Dios: por el</t>
  </si>
  <si>
    <t>Tavira y Almazan, Antonio</t>
  </si>
  <si>
    <t>Antonio Tavira y Almazan</t>
  </si>
  <si>
    <t>Presidid en ella el Exc. Sr. Marques de Cerralbo y Almarza, su protector; y asistieron el Unió. Sr. D. Antonio Tavira y Almazan, Obispo de esta ciudad, los Magistrados, varios individuos del Cabildo, Universidad y Ayuntamiento, los Rectores y Prelados de colegios y comunidades, y las personas mas condecora</t>
  </si>
  <si>
    <t>Tavira, Pedro</t>
  </si>
  <si>
    <t>Pedro Tavira</t>
  </si>
  <si>
    <t>s seminaristas D. Francisco Necochea, D. Pedro Goossens, D. Joseph Fermín Cia, D. Joseph María Cia, D. Pedro Tavira, D. Rodrigo Tavira, D. Raymundo Cia, D. Joseph de Arellano y D. Joacliín Fernandez de Medrano. En sintaxis, baxo la dirección de D. Rufino Espada, D. Antonio Gilman, D. Manuel de</t>
  </si>
  <si>
    <t>Taylor, Capitán</t>
  </si>
  <si>
    <t>Capitán Taylor</t>
  </si>
  <si>
    <t>le ha intimado orden para que no entre en Petersburgo ni en Moskow. . Londres 20 de Diciembre. E 1 Capitán Taylor, Secretario del Duque de Yorck, va á Petersburgo para ajustar un tratado de subsidios á favor de la colicion, según el qual tomará este gobierno á su sueldo un número de tropas ex</t>
  </si>
  <si>
    <t>Tayme Parella</t>
  </si>
  <si>
    <t>pata; y en el de Reales Guardias Walonas á segundos Tenientes á los Alféreces D. Fernando de Roxas, Don Tayme Parella, D. Luis Vanausthoorn y D. Andrés ác Bassecourt, los dos ¿rimeros de granaderos. En el de infantería de Africa á Capitán al Ayudante D. Isidoro Gutiérrez Palacios; á Ayudante al p</t>
  </si>
  <si>
    <t>Tcllez de Pedraja's, Juan</t>
  </si>
  <si>
    <t>Juan Tcllez de Pedraja's</t>
  </si>
  <si>
    <t>a á D. Joseph Aloy: del segundo del de Sevilla á D. Joseph Lacasa; y del primero del de la Corona á D. Juan Tcllez de Pedraja's, que lo era de la división de granaderos y cazadores provinciales de Andalucía. Asimismo se ha servido nombrar Maestro Armero de la ciudadela de Vale ncia á D. Matías Ballester; y</t>
  </si>
  <si>
    <t>TcwA' Fernández L Córdoba</t>
  </si>
  <si>
    <t>., su h„os y sucesores perpenación ae T r h chacón, Guzman el Bueno, López, Ho‘“TcwA' Fernandez L Córdoba, vecino de la ciudad-de Lucelia, gazon, .Curado,_ • circunstancias de su casa y .familia, y hapara mantener con decoro esta dig5Tr* Se” dad” á Í.Ztado L ¿«»a¡™ gubamativa da ConS„Uda«¡..</t>
  </si>
  <si>
    <t>Tei, Juan</t>
  </si>
  <si>
    <t>Juan Tei</t>
  </si>
  <si>
    <t>ar para la dignidad de Arcediano de Montenegro, que se halla vacante en la catedral de Mondoñedo, a D. Juan Tei— xeyro* para el Beneficio servidero de la parroquial del lugar de Daganzo de Arriba, arzobispado de Toledo , vacante por promoción de D. Joseph Gutiérrez á una Capellanía de la Re</t>
  </si>
  <si>
    <t>Tejada, Rafael</t>
  </si>
  <si>
    <t>Rafael Tejada</t>
  </si>
  <si>
    <t>raldes, D. Manuel de Lardizabal, D. Luis de Lardizabal, D. Alejandro Barruchi, Don Joseph Kindelan, D. Rafael Tejada, D. Antonio Gilman, D*-Manuel de la Riva-Agiiero; y otros varios en principios. En doctrina christiana, baxo la dirección del maestro principal el Lie. D. Juan Bautista de Montes,</t>
  </si>
  <si>
    <t>Telesforo de Ibarrola</t>
  </si>
  <si>
    <t>s D. Antonio Osteret y Nario, el Lie. D. Mariano Beaumont y Bretón, Abogado de los Reales Consejos, D. Telesforo de Ibarrola, D. Elias Mariategui, D. Francisco Palacip Velarde, D. Isidro López Alban,D. Joseph Hernández San,u Cruz, Don Manuel González Villamil, D. Joseph Rinconada , D. Paulo de Norieí?a,</t>
  </si>
  <si>
    <t>Telesforo Sometiera</t>
  </si>
  <si>
    <t>de Oficial primero de la Contaduría de las Reales Caxas de Campeche, en la provincia de Yucatán, á D. Telesforo Sometiera; y para la de Oficial segundo de la misma Contaduría á D. Blas Valladares. A consulta del supremo Consejo de Castilla de 20 de Marzo se ha dignado el Rey conceder Real permiso y f</t>
  </si>
  <si>
    <t>Tellez de Velaz-K, Ana</t>
  </si>
  <si>
    <t>Ana Tellez de Velaz-K</t>
  </si>
  <si>
    <t>de olivar en término de la villa de Tosina, perteneciente al patronato fundado en dicha villa por .Doña Ana Tellez de Velaz-K .qiiez, e’n 24.360. .Tres aranzadas de olivar, perteneciente á id. en 11,250. Un molino de moler aceytuna, perteneciente á id. en 55,751. Un almacén, pertene— cíente al patronato</t>
  </si>
  <si>
    <t>Tellez, Joseph</t>
  </si>
  <si>
    <t>Joseph Tellez</t>
  </si>
  <si>
    <t>sertos , yerros , equivocaciones^ extravíos y contrariedades del papel que ha dado á luz el Vicario D. Joseph Tellez£ por el Cura D. Fernando Ramirez de Luque, y es la tercera parte de la Justa úefensj^# sus escritos. Se venden en la librería de Barco, carrera de S. Gerónimo. El Viagero universa</t>
  </si>
  <si>
    <t>Telmo Piñeyro, Ambrosio</t>
  </si>
  <si>
    <t>Ambrosio Telmo Piñeyro</t>
  </si>
  <si>
    <t>eliton Zorrilla de San Martin: para la Canongia de la catedral de Tuy, vacante por fallecimiento de D. Ambrosio Telmo Piñeyro, á Don Bernardo Valdivieso, Capellán del regimiento de Búrgos: para la que se halla vacante en la misma iglesia, por fallecimiento de D. Vicente Moure, á D. Venancio García Morcil</t>
  </si>
  <si>
    <t>Temple, Conde</t>
  </si>
  <si>
    <t>Conde Temple</t>
  </si>
  <si>
    <t>unión de la Gran Bretaña é Irlanda,, se acordó que se. comunicase á la de los-Pares. En efecto, el Conde Temple,, acompañado* por el Canciller del Echiquier y otros vocales délos Comunes, lo presentó, en el mismo dia á la Cámara alta, en la qual, á preposición del Lord Grenvilie , se proced</t>
  </si>
  <si>
    <t>Tena y Pomar, Francisco</t>
  </si>
  <si>
    <t>Francisco Tena y Pomar</t>
  </si>
  <si>
    <t>651 dos castañales de la hermandad del Santísimo , tasado en *56,781 rs. Don Francisco Tena y Pomar , maestro del arte mayor de la seda , natural y vecino de Ja ciudad de Valencia, que vive en la calle de Gracia, manz. 181, mím. 3, tiene establecida muchos años hace una fábrica</t>
  </si>
  <si>
    <t>Teodoro Cañero</t>
  </si>
  <si>
    <t>ndos Tenientes á los Subtenientes D. Nicolás Godet , D. Joseph Hontoria , D. Fermín Sánchez Franco, D. Teodoro Cañero y D. Ramón Puigros: en el batallón de Volunt trios de Valencia á segundo Ayudante al primer Teniente D. Antonio Azntr; á primer Teniente al segundo D. Francisco Salvador; á segundo Te</t>
  </si>
  <si>
    <t>Teodoro de Aguirre</t>
  </si>
  <si>
    <t>isma renta en Puebla, Oaxaca, Guadalaxara y Vera-Cruz á D. Joseph Moran, D. Joseph Tomas de Acosta, D. Teodoro de Aguirre y D. Rafael Rancaño; y Tercenista de la factoría de Mérida de Yucatán á D. Pedro Joseph Montero. Asimismo ha nombrado S. M. por Oficiales segundo, tercero y quarto de la Dirección y C</t>
  </si>
  <si>
    <t>Teodoro de Almeyda</t>
  </si>
  <si>
    <t>us devotos, con obsequios á la misma Señora considerada en sus dolores y angustias : su autor el P. D. Teodoro de Almeyda , de la congregación del oratorio de S. Felipe Neri de Lisboa; traducido por D. F. V. G. presbítero, lleva una estampa de la Dolorosa y su Santísimo Hijo: un tomo en 8.° de buen p</t>
  </si>
  <si>
    <t>Se hallará en las librerías de Barco y de Francés. Muerte alegre del filósofo christiano, por el P. D. Teodoro de Almeyda , traducida por un Benedictino. En esta obrita se ve como la filosofía de acuerdo con la religión procura suavizar lo que mas amedrenta en aquel lance tan amargo como inevitable.</t>
  </si>
  <si>
    <t>Teódoro de Almeyda</t>
  </si>
  <si>
    <t>sto de libros de Fernandez. Catecismo cotidiano según el espíritu de la Iglesia , escrito por el P. D. Teódoro de Almeyda , con la explicación del origen de las ceremonias de nuestra sagrada religión y los misterios de semana santa; puesto en castellano por el P. D. Francisco Vázquez, Clérigo Reglar</t>
  </si>
  <si>
    <t>bajos de la vida : obra escrita en portugués, corregida y aumentada con notas ,y estampas por el P. D. Teodoro de Almeyda, de la Congregación del Oratorio f y de la academia de ciencias de Lisboa j traducida y exornada con un compendio histórico, mi mapa, geográfico, otras notas y estampas por el Dr.</t>
  </si>
  <si>
    <t>Teodoro de Condres</t>
  </si>
  <si>
    <t>rimeras ciases de dicho estudio, y ademas en cosmografía, navegación, maniobra y artillería de mar, D. Teodoro de Condres, D. Tomas Rodríguez Boves y D. Joseph Fernandez Luanco, ba^í^la dirección del profesor de náutica el segundo Piloto D. Diego Cayon. El dia 6 se hizo la distribución de premios, ad</t>
  </si>
  <si>
    <t>Teodoro Nogues</t>
  </si>
  <si>
    <t>iz; á segundo Teniente al primer Subteniente D. Joseph délos Hoyos; á primer Subteniente al segundo D. Teodoro Nogues, y á segundo Subteniente ai Cadete D. Pedro Mendieta : en el batallón de Cazadores Voluntarios de Barbastro á Capitán primero al segundo D. Francisco Merino; á Capitán segundo al</t>
  </si>
  <si>
    <t>Teodoro San Martín</t>
  </si>
  <si>
    <t>dante del tercer batallón del Rey Don Rodulfo Gautier y el Subteniente de granaderos de Guadalaxara D. Teodoro San Martin. De Jos elogios con que finaliza Donadío su parte se infiere que en toda la seguida de las operaciones de los cuerpos de tropas velantes, del arsenal, esquadra y plaza r han tenid</t>
  </si>
  <si>
    <t>Teres de Araciel, Manuel</t>
  </si>
  <si>
    <t>Manuel Teres de Araciel</t>
  </si>
  <si>
    <t>Sotillo , de 4} fan. , pertenecieron á la capellanía eclesiástica colativa fundada por el limo. Sr. D. Manuel Teres de Araciel, en S^so. Otra en dicho término donde dicen las Recuejas de S, Murcia , de 6 fan. y ro celemines , perteneciente á id , en 44,475. Otra en el armiño»del Cabezudo y Sarafiana, de 7</t>
  </si>
  <si>
    <t>Teresa de Iparraguirre, María</t>
  </si>
  <si>
    <t>María Teresa de Iparraguirre</t>
  </si>
  <si>
    <t>en 199,558. Otra calle de la Amargura, de id. en 337,150. Otra calle del Mirador, del patronato de Doña María Teresa de Iparraguirre, en 181,612. Otra calle de la Botica , de id. en 300,373. Otra en la misma calle, del patronato de D. Domingo Manuel de Rendon , en 252,658. Otra calle de la Compañía, del patrona</t>
  </si>
  <si>
    <t>Teresa de Verá, María</t>
  </si>
  <si>
    <t>María Teresa de Verá</t>
  </si>
  <si>
    <t>te de una casa sita en la Corredera de S. Pablo, mím. 10, mana. 448 , perteneciente á la memoria’de Doña María Teresa de Verá , tasíada en</t>
  </si>
  <si>
    <t>Teresa Fernández de Córdoba, María</t>
  </si>
  <si>
    <t>María Teresa Fernández de Córdoba</t>
  </si>
  <si>
    <t>guen hasta el 34,167. El 14 de Agosto falleció en esta corte á los 44 años cumplidos la Excma. Sra. Doña María Teresa Fernandez de Córdoba, Espinóla, la Cerda, Sarmiento y Silva, Marquesa viuda de Villadarias, Grande de España de primera clase, y Dama de la Real orden de María Luisa. Sus amables prendas; su afable tr</t>
  </si>
  <si>
    <t>Teresa Juliana Por, María</t>
  </si>
  <si>
    <t>María Teresa Juliana Por</t>
  </si>
  <si>
    <t>Castro, se están subastando tres casas, correspondientes á las memorias fundadas por la Excma. Sra. Doña María Teresa Juliana Por tocarrero , y la Excma. Sra. Doña Leonor del Carreto , Marquesas que fueron de M^ncera ; la una sita en la carrera de S. Francisco , núm. 2 , manz. 117, que</t>
  </si>
  <si>
    <t>Teresa Vázquez, Manuel</t>
  </si>
  <si>
    <t>Manuel Teresa Vázquez</t>
  </si>
  <si>
    <t>meros Subtenientes á los segundos D. Antonio Martínez Orosa , D. Ramón de Vidondo , D. Juan Osorno, D. Manuel Teresa Vázquez, D. Vicente Moreno y D. Salvador Melgar, y á sey u. remando Arraga' ríos de Aragón á segundo Ayudante al primer Teniente D. Mariano Barreneche ; á primer Teniente al segundo D. Pe</t>
  </si>
  <si>
    <t>Teresa Vizner</t>
  </si>
  <si>
    <t>ijos legítimos de D. Pedro Frulline , Médico titular que fue de la villa de Molina de Aragón , y de Doña Teresa Vizner , que ambos murieron en dicha-villa por los afios 1754 á 1760. Quien tuviese alguna noticia de qualquiera de los expresados ó de sus herederos , Ja comunicará al P. D. Juan ManueL</t>
  </si>
  <si>
    <t>Termens, Juan</t>
  </si>
  <si>
    <t>Juan Termens</t>
  </si>
  <si>
    <t>mpleo de Cadete de número al supernumerario D. Antonio León, y por Cadete supernumerario al Guardia D. Juan Termens. En la compañía flamenca del mismo Real cuerpo ha conferido S. M. empleo de Cadete de número al supernumerario D. Santos Quixano ; y ha nombrado por Cadete supernumerario de la mi</t>
  </si>
  <si>
    <t>española del Real cuerpo de Guardias de Corps ha nombrado el Rey Cadete de numero al supernumerario D. Juan Termens, y por Cadete supernumerario de la misma compañía al Guardia de ella Don Francisco Aguirre. S. M. ha nombrado primer Subteniente de la compañía suelta de fusileros voluntarios del</t>
  </si>
  <si>
    <t>Terradillos, Simón</t>
  </si>
  <si>
    <t>Simón Terradillos</t>
  </si>
  <si>
    <t>-Beneficio de la parroquia de Gumiel de Izan , en la diócesis de Osma, vacante por fallecimiento de D. Simón Terradillos, á D. Domingo Justo Cillcruelo, con la obligación que tiene anexa; y para el Medio-Préstamo de Ja parroquial de Santo Domingo de Silos, en el lugar de Corpa, diócesis de Toledo, v</t>
  </si>
  <si>
    <t>Terranét, Antonio</t>
  </si>
  <si>
    <t>Antonio Terranét</t>
  </si>
  <si>
    <t>os en esta elase D. Antonio Bernabeu y D. Joachín Cortés; y en el de Valencia á Capitán al Teniente D. Antonio Terranét, y á Tenientes al agregado en esta clase D. Vicente Gil de Arias y á los Subtementes D. Rafael Cerecio y D. Vicente Matas. En atención á los méritos y servicios de D. Ramón Flubia</t>
  </si>
  <si>
    <t>Terrats, Juan</t>
  </si>
  <si>
    <t>Juan Terrats</t>
  </si>
  <si>
    <t>sbítero D. Cirilo Tubo; habiendo también promovido á Alférez del de dragones de Ja Rey na al Cadete Don Juan Terrats.*</t>
  </si>
  <si>
    <t>Teruel, Blas</t>
  </si>
  <si>
    <t>Blas Teruel</t>
  </si>
  <si>
    <t>á segundo Teniente al Subteniente de granaderos D. Tomas García, y á primer Subteniente al segundo D. Blas Teruel; y en el de las Ordenes Militares á segundo Teniente de granaderos al de fusileros D. Mariano Mirálles; y á segundo Teniente al Subteniente de .granaderos, del fixo de Ceuta D. Jo</t>
  </si>
  <si>
    <t>Texada, Rafael</t>
  </si>
  <si>
    <t>Rafael Texada</t>
  </si>
  <si>
    <t>. Juan Luis de Michelena, Don Gaspar de Echavarría, D. Baltasar de Echavarría, D. Juan de Abraldes, D. Rafael Texada, D. Manuel de Lardizabal, D. Luis de Lardizabal, Don Hilarión de Echavarría, D. Ignacio Colmenáres y D. Francisco Huarte; y otros varios de esfera y principios de geografía. En la</t>
  </si>
  <si>
    <t>Teyjero, Pedro</t>
  </si>
  <si>
    <t>Pedro Teyjero</t>
  </si>
  <si>
    <t>ales puertos, por el mismo autor. Mapa del Reyno de Portugal y fronteras de Castilla, delineado por D. Pedro Teyjero. Se hallará en la librería de Sotos, calle de Bordadores , á 10 rs. iluminado, y á 16 sin iluminar. EN LA IMPRENTA REAL.</t>
  </si>
  <si>
    <t>Tgnacio de la Madriz</t>
  </si>
  <si>
    <t>*7 * trjnl de Málaga&gt; vacante por fallecimiento de D. Antonio Trebani Bot,' Tgnacio de la Madriz, Racionero de la de Avila: para ia Pabordia vá3 nte en la catedral de la isla de Mallorca á D. Bartolomé Jaume, Ad-* Ca;«ictrador de la Real casa general de Expósitos de aquella, isla 5 7 pa</t>
  </si>
  <si>
    <t>Thainv</t>
  </si>
  <si>
    <t>s los testimonios de amistad : y mostrándose muy agradecido á quanto le dixo el ciud. Thainv.il.le en nombre del primer Cónsul, le respondió' el Dey: ,,Olvidemos lo pisado: quiero que seamos mas amigos que nunca.”__ Los,principales empleados de ta Rege</t>
  </si>
  <si>
    <t>Thebinder, General</t>
  </si>
  <si>
    <t>General Thebinder</t>
  </si>
  <si>
    <t>Nombrado comandante y gobernador de Malta.</t>
  </si>
  <si>
    <t>...conferir al Teniente General Thebinder la comandancia y gobierno de la isla de Malta.</t>
  </si>
  <si>
    <t>Thebinder, Teniente General</t>
  </si>
  <si>
    <t>Teniente General Thebinder</t>
  </si>
  <si>
    <t>zará al General prisionero Hermann. De Petersburgó escriben que aquel Soberano acaba de conferir al Teniente General Thebinder la comandancia y gobierno de la isla de Malta para quando se recobre de los franceses. Dícese que el Ministro británico Crawford exige que el Senado mande salir de esta ciudad y su t</t>
  </si>
  <si>
    <t>Thierney</t>
  </si>
  <si>
    <t>Baviera hasta el dia i.° de Abril del año próximo. Esta proposición originó debates bastante vivos. Mr. Thierney dixo: „Se piden subsidios para continuar una guerra en la que S. M. y el Emperador no parecen estar acordes; y tengo antecedentes para creer que el Emperador repugna concluir-un t</t>
  </si>
  <si>
    <t>no tardaría en informar al Parlamento de quanto en el asunto pudiese buenamente publicarse. Replico Mr. Thierney que no estaba en ánimo de dar su voto para que se aumentasen las cargas públicas sin mas fundamentos que unos motivos tan indeterminados; y añadió: ,,Hace dos años que se adelanta</t>
  </si>
  <si>
    <t>Thomas</t>
  </si>
  <si>
    <t>ación é infortunios5 novela moral: quatro tomos en 8.° = Pintura y carácter de las mugeres; obra de Mr. Thomas, traducida en castellano: un tomo en 8.° = Monarquía de España , escrita por el Dr. D. Pedro Salazar de Mendoza, primer Canónigo Penitenciario de la santa iglesia de Toledo: dos t</t>
  </si>
  <si>
    <t>Thugut</t>
  </si>
  <si>
    <t>rarla co-f nio favorable al ajuste de la paz. Todos los Ministros se convocaron en la secretaría de Mr. Thugut, y luego se despacharon correos á varias cortes,*</t>
  </si>
  <si>
    <t>el Emperador habia concluido la nueva tregua , y que S. M. I. se lo dio inmediatamente. Añaden que Mr. Thugut no tardará en ir á Veneeia. En todos los estados austríacos prosiguen con nuevo ardor los preparativos de guerra desde el regreso de S. M. I. á Viena. El cuerpo húngaro de reserva</t>
  </si>
  <si>
    <t>Thureau, General</t>
  </si>
  <si>
    <t>General Thureau</t>
  </si>
  <si>
    <t>división, al mando del General Montchoisí, tiene su quartel en Vevav : la 2.a, baxo las órdenes'del General Thureau, en Gaiss: la 3.a, á las cíel General Loison, en S. Gall: la 4.a, mandada por el General Lorge, en Frauenfeld: la 5.a, por el General Mortier, en Basilea: la 6.a, por el General B</t>
  </si>
  <si>
    <t>Thureáu, General</t>
  </si>
  <si>
    <t>General Thureáu</t>
  </si>
  <si>
    <t>dado aviso al gobierno de que un destacamento enemigo de 800 hombres se apoderó del Mont-Cenis. El General Thureáu salió de Brianzon, marchó á Exíles, siguió hacia Suza, y cogiendo por la espalda aquel destacamento, Je obligó á retroceder mas apriesa de lo que se había adelantado, é hizo prisi</t>
  </si>
  <si>
    <t>mino de Chamberí, y les facilitaba el bloqueo de Fenestrelle. Inmediatamente acudió desde Embrun el General Thureau, Comandante del ala izquierda, juntó con la mayor actividad sus tropas, marchó dia y noche sin descansar, sorprehendió á los austríacos en Exíles, se apoderó de la plaza el dia 11</t>
  </si>
  <si>
    <t>de pan. El General Klein está nombrado comandante del cuerpo apostado delante de XelJ, en lugar del General Thureau, que lia ido á servir en el exército. Brest 5 de Mayo. A lites de ayer señalaron las vigías un convoy procedente del Norte, y poco después hicieron señal de que dos fragatas y alg</t>
  </si>
  <si>
    <t>Thurreau, General</t>
  </si>
  <si>
    <t>General Thurreau</t>
  </si>
  <si>
    <t>y se adelantó hasta Chivasso para persuadir á los enemigos que nuestro intento era reunimos con el General Thurreau, que se hallaba entre Rivoli y Suza; pero durante este tiempo el exército destilaba por otro lado, y atravesó el Sesia y el Tesino. Luego que se hubo adelantado bastante, volvió e</t>
  </si>
  <si>
    <t>eros franceses1 han formado ¡el plan y señalado ia direccién qué^ha de llevár; y ’se^a encargado al General Thurreau la inspección de esta óbrá. 1 Se Há divulgado que la ciudad de Ginebra ha enviado una diputación á Berlín prriá solicitar que el Rey de Prusia interceda para que al hacerse la páz se</t>
  </si>
  <si>
    <t>Tibur</t>
  </si>
  <si>
    <t>cia en lo que la tuvieren. ^' JÍsp^rjtu del Conde de Buffon, traducidodel francés al castellano por D. Tibur* .ció Máquieyra Serrador;,un jtocno en 19.°, que puede mirarse como el extracto de otros sesenta de igual tamaño^ pues presenta al sabio pintor de la .naturaleza en la mas complet</t>
  </si>
  <si>
    <t>Tiburcio Alonso Abad</t>
  </si>
  <si>
    <t>rar á D. Pedro Gáribíty para una plaza de Agente del número de Indias, vacante por fallecimiento de Don Tiburcio Alonso Abad. El Rey se ha servido conferir el empleo de Superintendente de la Real casa de moneda de Santa Fe á D. Pedro Fernandez de Madrid, Director general de aquellas rentas estancadas ,</t>
  </si>
  <si>
    <t>Tiburcio Maqueyra</t>
  </si>
  <si>
    <t>nistración á D. Joachin Lazcano, Contador principal de Iá renta de tabacos de Honda: esta resulta á D. Tiburcio Maqueyra: la plaza de Guarda-almacén de la aduana de la capital del Nuevo Reyno de Granada á D. Pedro Garavito: la de Oficial mayor de Contaduría de la administración principal de tabacos</t>
  </si>
  <si>
    <t>Tiburcio Maquieyra Serrador</t>
  </si>
  <si>
    <t>nquaderrados en pasta. Elementos de moral, escritos en francés por el Abate Mabli, y traducidos por D. Tiburcio Maquieyra Serrador: un tomo en 12.0 Esta obra es una de las mejores producciones de este autor, ó quizá la primera de todas , por ser la que mas abunda en gracias y bellezas, y la que reuniendo las</t>
  </si>
  <si>
    <t>Tiedra, Arzobispo</t>
  </si>
  <si>
    <t>Arzobispo Tiedra</t>
  </si>
  <si>
    <t>tierras de labor, tasados en 86,026 rs. En el término de Herrezuelo pertenecen á la memoria del Sr, Arzobispo Tiedra varias tierras, tasadas en 35,325 rs. En los términos de Machacón, Cueigamúres , Chinin y Villagonzalo pertenece á esta misma memoria una. heredad , tasada en 59,740 rs* : y á la</t>
  </si>
  <si>
    <t>Tienda, Rafael</t>
  </si>
  <si>
    <t>Rafael Tienda</t>
  </si>
  <si>
    <t>el batallón de milicias disciplinadas de infantería de Españoles de Lima á Subteniente al agregado D. Rafael Tienda, y á Subteniente de bandera al Cadete D. Joseph Vázquez de Acuña, Conde de la Vega del Ren: en el de milicias urbanas de caballería de Ferreñafe á Teniente al Alférez D. Joseph Ch</t>
  </si>
  <si>
    <t>Tierney</t>
  </si>
  <si>
    <t>sino un dia en que se trataba de señala* el tiempo de cazar perdices.” El nuevo plazo que proponia Mr. Tierney se desechó por 115 votos cóntra 32. El dia 26 se esperaba el examen de dicho rnensiige ; pero Mr. long, amigo íntimo dé Mr. Pitt, dixo que esté Ministro no podía asistir á causa d</t>
  </si>
  <si>
    <t>que con ella ganó Inglaterra toda la esquadra holandesa. Le contestaron otros vocales, entre clips Mr. Tierney, quien dixo que el discurso de Mr. Dundas era uno de los mas extraordinarios que había oido en su vida , y sostuvo que la entrega de la esquadra bátava es mas bien gravosa que úti</t>
  </si>
  <si>
    <t>len á los gastos habrá que añadir otro crédito de 3 millones de esterlinas que adelantará el banco. Mr. Tierney censuró varias partidas de los gastos presentados por el Ministro, y pidió á la Cámara examinase sus estados con la mayor circunspección. Respondió á sus objeciones Mr. Pitt,, y a</t>
  </si>
  <si>
    <t>año. Aprobóse el bilí; pero dio motivo á fuertes debates, especialmente entre Mrs. Tierney y Pitt. Mr. Tierney se arrojó á decir que quizá sus discursos no producirán el efecto que desea; pero que emplearía todos los medios que Dios le había dado para,excitar á la nación entera contra un M</t>
  </si>
  <si>
    <t>usa que hasta ahora no habia sabido examinar sino con discursos incendiarios. Empezaba á replicarle Mr. Tierney quando se interpuso Air. Wilberforce para cortar unos debates que llegaban á hacerse personales. „No debemos sentir (dice una gazeta ministerial) que se retiren las tropas rusas,</t>
  </si>
  <si>
    <t>de subsidios ; y Mr. Pitt entregó copia del tratado. Al ventilarse este , asunto él dia 19 preguntó Mr. Tierney en que tiempo se había concluido dicho convenio, el qual no se firmó hasta él dia 20 de Junio. Respondióle Mr. Pitt que desde la primavera se hábian arreglado sus principios fundame</t>
  </si>
  <si>
    <t>uerzas mucho nías considerables que las que mandaba. El dia 23 no concurrió Mr. Pitt ai Parlamento. Mr. Tierney preguntó sí el gobierno tenia aviso de un armisticio concluido entre el Emperador y la República francesa: y no habiéndole contestado el Alinistro Dundas, continuó aquel vocal dic</t>
  </si>
  <si>
    <t>r los empeños que ha contraido con el Emperador y otras potencias de Europa. Con este motivo volvió Mr. Tierney á censurar á los Ministros. Dixo no obstante que no se oponía á que se enviasen los subsidios á S. M. Imperial en caso que puedan proporcionarle medios de ajustar la paz general;</t>
  </si>
  <si>
    <t>simonia en su comida hasta tanto que se remedie la actual escasez de víveres. Antes de ayer propuso Mr. Tierney en la Cámara baxa se examinase el estado actual ae la nación. En su discurso, que fué dilatadísimo, hizo los acostumbrados cargos á los Ministros. Replicóle Mr. Pitf con otro discur</t>
  </si>
  <si>
    <t>Tierney Ja</t>
  </si>
  <si>
    <t>orífica, con la qual recobre el Imperio británico su anterior prosperidad. En la propia sesión hizo Mr. Tierney Ja propuesta que tenia ofrecida sobre que no era justo ni necesario continuar la guerra con el objeto de restablecer el antiguo gobierno francés; pero sin embargo de quantas razones</t>
  </si>
  <si>
    <t>Tierra, Domingo</t>
  </si>
  <si>
    <t>Domingo Tierra</t>
  </si>
  <si>
    <t>o Xavier González ^graduado de Teniente ; á primeros Subtenientes a los segundos D. Mariano Ribas , D. Domingo Tierra, D. Mariano Galindo, D. Antonio.Castañon y D Manuel Gerbela; Marot^D. FranciscoVViñas á segundos Subtenientes , D. Antonio a losy Cadetes Casanoves D. Rafael D, Manuel Cadabid, y</t>
  </si>
  <si>
    <t>Tillíal Ministro de Guerra, General</t>
  </si>
  <si>
    <t>General Tillíal Ministro de Guerra</t>
  </si>
  <si>
    <t>a y custodia de los valientes de todos los países.” „ Aviso telegráfico. Puerto Malo 6 de Julio. El General Tillíal Ministro de Guerra. Los ingleses hicieron un desembarco en Beauvoir y Barbatre , departamento del Vendée. Marcharon Inmediatamente nuestras tropas contra ellos, y los obligaron á embarcarse, dexando</t>
  </si>
  <si>
    <t>Timoteo O-Scanlan</t>
  </si>
  <si>
    <t>ón de lo importante que es al particular y al estado; ambas obras por el Dr. D. Timoteo O-Scanlan, Médico consultor de los Reales exércitos de SS. MM. Católica y Christianísima , Proto-Médico que fué del departamento de marina del Ferrol, académico de número de la Real academia médica</t>
  </si>
  <si>
    <t>Tioch</t>
  </si>
  <si>
    <t>que los turcos evacuasen la ciudad del Cayro. 17. El Ayudante general Rene y el ciud. Tioch, oficial de la plana mayor , fueron el dia 22 en calidad de rehenes para asegurar el cumplimiento de lá capitulación, y se cangeáron en la plaza de Ezbekier po</t>
  </si>
  <si>
    <t>Tirado y Merino, Manuel</t>
  </si>
  <si>
    <t>Manuel Tirado y Merino</t>
  </si>
  <si>
    <t>Juan Joseph Tamariz y Aguayo: el de Contador de la Administración principal de tabacos de Cuenca á D. Manuel Tirado y Merino: la plaza de Oficial segundo de la Contaduría gene*</t>
  </si>
  <si>
    <t>Tirado, Francisco Antonio</t>
  </si>
  <si>
    <t>Francisco Antonio Tirado</t>
  </si>
  <si>
    <t>Españolas se ha servido promover ■el Rey á Comandante de cazadores al primer Teniente de fusileros Don Francisco Antonio Tirado; y á Alféreces de fusileros á los Cadetes D. Vicente Díaz Sánchez, D. Joseph Francisco Fernandez Munida, D. Juan I asaña, D. Antonio Quartas de Castro, D. Francisco Fernandez Rába</t>
  </si>
  <si>
    <t>Tirso Ymareta</t>
  </si>
  <si>
    <t>en casa de Castillo , frente á S. Felipe el Real. Hacer que hacemos: comedia en tres jornadas, por D. Tirso Ymareta. Se hallará en el puesto de Joseph Sánchez , calle del Príncipe, frente al teatro. Estampas del Apostolado y nuestra Señora de la Asunción , en aleluyas finas ovaladas, en papel d</t>
  </si>
  <si>
    <t>Tizana, Francisco Xavier</t>
  </si>
  <si>
    <t>Francisco Xavier Tizana</t>
  </si>
  <si>
    <t>de aquella ciudad: para la Canongíade 3a metropolitana de Toledo, vacante por la promoción del Sr. D. Francisco Xavier Tizana al Obispado de Teruel, á D. J ose ¡di de Salcedo, Oficial de la Secretaría de Estado, y dei despacho de Gracia y Justicia de España ; y para otra de la colegial de Antequera., en</t>
  </si>
  <si>
    <t>TJJrico de Brunswick, Antonio (duque)</t>
  </si>
  <si>
    <t>Duque Antonio TJJrico de Brunswick</t>
  </si>
  <si>
    <t>do el primevo á quien se ha conferido esta dignidad desde la muerte del Príncipe de MenzikolT y del Duque Antonio TJJrico de Brunswick. Asimismo al Gran Duque Constantino le ha dado el Emperador el título de Zesarowiíz, en recompensa de su talento y de los servicios que ha hecho durante la campaña de Italia. Ha m</t>
  </si>
  <si>
    <t>To'eoh Toachin de Santa María</t>
  </si>
  <si>
    <t>D. Salvador Granada Vidal: á D. paraSantolam: Andrés la vara depaja Alcalde la mayor ^gundode ia á D To'eoh Toachin de Santa Mana: para la de 1 ucrto Ke.,I a U. Ped r/ J , V J nin la ael Puerto de S?nt i Mana a D. Juan Madr° Manuel. Lazcai .pj Janacio Pablo SanJino; y ha prorogado nue.l Lubet: para la de Car</t>
  </si>
  <si>
    <t>Toachín de Vierna</t>
  </si>
  <si>
    <t>ga , D, Lorenzo Belon y Becerra, Don Tuan de Lanz y Norris , D. Juan Alvarez Faxardo y Ruiz Mateos, Don Toachín de Vierna é Isla , D. Mariano Spadafora,D. Antonio de Arcens y Faleons, D. Tuan Bustamante y González del Rivero, D. Felipe de Zavas v LaudaD. Toseph Buitragoy Granados, D. Francisco Agraz</t>
  </si>
  <si>
    <t>Toachin Go</t>
  </si>
  <si>
    <t>e el Sr. D. Pedro González Calderón, Teniente Corregidor de Madrid y por la escribanía de número de D Toachin Go z z Es ¡a villa de Torralba de Calatrava , partido de Almagro , se halla vacante la cátedra de latinidad que fundó el presbítero D. Vicente Díaz Moreno , con la carga de enseñar d</t>
  </si>
  <si>
    <t>Toachin Rodríguez</t>
  </si>
  <si>
    <t>Dignidad de Maestre-escuela, y Canongia unida de la catedral de Coria, vacante por fallecimiento de Don Toachin Rodríguez, á D. Christóbal Pascasio Ortuño: para el Arcedianato de G.disteo, que este obtiene en la misma iglesia y resultará vacante, a D. Meliton Zorrilla de San Martin: para la Canongia</t>
  </si>
  <si>
    <t>Toachina Martínez</t>
  </si>
  <si>
    <t>da á la de S. Joachin, barrios de S. Ildefonso , mím. n , maíz. 453 . perteneciente á la memoria de Doña Toachina Martínez , que-ccmpone qjto.pies quadrados , tasada en 52&gt;45$ "■ . 7 para su reñíate está señalado el; día 18. di 1 comente, entre, doce y .una. en la auQuien quisiere hacer postura á dos</t>
  </si>
  <si>
    <t>Toan Garzón</t>
  </si>
  <si>
    <t>graduado de relíente, Don Evaristo de Luna; á Subtenientes de granaderos a los primeros oubrementes D Toan Garzón y D. Fernando Sangenis; á primeros Subtenientes a los secundes D. Bartolomé Alcázar y D. Pedro Gutiérrez; y a segundos oubtenientes al Sargento primero de granaderos, graduado de Subt</t>
  </si>
  <si>
    <t>Tobías Burg, Juan</t>
  </si>
  <si>
    <t>Juan Tobías Burg</t>
  </si>
  <si>
    <t>y muy útiles. Sus autores son el ciud. Bouvard, astrónomo agregado á la secretaría de longitudes, y Mr. Juan Tobías Burg, astrónomo agregado al observatorio de la universidad de Viena. El ciud. Lacepede leyó luego una memoria sobre algunos fenómenos que presenta el vuelo y la vista de las aves; y el</t>
  </si>
  <si>
    <t>Todd, Capitán</t>
  </si>
  <si>
    <t>Capitán Todd</t>
  </si>
  <si>
    <t>considerable de municiones para el sitio de Genova. Entre los oficiales que perecieron se cuenta al Capitán Todd , que lo mandaba baxo las ordenes del Lord Keith. De 850 hombres que tripulaban el buque no se salváron sino 153, muchos de ellos ántes que se volase, y los demas como por milagro</t>
  </si>
  <si>
    <t>Tofifio, Vicente</t>
  </si>
  <si>
    <t>Vicente Tofifio</t>
  </si>
  <si>
    <t>las Bayonns y ría de Vigo , levantado de orden del Rey por el Xefe de Escuadra que fué de la Armada D. Vicente Tofifio. Se hallará en casa de Aguilera, caUe de Atocha; con las cartas de la costa de Portugal y de todas las de España, y planos de sus principales puertos, por el mismo autor. Mapa del</t>
  </si>
  <si>
    <t>Tojopas</t>
  </si>
  <si>
    <t>metálico. Quien quisiere hacer mejora acuda ante dicho Señor Juez por Ui escribanía del número, dé D. Tojopas.de Sancha y Prado. Ouien quisiere hacer postura á una casa, sita en la calle de Relatores , núm. 14, man*" iií7, que comprehende pies, y está tasada en 65,484 rs. aci da á la esr.</t>
  </si>
  <si>
    <t>Toledano</t>
  </si>
  <si>
    <t>iro: una casa calle del Gallo, D. Francisco Palacio, con &lt;5893 pies, tasada en 12© rs. y renta 341. Doctor Toledano: una casa junto á las Monjas de Sta. Catalina, que habira el Dr. Laque, con 5300 pies, tasada en 27© rs. y renta'800. Doctor Monte: una casa calle de las Damas, que habita el Dr.</t>
  </si>
  <si>
    <t>Toledo, Antonio</t>
  </si>
  <si>
    <t>Antonio Toledo</t>
  </si>
  <si>
    <t>stiz y D. Justo Muñoz, el primero graduado de Capitán; á Tenientes de granaderos á los de fusileros D. Antonio Toledo y D. Antonio Branly; a Tenientes á los Subtenientes D. Antonio Tur, D. Juan Villers, D: Anastasio Castellanos y D. Manuel Rodríguez, los tres primeros de granaderos; á SubtenieBtes.de</t>
  </si>
  <si>
    <t>Toledo, Juan</t>
  </si>
  <si>
    <t>Juan Toledo</t>
  </si>
  <si>
    <t>te de gastadores al de cazadores D. Bernardo del Corral; á primer Teniente al segundo de gastadores D. Juan Toledo; á segundos Tenientes de tiradores y gastadores á los de cazadores D. Joseph Moriano y D. Juan Rancourt; á segundos Tenientes á los Subtenientes Don Juan filake, D. Tómas Franco y</t>
  </si>
  <si>
    <t>Toledo, Juan Antonio</t>
  </si>
  <si>
    <t>Juan Antonio Toledo</t>
  </si>
  <si>
    <t>D. Juan González, D. Juan de Antón y D. Narciso González, los dos primeros de granaderos, al Cadete D. Juan Antonio Toledo, á los de estA clasedel de- Zamora D. Pedro A valle *£). Pedro Lamperez y £&gt;. Pedro Osó</t>
  </si>
  <si>
    <t>Toll, General</t>
  </si>
  <si>
    <t>General Toll</t>
  </si>
  <si>
    <t>el Rey de Suecia, que ef dia 3 se emb.?rcó en Istadt, uno de ios puertos de Scania. Le acompaña el General Toll , y m ñaña sale S. M. á visitar varias plazas de la Pomerania sueca. Créese que irá á Berlín, de donde no dista sino 2 jornadas. Copenhague 12 de Julio. A ntes de ayer entro en es</t>
  </si>
  <si>
    <t>etersburgo.. V isitó lo que hay de curioso en; el. pueblocomo también, en-Abona, acorapañ. ndole el General Toll, y antes de ayer, después de desayunarse en; Wandsbeck salió á las seis y media de la mañana para sus estados de Alemania.. Venia este Soberano, de Str.ílsund por tierra, y no par</t>
  </si>
  <si>
    <t>Tolley, General</t>
  </si>
  <si>
    <t>General Tolley</t>
  </si>
  <si>
    <t>ch : la destrozó, y cogió 150 prisioneros, entre los quales hay 3 oficiales , uno de ellos hijo del General Tolley. El mismo dia mandó Moreau que se adelantase el cuerpo del flanco de,.la izquierda, mandado por el General Richepanse, como también el ala izquierda á las órdenes del General Gren</t>
  </si>
  <si>
    <t>Tolosa, Diego</t>
  </si>
  <si>
    <t>Diego Tolosa</t>
  </si>
  <si>
    <t>Juan de Ariza, D. Ximen Ruiz de Liory y D. Ildefonso Tapia, y á segundos Subtenientes á los Cadetes D. Diego Tolosa y D. Antonio Remon y Huet, al Sargento primero de granaderos D. Miguel Fortun y á D. Manuel Xjmenez de Leorin y Amar: en el de Burgos á Capitán de granaderos al de fusileros D. Cayeta</t>
  </si>
  <si>
    <t>Tomás Antonio</t>
  </si>
  <si>
    <t>obispado á D. Teodomiro,.Cañizares ; y el de Visitador del misrnp. rantQ _ai. Capitán de infantería D. Tomas Antonio.Qlarxia. S, M...se, ha.servido nombrar .Qficial segundo de la Administración de puros y cigarros de México á D Joseph Gallo: Guard-s de. las Factorías del tabaco de Oaxaca y Córdo</t>
  </si>
  <si>
    <t>Tomás Domingo</t>
  </si>
  <si>
    <t>anuel Arcada , D. Santos Allende y D. Julián Maamud ; y á segundos Subtenientes al Sargento primero D. Tomas Domingo y al Cadete del de infantería del Príncipe Ó. Juan Ximenez : en el de granaderos voluntarios de Estado á Comandante del tercer batallón al Sargento Mayor del de infantería de Granad</t>
  </si>
  <si>
    <t>Tomaseo, Joseph</t>
  </si>
  <si>
    <t>Joseph Tomaseo</t>
  </si>
  <si>
    <t>á primer Subteniente al segundo D. Vicente Bazarra: en el de Zamora á segundo Subteniente al Cadete D. Joseph Tomaseo : en el de Soria á segundo Teniente de granaderos al de fusileros D. Manuel S. Martin; y á Subtenientes de granaderos á los primeros Subtenientes D. Francisco Montenegro y D. Eust</t>
  </si>
  <si>
    <t>Tomé, Manuel</t>
  </si>
  <si>
    <t>Manuel Tomé</t>
  </si>
  <si>
    <t>iente del regimiento de infantería de Mallorca: D. Luís Laviña, -segundo Teniente del 'de Asturias: D. Manuel Tomé, primer ¡ Subteniente del de Jaén : D. Joachin Grandona , Subteniente ¡de granaderos del de América: D. Felipe Montes y D. Juan Palomino., primer Subteniente y Cadete del .de Córd</t>
  </si>
  <si>
    <t>Topete, Ramón</t>
  </si>
  <si>
    <t>Ramón Topete</t>
  </si>
  <si>
    <t>$4° denes y de Marina , de los de las guarniciones de la esquadra, al mando del Capitán de Navio D. Ramón Topete, y sus segundos los de Fragata D. Juan Mesías y D. Joseph Meneses, con prevención de que estuviesen á la orden de Donadío: los enemigos subieron á las alturas de Brion y la Grana,</t>
  </si>
  <si>
    <t>Torbé, Ramón</t>
  </si>
  <si>
    <t>Ramón Torbé</t>
  </si>
  <si>
    <t>ará en las librerías de Baylo y Ramos. Diálogo christiano entre la voluntad y el entendimiento, por D. Ramón Torbé, Teniente de Rentas del resguardo de la villa de Agreda. Se hallará á 2 rs. en la librería de Cerro , red de S. Luis; y en su puesto, calle de Alcalá. Ordinario y explicación de l</t>
  </si>
  <si>
    <t>Tordesillas, Diego</t>
  </si>
  <si>
    <t>Diego Tordesillas</t>
  </si>
  <si>
    <t>al Brigadier D. Domingo Wiels , Gobernador de la de Hostalrich : este Gobierno al Mariscal de Campo D. Diego Tordesillas, y el de las quatro villar de la costa de la mar al Coronel D. Tomas O Donojií, Gapitan del regimiento de Ilibernia. El Rey ha nombrado Cirujano del primer batallón del regimiento</t>
  </si>
  <si>
    <t>Toribio Cifuentes</t>
  </si>
  <si>
    <t>D. Manuel Menendez JoVe, D. Manuel González Villarmil, D. Vicente María Ezcurdia, D. Luis Mornard, D. Toribio Cifuentes, D. Claudio Fernandez, D. Felipe Fernandez San Miguel, D. Joseph López del Vallado y D. Agustín Sánchez Cifuentes, En las quatro primeras ciases de dicho estudio, y ademas en cosm</t>
  </si>
  <si>
    <t>Toribío Cifuentes</t>
  </si>
  <si>
    <t>científico, baxo la dirección del profesor de náutica, los alumnos del tercer curso de esta ciencia D. Toribío Cifuentes, D. Toribio Rodríguez, D. Francisco Cabo y D. Antonio de Jove. 5.0 En esfera, geografía y las nueve primeras épocas de la historia antigua, baxo la dirección del profesor de geogr</t>
  </si>
  <si>
    <t>la forma siguiente: El primero de matemática á D. Joseph María Cifuentes, y el primero de náutica á D. Toribio Cifuentes, cuyos nombres fueron inscriptos públicamente en la tabla de graduación. El segundo de matemática no se adjudicó por falta de concurrentes, y ei segundo de náutica se dió á D. Tor</t>
  </si>
  <si>
    <t>Toribio de Lamo y Gíiemes</t>
  </si>
  <si>
    <t>Granada á D. Juan Fernando de Palacio ; y ha concedido grados de Capitán de milicias provinciales á D. Toribio de Lamo y Gíiemes , Secretario de la Embaxada en Tutin, á D. Joachín de Onis, que ha sido Encargado de Negocios en Petersburgo; y el mismo grado con agregación de Capitán en el regimiento provincia</t>
  </si>
  <si>
    <t>Toribio de Ugarte, Melchor</t>
  </si>
  <si>
    <t>Melchor Toribio de Ugarte</t>
  </si>
  <si>
    <t>l quar-r tei,de inválidos. -Por el juzgado de la Comandancia general de Artillería al cargo del Sr. Don Melchor Toribio de Ugarte, del Consejo de S. M. en el supremo de Ja Guerra, Superintendente general de Penas de Cámara del Real Fisco de la misma , y Go bernador del monte pió militar, y ante D. Gervasio F</t>
  </si>
  <si>
    <t>Toribio Rodríguez</t>
  </si>
  <si>
    <t>rección del profesor de náutica, los alumnos del tercer curso de esta ciencia D. Toribío Cifuentes, D. Toribio Rodríguez, D. Francisco Cabo y D. Antonio de Jove. 5.0 En esfera, geografía y las nueve primeras épocas de la historia antigua, baxo la dirección del profesor de geografía histórica D. Juan</t>
  </si>
  <si>
    <t>El segundo de matemática no se adjudicó por falta de concurrentes, y ei segundo de náutica se dió á D. Toribio Rodríguez. Y se advierte que no se adjudicaron premiosa los alumnos de ios demas estudios, porque esta distinción se reserva para la conclusión de cada curso respectivo. El primer premio de</t>
  </si>
  <si>
    <t>Toribio Ximenez</t>
  </si>
  <si>
    <t>Altaro: para otra de la catedral de León, vacante por fallecimiento de D. Tomas Angel Gutiérrez, á D. Toribio Ximenez : para otra de la de Tarazona, vacante por fallecimiento de D. Antonio Ximeno, á D. Juan Chrisóstomo Mañero: para la Media-Ración, vacante en la catedral de Córdoba por fallecimie</t>
  </si>
  <si>
    <t>Tormo y Vida, Vicente</t>
  </si>
  <si>
    <t>Vicente Tormo y Vida</t>
  </si>
  <si>
    <t>tido de Villanueva de la Serena, territorio de la Orden de Alcántara, de primera clase ó entrada, á D. Vicente Tormo y Vida!. En América. El Rey se ha dignado promover á D. Pedro Montiel á la plaza de Oficial segundo de la Contaduría general de Alcabalas de Goatemala: á la de tercero, que este obtenía,</t>
  </si>
  <si>
    <t>Tormo y Vidal, Vicente</t>
  </si>
  <si>
    <t>Vicente Tormo y Vidal</t>
  </si>
  <si>
    <t>r del Gobierno de ViJlanueva de la Serena, territorio de la Orden de Alcántara, de primera clase, á D. Vicente Tormo y Vidal, debiendo decir á D. Pedro Benito Vidal. La Tenencia de cazadores del provincial de Alicante y Orihuela, que se dixo en la gazeta del martes 14, provista en D. Juan de Aguilar, de</t>
  </si>
  <si>
    <t>TÓrnas Sacz de Parayuelo</t>
  </si>
  <si>
    <t>ia, vacante por fallecimientó de B. Martin Togada* á D. Ramón Pacheco. En atención á lós méritos de D. TÓrnas Sacz de Parayuelo, Oidor decano de la Audiencia de Mállórcá y Mífiistró honorario del Consejo de Hacienda, y á los distinguidos servicios que lia hecho en las comisiones que se han puesto á su carg</t>
  </si>
  <si>
    <t>Tornquist, Coronel</t>
  </si>
  <si>
    <t>Coronel Tornquist</t>
  </si>
  <si>
    <t>o el ayre es aquí puro, debe buscarse en otras causas el origen de ella. Stockolmo $ de Abril. E L! Coronel Tornquist, Caballero de la orden de la Espada, y de la del Mérito milit.tr de Francia , está nombrado Embaxador de Suecia cerca de las Regencias berberiscas, y Comandante del convoy destina</t>
  </si>
  <si>
    <t>Torquato Torio</t>
  </si>
  <si>
    <t>uri. Otro socio añadió por sobrepremio á diez niños y dos niñas exeinplares del Arte de escribir de D. Torquato Torio. En las cubiertas de estos libros y en las medallas y sus collares había emblemas , geroglíficos, inscripciones y versos alusivos á la sociedad , á los objetos de su instituto, y</t>
  </si>
  <si>
    <t>Torquato Torio de la Riva</t>
  </si>
  <si>
    <t>ue habían adquirido en el curso. Los que salieron premiados fueron D. Pedro Martínez con el arte de D. Torquato Torio de la Riva (primer premio del aula): Don Juan Perez de Marure con el Diccionario de la Real academia que franqueó la generosidad del Sr. Presidente: D. Joachin Martin Daganzo con un exemplar</t>
  </si>
  <si>
    <t>Torralba, Antonio</t>
  </si>
  <si>
    <t>Antonio Torralba</t>
  </si>
  <si>
    <t>nia á D. Joseph Robles Pobeda y D. Manuel Ventura Morales: del segundo batallón del fixo de Ceuta á Don Antonio Torralba; y del regimiento de caballería del Principé á D. Manuel María Fernandez, Cirujano del de infantería de las Ordenes Militares. El Rey ha tenido por conveniente que se retire á est</t>
  </si>
  <si>
    <t>Torralba, Joseph</t>
  </si>
  <si>
    <t>Joseph Torralba</t>
  </si>
  <si>
    <t>nte al primer Teniente D. Antonio Lafuente; á primeros Tenientes los segundos P. Nicolás Gallegos y D, Joseph Torralba: á segundo Teniente de granaderos al de fusileros D. Francisco Mendoza; á segundosTenientes de fusileros á los primeros Subtenientes D.. Juan Egaña y D. Alexandro Tovar; 3 primero</t>
  </si>
  <si>
    <t>Torralbo y Valenciano, Francisco</t>
  </si>
  <si>
    <t>Francisco Torralbo y Valenciano</t>
  </si>
  <si>
    <t>vador Spadafora,D. Ramón Caamaño, Don Isidoro Postigo y Bulnes, D. Joseph de Echeverría y Padilla’, D. Francisco Torralbo y Valenciano ,#D. Joseph García de Prado y Osorno, D. Manuel Ristori y Medina, D. Salvador Ciezar y Bocanegra, D. Bonifacio de Tosta y Montano, D. Joachín de Abreu y Orta y D. Jayme Michelena</t>
  </si>
  <si>
    <t>Torrente, Sebastián</t>
  </si>
  <si>
    <t>Sebastián Torrente</t>
  </si>
  <si>
    <t>os segundos D. Fernando Méndez, y D. Francisco Frías; y á segundos Subtenientes al Sargento primero D. Sebastian Torrente y al Subteniente de la compañía de in-r fantería ñxa de Velez-Málaga D. Antonio de la Azuela y Velasco: en el de Mallorca á Comandante del tercer batallón al Sargento mayor del de C</t>
  </si>
  <si>
    <t>Torres, Cárlos</t>
  </si>
  <si>
    <t>Cárlos Torres</t>
  </si>
  <si>
    <t>y D. Joachín G-utierrez de Maldivia: en el de Alcira al Subteniente agregado D. Miguel Castell y á D. Cárlos Torres: en el de Lorca al Cadete D. Bartolomé Martínez: en el de Avila á D. Diego Castrillon: en el de Alicante y Orihuela ai Subteniente agregado D.. \ icente Escolano; y en el de Orens</t>
  </si>
  <si>
    <t>Torres, Manuel</t>
  </si>
  <si>
    <t>Manuel Torres</t>
  </si>
  <si>
    <t>Sánchez, y agregación de Teniente veterano al regimiento prorvincial de Córdoba, Orizava y Xalapa á D. Manuel Torres, Subteniente del de infantería de Cuba. 1 Asimismo ha nombrado S, M. Guarda-Almacén de artillería de la plaza de Cumaná á D. Joseph Martin de Frias,</t>
  </si>
  <si>
    <t>Torrija, Antonio</t>
  </si>
  <si>
    <t>Antonio Torrija</t>
  </si>
  <si>
    <t>ción de Abril , endosados en 10 de Setiembre por D. Francisco Antonio Conti, de Sevilla, á favor de D. Antonio Torrija, mercader de Ecija, á quien los dirigió el dia 13 del mismo. Quien supiere de su paradero avisará á dicho Conti, ó i los Sres. Pastoriza y Cerero, de Sevilla. A virtud de Reales ó</t>
  </si>
  <si>
    <t>Tosenh Domingo Díaz Moreno</t>
  </si>
  <si>
    <t>á los que quieran pretenderla presenten sus memoriales con alguna anticipación al patrono de sangre Don Tosenh Domingo Diaz Moreno , residente en la expresada villa. Los subscriptores á la Historia de los Sacramentos acudirán á recoger los to• k tu mos 2 0 v 4 á la librería de Bayio ^ en Cádiz á la de Qrinfan</t>
  </si>
  <si>
    <t>Toseph Bermuaez de Castro y Joseph Cabrera</t>
  </si>
  <si>
    <t>D. Vicente Morales , Di Joseph Peña y D* Joachíh- Gayoso ; y á segundos Subtenientes a los Cadetes D. Toseph Bermuaez dé Castro y Don Joseph Cabrera y al Sargento primero Je granaderos D. Francisco González Ferrer: en el de la Princesa á segundo Teniente al Subteniente de granaderos D; Joseph Cülties, y á segundbs Subtenientes á</t>
  </si>
  <si>
    <t>Toseph de Masdevall</t>
  </si>
  <si>
    <t>berano Muley Solimán dar al Rey Ntro. Sr. una prueba de su agradecimiento, y pagar en cierto modo a Don Toseph de Masdevall el trabajo que se ha tomado de dar sus instrucciones al comisionado, y de escribir también al mismo Muley Solimán remitiéndole una disertación sobre la peste y sus remedios, ha nomb</t>
  </si>
  <si>
    <t>Tourner</t>
  </si>
  <si>
    <t>formar la guarnición de esta ciudad. Pesaro 2 7 de Octubre. E n Civítavecchía desembarcó poco hace Mr. Tourner , Comisario del gobierno ingles, y de allí se ha transferido á Ancona. En su viage cumplimentó al Papa en nombre de S. M. Británica. Se sabe que los ingleses son los que pagan á l</t>
  </si>
  <si>
    <t>Tovar, Alexandro</t>
  </si>
  <si>
    <t>Alexandro Tovar</t>
  </si>
  <si>
    <t>D. Francisco Mendoza; á segundosTenientes de fusileros á los primeros Subtenientes D.. Juan Egaña y D. Alexandro Tovar; 3 primeros Subtenientes á los segundos D. Felipe íessé y D&lt; Antonio Bausa: ' á segundos Subtenientes á los Sargentos primeros D. Luis Zamora y Don Í sidro Sánchez, y á los Cadete</t>
  </si>
  <si>
    <t>Tovar, Bernardo</t>
  </si>
  <si>
    <t>Bernardo Tovar</t>
  </si>
  <si>
    <t>do nombrar para el Arcedianato de Alcor, Dignidad de la catedral de Palencia, vacante por muerte de D. Bernardo Tovar, á D. Angel Gutiérrez de Santa Clara , Canónigo de la Real iglesia de San Isidro de Madrid: para la Dignidad de Tesorero y Canongía de la catedral de Plasencia, vacante por muerte</t>
  </si>
  <si>
    <t>Tovar, Gabriel</t>
  </si>
  <si>
    <t>Gabriel Tovar</t>
  </si>
  <si>
    <t>otro también simple de la villa de Argéte, en la misma diócesis de Toledo, vacante por promucion de D. Gabriel Tovar, á D. Joseph Ximenez de Cisneros y la Hoz.</t>
  </si>
  <si>
    <t>Továr, Joseph Ramón</t>
  </si>
  <si>
    <t>Joseph Ramón Továr</t>
  </si>
  <si>
    <t>Nicolás Rey: la de Oficial segundo de la administración y estanco de la propia renta, en México, á D. Joseph Ramón Továr: la de Guarda de la factoría del tabaco de Durango á D. Julián Zubia: la de Oficial tercero segundo de la administración principal de la aduana de Cartagena de Indias á D. Domingo</t>
  </si>
  <si>
    <t>Trail</t>
  </si>
  <si>
    <t>añones cada una: en todo 42 velas. Upa embarcación de Charlestown, llamada el Soberbio, mandada por Mr. Trail, que se halla en las Dunas, encontró en el canal de la Mancha un corsario francés de 22 cañones y 180 hombres de tripulación, cuyo Capitán, después de haber examinado los papeles</t>
  </si>
  <si>
    <t>Trasviña, Martín</t>
  </si>
  <si>
    <t>Martín Trasviña</t>
  </si>
  <si>
    <t>: para la Prestamera de la villa de Montalbo, en la misma diócesis de Cuenca, vacante por muerte de D. Martin Trasviña, á D. Francisco Arias Ximenez, mediante no poder tener efecto el nombramiento que hizo S. M. en él por decreto de 2 5 de Abril de 1799 para el Beneficio servidero de la parroquia</t>
  </si>
  <si>
    <t>Travería, Francisco</t>
  </si>
  <si>
    <t>Francisco Travería</t>
  </si>
  <si>
    <t>ríacos. Madrid &lt;f de Junio. E 1 Rey, á consulta del Consejo de 27 de Mayo, se ha dignado conceder á D. Francisco Travería, presbítero, la gracia de que con los cursos que ha ganado en el Seminario conciliar de la ciudad de Vich se le admita en qualquier universidad de las aprobadas del Reyno para obt</t>
  </si>
  <si>
    <t>Trebani Bot, Antonio</t>
  </si>
  <si>
    <t>Antonio Trebani Bot</t>
  </si>
  <si>
    <t>*7 * trjnl de Málaga&gt; vacante por fallecimiento de D. Antonio Trebani Bot,' Tgnacio de la Madriz, Racionero de la de Avila: para ia Pabordia vá3 nte en la catedral de la isla de Mallorca á D. Bartolomé Jaume, Ad-* Ca;«ictrador de la Real casa general de</t>
  </si>
  <si>
    <t>Treiles, Andrés</t>
  </si>
  <si>
    <t>Andrés Treiles</t>
  </si>
  <si>
    <t>z, 1). Christóbal Morte, graduado de Teniente, y D. Blas Ximenez y Lrambre, y al primer Subteniente D. Andrés Treiles; á Subtenientes de granaderos á los primeros Subtenientes D. Mariano de las Penas, D. Ambrosio Villaba y D. Manuel López; :t primeros Subtenientes á Jos segundos D. Joseph de Mira</t>
  </si>
  <si>
    <t>Trelles Oso, Antonio</t>
  </si>
  <si>
    <t>Antonio Trelles Oso</t>
  </si>
  <si>
    <t>nandez Reguera, de la Corufia , en la te** sorería de exé-reito de Galicia-y y endosados por este á D. Antonio Trelles Oso—rro , los quáles echó de menos Ramón. González que los llevaba desde la Cor uña al Concejo de Navia , Principado de Asturias. Quien los haliare los ¿emitirá al mismo Reguera, de l</t>
  </si>
  <si>
    <t>Treme</t>
  </si>
  <si>
    <t>clama de los Cónsules sobre la aceptación de la nueva constitución francesa. El ciud. Treme!, maquinista, que ha inventado muchas máquinas, algunas de ellas hidráulicas, y que ganó los últimos premios ofrecidos por este Instituto, ha presentado á la o</t>
  </si>
  <si>
    <t>Tresierra, Juan</t>
  </si>
  <si>
    <t>Juan Tresierra</t>
  </si>
  <si>
    <t>diversos mandos y comisiones que obtuvo, completas aprobaciones de S. M. Él *9 de Noviembre remitió D. Juan Tresierra , de Cádiz , á los Sres. D. Pa</t>
  </si>
  <si>
    <t>Tresse, Capitán</t>
  </si>
  <si>
    <t>Capitán Tresse</t>
  </si>
  <si>
    <t>ras y otros buques de la. eSqüadrt de Gothemburgo___-Una división de la de Swehaburgo, al mando del Capitán Tresse, llegó aquí el dia 31 esta destinada a cubrir el gran campamento militar, que ha de haber en Stroemsholm. £ Uamburgo i$ de Setiembre. Ue asegura que el Ministro ingles Withworth h</t>
  </si>
  <si>
    <t>Trevejos, Luis</t>
  </si>
  <si>
    <t>Luis Trevejos</t>
  </si>
  <si>
    <t>D. Diego Olivares y D. Martin Florez Quixano, y á esta clase á Iqs Cadetes D.Juan Sánchez Grillan, D. Luis Trevejos, D. Pedro Branly, graduado de Subteniente, y D. Antonio Garballp., Sargento primero.de granaderos t eh ef regí miento de in fa ntér ía de Cuba á Ay ud ante coir grado de Capitán á</t>
  </si>
  <si>
    <t>Trevil</t>
  </si>
  <si>
    <t>librería de Dávila , calle de las Carretas. Historia de los Niños célebres, traducida del francés. Mr. Trevil, autor de esta preciosa obra moral, y de los nuevos Ensayos de educación, procuró reunir en ella quantos fragmentos halló esparcidos en la historia antigua y moderna con-? ducente</t>
  </si>
  <si>
    <t>Trevilla, Pedro</t>
  </si>
  <si>
    <t>Pedro Trevilla</t>
  </si>
  <si>
    <t>spañola del Real cuerpo de Guardias de Corps ha nombrado el Rey para el empleo de Alférez al Exento D. Pedro Trevilla: para el de Ayudante al Brigadier de ella D. Francisco Vázquez: para el Bastón de Exento de número al supernumerario D. Joseph Gutiérrez de los Ríos; y para Exento supernumerario</t>
  </si>
  <si>
    <t>Trevilla, Simón</t>
  </si>
  <si>
    <t>Simón Trevilla</t>
  </si>
  <si>
    <t>, Teniente del regimiento Suizo de Betschart: D. Juan Sociats, Cadete de la compañía fixa de Rosas: D. Simón Trevilla, Cadete del de Voluntarios de caballería: D. Fernanda de Norzagaray, Subteniente del regimiento Provincial de Avila: D. Pedro Salazar , Subteniente del de Lo-: grono: D. Pablo Sir</t>
  </si>
  <si>
    <t>Trifon Antonio de Ibarrola Layse</t>
  </si>
  <si>
    <t>Juan, Avila, Chinchilla, Valladolid y Toledo, á D. Francisco Díaz de Parga, D. Juan Domingo Lozano, Don Trifon Antonio de Ibarrola Layse.ca, D. Antonio López del Castillo, Don Francisco María. González Ares y Ron,, D. Juan Joseph Marina y D.'.Jc)^' iejiiríMaría Qrtég^.. ....'ó:j) . ‘ . . Ó • EhJ.aten¿i.ó.n4’lo&amp;^¿rL</t>
  </si>
  <si>
    <t>Trigoso, Joseph</t>
  </si>
  <si>
    <t>Joseph Trigoso</t>
  </si>
  <si>
    <t>smo ha tenido S. M, á bien promover en el regimiento de dragones de Lusrtania á Teniente al Alférez D. Joseph Trigoso; y á Alférez al Cadete D. Rafael Otondo. Con fecha de 29 de Junio último ha dado aviso el Embáxador de S. Mf en Portugal, que ei paquebot correo el Cortés, procedente de Montevide</t>
  </si>
  <si>
    <t>Trinidad Antonio Porcél</t>
  </si>
  <si>
    <t>y se digne restituir á estos afligidos pueblos la salud, continuándola á esta ciudad. Conformándose D. Trinidad Antonio Porcél, Teniente de su Alteza Real, con las disposiciones de este</t>
  </si>
  <si>
    <t>Trivulci, General</t>
  </si>
  <si>
    <t>General Trivulci</t>
  </si>
  <si>
    <t>e mueran los franceses. Enterado yo de todo esto despaché municiones y artillería contra Arezzo. El General Trivulci marchó con media brigada'cisalpina de refuerzo, y el General Polombini con el batallón de oficiales que manda : otro batallón siguió al mismo destino. Durante la noche se dispusié</t>
  </si>
  <si>
    <t>Troche Dupiase</t>
  </si>
  <si>
    <t>e D. Fausto Bustamante , por 998 rs. 33Í mrs. , de la acción núm&gt; 67. Mr. de la Troche Dupiase , vecino de Laray en Char— lois, en Francia, por 499 rs. 17 mrs., de quatro partes en dos acciones números 37 y 38. D. Alonso Magon, 249 rs. 2g mrs., por una quarta parte de la acción núm.</t>
  </si>
  <si>
    <t>Tronchet</t>
  </si>
  <si>
    <t>e aceyte. j París 20 de Agosto. I j¡ primer Cónsul Bonaparte ha encargado á los ciudadanos Tronchet, PortaLis y Bigot-Preámeneu la formación de un código civil. Por decreto de los Cónsules de 17 de este mes se reúne la escuela nacional de Compieña al Pritáneo</t>
  </si>
  <si>
    <t>Troncoso de Lira y Garza, Francisco</t>
  </si>
  <si>
    <t>Francisco Troncoso de Lira y Garza</t>
  </si>
  <si>
    <t>y Vivero , D. Manuel Duque de la Cruz , D. Antonio Piñeyro y Maceda, Don Rafael de Mesa y Montero , D. Francisco Troncoso de Lira y Garza, Don Manuel Bachoni y Padilla, D. Alonso Martin Vegue y Zayas, D. Joseph</t>
  </si>
  <si>
    <t>Troncoso y Amer, Joseph</t>
  </si>
  <si>
    <t>Joseph Troncoso y Amer</t>
  </si>
  <si>
    <t>iente, saliéron los números 14, 83, 49, 22 y 67; y con ellos han ganado los jugadores 436,9P0 rs. A D. Joseph Troncoso y Amer se le han perdido 5 vales Reales de 300 pesos , creación de i.° de Julio, sin endoso, señalados con los números 45,041, 47,323, 54,606, 6r,io5 y 69,171. Quien los hubiese hallado</t>
  </si>
  <si>
    <t>Troncoso, Tomás Blas</t>
  </si>
  <si>
    <t>Tomás Blas Troncoso</t>
  </si>
  <si>
    <t>aga para un* Canongía de la catedral de Santiago de Chile, en América, vacante por fallecimiento de D. Tomas Blas Troncoso. También ha nombrado S. M. á D. Miguel de Batres y Muñoz para el Corregimiento de Chiquimula de la Sierra en el distrito de la Presidencia de Goatemala: para la Alcaldía mayor de</t>
  </si>
  <si>
    <t>Truguet, Almirante</t>
  </si>
  <si>
    <t>Almirante Truguet</t>
  </si>
  <si>
    <t>enemigos del pueblo francés. ' Para Comandante militar en el puerto de Brest está nombrado el. Viee-Almirante Truguet; para Ministro plenipotenciario de la República en ' el Haya el ciud. Semonville , Embaxador que ha sido en Constantinopla ; para Encargado de Negocios en Dresde , el Ayudante Lay</t>
  </si>
  <si>
    <t>Truxjilo, Félix</t>
  </si>
  <si>
    <t>Félix Truxjilo</t>
  </si>
  <si>
    <t>nte al Subteniente de granaderos Don Juan Gómez Parada; á Subteniente de granaderos al de fusileros D. Félix Truxjilo, y á Subteniente de compañía al de bandera D. Juan Canseco. v</t>
  </si>
  <si>
    <t>Truxton, Capitán</t>
  </si>
  <si>
    <t>Capitán Truxton</t>
  </si>
  <si>
    <t>s del año anterior. La Cámara de Representantes del Congreso ha acordado dar. una medalla de oro al Capitán Truxton, comandante de la fragata Constelación, que trabó combate con la. francesa nombrada lá Venganza. AI abrir un pozo cerca del rio Ognon, á 3 millas de Baríington-Bay,</t>
  </si>
  <si>
    <t>Tuan Bautista Aloerola</t>
  </si>
  <si>
    <t>riota a u. . r Manuel-de Abad S: M. por otro sexenio en la de la v,l!a de B dl- Ab'ld ■V Cisme-v á- D. Tuan Bautista Aloerola en la de V maretneoo. 7 S &amp; se ha servido hacer merced de Título de Cast.lL con la denom.naciona; Marques deCampo, de Aras,para s., su h„os y sucesores perpenación ae T r h chacón,</t>
  </si>
  <si>
    <t>Tuan Bustamante y González del Rivero</t>
  </si>
  <si>
    <t>y Ruiz Mateos, Don Toachín de Vierna é Isla , D. Mariano Spadafora,D. Antonio de Arcens y Faleons, D. Tuan Bustamante y González del Rivero, D. Felipe de Zavas v LaudaD. Toseph Buitragoy Granados, D. Francisco Agraz y Fernandez, D. Antonio Gandarillas y Quixano , D. Juan de Ordaz Y -tizón, D. Fernando del Piélago y Ar</t>
  </si>
  <si>
    <t>Tuan de Lanz y Norris</t>
  </si>
  <si>
    <t>, D. Domingo de Mesa y Wandcnhcde, D. Jacinto de Marcaida y Madariaga , D, Lorenzo Belon y Becerra, Don Tuan de Lanz y Norris , D. Juan Alvarez Faxardo y Ruiz Mateos, Don Toachín de Vierna é Isla , D. Mariano Spadafora,D. Antonio de Arcens y Faleons, D. Tuan Bustamante y González del Rivero, D. Felipe de</t>
  </si>
  <si>
    <t>Tuana Tosepha de Herce y Dulce</t>
  </si>
  <si>
    <t>odrigtiez y D. Diego Salazar. E, atención á la áisfmguida calidad y circunstancias que concurren en Doña Tuana Tosepha de Herce y Dulce, vecina de la ciudad de Lima, raucer de D. Manuel Antonio de Arredondo, Regente de aquella Real Ausencia, * los méritos de sus ascendientes, y á los quant,osos bienes que posee, s</t>
  </si>
  <si>
    <t>Tuco, Ramón</t>
  </si>
  <si>
    <t>Ramón Tuco</t>
  </si>
  <si>
    <t>hUtural de^Torruellá, Corregimiento de Gerona ........................ 42. 25. Ramón Tuco, hijo de Joseph y María , natural de Ribert, Corregimiento de Talarn....:.... ...................... . 55. . 30. Tomas Pagés, hijo de Juan y Teresa, natural de CasteJJó , Córrégiítiierí</t>
  </si>
  <si>
    <t>Tuero, Francisco</t>
  </si>
  <si>
    <t>Francisco Tuero</t>
  </si>
  <si>
    <t>o; y para el Beneficio de Santa Barbara de Ecija, en el mismo arzobispado, vacante por promoción de D. Francisco Tuero á Oidor de Cananas, a D. FranAtendiendo el Rey á los méritos de D. Tomas Ssez Parayuelo, Oidor decano de la Audiencia de Mallorca y Ministre, honorario del Consejo de Hacienda, y</t>
  </si>
  <si>
    <t>Tur, Antonio</t>
  </si>
  <si>
    <t>Antonio Tur</t>
  </si>
  <si>
    <t>granaderos á los de fusileros D. Antonio Toledo y D. Antonio Branly; a Tenientes á los Subtenientes D. Antonio Tur, D. Juan Villers, D: Anastasio Castellanos y D. Manuel Rodríguez, los tres primeros de granaderos; á SubtenieBtes.de granaderos á los de fusileros D. Joseph del Rio, D. Joseph Sán</t>
  </si>
  <si>
    <t>Turco, General</t>
  </si>
  <si>
    <t>General Turco</t>
  </si>
  <si>
    <t>disposiciones interinas, cuyo efecto se suspendió con motivo de una ♦ dificultad que sobrevino. El General Turco, dueño de las plazas de Salarié,, Catihie, Belbeis, Damieta, el Delta y el Egipto-Superior, evacuadas ea 1 virtud del convenio, exigía que los franceses le entregasen también la c</t>
  </si>
  <si>
    <t>Turreau, General</t>
  </si>
  <si>
    <t>General Turreau</t>
  </si>
  <si>
    <t>és,, dando á los oficiales el mismo sueldo que á los de Francia, y á los soldados 2 rs. diarios. El General Turreau, con los crecidos refuerzos que ha recibido, se ade-lanía hácia Suza y Turin, al paso que Bonaparte sigue marchando por ef valle de Aost. Por Schaffhusa y Basilea entran en Suiza</t>
  </si>
  <si>
    <t>e la vanguardia mandada por el General Lannes se adelantaba hacia el Po y Chivasso, la división del General Turreau atacabaálos enemigos enSuza;y el 22 acometió al puesto de Gravicres, cuyas alturas estaban guarnecidas con atrincheramientos y grandísimo mí mero de artillería. Marchó el Ayudante</t>
  </si>
  <si>
    <t>A ntes de ayer mañana llegó á esta ciudad ei General Jourdan, Ministro de Francia en Piamonte.__ El General Turreau, que manda las tropas francés sas en este pais, va á Bolonia, y le reemplaza aquí el General Cliabran. Ha creado el gobierno una junta de 5. vocales encargada del cuidado y admini</t>
  </si>
  <si>
    <t>Ugena, Domingo</t>
  </si>
  <si>
    <t>Domingo Ugena</t>
  </si>
  <si>
    <t>critos en francés por el R. P. Bernarda Lami, presbítero del oratorio : traducidos é ilustrados por D, Domingo Ugena presbítero; castigados y publicados por D. Juan Manuel González y de Nieto Interventor del Real peso de esta villa. Esta obra presenta el plan mas ex&amp;cto y sencillo para estudiar</t>
  </si>
  <si>
    <t>entos sobre las ciencias, escritos en francés por el P. Bernardo Lamí , traducidos é ilustrados por D. Domingo Ugena , presbítero: castigados y publicados por D. Juan Manuel González Nieto. Esta obra en dos tomos en 4.* presenta un plan ex&amp;cto y sencillo para estudiarlas y servirse de ellas con</t>
  </si>
  <si>
    <t>UL Joseph Figueyra</t>
  </si>
  <si>
    <t>Infante D. Pedro. tedral de Cádiz, vacante por muerte de D, Luis de Molina, á. UL Joseph Figueyra, Canónigo de la de Burgos: para el Arcedianato ele Sepíuveaá, dignidad de la catedral de Segovia, vacante por muerte de D. Miguel dp Grijalba, á D. Ramón Zorrilla de San Martin, con dimisió</t>
  </si>
  <si>
    <t>Ulloa, Miguel</t>
  </si>
  <si>
    <t>Miguel Ulloa</t>
  </si>
  <si>
    <t>nio de Cea y Cea y D. Joseph Ponce de León : en el de lugo á Teniente de granaderos al de fusileros D. Miguel Ulloa; á Teniente de fusileros al Subteniente de cazadores D. Antonio Gayoso, y á esta resulta al Subteniente de fusileros D. Pedro Tabeada Márquez de Ulloa: en el de Murcia á Teniente</t>
  </si>
  <si>
    <t>Uner</t>
  </si>
  <si>
    <t>esidente del clero es el Arzobispo de Upsal, el de la nobleza el Conde de Brahé, el de las ciudades Mr. Uner, Burgomaestre de Justicia de Stockolmo , y el de los labradores Mr. Utollarsow.</t>
  </si>
  <si>
    <t>Ungo, Juan</t>
  </si>
  <si>
    <t>Juan Ungo</t>
  </si>
  <si>
    <t>: en el de Aragón á Capitán al Ayudante D. Roque Marco: á Ayudante al primer Teniente de granaderos D. Juan Ungo: á primer Teniente de granaderos al de fusileros D. Lorenzo de Sierra: á primeros Tenientes á los segundos de granaderos D. Joachín Cito y D. Miguel Heredia: á segundos Tenientes</t>
  </si>
  <si>
    <t>Urania, Mateo</t>
  </si>
  <si>
    <t>Mateo Urania</t>
  </si>
  <si>
    <t>dos libres de infantería de Voluntarios de Panamá, al Capitán de milicias D. Celedonio Villareal, á D. Mateo Urania, D. Joseph Escovar y D. Joseph Videte, Sargentos primeros de distintos cuerpos. Ultimamente, otras dos Ayudantías de la plana mayor veterana, agregada al batallón de Pardos libres</t>
  </si>
  <si>
    <t>Urbano Sugasti</t>
  </si>
  <si>
    <t>ulo y D. Pablo Gaona y Jáuregui; y empleos de Portaestandartes á D. Diego de Vega, D. Pedro Merino, D. Urbano Sugasti y D. Bartolomé Estrada. A consulta del supremo Consejo de Castilla de io de este mes se ha 'dignado S. M. conceder facultad y licencia á la villa de Cervera del Rio Alama, provincia d</t>
  </si>
  <si>
    <t>Urbina, Alberto</t>
  </si>
  <si>
    <t>Alberto Urbina</t>
  </si>
  <si>
    <t>el al Coronel agregado al del Príncipe Duque de Sotomayor ; y á segundos Subtenientes á los Cadetes D. Alberto Urbina y D. Claudio Eguia: en el de Burgos á Ayudante al primer Teniente Don Joseph García: en el de Murcia á segundo Teniente de granaderos al de fusileros D. Manuel Casaus; á primer Subten</t>
  </si>
  <si>
    <t>Uriarte y Landa, Joachín</t>
  </si>
  <si>
    <t>Joachín Uriarte y Landa</t>
  </si>
  <si>
    <t>de 14 de Diciembre, solo ha estimado la sociedad digna de premio la del Dr. D. Joachin Uriarte y Landa, natural y vecino de esta ciudad, sobre el influxo que tenia la regata en la libertad del comercio, y baxo que principios podría permitirse; en cohseqiiencia se le adjudió el premio señala</t>
  </si>
  <si>
    <t>Uriarte, Isidoro</t>
  </si>
  <si>
    <t>Isidoro Uriarte</t>
  </si>
  <si>
    <t>ros D. Cayetano Albornoz; á Capitán al primer Teniente de granaderos, graduado de Teniente Coronel, D. Isidoro Uriarte; á primer Teniente de granaderos al de fusileros D. Manuel Gestido; á primer Teniente al segundo de granaderos D. Manuel Fernandez de Olarte; á segundo Teniente de granaderos al d</t>
  </si>
  <si>
    <t>Urruchurtu, Manuel</t>
  </si>
  <si>
    <t>Manuel Urruchurtu</t>
  </si>
  <si>
    <t>mayor veterana, agregada al batallón de Pardos libres de infantería de Voluntarios de Cartagena, á Don Manuel Urruchurtu, Subteniente de milicias, y á D. Antonio García, Sargento primero veterano. : Con Real permiso, y á favor de la obra del muelle de la ciudad de Tarragona, se abre otra rifa de 15©</t>
  </si>
  <si>
    <t>Uschakovv, Almirante</t>
  </si>
  <si>
    <t>Almirante Uschakovv</t>
  </si>
  <si>
    <t>ldados rusos con otros tantos turcos. Las dciñas tropas moscovitas se embarcaron en la esquadra del Almirante Uschakovv, la</t>
  </si>
  <si>
    <t>Uschakow</t>
  </si>
  <si>
    <t>el cumplimiento de este empeño, y» «sto fuédo que detuvo tanto tiempo la partida de la esquadra dé Mr. Uschakow. \ . ...... ••• *: -v.* ■, .:•? De Sebastópolis se esperan muchos transportes rusos que ,van con tropasaliMediterráneo# 5 - ; En Bebech se hizo el 14 de este mes. el cange de las.</t>
  </si>
  <si>
    <t>Uschakow, Almirante</t>
  </si>
  <si>
    <t>Almirante Uschakow</t>
  </si>
  <si>
    <t>a, ni .tampoco en los buques,que se cogiéron en el puerto, y en los quales tremolaba por Orden del Almirante Uschakow. El Emperador de Rusia pidió satisfacción completa, y mandó intimar á Mr. de,Cobentzel, Ministro de Viena, que no se le presentase hasta conseguida dicha satisfacción. El minister</t>
  </si>
  <si>
    <t>varias obras. Finalmente, esperaban también los franceses socorros de tropis. La esquadra rusa del Almirante Uschakow anclo el 22 en Bujukdere, en donde se está reparando y abasteciendo de víveres para continuar su navegación al mar Negro. Petersburgo y de Octubre. D eseando el Rey de Ñapóles man</t>
  </si>
  <si>
    <t>s á su Rcyno por el comandante y otros oficiales de la esquadra rusa del Mediterráneo, ha creado al Almirante Uschakow caballero de la orden de S. Genaro, y á los Capitanes Sorakow y Bolle comendadores de la de S. Fernando, con una pensión de 1600 duc dos de Ñapóles á Mr. Belíe* y caballeros de la</t>
  </si>
  <si>
    <t>es otomanas seguirá recorriendo los mares de Alexandría y Abukiiv ; La esquadra rusa mandada por el Almirante Uschakow se hizo á Ja la para Crimea el día 25; pero un viento norte bastante ifnerte.da obiigíó anclar á la entrada del Bósforo. Al principio; de la guerra se obligó la suf blfane iPüetta</t>
  </si>
  <si>
    <t>Uschakowt, Almirante</t>
  </si>
  <si>
    <t>Almirante Uschakowt</t>
  </si>
  <si>
    <t>NOVIEMBRE DE 1800. Constantmopla &lt;js 'de Setiembre. a llegado ú los Dardanelos la esquadra rusa del'Almirante Uschakowt viene deLSorfú, y no tardará, en entrar en este puerto. La otra esquadra de la misma nación, que desde el mar Negro debe llevar tropas á los estados del Rey de Ñapóles, rio ha* pa</t>
  </si>
  <si>
    <t>Usen, Tomás</t>
  </si>
  <si>
    <t>Tomás Usen</t>
  </si>
  <si>
    <t>y á primer Teniente al segundo D. Francisco Estove: en el de Santiago á segundo Teniente al Alférez D. Tomas Usen : en el de carabineros de la Reyna María Luisa á Ayudante al primer Teniente D. Ramón García’de Segovia: en el de Voluntarios de España á Alférez ai Sargento, graduado de Alférez</t>
  </si>
  <si>
    <t>Uson, Tomás</t>
  </si>
  <si>
    <t>Tomás Uson</t>
  </si>
  <si>
    <t>a de Santiago segundo Teniente al Alférez D. Pedro Sevilla; y para esta resulta al Alférez agregado D. Tomas Uson. . Asimismo ha conferido S. M. el empleo de Capellán del regimiento de dragones de Pavía á D. Joseph Matute , que obtenía el mismo en el de in~ •fantería de Sevilla. En América. E</t>
  </si>
  <si>
    <t>Utollarsow</t>
  </si>
  <si>
    <t>Brahé, el de las ciudades Mr. Uner, Burgomaestre de Justicia de Stockolmo , y el de los labradores Mr. Utollarsow.</t>
  </si>
  <si>
    <t>Utrera, Francisco</t>
  </si>
  <si>
    <t>Francisco Utrera</t>
  </si>
  <si>
    <t>Iglesia y Obispado de Cádiz, vacante por fallecimiento del limo. Sr. D. Antonio de la Plaza, al Sr. Don Francisco Utrera, Canónigo Doctoral de la santa iglesia de Sevilla. En atención á la avanzada edad y achaques del Intendente de la provincia de Cuenca, honorario de exército, D. Joachln de Eguiarr</t>
  </si>
  <si>
    <t>Utschakow, Almirante</t>
  </si>
  <si>
    <t>Almirante Utschakow</t>
  </si>
  <si>
    <t>os para correr con la correspondencia relativa al abasto de víveres y municiones de la esquadra del Almirante Utschakow. El Lord Elgin ha tenido su audiencia del Sultán en calidad de Embaxador de la Gran Bretaña. La fragata inglesa Faetón, Capitán Morris, que lo conduxo á esta capital, ha vuelto á</t>
  </si>
  <si>
    <t>V Ícente Bustamante</t>
  </si>
  <si>
    <t>ana ha nombrado S. M. para Brigadier al Sub-Brigadier D. Tomas Stronc : para esta resulta al Cadete D. V Ícente Bustamante : para Cadete de número al supernumerario D. Domingo Estevez ; y para Cadete supernumerario- al Guardia D. Rafael Pascual. Asimismo se ha servido S. M. promover en el regimiento d</t>
  </si>
  <si>
    <t>Vacher</t>
  </si>
  <si>
    <t>alta, propuesto po? el primer Cónsul. El cuerpo legislativo haba pror puesto al ciud. Vacher-, y el Tribunado al erad. Saget. o</t>
  </si>
  <si>
    <t>Vahean</t>
  </si>
  <si>
    <t>Coruña las fragatas de la República Pensamiento y Fraternidad, mandadas por los ciudadanos Vahean* Capitán de navio, y Bernard, Capitán de fragata. Al misino tiempo entró en dicho departamento un barco ingles de 380 toneladas, que al ir de Londres á Jamayca</t>
  </si>
  <si>
    <t>VaJbuena, Mateo</t>
  </si>
  <si>
    <t>Mateo VaJbuena</t>
  </si>
  <si>
    <t>niente de fusileros, graduado de infantería, D. Benito de la Riva* la de cazadores del de Sevilla á D. Mateo VaJbuena, Teniente de fusileros : Tenencia de esta clase en el de Burgos al Subteniente de granaderos D. Luis Artacho: igual empleo en el de Oviedo al Subteniente de cazadores D. Antonio F</t>
  </si>
  <si>
    <t>Valanzati, Luis</t>
  </si>
  <si>
    <t>Luis Valanzati</t>
  </si>
  <si>
    <t>Pastor, primeros Subtenientes del de Sevilla: D. Francisco Suarez, segundo Teniente del de Míircía: D. Luis Valanzati ídem del de Navarra: D. Nazareo Eguia, D. Pedro Díaz de Ribera, D. Benito Irazabal y D. Isidoro García de Montejo, Cadetes del de Extremadura, Voluntarios de Castilla, Príncipe j</t>
  </si>
  <si>
    <t>Valbuena, Francisco</t>
  </si>
  <si>
    <t>Francisco Valbuena</t>
  </si>
  <si>
    <t>9^3 vacante por fallecimiento de D. Francisco Valbuena, á D. Lorenzo Mackeon: para otra de la colegial deUbeda, en la diócesis de Jaén, vacante por fallecimiento de D. Manuel del Olmo, á D. Andrés de Anaya y Rivas: para la Ración de l</t>
  </si>
  <si>
    <t>Valcarce, Joseph</t>
  </si>
  <si>
    <t>Joseph Valcarce</t>
  </si>
  <si>
    <t>al Teniente D. Vicente Colomer: á Teniente al Alférez D. Feliciano Hernández;y á Alférez al Cadete Don Joseph Valcarce. En la villa de Vergara se sorteó el 6 de Mayo ultimo la vaxilla de loza «fina inglesa, que con facultad de S. M. puso en rifa, lasReal sociedad Vasí-congacfa: asistió al acto D.</t>
  </si>
  <si>
    <t>Valdecañas, Antonio</t>
  </si>
  <si>
    <t>Antonio Valdecañas</t>
  </si>
  <si>
    <t>ejo de Guerra: para una supernumeraria de Alcalde del Crimen de la propia Chancillería con sueldo á D. Antonio Valdecañas: para otra de Oidor de ella, vacante por fallecimiento de D. Francisco Tomas de Cama rasa , á D. Ignacio Areny y de Sola, con antigüedad preferente al dicho D. Pedro Garrido y Dur</t>
  </si>
  <si>
    <t>n obcion á entrar en él luego que vaque alguna de número, ó la supernumeraria que obtiene el citado D. Antonio Valdecañas; y para otra supernumeraria oe Alcalde del Crimen de la Chancillería de VaIladolid á D, Miguel Ramón Modet, con sueldo y obcion á la primera vacante: y iia concedido S. M, honores</t>
  </si>
  <si>
    <t>Valdecañas, Rafael</t>
  </si>
  <si>
    <t>Rafael Valdecañas</t>
  </si>
  <si>
    <t>colegial de S. Salvador de Granada , vacante por fallecimiento de D.. Ramcri Alonso de Ledesma,. á D. Rafael Valdecañas:- para La Abadía del Real monasterio de S. Pedro de Camprodon de la congregación Benedictina claustral de Cataluña,, vacante por muerte de D.. Fr.. Joachín de Parrella, á D. Fr. B</t>
  </si>
  <si>
    <t>Valdelomar, Joseph</t>
  </si>
  <si>
    <t>Joseph Valdelomar</t>
  </si>
  <si>
    <t>Subteniente de fusileros D. Santiago Lorenzo Largo: en el de Bujaknee la Subtenencia de cazadores á D. Joseph Valdelomar, Subteniente de fusileros: en el de Monterey Subtenencia de fusileros á D. Francisco López Romero; y en el de Sevilla Subtenencia de bandera á D. Gaspar de Torrejon y Valdes. \ Co</t>
  </si>
  <si>
    <t>Valdés Hevia, Lorenzo</t>
  </si>
  <si>
    <t>Lorenzo Valdés Hevia</t>
  </si>
  <si>
    <t>uarto curso matemático D. Blas de Cifuentes, D. Joseph Valdés Sorribas, D. Feliciano Costales Jove, D. Lorenzo Valdés Hevia y D. Francisco Xavier Olarria. j.° En dichos estudios, en la aplicación del álgebra á la geometría, secciones cónicas y los tres cálculos, á dirección del profesor de matemática, los</t>
  </si>
  <si>
    <t>Valdés Llanos, Pedro</t>
  </si>
  <si>
    <t>Pedro Valdés Llanos</t>
  </si>
  <si>
    <t>lientes y á los dos mas pobres, y D. Luis Mornard, Comisario de comercio de la República francesa , D. Pedro Valdés Llanos, Subdelegado de Rentas de la costa marítima del Principado, el Teniente Coronel D. Alvaro Valdés Inclan, Comandante de Artillería en él, y D. Antonio Rocandio y Perez á otros 4 de</t>
  </si>
  <si>
    <t>Valdés Sorribas, Joseph</t>
  </si>
  <si>
    <t>Joseph Valdés Sorribas</t>
  </si>
  <si>
    <t>D. Antonio de Condres, los alumnos de segundo año del quarto curso matemático D. Blas de Cifuentes, D. Joseph Valdés Sorribas, D. Feliciano Costales Jove, D. Lorenzo Valdés Hevia y D. Francisco Xavier Olarria. j.° En dichos estudios, en la aplicación del álgebra á la geometría, secciones cónicas y los tr</t>
  </si>
  <si>
    <t>Valdes, Fernando</t>
  </si>
  <si>
    <t>Fernando Valdes</t>
  </si>
  <si>
    <t>al de la mis-* ijia clase D. Juan Manuel de Cagigal: para la costa de Granada al Mariscal de Campo D. Fernando Valdes : para Andalucía al Teniente General Don Luis de las Casas, Gobernador de la plaza de Cádiz: para el Campo de Gibraltar al Mariscal de Campo D. Adrián Jácome: para Castilla la vie</t>
  </si>
  <si>
    <t>Valdes, Juan</t>
  </si>
  <si>
    <t>Juan Valdes</t>
  </si>
  <si>
    <t>se ha servido S. M. promover en el Real cuerpo de Artillería á Tenientes Coroneles á los Capitanes D. Juan Valdes y D. Juan de Arriada, este graduado de Coronel: á Capitán al Teniente graduado de Capitán D..Juan ele Vengoa; y á Subteniente de la compañía de milicias de Artillería del puerto de la</t>
  </si>
  <si>
    <t>Valdés, Juan</t>
  </si>
  <si>
    <t>Juan Valdés</t>
  </si>
  <si>
    <t>nifacio de Tosta y Montano, D. Joachín de Abreu y Orta y D. Jayme Michelena y Moreno. En 3.a fecha. D. Juan Valdés é Inclan, D. Juan Calderón y Laso de la Vega, D. Gabriel Olivar y Esquella , D. Joachín Moreno y Mancha , D. Antonio Quiroga y Arias, D. Benito Bermudez de Castro y Vivero , D. Ma</t>
  </si>
  <si>
    <t>Valdes, Juan Joseph</t>
  </si>
  <si>
    <t>Juan Joseph Valdes</t>
  </si>
  <si>
    <t>d de Tesorero primera silla de la colegial de Baeza, diócesis de Jaén, vacante por fallecimiento de D. Juan Joseph Valdes, á D. Joseph de Torres Aybar, Dignidad de Vicario de la misma colegial: para la Media-Ración afecta i voz de contralto de la catedral de Orihuela, vacante por fallecimiento de D.</t>
  </si>
  <si>
    <t>Valdivieso, Bernardo</t>
  </si>
  <si>
    <t>Bernardo Valdivieso</t>
  </si>
  <si>
    <t>: para la Canongia de la catedral de Tuy, vacante por fallecimiento de D. Ambrosio Telmo Piñeyro, á Don Bernardo Valdivieso, Capellán del regimiento de Búrgos: para la que se halla vacante en la misma iglesia, por fallecimiento de D. Vicente Moure, á D. Venancio García Morcillo, Capellán que ha sido ta</t>
  </si>
  <si>
    <t>Valencia, Manuel</t>
  </si>
  <si>
    <t>Manuel Valencia</t>
  </si>
  <si>
    <t>oo. Otra calle Mayor, D. Eugenio de Larruga, con 3331 pies, en 40^, y renta 1200. Otra dicha calle, D. Manuel Valencia, con 1130 pies, en 200, y renta doo. Otra calle de S. Isidro, Juan Martínez , con 1278 pies, en 4010, y renta 132. Un corral, calle de la Laguna, con 6498 pies , en 30, y renta 90</t>
  </si>
  <si>
    <t>Valentín Antonio Gutiérrez</t>
  </si>
  <si>
    <t>Joachín Xencrio y Giles, D. Ramón de Ayala y Silveyra, D. Antonio Callejas, D. Joseph López Berrio, D. Valentín Antonio Gutiérrez, D. Joseph Martin Ruiz y Lúeas y„D. Pedro Alcántara Alamanzon. Él Rey se ha servido nombrar para el Corregimiento, de capá y espada de Canaria , vacante por haber cumplido su sexe</t>
  </si>
  <si>
    <t>Valentín de Foronda</t>
  </si>
  <si>
    <t>hallará en la librería de Barco López, cálle de la Cruz. Lógica de Condillac; puesta en diálogo por D. Valentín de Foronda, y adicionada con un tratado sobre toda clase de argumentos y sofismas, y con reflexiones de la aritmética moral de Bufón sobre medir las cosas inciertas, sobre el ¿modo de apreci</t>
  </si>
  <si>
    <t>eídas en la Real academia de ciencias de Paris sobre la edificación de hospitales, y traducidas por D. Valentín de Foronda. Esta obra es no solo útil para los pueblos , sino necesaria en las circunstancias actuales en que se toman tantas medidas justas y eficaces para atajar los progresos de las enfer</t>
  </si>
  <si>
    <t>Valentin de Velasco</t>
  </si>
  <si>
    <t>nso..... Señores Avecia y Sánchez. En Jaén................. D. Pedro Esponera. En S. Lorenzo....... D. Valentin de Velasco. En Malaga............ D. Antonio Mariano. En Sevilla........ ...... La Caxa de Descuento. En Toledo............... D. Pedro Velez Salcedo Palomeque. Y finalmente desde este dia d</t>
  </si>
  <si>
    <t>Valentín Martorell</t>
  </si>
  <si>
    <t>arcelona, Corregimiento ídem........................................... 124. . "Valentín Martorell, hijo de otro y Cándida, natural de Artés, Corregimiento de Manresa.................................. 55. 30. Antonio Boix, hijo de Jayme y Rosa, natural de Ciutadilla, Corregimiento-de</t>
  </si>
  <si>
    <t>Valentín, Ana</t>
  </si>
  <si>
    <t>Ana Valentín</t>
  </si>
  <si>
    <t>está jasada en 147,484 rs¿: y otras dos ’ pertenecientes á las memorias- del Dr. D. Juan de Jaén y Doña Ana Valentín, su muger : sitas la una en la calle Nueva, nú ni. 3 , manzana 1:93, que comprehende 7471 pies : su habitación se compon? de sótanos , planta baxa , piso de entresuelos , principa</t>
  </si>
  <si>
    <t>Valenzúela, Joseph</t>
  </si>
  <si>
    <t>Joseph Valenzúela</t>
  </si>
  <si>
    <t>granaderos D. Francisco de Cozár Hidalgo: á Tenientes de fusileros en el de Jaén á los Subtenientes D. Joseph Valenzúela, D. Manuel'Obé:; o y D. J oseph Fernandez de la Pena y Gordillo: en el de Málaga á Teniente de fusileros al Subteniente D. Juan Gorbet; á Subteniente de cazadores al de fusileros</t>
  </si>
  <si>
    <t>Valera, Miguel</t>
  </si>
  <si>
    <t>Miguel Valera</t>
  </si>
  <si>
    <t>rtolomé ^orales, de granaderos, y D. Francisco Válléjo; á Subteniente de granaderos al de fusileros D. Miguel Valera; á Subtenientes á los de bandera D. Joachln de la Torre y Düarte y D. Joseph Serrano, y á esta clase al Cadete D. Pedro Mórell y al Sargento primero D. llamón Castillo: en el prov</t>
  </si>
  <si>
    <t>Valerio San Miguel, Julián</t>
  </si>
  <si>
    <t>Julián Valerio San Miguel</t>
  </si>
  <si>
    <t>fesor de ciencias físicas D. Joseph Alvar-Gonzalez Zarracina, los alumnos del primer curso de ellas D. Julián Valerio San Miguel, D. Luis Mornard, D. Claudio Fernandez, D.Felipe Fernandez San Miguel, D.Manuel Menendez, D. Lorenzo Valdés Hevia y D. Francisco Xavier Olarria. 7.0 Exercitáron, baxo la dirección</t>
  </si>
  <si>
    <t>Valero, Bartolomé</t>
  </si>
  <si>
    <t>Bartolomé Valero</t>
  </si>
  <si>
    <t>El Rey se ha servido promover á Portaestandarte del regimiento de caballería de Algarbe al Sargento D. Bartolomé Valero: á segundo Teniente en el de la misma clase de húsares españoles al Alférez segundo D. Francisco Luna; y ha tenido á bien conferir compañía en el de dragones de la Reyna al Capitá</t>
  </si>
  <si>
    <t>Vales Asenjo, Francisco Xavier</t>
  </si>
  <si>
    <t>Francisco Xavier Vales Asenjo</t>
  </si>
  <si>
    <t>vio de los pobres presos de las cárceles de Madrid dixo el domingo g de Enero de este año el soc|o. D. Francisco Xavier Vales Asenjo, Canónigo de la Real iglesia de 8. Isidro. Se hallará á 2 rs. en la librería de Castillo , dónde también se venden las-Constituciones de la misma asociación. Arte del teatro ó del</t>
  </si>
  <si>
    <t>iación , y la inaugural que al propio asunto dixo en la cárcel de corte el &lt;; de dicho mes el socio D. Francisco Xavier Vales Asenjo, Canónigo de S. Isidro. Modo práctico y fácil de hacer confesión general, para alivio de confesores y penitentes : con un exámen general de todos los casos y cosas que se pueden o</t>
  </si>
  <si>
    <t>Valladares, Antonio</t>
  </si>
  <si>
    <t>Antonio Valladares</t>
  </si>
  <si>
    <t>Terroba, calle Imperial, se halla de venta una porción de juegos de la Lcandra, novela original de D. Antonio Valladares, 4 tomos pn 8.°, á 6 rs. en rústica y 8 en pasta. La moral de esta novela (que comprehende muchas) y el embeleso que causan sus raciocinios , la sensibilidad que mueve en el lecto</t>
  </si>
  <si>
    <t>Valladáres, Antonio</t>
  </si>
  <si>
    <t>Antonio Valladáres</t>
  </si>
  <si>
    <t>eniente de granaderos D. Francisco Pardo ; á Subtenientes de granaderos á los primeros Subtenientes D. Antonio Valladáres , D..Tomas de Ben y D. Francisco Xavier González ^graduado de Teniente ; á primeros Subtenientes a los segundos D. Mariano Ribas , D. Domingo Tierra, D. Mariano Galindo, D. Antoni</t>
  </si>
  <si>
    <t>de granaderos al de fusileros D. Eugenio Iglesias; á segundo Teniente al Subteniente de granaderos D. Antonio Valladares; á Subteniente de granaderos al primer Subteniente Don Tomas Perez; y á primer Subteniente al segundo D. Joseph Juan de Rico: en el de la Princesa á Capitán al Ayudante D. Francis</t>
  </si>
  <si>
    <t>Valladares, Blas</t>
  </si>
  <si>
    <t>Blas Valladares</t>
  </si>
  <si>
    <t>ovincia de Yucatán, á D. Telesforo Sometiera; y para la de Oficial segundo de la misma Contaduría á D. Blas Valladares. A consulta del supremo Consejo de Castilla de 20 de Marzo se ha dignado el Rey conceder Real permiso y facultad para celebrar una feria anual en los dias 6, 7 y 8 de Setiembre en</t>
  </si>
  <si>
    <t>Valladáres, Ventura</t>
  </si>
  <si>
    <t>Ventura Valladáres</t>
  </si>
  <si>
    <t>ientes de los regimientos de dragones de Pavía y de la Reyna; y á Ayudantes mayores de las mismas á D. Ventura Valladáres, Alférez del regimiento de Pavía, á los Sargentos primeros de Sagunto y Villaviciosa D. Pedro Campo y D. Millan Bustos, y á D. Pedro Vidaurre, Teniente de las milicias del antiguo</t>
  </si>
  <si>
    <t>Vallanccur, Agustín</t>
  </si>
  <si>
    <t>Agustín Vallanccur</t>
  </si>
  <si>
    <t>ente aí Subteniente de granaderos D. Juan Andrés; á Subteniente de granaderos al primer Subteniente D. Agustín Vallanccur; á primer Subteniente al segundo D. Juan Guerrero,y a segundo Subteniente al Cadete D. Andrés Verea : en el de la Corona á primer Teniente al segundo de granaderos D. Joseph Balag</t>
  </si>
  <si>
    <t>Valle</t>
  </si>
  <si>
    <t>tra calle de la Garrapata, Tiburdo Sauz, con 2776 pies, en 5©, y renta 134. Otra calle de Santiago, Dr. Valle, con j 3,308 pies, en 27©, y rentri 800. Otra en el Medio Celemín, Joseph López, con 368 pies, en 2010, y renta 66. Otra en dicho Medio Celemín, Domingo Carreras, con 1072 pies, e</t>
  </si>
  <si>
    <t>Valle-Espinosa, Juan</t>
  </si>
  <si>
    <t>Juan Valle-Espinosa</t>
  </si>
  <si>
    <t>amil, D. Joseph Rinconada , D. Paulo de Norieí?a, D. Joachín Serra y Franch., D. Eustasio González, D. Juan Valle-Espinosa y D. Diego López. Presidió el Sr. D. Sebastian de Torres, dei Consejo de S. M., Alcalde de su Real casa y corte. El 19 de Marzo falleció en esta corte á los 67 añ-os y 8 meses de edad</t>
  </si>
  <si>
    <t>Vallejo y Marques de Casa Cagi, Francisco</t>
  </si>
  <si>
    <t>Francisco Vallejo y Marques de Casa Cagi</t>
  </si>
  <si>
    <t>za de Jaca. Para las islas de Mallorca y Canarias había nombrado ya S. M. á los Mariscales de-Campo D. Francisco Vallejo y Marques de Casa Cagi—</t>
  </si>
  <si>
    <t>Vallejo, Francisco</t>
  </si>
  <si>
    <t>Francisco Vallejo</t>
  </si>
  <si>
    <t>tería auxiliar del Nuevo Reyno de Granada se ha servido el Rey conferir Compañía al primer Teniente Don Francisco Vallejo: esta primera Tenencia al Teniente de granaderos D. Ignacio Salcedo: la Tenencia de granaderos, que dexa este, al segundo Teniente D. Antonio Borraya; y esta resulta al segundo Te</t>
  </si>
  <si>
    <t>Válléjo, Francisco</t>
  </si>
  <si>
    <t>Francisco Válléjo</t>
  </si>
  <si>
    <t>usileros D. Miguel Gevallos; á Tenientes á los Subtenientes’ D. Bartolomé ^orales, de granaderos, y D. Francisco Válléjo; á Subteniente de granaderos al de fusileros D. Miguel Valera; á Subtenientes á los de bandera D. Joachln de la Torre y Düarte y D. Joseph Serrano, y á esta clase al Cadete D. Ped</t>
  </si>
  <si>
    <t>a de Santa María de la ciudad de Cascante, en la diócesis de Tarazona, vacante por fallecimiento de D. Francisco Vallejo, á D. Juan Joseph Martincz: para el Medio-Préstamo de la parroquia de Sta. Cecilia de la villa de Medellin , en la diócesis de Plasencia, vacante por fallecimiento de D. Antonio A</t>
  </si>
  <si>
    <t>Valles, Rafael</t>
  </si>
  <si>
    <t>Rafael Valles</t>
  </si>
  <si>
    <t>empleos en los Provinciales de Alcira y Tuy, al Teniente de infantería y del provincial de Córdoba D. Rafael Valles, y al Capitán del de Santiago D. Cárlos Calviño: compañía de granaderos en el de Laredo al Capitán D. Joseph Antonio de Terán: compañías de fusileros en los de Betanzos y Mondoñed</t>
  </si>
  <si>
    <t>Valongo, Francisco (capitán)</t>
  </si>
  <si>
    <t>Capitán Francisco Valongo</t>
  </si>
  <si>
    <t>mpavía de la lancha cañonera corsaria española nombrada S. Francisco Xavier, alias el Poderoso, siy Capitán Francisco Valongo, y la barquilla corsaria la Rafaela, alias la Jjescubridora, su Capitán D. Juan Ildefonso Blanco, de esta matrícula: armadas ambas por D. Juan Barhen, del comercio de Cádiz, resid</t>
  </si>
  <si>
    <t>Van de Spiegel</t>
  </si>
  <si>
    <t>de alS* ya á Hyder-Abad, y sirve su anterior empleo. ’L T " Haya 20 de Mayo. JhLa muerto en Lingen Mr. Van de Spiegel, que fue gran Pensionista^ de Holanda y Westírista , Y-era muy parcial de los ingleses y del Stathonder. , El Capitán de marina KolfF, sentenciado á muerte por haber contribuido á</t>
  </si>
  <si>
    <t>Van Deedem</t>
  </si>
  <si>
    <t>ta declaración se saben ya.” I -r ~r Haya I $ de Junio. na carta escrita por el ciud. Van Deedem, Fmbaxador que fué de Holanda en Constantinopla-, y.se retiró á Bucharest quando, la Puerta otcma-&gt; na declaró guerra á la República bátava, contiene que los m</t>
  </si>
  <si>
    <t>Van Haeften</t>
  </si>
  <si>
    <t>edaba todo tranquilo y en buen estado en Batavia y en la isla de Java. El cuid. Van Haeften, Ministro que fue de Holanda en Viena, ha muerto en aquella ciudad. Y Berna 6 de Abril. jN o se suspenden los preparativos para la abertura de la campaña , y de continuo desfilm ropas repub</t>
  </si>
  <si>
    <t>Van-Swinden</t>
  </si>
  <si>
    <t>barcaciones que los han traído. El dia 20 fue instalado en su dignidad el nuevo Director Van-Swinden. El gobierno le ha dado una fiesta en el palacio del Ministro de Relaciones exteriores, á la qual asistió el cuerpo diplomático. Parte de la artillería ligera</t>
  </si>
  <si>
    <t>Vanausthoorn, Luis</t>
  </si>
  <si>
    <t>Luis Vanausthoorn</t>
  </si>
  <si>
    <t>ales Guardias Walonas á segundos Tenientes á los Alféreces D. Fernando de Roxas, Don Tayme Parella, D. Luis Vanausthoorn y D. Andrés ác Bassecourt, los dos ¿rimeros de granaderos. En el de infantería de Africa á Capitán al Ayudante D. Isidoro Gutiérrez Palacios; á Ayudante al primer Teniente Don luán Lo</t>
  </si>
  <si>
    <t>Vancouver, Jorge (capitán)</t>
  </si>
  <si>
    <t>Capitán Jorge Vancouver</t>
  </si>
  <si>
    <t>Viage al mar pacífico del norte y al rededor del mundo , hecho en ios v. !.os de 1790 á 179$ por ei Capitán Jorge Vancouver , de orden del Rey de Inglaterra , con el fin principal da averiguar si á través del continente ci&amp; América jr. halla p.tso para los navít-s desde ei océano pacífico del norte al</t>
  </si>
  <si>
    <t>Vandamme, General</t>
  </si>
  <si>
    <t>General Vandamme</t>
  </si>
  <si>
    <t>el Teniente Coronel aleman WolfF, comandante de dicho fuerte. El artículo último dice: „Renovará el General Vandamme la promesa que ha hecho ya de que al ajustarse la paz mediará la República francesa para que el castillo de Hohentwiel quede al Duque de Wurtemberg, y se le devuelva en el mismo esta</t>
  </si>
  <si>
    <t>eserva. , ' Basileq 2 (y de Mayo. P or haber caído enfermo el General Lecourbe manda en su lugar el General Vandamme el ala derecha del exército del Rhin. Parece que el cuerpo francés que el d¡a 15 tomó posesión de Coira, se propone adelantarse desde allí por el país de los Grisones. Entre los rep</t>
  </si>
  <si>
    <t>del ala derecha del exército del Rhin, fué destacado el dia 11 á la primera división mandada por el General Vandamme, y tuvo orden de dividirse y marchar una parte hacia Kempten y la otra á Memmingerr, para que á modo de partidarios molestase á los enemigos. Púsose en marcha al amanecer, llegó á</t>
  </si>
  <si>
    <t>Vandeput, Almirante</t>
  </si>
  <si>
    <t>Almirante Vandeput</t>
  </si>
  <si>
    <t>s, en el qual se embarcará el Vice-AImirante Guillermo Parker, que está nombrado para reemplazar al Almirante Vandeput, comandante del apostadero de Halifaxi El Conde de Spencer, primer Lord del Almirantazgo, ha dado cuenta al Rey de haberse sublevado la tripulación de la fragata Danae mandada por</t>
  </si>
  <si>
    <t>Vaquerizo, Juan Cayetano</t>
  </si>
  <si>
    <t>Juan Cayetano Vaquerizo</t>
  </si>
  <si>
    <t>ada Villar Alto y Otarro Campo, sita en la Real dehesa de la Serena, perteneciente á la obra pia de D. Juan Cayetano Vaquerizo, tasada en 440,666 rs. Id. una cerca de tierra de pan llevar, nombrada la Cochera, de 3 fanegas y celemín y medio de sembradura, tasada en 11,250. Id. otra de 3 fan. y 8 cel. tasa</t>
  </si>
  <si>
    <t>Varela, Gabriel</t>
  </si>
  <si>
    <t>Gabriel Varela</t>
  </si>
  <si>
    <t>al Sargento primero de granaderos D. Antonio Ibañez: en el de Granada á Ayudante al primer Teniente D. Gabriel Varela; y á segundo Teniente de granaderos al de fusileros graduado de Capitán D. Joachín Urrutia: en el de Mallorca á Subteniente de granaderos al primer Subteniente D. Fernando de Alco</t>
  </si>
  <si>
    <t>Varela, María</t>
  </si>
  <si>
    <t>María Varela</t>
  </si>
  <si>
    <t>larando era natural del reyno de Galicia, hijo legítimo de D, Juan Blanco, que entonces vivía, y de Doña María Varela, difunta, y nombró por su úrico y universal heredero al citado su padre, y en caso que hubiese fallecido al Lie. D. Joseph Blanco su hermano; y por auto que proveyó en 11 de Dicie</t>
  </si>
  <si>
    <t>Varela, Ramón</t>
  </si>
  <si>
    <t>Ramón Varela</t>
  </si>
  <si>
    <t>tas ^ en Cádiz en casa de Pajares , en Barcelona en la librería de Chueca, en la Corufia en casa de D. Ramón Varela , Cirujano del Real hospital , y en Santiago en casa de D. Julián Suarez , Visitador de las boticas de la provincia. = Memoria sobre la prolongación morbífica de la lengua fuera d</t>
  </si>
  <si>
    <t>Varón, Joachín</t>
  </si>
  <si>
    <t>Joachín Varón</t>
  </si>
  <si>
    <t>t, estos dos agregados de Subtenientes al expresado de San 1 Felipe. S. M. se ha servido prorogar á D. Joachin Varón por otros seis años en la Vara de Alcalde mayor del gobierno de la ciudad de Alcañiz, de Segunda clase, territorio de la orden de Calatrava. También se ha dignado nombrar el Rey p</t>
  </si>
  <si>
    <t>Varona, Rafael</t>
  </si>
  <si>
    <t>Rafael Varona</t>
  </si>
  <si>
    <t>ería establecida en Ciudad Real,capital de la Mancha, b^xo la Real protección de S. M.,yá cargo/ de D. Rafael Varona, su director, sp admiten á trabajar oficiales de reloxero, así nacionales como extrangerqs, pagándoles los trabajos ]que hicieren según la habilidad de cada uno. D. Fernando Gonzá</t>
  </si>
  <si>
    <t>Vasco, Rafael</t>
  </si>
  <si>
    <t>Rafael Vasco</t>
  </si>
  <si>
    <t>á la Presidencia de la respectiva chancülería y audiencia al Capitán general de la costa de Granada D. Rafael Vasco, al de Andalucía D.Tomas de Moría,aUe Extremadura D. Joseph Alvarez , y al Capitán general de Castilla la Vieja D. Joseph de Arteaga. También ha nombrado S. M. al Teniente General</t>
  </si>
  <si>
    <t>Vaubofc, General</t>
  </si>
  <si>
    <t>General Vaubofc</t>
  </si>
  <si>
    <t>ejercitarán freqiientemente baxo las ordenes del General Mutat, ^ El^nadoía"elegido'para Senador al General Vaubofc, comandante de Malta, propuesto po? el primer Cónsul. El cuerpo legislativo haba pror puesto al ciud. Vacher-, y el Tribunado al erad. Saget. o</t>
  </si>
  <si>
    <t>Vaubois, General</t>
  </si>
  <si>
    <t>General Vaubois</t>
  </si>
  <si>
    <t>las dexó satisfechas refiriendo hechos verdaderos. Son muchos los barcos empleados en pescar; y el General Vaubois ha formado un almacén de pescado salado , que será otro recurso contra el hambre. La artillería está en el mejor estado, y hay en la plaza 400 caballerías para su servicio. Las ob</t>
  </si>
  <si>
    <t>s comandantes de los tuertes, y los oficiales que mandan destacamentos; á los quales informe) dicho General Vaubois de que había mas de un mes estaban enteramente apurados los almacenes de víveres de la plaza: que igualmente lo estaban los de caldos; y que el pan , único alimento que quedaba para</t>
  </si>
  <si>
    <t>sejo de Estado: y aun añaden que ya se están disponiendo sus alojamientos. París 2Q de Octubre. E 1 General Vaubois, que mando'en V. h ■, y es individuo del Senado conservador, ha llegado aquí. Tambi n Ha v nido el Genera! Moreau con el General Lahorie. Fué Moreau á presentarse al primer Cónsui</t>
  </si>
  <si>
    <t>a debe*su restablecimiento. - ■ • El GenetáL inglés Graham, comandante ide Malea, había ofrecido 4l General Vaubois restituir el gabinete de historia natural que el ex-Comendador Dolomieu téilia en aquella isla ; y en efecto esta preciosa colección ha llegado de Malta á Marsella en un barco par</t>
  </si>
  <si>
    <t>Vázquez de Acuña, Joseph</t>
  </si>
  <si>
    <t>Joseph Vázquez de Acuña</t>
  </si>
  <si>
    <t>Españoles de Lima á Subteniente al agregado D. Rafael Tienda, y á Subteniente de bandera al Cadete D. Joseph Vázquez de Acuña, Conde de la Vega del Ren: en el de milicias urbanas de caballería de Ferreñafe á Teniente al Alférez D. Joseph Chavarría: últimamente, en el de milicias urbanas de dragones de la</t>
  </si>
  <si>
    <t>Vázquez de Novoa, Agustín</t>
  </si>
  <si>
    <t>Agustín Vázquez de Novoa</t>
  </si>
  <si>
    <t>ara sí y sus sucesores, con la denominación de la Uxola. En América. El Rey se ha servido nombrar á D. Agustín Vázquez de Novoa para el Corregimiento de Zipaquira, en el Vireynato de Sta. Fe. D. Cayetano Sixto, presbítero, en continuación de su plan de bellas letras aprobado por el Consejo- abrirá este año</t>
  </si>
  <si>
    <t>Vázquez de Velasco y Ontañon, Antonio</t>
  </si>
  <si>
    <t>Antonio Vázquez de Velasco y Ontañon</t>
  </si>
  <si>
    <t>edrosa, D. Saturnino Aguado y Payan, D. Joseph Bayo y García de Prado, D. Joseph de Arbizu y Alava, Don Antonio Vázquez de Velasco y Ontañon, D. Santiago Palacio y Santibañez, D. Juan de Torres y Araujo, D. Juan Rubion y Gutiérrez de la Huerta,!). Joseph de Carracedo y Salgado, D. Fernando Ruiz y Villegas, Don Joseph G</t>
  </si>
  <si>
    <t>Vázquez y Pagóla, Ramón</t>
  </si>
  <si>
    <t>Ramón Vázquez y Pagóla</t>
  </si>
  <si>
    <t>Igualmente se ha dignado conceder agregación de Alférez al regimiento de dragones de Buenos-Ayres á D. Ramón Vázquez y Pagóla. Por resolución de S. M. de 20 de Diciembre de 1799 á consulta del Consejo se ha servido conceder feria franca de ganados á los Concejos y vecinos de los lugares de Murua, Gopegui</t>
  </si>
  <si>
    <t>Vázquez, Antonio</t>
  </si>
  <si>
    <t>Antonio Vázquez</t>
  </si>
  <si>
    <t>i43 Ordenador D. Antonio Vázquez\ se advierte qué lo es D. Felipe de Prados, y el expresado Vázquez en cesación. Quien hubiese encontrado una carta de pago contra, la Tesorería general de una acción delKeal empré</t>
  </si>
  <si>
    <t>etas. Los doce meses del año y las quatro partes del mundo, grabadas finamente al estilo ingles por D. Antonio Vázquez, dispuestas en targetas con cartulina fina inglesa, y los cantos dorados, para todo género de visitas; se hallarán en la librería de Ramos, carrera de S. Gerónimo; á $0 rs. el cie</t>
  </si>
  <si>
    <t>Vázquez, Bartolomé</t>
  </si>
  <si>
    <t>Bartolomé Vázquez</t>
  </si>
  <si>
    <t>l convento de Santo Tomas de esta corte , de la que se ha procurado copiar exactamente: grabada per D. Bartolomé Vázquez. Se hallará con el anterior ofrecimiento en ia portería del mismo convento. Exercicio doctrinal y evoluciones de una brigada de artillería de á caballo, y’ reflexiones sobre el us</t>
  </si>
  <si>
    <t>Vázquez, Diego Gregorio</t>
  </si>
  <si>
    <t>Diego Gregorio Vázquez</t>
  </si>
  <si>
    <t>opas, seguil está miniado por dicha Subdeiegacion general, sin mas citarles. El 19 de Julio remitió D. Diego Gregorio Vázquez, de Sevilla, á D. Juan Hidalgo de Porras, de Lucena, 10 vales Reales, los siete de 300 pesos, de i.ü de Febrero, mím. 83,358, 84,105, 106,804, 107,749, 1*6,787, 130,516, 1*6,76»;</t>
  </si>
  <si>
    <t>Vázquez, Fernando</t>
  </si>
  <si>
    <t>Fernando Vázquez</t>
  </si>
  <si>
    <t>de Farnesio al Portaestandarte D. Joachin Je Tornos; y segundo Teniente en el de España al Alférez D. Fernando Vázquez: y lia tenido á bien’conferir compañía en el de Santiago al Capitán D. Manuel de Ribera^ Ayudante del mismo cuerpo,</t>
  </si>
  <si>
    <t>Vázquez, Francisco</t>
  </si>
  <si>
    <t>Francisco Vázquez</t>
  </si>
  <si>
    <t>emonias de nuestra sagrada religión y los misterios de semana santa; puesto en castellano por el P. D. Francisco Vázquez, Clérigo Reglar de S. Cayetano de esta corte. Véndese en la librería de Castillo, á 8 rs. en pasta. Tratado de la humildad christiana: carta de S. León el grande á la virgen Demet</t>
  </si>
  <si>
    <t>imer batallón de Voluntarios de Aragón á Capitán segundo al primer Tc.niente , graduado de Capitán, D. Francisco Vázquez; á primer Teniente al segundo D. Francisco Corzan; á segundo Teniente al primer Subteniente ,D. Francisco Salces , y á primer Subteniente al segundo D. Manuel Briz : •en el de inf</t>
  </si>
  <si>
    <t>Rey para el empleo de Alférez al Exento D. Pedro Trevilla: para el de Ayudante al Brigadier de ella D. Francisco Vázquez: para el Bastón de Exento de número al supernumerario D. Joseph Gutiérrez de los Ríos; y para Exento supernumerario al J&amp;rigadier D. Pedro Martínez Espinal. Para fin Basten de Exe</t>
  </si>
  <si>
    <t>Vázquez, Juan</t>
  </si>
  <si>
    <t>Juan Vázquez</t>
  </si>
  <si>
    <t>D. Christóbal García, D. Francisco Doliany y D. Miguel Bray, al Cadete del de infantería dé Granada D. Juan Vázquez, y al Sargento primero del de Málaga D. Nicolás Gamarra: en el de Asturias á segundo Teniente al Subteniente de granaderos graduado de Teniente D. Francisco Fernandez: en el de Ar</t>
  </si>
  <si>
    <t>ia de Badajoz. Xercz de los Caballeros: una casa junto á la fuente de los Santos, de la obra pía de D. Juan Vázquez , tasada en 19,023 rs.=Villanueva del Fresno : una cerca de terreno montuoso , poblada de olivos y encina , con su casa , de la cofradía de 'Ntra. Sra. de Moncarche , tasada en 6o</t>
  </si>
  <si>
    <t>Vázquez, Juan Salvador</t>
  </si>
  <si>
    <t>Juan Salvador Vázquez</t>
  </si>
  <si>
    <t>anes á los Subtenientes D. Joseph Gavino Tamayo y D. Rafael Vázquez, y á Subtenientes á los Cadetes D. Juan Salvador Vázquez y D. Juan Antonio Noguera. S. M. se ha servido señalar para la junta general de accionistas de la Real compañía de Filipinas el dia 18 del próximo mes de Octubre, en las casas de sus</t>
  </si>
  <si>
    <t>Vclasco, Domingo Antonio</t>
  </si>
  <si>
    <t>Domingo Antonio Vclasco</t>
  </si>
  <si>
    <t>estampas apreciables hechos por uno de los directores D. Fe! ix Prieto, y por el profesor de mérito D. Domingo Antonio Vclasco. Se principió la sesión con la lectura de las actas, y luego pronunció una oración alusiva al asunto el Lie. D. Joseph Rodríguez Mega, consiliario y secretario de la misma escuela</t>
  </si>
  <si>
    <t>Vega, Juan María</t>
  </si>
  <si>
    <t>Juan María Vega</t>
  </si>
  <si>
    <t>y Valle, Subteniente de fusileros: Compañías de fusileros en el de Oviedo á D. Pedro de la Barzana, D. Juan María Vega y D. Ramón de la Huelga, Tenientes de granaderos, cazadores y fusileros, el primero graduado cíe Capitán de infantería: Subtenencia de bandera en el de Córdoba á D. Rafael Fernandez d</t>
  </si>
  <si>
    <t>Vega, Manuel</t>
  </si>
  <si>
    <t>Manuel Vega</t>
  </si>
  <si>
    <t>973 P. Isidro SosviJía y D. Manuel Vega; reconociéndose los adelantamientos de tan útil establecimiento, y concibiéndose las mayores esperanzas en beneficio del estado, comercio, navegación y artes. 'i Madrid ij de Octu</t>
  </si>
  <si>
    <t>Vegas Quintano, Manuel</t>
  </si>
  <si>
    <t>Manuel Vegas Quintano</t>
  </si>
  <si>
    <t>opiedad, y al frente su correspondencia castellana, con reglas y preceptos para su decoración ; por D. Manuel Vegas Quintano , Catedrático de latinidad en la Real universidad de Alcalá de Henáres: un tomo en 8.® Se hallará en la librería de Ranz, calle de la Cruz, y en Alcalá en la imprenta de dicha Rea</t>
  </si>
  <si>
    <t>Vegue y Zayas, Alonso Martín</t>
  </si>
  <si>
    <t>Alonso Martín Vegue y Zayas</t>
  </si>
  <si>
    <t>Don Rafael de Mesa y Montero , D. Francisco Troncoso de Lira y Garza, Don Manuel Bachoni y Padilla, D. Alonso Martin Vegue y Zayas, D. Joseph</t>
  </si>
  <si>
    <t>Vegue y Zayas, Vicente Martín</t>
  </si>
  <si>
    <t>Vicente Martín Vegue y Zayas</t>
  </si>
  <si>
    <t>. Vicente Bermudez de Castro y Vivero, D. Bernabé de Mariaca y Ansótegui, D. Genaro de Aurea y Rho, D. Vicente Martin Vegue y Zayas, D. Gabriel Góngora y Palacio, D. Luis de Benavides y Alovice,D. Antonio Guerrero y Canredondo, D. Francisco González de la Riva y Vivanco,D. Joseph de Letona y Betéluri, D. Anton</t>
  </si>
  <si>
    <t>Vela, Manuel</t>
  </si>
  <si>
    <t>Manuel Vela</t>
  </si>
  <si>
    <t>1211 tal de tabacos del Reyno de GóatemaU á D. Manuel Vela: la de Oficial tercero de la misma á D. Manuel María Barberena: el empleo de Teniente de Ministros principales de Comayagua, en lá Caxa de rescates de TeguL cigalpa, a D. Joseph M</t>
  </si>
  <si>
    <t>Velarde y Amarilla, Bernardo Manuel</t>
  </si>
  <si>
    <t>Bernardo Manuel Velarde y Amarilla</t>
  </si>
  <si>
    <t>ctoral de la Catedral de Avila ; y para una Canongía cardenalicia de la Santa Iglesia de Santiago á Don Bernardo Manuel Velarde y Amarilla., El Rey se ha servido conceder al presbítero D. Fernando López Ca' maño la gracia de Capellán honorario de los buques correos, con Jos mismos fueros y privilegios que gozan los a</t>
  </si>
  <si>
    <t>Velarde, Joseph</t>
  </si>
  <si>
    <t>Joseph Velarde</t>
  </si>
  <si>
    <t>Isidoro García de Montejo, Cadetes del de Extremadura, Voluntarios de Castilla, Príncipe j Granada: D. Joseph Velarde, segundo Subteniente del primer batallón do infantería ligera de Cataluña: D. Francisco Scrrallach y D. Joseph Castellar, primer Subteniente y Cadete del primero de Barcelona : D.</t>
  </si>
  <si>
    <t>Velasco, Diego</t>
  </si>
  <si>
    <t>Diego Velasco</t>
  </si>
  <si>
    <t>l pago de Pozuela , del patronato de Misión , renta 400 rs___ Otra en la vega Fndibia, patronato de D. Diego Velasco, renta 220 rs___ Un cortijo en el sitio de Olvidada, arrendado en 220 rs. y 18 fanegas de trigo. __ Una en la Vega , renta 140 rs., ambas del patronato de Catalina Vera Moreno.__</t>
  </si>
  <si>
    <t>Velazquez, Vicente</t>
  </si>
  <si>
    <t>Vicente Velazquez</t>
  </si>
  <si>
    <t>e plata, de las quales se adjudicaron das á D. Romualdo Yañez, y las demas á D. Nicolás de la Riva, D. Vicente Velazquez, D. Benigno Yañez, D. Juan Llanas, D. Gregorio Pan y D. Julián García. AlgcCiras 13 de Agosta, H oy á lafc 6 de la tarde fondeó en esta bahía el bergantín ingles el Alerta, de por</t>
  </si>
  <si>
    <t>Velez Salcedo Palomeque, Pedro</t>
  </si>
  <si>
    <t>Pedro Velez Salcedo Palomeque</t>
  </si>
  <si>
    <t>...... D. Antonio Mariano. En Sevilla........ ...... La Caxa de Descuento. En Toledo............... D. Pedro Velez Salcedo Palomeque. Y finalmente desde este dia dará principio la venta de billetes en esta Co rte en los parages siguientes. En la puerta de Guadalaxara, en casa de la Viuda de Sojo. En la del Sol</t>
  </si>
  <si>
    <t>Venancio de Velaunde, Pedro</t>
  </si>
  <si>
    <t>Pedro Venancio de Velaunde</t>
  </si>
  <si>
    <t>Caxa de Descuento. En Bilbao............... D. Agustín Antonio de Lequerica. En Cuenca............. D. Pedro Venancio de Velaunde. En Mallorca......... D. Antonio Marcel. En Murcia............. D. Baltasar Visto. En Pamplona........ La Caxa de Descuento. En S. Sebastian... D. Miguel Juan de Barcaízteguí. En</t>
  </si>
  <si>
    <t>Venancio Fernández de Zurita</t>
  </si>
  <si>
    <t>y la qual , y por auto del Sr. Alcalde de la Real casa y corte D. Domingo Antonio de Miranda, ante D. Venancio Fernandez de Zurita, escribano que fue de pro~ vi ocia, se mandó sacará subasta, y se suspendió su remate á instancia de los hijos menores de Manuel y- Miguel del Valle, y últimamente se ha mandado p</t>
  </si>
  <si>
    <t>Venancio García Morcillo</t>
  </si>
  <si>
    <t>Búrgos: para la que se halla vacante en la misma iglesia, por fallecimiento de D. Vicente Moure, á D. Venancio García Morcillo, Capellán que ha sido también de regimiento ; y para la que resulta igualmente vacante en dicha iglesia por promoción de D. Juan Joseph Aldama á una Canongia de Córdoba, á Don Jay</t>
  </si>
  <si>
    <t>Verais, Francisco</t>
  </si>
  <si>
    <t>Francisco Verais</t>
  </si>
  <si>
    <t>n el Real cuerpo de Artillería se há servido el Rey promover á Te•ñientes Coroneles á los Capitanes D. Francisco Verais y D. Manuel Clairac, este último graduado de Teniente Coronel. Desde 1 5 del presente mes de Agosto hasta 30 de Setiembre se admitirán para su renovación y pago de intereses los vales</t>
  </si>
  <si>
    <t>Vercker, Coronel</t>
  </si>
  <si>
    <t>Coronel Vercker</t>
  </si>
  <si>
    <t>de Down. Pidió luego eí Lord Castlereagh que tratase la Cámara sobre dicha unión. Opúsose á ello el Coronel Vercker diciendo que extrañaba mucho que los Ministros tuviesen bastante osadía para persistir en una resolución, que conseguida, producirá la ruina de Irlanda: añadió que conocía los med</t>
  </si>
  <si>
    <t>necesidad de diferir el examen del punto que se trataba. Procedióse á votar sobre la propuesta del Coronel Vercker, y se desechó por 157 vocales contra 110. En fuerza de esto se pasó á tratar de la unión, y hubo unos debates, reñidísimos, Londres 2 de Febrero. A caba de subirse otra vez el pre</t>
  </si>
  <si>
    <t>Verdejo González, Francisco</t>
  </si>
  <si>
    <t>Francisco Verdejo González</t>
  </si>
  <si>
    <t>ie P¿á, y en Tarragona en la de PapeM. Arte de medir tierras y. aforar ios líquidos y sólidos: por D. Francisco Verdejo González, catedrático de matemáticas de los Reales estudios de esta corte. Ésta obra contiene todas las partes de aritmética y geometría indispensables á un buce agrimensor: las ordenanzas</t>
  </si>
  <si>
    <t>Verdejo, Francisco</t>
  </si>
  <si>
    <t>Francisco Verdejo</t>
  </si>
  <si>
    <t>eal sociedad económica de esta corte, noticiosa de que la nráquina de moler aceytuna, inventada por D. Francisco Verdejo, que se publicó en fina de las gazetas del mes de Julio de 1798, no ha producido para con los particulares del reyno que la han construido aquellos efectos ventajosos qúé’Sü autor</t>
  </si>
  <si>
    <t>Verdes, Manuel</t>
  </si>
  <si>
    <t>Manuel Verdes</t>
  </si>
  <si>
    <t>rique; la Tenencia de granaderos al de fusileros D. Bernardo Muros; la de fusileros al Subteniente D. Manuel Verdes, y Subtenencias de bandera á los Cadetes D. Juan Miguel de la Romana y D. Manuel Aldao. En el cuerpo veterano de infantería de Cumaná compañía al Ayudante mayor D. Francisco de Su</t>
  </si>
  <si>
    <t>Verdier, General</t>
  </si>
  <si>
    <t>General Verdier</t>
  </si>
  <si>
    <t>El resto del exercito de mi mando se hallaba repartido del modo siguiente: 1® hombres, al mando del General Verdier, estaban destinados para formar la guarnición</t>
  </si>
  <si>
    <t>Verea, Andrés</t>
  </si>
  <si>
    <t>Andrés Verea</t>
  </si>
  <si>
    <t>stín Vallanccur; á primer Subteniente al segundo D. Juan Guerrero,y a segundo Subteniente al Cadete D. Andrés Verea : en el de la Corona á primer Teniente al segundo de granaderos D. Joseph Balaguer; á segundo Teniente de granaderos al de fusileros D. Baltasar Andrade; á segundo Teniente al Sub</t>
  </si>
  <si>
    <t>Veremundo Ramírez de Arellano</t>
  </si>
  <si>
    <t>l de Santiago á Comandante de esquadron al de esta clase agregado al de España,graduado de Coronel, D. Veremundo Ramírez de Arellano; y en el de Dragones de Numancia á Teniente al Alférez de granaderos D. Joseph Moneada, También se ha servido S. M. promover á Ingenieros ordinarios de sus exércitos, plazas y fro</t>
  </si>
  <si>
    <t>Vergara, Antonio</t>
  </si>
  <si>
    <t>Antonio Vergara</t>
  </si>
  <si>
    <t>. Se ha perdido un vale Real de i$o pesos , creación de Setiembre , con dos solos endosos, el i.° á D. Antonio Vergara, y el 2° de este á favor de Dolía Catalina Perez Noriega. Quien le hubiere hallado le entregará á la misma Doña Catalina , que vive en la calle, de las Huertas, núm.. 10,. quarto</t>
  </si>
  <si>
    <t>Vergosa y Jordán, Antonio</t>
  </si>
  <si>
    <t>Antonio Vergosa y Jordán</t>
  </si>
  <si>
    <t>tonio Viiarro/g. En América. El Rey se ha servido nombrar-para el Obispado de Antequera de Oaxaca á D. Antonio Vergosa y Jordán ; y para el del Nuevo Rey no de León á D. Primo Feliciano Marín. También ha nombrado S. M. para la Canongü Magistral de la catedral de Antequera á D. Francisco de Borja Toranzo ,</t>
  </si>
  <si>
    <t>Verninac</t>
  </si>
  <si>
    <t>l General Desolles. Y} León 28 de Setiembre, A or decreto del dia 22 destinó el ciud. Verninac, Prefecto de este dejartamento, á la construcción de un muelle sumamente útil á esta ciudad, Íos caudales señalados para la fiesta del 23 de Setiembre, como ta</t>
  </si>
  <si>
    <t>Verret, Luis</t>
  </si>
  <si>
    <t>Luis Verret</t>
  </si>
  <si>
    <t>uis; primera Tenencia al segundo Teniente D. Alexandro la Branche ; segunda Tenencia al Subteniente D. Luis Verret, y Subtenencias á los Cadetes D. Miguel Andry y D. Lorenzo Sigqr: ' El Rey se ha dignado conferir el empleo de Contador Ordenador del tribunal uvyor.de Cuentas de Sta. Fe á D. Car</t>
  </si>
  <si>
    <t>Vervieux, Coronel</t>
  </si>
  <si>
    <t>Coronel Vervieux</t>
  </si>
  <si>
    <t>ajuste.. Esta mañana se presentaron delante de esta ciudad 200 cazadores franceses mandados por el Coronel Vervieux. Varios oficiales y 24 soldados entraron, en ella, y el resto, del destacamento ocupo las puercas, juntamente con las milicias urbanas. Se esperan otros 1400 franceses, de los qua</t>
  </si>
  <si>
    <t>Veyán, Luis</t>
  </si>
  <si>
    <t>Luis Veyán</t>
  </si>
  <si>
    <t>llo. El Rey se ha servido promover á Ayudantes de Ingenieros de sus cxércitos, plazas y fronteras á D. Luis Veyán y D. Juan Azpiroz, segundo Teniente y primer Subteniente del regimiento de infantería de Mallorca: D. Luís Laviña, -segundo Teniente del 'de Asturias: D. Manuel Tomé, primer ¡ Subteni</t>
  </si>
  <si>
    <t>Veza, Joseph María</t>
  </si>
  <si>
    <t>Joseph María Veza</t>
  </si>
  <si>
    <t>niente de granaderos al primer Subteniente D. Sebastian ‘Garcini, y á primer Subteniente al segundo D. Joseph María Veza: en. el •_ primer batallón de Voluntarios de Aragón á Capitán segundo al primer Tc.niente , graduado de Capitán, D. Francisco Vázquez; á primer Teniente al segundo D. Francisco Co</t>
  </si>
  <si>
    <t>Vial y Cardigondi, Joseph</t>
  </si>
  <si>
    <t>Joseph Vial y Cardigondi</t>
  </si>
  <si>
    <t>ancisco González de la Riva y Vivanco,D. Joseph de Letona y Betéluri, D. Antonio Riquehne y Corral, D. Joseph Vial y Cardigondi, D. Juan Ordoñez y Martínez, D. Pedro de Varo Franco y Areco, D. Manuel Ponce de León y Torres, D. Joseph de Tiscar y Pedrosa, D. Saturnino Aguado y Payan, D. Joseph Bayo y García</t>
  </si>
  <si>
    <t>Vianguet, Antonio</t>
  </si>
  <si>
    <t>Antonio Vianguet</t>
  </si>
  <si>
    <t>eniente de granaderos al de fusileros D. Sebastian Planchón;á Teniente al Subteniente de granaderos D. Antonio Vianguet; á Subteniente de granaderos al de fusileros D. Francisco Bruno Muñoz , y i Subteniente de bandera al Cadete D. Pedro Nolasco Grimau: en el de México á Teniente Coronel al agregad</t>
  </si>
  <si>
    <t>Vibénte'Fernández Reguera</t>
  </si>
  <si>
    <t>de i o dé Abril, núm 450,400,“y otro de, 150 pesos , de 1 5 de Marzo, núm. *34,* ¿3 i renovados por D. Vibénte'Fernandez Reguera, de la Corufia , en la te** sorería de exé-reito de Galicia-y y endosados por este á D. Antonio Trelles Oso—rro , los quáles echó de menos Ramón. González que los llevaba desde la</t>
  </si>
  <si>
    <t>Vicario, Andrés</t>
  </si>
  <si>
    <t>Andrés Vicario</t>
  </si>
  <si>
    <t>Teniente miliciano de granaderos del regimiento de infantería provincial de Puebla al de fusileros D. Andrés Vicario; y á Teniente deí regimiento de infantería pro?■vinCjiai de Celaya á D. Francisco Diez, Barroso, Subteniente deí mismo cuerpo, &gt; Asimismo se ha dignado S. M. nombrar para el emple</t>
  </si>
  <si>
    <t>Vico, Manuel</t>
  </si>
  <si>
    <t>Manuel Vico</t>
  </si>
  <si>
    <t>Subteniente graduado de Teniente* D. Joseph Antonio Cabezón; á primeros Subtenientes á los segundos Don Manuel Vico, D. Joseph de Miranda, D. Manuel Aroche y D. Estéban Aymerich , y á segundos Subtenientes a los Cadetes D. Agustín Ximene? de Lasarte y D. Joseph Bermudez de Castro, y al Sargento</t>
  </si>
  <si>
    <t>Víctor de Rohan, General</t>
  </si>
  <si>
    <t>General Víctor de Rohan</t>
  </si>
  <si>
    <t>otros puntos j y de varias partes acuden al Valais muchas tropas. Un cuerpo austríaco, al mando del General Víctor de Rohan, se ha acercado á los franceses para observar su» movimientos. En el Consejo executivo se está tratando de si bastarán 4 Ministros para el despacho de los negocios públicos, en lu</t>
  </si>
  <si>
    <t>Víctor de ValIejo, Juan</t>
  </si>
  <si>
    <t>Juan Víctor de ValIejo</t>
  </si>
  <si>
    <t>ido nombrar para la Abadía de la iglesia de S. Isidro ei Real de León, vacante por fallecimiento de D. Juan Víctor de ValIejo¿ á D. Francisco Antonio Antónimo de Barreda Yebra, Canónigo profeso, Dignidad de Prior de aquélla Réál casa y Canónigo Tesorero de su iglesia: para la Média-Racion dé la catedral</t>
  </si>
  <si>
    <t>Víctor Urbina y Aniz</t>
  </si>
  <si>
    <t>edo y Gómez de la Torre, D. Joseph de Mazarredo y Gómez de la Torre, D. Sebastian de Heres y Canel, D. Víctor Urbina y Aniz, D. Antonio Salazar y Allendelagua, Don Francisco Salazar y Allendelagua y D. Vicente de Arizaga y Vázquez. En 2.a fecha. D. Horacio Publicóla y Santa Croce , D. Juan de Vera y Sa</t>
  </si>
  <si>
    <t>Víctor, General</t>
  </si>
  <si>
    <t>General Víctor</t>
  </si>
  <si>
    <t>ciones, y retirádose hácia Plasencia. Lá media brigada núm. 28 se cubrió de gloria.__ El cuerpo del General Víctor, la caballería, y las divisiones de Monnier y Gardanne están ahora mismo pasando el Po. La mayor parte del exército francés se reunirá en. los puestos de Stradella. Ya no le queda</t>
  </si>
  <si>
    <t>es para que saliese de los puestos de Broni, y atacase á Jos enemigos ¿ñ donde los encontrase, y al General Víctor para que le sostuviese coft su cuerpo. El General Watrin encontró los primeros puestos enemigos en San Ghineto. Las principales fuerzas austríacas ocupatym á Casteggio y lafc altu</t>
  </si>
  <si>
    <t>ucesivamente. Jamas ha habido una acción mas porfiada que esta. M cuerpo de reserva, mandado por el General Víctor, tuvo orden de apoyar la vanguardia; y una media brigada con un batallón de 500 hombres , mandado por el ciud. Delpech , acudió por la derecha, mientras que el General Herbin con</t>
  </si>
  <si>
    <t>todas sus fuerzas dieron á conocer sus proyectos. Al instante se pusieron én batalla las tropas del General Víctor: parté de ellas formaba el centro y ocupaba la aldea de Marengo; las demas componían el ala izquierda extendiéndose, hasta el: Bormida, y el cuerpo del General Lannes se colocó en</t>
  </si>
  <si>
    <t>a alauuas partes empezó 4 ceder ; pero re- co,ir do ^ecidos refherLs condnuó en breve su marcha. El General Víctor° destinó 3 medias brigadas para defender 4 Marengo. M.entras «vecutaban estos movimientos , la brigada del General Kellerman b ec una izouierda. El regimiento deq cabaLría enlmiga</t>
  </si>
  <si>
    <t>es le echaron sus propias tropas de noche* Las divisiones de Gardanne y Chamberlac, mandadas por el General Víctor, se habían colocado- el 13 delante de Marengo. El cuerpo de nuestro General, compuesto de varias brigadas y una división, se* dirigió por derecha á la misma altura;, y la caballer</t>
  </si>
  <si>
    <t>están en el campamento de Eindhowen. Dícese que el mando de las que quedan en Holanda recaerá en el General Víctor. JBasilea 8 de Julio. P ara reforzar el exército del Rhin pasan muchas tropas francesas por San Gall y Constanza. También han recibido refuerzos los cuerpos republicanos que se ha</t>
  </si>
  <si>
    <t>e quien, comunicó por extraordinario esta noticia al Directorio. Antes de ayer mañana llegó aquí el General Víctor, que por ausencia del General Augereau mandará las tropas-francesas en. esta República.. -y-, Basilea 4 de Agosto. El General Lecourbe ha sentado su quartel en Kempten.__Se ha hec</t>
  </si>
  <si>
    <t>fondos públicos. Ayer tuvo el Directorio executivo una junta extraordinaria, ¿ la que asistieron el General Víctor y el Ministro de Guerra. El Cuerpo legislativo concedió en la sesión de ayer facultad al Directorio para emplear una suma de 40® florines en la Compostura de uno de los diques de Zela</t>
  </si>
  <si>
    <t>Victoria</t>
  </si>
  <si>
    <t>nuela Medina, Doña Ignacía Soto y Conde, Francisco del Riego , Lorenza Medina, y otras : vive dicha Doña Victoria plazuela de S. Ildefonso,núm. 13 , quarto principal; y cura á los pobres de limosna. Discursos de S. Bernardo sobre el Cántico de los Cánticos, que son el mas excelente modelo de</t>
  </si>
  <si>
    <t>Victoria de Félix</t>
  </si>
  <si>
    <t>María Bernarda de Quirós , tasada en 98,860 rs. , y dan por ella la misma cantidad en vales Reales. Doña Victoria de Félix, oculista en esta corte , continúa en la curación de las enfermedades de los ojos : y ha conseguido dar últimamente la vista á muchas personas; entre ellas a algunas que viven en</t>
  </si>
  <si>
    <t>Victorian</t>
  </si>
  <si>
    <t>qué fue de la santa iglesia de Santo Domingo. r Condescendiendo el Rey con las justas instancias de D. Victorian de. VUIava, Fiscal de la Real Audiencia de Charcas, ha venido en concederle jubilación con la mitad del sueldo de su plaza, y ha nombrado para servirla con la otra mitad á D. Miguel</t>
  </si>
  <si>
    <t>Vidal, Domingo</t>
  </si>
  <si>
    <t>Domingo Vidal</t>
  </si>
  <si>
    <t>Capitán. S. M. ha conferido el empleo de Cirujano mayor de la Armada, vacante por fallecimiento de D. Domingo Vidal, que lo obtenía, al Ayudante consultor D. Joseph Sabater. En atención á los méritos y servicios del Sr. D. García Gómez Xara, Oficial mayor segundo/de la Secretaría de Estado, ha</t>
  </si>
  <si>
    <t>Vidal, Jacinto</t>
  </si>
  <si>
    <t>Jacinto Vidal</t>
  </si>
  <si>
    <t>egimiento idetn................................................ 72. 21. Otro... Jacinto Vidal, hijo de Joseph y Francisca, natural de Sellént, Corregimiento de Manresa............................... 85. 19. Joseph Moret, hijo de Francisco y Teresa, natural de País, Corregimiento</t>
  </si>
  <si>
    <t>Vidal, Miguel</t>
  </si>
  <si>
    <t>Miguel Vidal</t>
  </si>
  <si>
    <t>de la Real casa general de Expósitos de aquella, isla 5 7 para‘ ™ Beneficio de la misma catedral á D. Miguel Vidal, en atención al 2eío con que dichos dos Presbíteros han servido en el referido Real estableci^En’el regimiento de Reales Guardias Españolas se ha servido el Rey «romover á primer</t>
  </si>
  <si>
    <t>Vidal, Pedro Benito</t>
  </si>
  <si>
    <t>Pedro Benito Vidal</t>
  </si>
  <si>
    <t>territorio de la Orden de Alcántara, de primera clase, á D. Vicente Tormo y Vidal, debiendo decir á D. Pedro Benito Vidal. La Tenencia de cazadores del provincial de Alicante y Orihuela, que se dixo en la gazeta del martes 14, provista en D. Juan de Aguilar, debe decir en D. Sebastian Barceló. Real c</t>
  </si>
  <si>
    <t>Vidaurre, Pedro</t>
  </si>
  <si>
    <t>Pedro Vidaurre</t>
  </si>
  <si>
    <t>de Pavía, á los Sargentos primeros de Sagunto y Villaviciosa D. Pedro Campo y D. Millan Bustos, y á D. Pedro Vidaurre, Teniente de las milicias del antiguo pie de dicho Reyno. Asimismo ha conferido S. M. la Comandancia del batallón de milicias de pardos de Caracas á Don Lorenzo Ros, Capitán agreg</t>
  </si>
  <si>
    <t>Viente JVlaría de Tercilia</t>
  </si>
  <si>
    <t>e su obra. Se hallará tracLicidr* é ilustrada con notas según el Derecho Real de España por el Lie. D. Viente JVlaría de Tercilia , Abogado de los Reales Consejos &amp;c. , en las librerías des Msi'eo, carrera de S. Gerónimo, y de Castillo ¿frente á las gradas de S. Feii|»*j3 á 11 rs. en rustica , 12 en pergamin</t>
  </si>
  <si>
    <t>Viérgol, Luis</t>
  </si>
  <si>
    <t>Luis Viérgol</t>
  </si>
  <si>
    <t>D. Joseph Fita, destinados en calidad de Secretario y agregado á la Legación de Constantinopla : á D. Luis Viérgol, Secretario nombrado del ministerio de Iqs Estados-Unidos de América; y á D. Francisco Xavier de Eléxaga, Secretario de la Legación ai Sumo Pontífice. En América. El Rey se ha ser</t>
  </si>
  <si>
    <t>Viesca, María</t>
  </si>
  <si>
    <t>María Viesca</t>
  </si>
  <si>
    <t>. . &gt; Intendencia de Aragón. Zaragoza : una casa en la calle de Rufas, pertenecien— te al legado de Doña María Viesca , tasada en 58,310 rs. ao mrs. Otra calle de jos Botoneros, á la execucion de Doña Catalina. Ruimon, en 1*5,410. Otra cal!* de Villalobos, á id. de D.Joseph López la Pata, en,51,0</t>
  </si>
  <si>
    <t>Vignoile, General</t>
  </si>
  <si>
    <t>General Vignoile</t>
  </si>
  <si>
    <t>án _p de Junio. P ara comandante de la división francesa en la Rúpublica cisalpina está nombrado el General Vignoile, que ha sido Ministro de Guerra de esta</t>
  </si>
  <si>
    <t>VII, Papa</t>
  </si>
  <si>
    <t>Papa VII</t>
  </si>
  <si>
    <t>el importe del tomo $.° á la librería de Baylo, calle de las Carretas. Homilía de Ntro. SS. P. Pió Papa VII, Gregorio Bernabé Chiaramonti, Se hallará en la librería de Claros , calle del Arenal. Carta de un hijo á su madre sobre su conversión y profes ten en el monasterio de la Trapa, e</t>
  </si>
  <si>
    <t>Viiarro, Antonio</t>
  </si>
  <si>
    <t>Antonio Viiarro</t>
  </si>
  <si>
    <t>elasco y Rueda: y en el de Castellón de la Plana Tenencia de fusileros al Subteniente de granaderos D. Antonio Viiarro/g. En América. El Rey se ha servido nombrar-para el Obispado de Antequera de Oaxaca á D. Antonio Vergosa y Jordán ; y para el del Nuevo Rey no de León á D. Primo Feliciano Marín.</t>
  </si>
  <si>
    <t>Viilamil, Bernardo</t>
  </si>
  <si>
    <t>Bernardo Viilamil</t>
  </si>
  <si>
    <t>de la segunda compañía volante de caballería de la Colonia del Nuevo Santander ; y esta Compañía á D. Bernardo Viilamil, Teniente Veterano del regimiento provincial de Toluca. También ha promovido en el referido regimiento de dragones á Tenientes á los Alféreces D. Joseph Herrera y D. Joseph Angel</t>
  </si>
  <si>
    <t>Viilanueva y Pacheco, Manuel</t>
  </si>
  <si>
    <t>Manuel Viilanueva y Pacheco</t>
  </si>
  <si>
    <t>Madrid: para la Dignidad de Tesorero y Canongía de la catedral de Plasencia, vacante por muerte de D. Manuel Viilanueva y Pacheco, á D. Tomas de Laguna: para la Canongía de la metropolitana de Sevilla , vacante por fallecimiento de D. Gabriel González Torres de Navarra, á D. Joseph Benito de Barcena : para e</t>
  </si>
  <si>
    <t>Viilot-Freville</t>
  </si>
  <si>
    <t>ía. El Senado conservador ha nombrado para una plaza vacante en el Tribunado al ciud. Viilot-Freville, Secretario que ha sido de la embaxada de Francia en España. Ha conseguido el gobierno francés superar los obstáculos que la suspensión de comunicación con el</t>
  </si>
  <si>
    <t>Vila y Compañía, Joseph</t>
  </si>
  <si>
    <t>Joseph Vila y Compañía</t>
  </si>
  <si>
    <t>Se ha perdido un vale de 300 pesos, de 10 de Abrii, núm. 488,433 , que en 43 de Agosto remitieron á D. Joseph Vila y Compañía , de Barcelona , los Sres. Camps y Casadevall, de Málaga. Quien lo tuviere lo dirigirá á qualquiera de dichos sugetos. El 9 de Octubre sé remitieron por D. Juan Bautista de Meave,</t>
  </si>
  <si>
    <t>Vila, Joseph</t>
  </si>
  <si>
    <t>Joseph Vila</t>
  </si>
  <si>
    <t>ural de Ceros, Corregimiento de Lérida............... .................. $9. 6. Joseph Vila, hijo de otro y Rosa , natural de Bellpuig, Corregimiento de Lérida....... ................. ........... ...... .. 54. 30. Salvador Pujol, hijo de Joseph y Florentina , natural de Reus</t>
  </si>
  <si>
    <t>Vilb, Joseph</t>
  </si>
  <si>
    <t>Joseph Vilb</t>
  </si>
  <si>
    <t>taduría á D. Joseph Rodríguez Varas: primero y segundo Tercenistas de tabaco en la propia capital á D. Joseph Vilb.mil y D. Fernando Alvarez Godoy: Guardas de las factorías de la misma renta en Puebla, Oaxaca, Guadalaxara y Vera-Cruz á D. Joseph Moran, D. Joseph Tomas de Acosta, D. Teodoro de</t>
  </si>
  <si>
    <t>Villa, Francisco</t>
  </si>
  <si>
    <t>Francisco Villa</t>
  </si>
  <si>
    <t>élebres descubrimientos modernos : compuesto para uso de los Reales colegios por IX Diego Velasco y D. Francisco Villa verde : añadido en esta quarta impresión un tratado sobre los partos y varios descubrimientos. Se hallará en las librerías de ésta corte á 20 .rs. en pergamino y 24 en pasta. Fábu</t>
  </si>
  <si>
    <t>irugía de Barcelona. Noticias judiciales y avisos militares útiles á varias Clases de personas: por D. Francisco ViUa&lt;demúr.= Escuela de Príncipes y Caballeras sobre gepgrafía y retorica: por el P. Fr. Alonso Manrique. Avisos sobre el modo de recetar. Contienen las reglas para que los facultativo</t>
  </si>
  <si>
    <t>Villaba, Ambrosio</t>
  </si>
  <si>
    <t>Ambrosio Villaba</t>
  </si>
  <si>
    <t>. Andrés Treiles; á Subtenientes de granaderos á los primeros Subtenientes D. Mariano de las Penas, D. Ambrosio Villaba y D. Manuel López; :t primeros Subtenientes á Jos segundos D. Joseph de Miranda, D. Mariano Villanova, D. Christóbal Estévez, D. Vicente Cabrera y D. Ignacio Cavero; y á segundos Subt</t>
  </si>
  <si>
    <t>Villafañe, Diego</t>
  </si>
  <si>
    <t>Diego Villafañe</t>
  </si>
  <si>
    <t>a concedido S. M. plaza de Alcalde del Crimen de la Chanciilería de Granada, vacante por ascenso de D. Diego Villafañe á Oidor de número de ella, á D. Francisco de León Ferrandiz Bendicho; y para la plaza de Ministro de la Audiencia de Canarias, vacante por renuncia que ha hecho de ella D. Andrés</t>
  </si>
  <si>
    <t>Villafranca, Antonio</t>
  </si>
  <si>
    <t>Antonio Villafranca</t>
  </si>
  <si>
    <t>el de Córdoba á primer Subteniente al segundo D. Lorenzo Cervera; y á segundo Subteniente al Cadete D. Antonio Villafranca : en el de Sevilla á segundo Subteniente al Cadete D. Carlos Montero: en el de Granada á segundo Subteniente al Sargento primero de granaderos D. Lúeas Briz;y ha conferido también</t>
  </si>
  <si>
    <t>Villagómez, Diego</t>
  </si>
  <si>
    <t>Diego Villagómez</t>
  </si>
  <si>
    <t>do el Asia, de 64 cañoneé, al mandó ée D. Francisco Montes, la fragata Anlitrite de 44, mandada por D. DieVillagomez, y la corbeta Galgo, Capitán D. Joseph de Arias. Estas fuerzas navales man de Sto. Domingo á la Havana quando encontraron á dichos convoyes. ^ Ha publicado este gobierno una orden</t>
  </si>
  <si>
    <t>Villalba, Manuel (capitán)</t>
  </si>
  <si>
    <t>Capitán Manuel Villalba</t>
  </si>
  <si>
    <t>de á 24 y dos de á 6, con la tripulación de 43 hombres. Esta acción es de las mas brillantes, y el Capitán Manuel Villalba alaba la intrepidez y desprecio de la vida con que en general se han portado los oficiales y tripulación en la defensa que durante horas de este reñido combate hizo el enemigo, el</t>
  </si>
  <si>
    <t>Villalobos, Felipe</t>
  </si>
  <si>
    <t>Felipe Villalobos</t>
  </si>
  <si>
    <t>Cadete D. Josepn Saenz de Juano: en el de Mallorca á segundo Teniente al Subteniente de granaderos D. Felipe Villalobos; y á primer Subteniente al segundo D. Joseph Blanco: en el de Murcia á Capitán de granaderos al de fusileros graduado de Coronel Don Luis de Noaylles: en el de Irlanda á segundos</t>
  </si>
  <si>
    <t>Villalobos, María</t>
  </si>
  <si>
    <t>María Villalobos</t>
  </si>
  <si>
    <t>clente á id., en 43,367 rs. 18 mrs. Otra en la plaza de Santa Marta, perteneciente áia execucion de Doña María Villalobos, en 48,320 rs. Otra en id., pem tenéciente á la execucion de Doña María Francés de - Villalobos, en 45,506. rs. 4 mrs. Otra callé del Clavel, perteneciente á id., en 44,330 rs. 14</t>
  </si>
  <si>
    <t>Villaluenga, Juan Joseph</t>
  </si>
  <si>
    <t>Juan Joseph Villaluenga</t>
  </si>
  <si>
    <t>pectivos empleosEn atención á las justas y graves causas que ha representado 0. Juan Joseph Villaluenga, Ministro togado del supremo Consejo de Indias , ha venido S. M. en concederle la jubilación que ha solicitado, con las dos ter-, ceras partes de sueldo de la dotación de su plaza, en consi</t>
  </si>
  <si>
    <t>Villanueva, Joachín Lorenzo</t>
  </si>
  <si>
    <t>Joachín Lorenzo Villanueva</t>
  </si>
  <si>
    <t>do él mes de Julio próximo. Dominicas , ferias y fiestas movibles del Año Christiano de España: por Don Joachin Lorenzo Villanueva , Capellán de honor y predicador de S. M., y Rector de los Reales hospitales : tomo 5.0 que comprehende desde la dominica 3.a después de Pentecostés hasta la 24 y última. Se halla</t>
  </si>
  <si>
    <t>Villanueva, Joseph</t>
  </si>
  <si>
    <t>Joseph Villanueva</t>
  </si>
  <si>
    <t>ldonado y D. Joseph de la Roca, Subtenientes de granaderos y fusileros; Subtenencia de granaderos á D. Joseph Villanueva, Su bren i en re de fusileros; este empleo al Sargento primero de granaderos D. Juan Marrufo, y el de Subteniente de bandera al Cadete D. Pedro Medina, todos individuos del mismo</t>
  </si>
  <si>
    <t>ta al Teniente de fusileros D. Manuel Gordillo; Tenencia de fusileros al .Subteniente de granaderos D. Joseph Villanueva; ésta resulta al Subteniente de fusileros D. Julián López de Lizaga, y Subtenencia de fusileros á D. Gregorio Pedro Naharro: en el de León Compañía de fusileros al Teniente de gra</t>
  </si>
  <si>
    <t>Villanueva, Joseph Felipe</t>
  </si>
  <si>
    <t>Joseph Felipe Villanueva</t>
  </si>
  <si>
    <t>o D. llamón Castillo: en el provincial de infantería de México á Capitán ral Teniente de granaderos D. Joseph Felipe Villanueva; á Teniente de granaderos al de ftisfieros D. Justo Verdeja; á Teniente al Subteniente de granaderos Don Juan Gómez Parada; á Subteniente de granaderos al de fusileros D. Félix Tr</t>
  </si>
  <si>
    <t>Villanueva, Juan María</t>
  </si>
  <si>
    <t>Juan María Villanueva</t>
  </si>
  <si>
    <t>utor, y después con él y con los sugetos que le abonan para la empresa. El ia dei corriente remitió D. Juan María Villanueva, presbítero, un vale Real de i$o pesos , de *«; de Setiembre , niím. aii,io5 , á D. Pedro Antonio Villanueva , Cura párroco de la Alberca, partido de S. Clemente , con el resguard</t>
  </si>
  <si>
    <t>Villanueva, Pedro Antonio</t>
  </si>
  <si>
    <t>Pedro Antonio Villanueva</t>
  </si>
  <si>
    <t>n María Villanueva, presbítero, un vale Real de i$o pesos , de *«; de Setiembre , niím. aii,io5 , á D. Pedro Antonio Villanueva , Cura párroco de la Alberca, partido de S. Clemente , con el resguardo de intereses caídos , propios de D. Juan Antonio de la Torre, presbítero ,natural de la villa de Honrubia ;</t>
  </si>
  <si>
    <t>Villanueva, Xavier</t>
  </si>
  <si>
    <t>Xavier Villanueva</t>
  </si>
  <si>
    <t>ervido promover en el regimiento de caballería del Rey á Portaestandarte al Sargento de Carabineros D. Xavier Villanueva: en el de la Ré^na á segundo Teniente al Alférez D. Antonio Roca; á Alférez al Portaestandarte D. Paulino Vicente, y á esta resulta al Cadete D. Ramón Calderón de la Barca: en el</t>
  </si>
  <si>
    <t>Villapol, Joseph</t>
  </si>
  <si>
    <t>Joseph Villapol</t>
  </si>
  <si>
    <t>pués en las diferentes sesiones que se siguiéron sin interrupción , fueron examinados en aritmética D. Joseph Villapol, Don Damaso Aldao , D. Agustín Mollon, Cadete de carabineros de María Luisa, D. Andrés Romero, Cadete del regimiento Inmemorial del Rey, y D.Esteban Piñeyro. En álgebra y trigonom</t>
  </si>
  <si>
    <t>Villarejo, Francisco</t>
  </si>
  <si>
    <t>Francisco Villarejo</t>
  </si>
  <si>
    <t>deros al de fusileros D. Diego Antonio Carta; X segundos Tenientes á los Subtenientes de granaderos D. Francisco Villarejo y D. Juan Hernández ; á Subtenientes desgranadlos á Jos primeros Subtenientes D. Alfonso de Casas y D. Joseph Sánchez, graduado de Te</t>
  </si>
  <si>
    <t>Villaroel, Joseph</t>
  </si>
  <si>
    <t>Joseph Villaroel</t>
  </si>
  <si>
    <t>ervidero de la parroquial del lugar de Lomoviejo , en la diócesis de Avila/vacante por promoción de D. Joseph Villaroel al Arcedianato de Luou, á D. Tomas Perez Serracin, con la obligación de precisa y personal residencia para ayudar al Párroco en su ministerio : para otro simple de</t>
  </si>
  <si>
    <t>Villaroig, Antonio</t>
  </si>
  <si>
    <t>Antonio Villaroig</t>
  </si>
  <si>
    <t>nientes de fusileros D. Pascual Cútala y D. Lorenzo Miralles, y las Subtenencias á los Subtenientes D. Antonio Villaroig y D. Joseph del Rio y Gasaba: en el de Oviedo la compañía de cazadores al Capitán D. Fernando de las Alas: en él de Mallorca la compañía de granaderos al Capitán D. Su</t>
  </si>
  <si>
    <t>Villeneuve, Almirante</t>
  </si>
  <si>
    <t>Almirante Villeneuve</t>
  </si>
  <si>
    <t>enviase el dia 4 un parlamentario al comandante ingles, proponiéndole capitulación; y que el Contra-Almirante Villeneuve entrase en ella, á fin de estipular á favor de los marinos las mismas ventajas que se concediesen á la guarnición. De resultas de este acuerdo del consejo de guerra, se firmó ayer d</t>
  </si>
  <si>
    <t>Villers, Juan</t>
  </si>
  <si>
    <t>Juan Villers</t>
  </si>
  <si>
    <t>de fusileros D. Antonio Toledo y D. Antonio Branly; a Tenientes á los Subtenientes D. Antonio Tur, D. Juan Villers, D: Anastasio Castellanos y D. Manuel Rodríguez, los tres primeros de granaderos; á SubtenieBtes.de granaderos á los de fusileros D. Joseph del Rio, D. Joseph Sánchez Griñan y D.</t>
  </si>
  <si>
    <t>Villota, Cipriano</t>
  </si>
  <si>
    <t>Cipriano Villota</t>
  </si>
  <si>
    <t>Media-Ración, que este obtenia, á D. Gregorio Ramírez Caívo. Para la Tesorería de la de Arequipa á D. Cipriano Villota: parada Canongía, que este dexa, al Racionero D. Alexo de Paredes: para esta Ración á D. Francisco Xavier Chinchilla Chiiana y Vilches?: para la Canongía de</t>
  </si>
  <si>
    <t>Vimercati, Juan</t>
  </si>
  <si>
    <t>Juan Vimercati</t>
  </si>
  <si>
    <t>poblado de Buzarabaxo y su anexo Majazul, en el arzobispado de Toledo, vacante por fallecimiento de D. Juan Vimercati , á D. Paulino Magano. En el regimiento de Reales Guardias Españolas se ha servido el Rey promover á primer Teniente al Teniente de Cazadores D. Miguel María de Acedo. En el de in</t>
  </si>
  <si>
    <t>Viñas, Francisco</t>
  </si>
  <si>
    <t>Francisco Viñas</t>
  </si>
  <si>
    <t>ariano Ribas , D. Domingo Tierra, D. Mariano Galindo, D. Antonio.Castañon y D Manuel Gerbela; Marot^D. FranciscoVViñas á segundos Subtenientes , D. Antonio a losy Cadetes Casanoves D. Rafael D, Manuel Cadabid, y al Sargento primero D. Isidro Valverde: y en el de Ñapóles a Ca^ pitan de granaderos a</t>
  </si>
  <si>
    <t>Viñas, Segismundo</t>
  </si>
  <si>
    <t>Segismundo Viñas</t>
  </si>
  <si>
    <t>era: para otra Canonjía de la de Vich, llamada Rectoría de S. Miguel , vacante por fallecimiento de D. Segismundo Viñas , á D. Benito Boada de las Costas: para una Ración de la catedral de Orihuela, vacante por fallecimiento de Don Vicente Ripoll, á D. Felipe de la Bodega: para otra de la de Santan</t>
  </si>
  <si>
    <t>Vincenti, Juan Pedro</t>
  </si>
  <si>
    <t>Juan Pedro Vincenti</t>
  </si>
  <si>
    <t>orte; D. Manuel García Herreros, Procurador general de los Reynos; y los tres Directores de la Caxa D. Juan Pedro Vincenti, D. Luis Fernandez Gonzalo del Rio, Caballero de la distinguida Orden de Carlos III, y D. Manuel de Sampelayo* Las personas que quisieren interesarse en esta rifa acudirán á recog</t>
  </si>
  <si>
    <t>Vinuesa, Carlos</t>
  </si>
  <si>
    <t>Carlos Vinuesa</t>
  </si>
  <si>
    <t>D. Clemente Lanza, D. Atanasio Revuelta y D. Julián Zurita; á primeros Subtenientes á los segundos D. Carlos Vinuesa, D. Juan Luzuriaga, L&gt;. Casimiro Bastarrachea , D. Fernando Aívarez , D. Joseph Campo y D. Agustín Otermin, y á segundos Subtenientes al Sargento primero de granaderos D. Gavino M</t>
  </si>
  <si>
    <t>Virabbe</t>
  </si>
  <si>
    <t>comandante ingles avisó al dinamarqués que despachaba una lancha para visitar el convoy: respondió Mr. Virabbe que haría fuego al que lo intentase. En efecto, habiéndose acercado la lancha con 4 hombres y un-Guardia marina, la fragata tiró algunos cañonazos, y una bala que llegó á la Nemes</t>
  </si>
  <si>
    <t>Virabbe, Capitán</t>
  </si>
  <si>
    <t>Capitán Virabbe</t>
  </si>
  <si>
    <t>e, Arrow y Nilo encontraron el dia 23 a Ja altura de Ostende á una dinamarquesa nombrada Ja Branda, Capitán Virabbe, de 38 cañones, que llevaba baxo su escolta varias naves mercantes de su nación. El comandante ingles avisó al dinamarqués que despachaba una lancha para visitar el convoy: respon</t>
  </si>
  <si>
    <t>Virgínea Arnó</t>
  </si>
  <si>
    <t>ntísimo Christo de la Humildad; una casa en la calle de la Xabonería, tasada en 1100 rs. Memoria de Doña Virgínea Arnó: una viña en el Pontifical, con 1180 cepas, tasada en 7080 rs. Vínculo de Benito Fabruchi:: una tierra en Fuentidueña, de 3 fanegas, tasada en 360 rs. Otra en la huerta de Zaparra</t>
  </si>
  <si>
    <t>Virizuela, Manuel</t>
  </si>
  <si>
    <t>Manuel Virizuela</t>
  </si>
  <si>
    <t>o Fernandez, y á segundos Subtenientes al Sargento primero de granaderos , graduado de Subteniente, D. Manuel Virizuela y al Cadete D. Joachín Ortiz dé Zarate: en el de la Princesa á primer Teniente al segundo de granaderos IX Francisco Raduan; á segundo Teniente de granaderos al de fusileros D. Fran</t>
  </si>
  <si>
    <t>Viruega, Vicente</t>
  </si>
  <si>
    <t>Vicente Viruega</t>
  </si>
  <si>
    <t>ientes de ia compañía de infantería fixa de Nejar en la costa de Granada al Subteniente de la misma D. Vicente Viruega, y al de ia de Almería D. Antonio Rendon. En el Real cuerpo de Artillería se há servido el Rey promover á Te•ñientes Coroneles á los Capitanes D. Francisco Verais y D. Manuel Clai</t>
  </si>
  <si>
    <t>Virues, Ramón</t>
  </si>
  <si>
    <t>Ramón Virues</t>
  </si>
  <si>
    <t>igo; á primer Teniente al segundo Don Mariano Senespleda; á segundo Teniente’ al primer Subteniente D. Ramón Virues; á primer Subteniente al seguido D&gt; Joscph Virues, ¡ y á segundo Subteniente^ D* Pedro Calva*,. Cadete. del batallón de Voluntarios de Tarragona. .f 'H..- i:*; V: . .. 'Én eTregim</t>
  </si>
  <si>
    <t>Vithworth Habrá, Lord</t>
  </si>
  <si>
    <t>Lord Vithworth Habrá</t>
  </si>
  <si>
    <t>al fin con el Capitán Popham, y no han tardado mas que 13 dias en su navegación. El Ministro ingles Lord Vithworth Habrá salido también de allí á principios de este mes para restituirse á Inglaterra. Paulo I está todavía tan descontento y enojado contra este ministerio , que no ha querido dar audien</t>
  </si>
  <si>
    <t>Vithworth, Lord</t>
  </si>
  <si>
    <t>Lord Vithworth</t>
  </si>
  <si>
    <t>inete correos á la corte de Viena». y á su Embaxador en ella. Ha recibido el ministerio pliegos del Lord Vithworth: avisa que se ha restituido de Stockolmo á Copenhague; y que consiguió de la corte de Suecia una respuesta satisfactoria sobre los motivos de los armamentos que disponía aquel Sob</t>
  </si>
  <si>
    <t>Vitorica, Antonio María</t>
  </si>
  <si>
    <t>Antonio María Vitorica</t>
  </si>
  <si>
    <t>inguirlos con los honores de Intendente de Provincia; é igualmente con los de Comisario ordenador á D. Antonio María Vitorica, Administrador de todas Rentas en Santander; con los de Contador de exército á í). Manuel Mazon Correa, Comandante del resguardo del cordon del Ebro, y con los de Tesorero de exér</t>
  </si>
  <si>
    <t>Viüaroeí, Joseph</t>
  </si>
  <si>
    <t>Joseph Viüaroeí</t>
  </si>
  <si>
    <t>antiago, que resultan vacantes por la promoción del Sr. D. Pedro Luis Blanco al Obispado de León, á D. Joseph Viüaroeí, Bibliotecario primero de los Reales estudios de Madrid: para el Deanato •de la catedral de Cádiz, vacante por fallecimiento de D. Antonio Guerrero y Aranda, á D. Francisco de Car</t>
  </si>
  <si>
    <t>Vizcaíno, Vicente</t>
  </si>
  <si>
    <t>Vicente Vizcaíno</t>
  </si>
  <si>
    <t>Rey se ha servido nombrar para Ja Regencia del Principado de Asturias, vacante po fallecimiento de D. Vicente Vizcaíno, á D. Andrés Easauca: para la plaza de Oidor de la Audiencia de Aragón, que este obtenía , á D. Pedro María Ric, Alcalde del Crimen de ella ; y para esta resulta á D. Juan Garrido</t>
  </si>
  <si>
    <t>Vizconde de Zolina, Coronel</t>
  </si>
  <si>
    <t>Coronel Vizconde de Zolina</t>
  </si>
  <si>
    <t>esquadron de este último y del de carabineros de la Reyna María Luisa: esta Comandancia al Teniente Coronel Vizconde de Zolina, Capitán del citado dé Borbon, y compañía en el de dragones de Numancia al Capitán D-, Manuel Fernandez Salazar, Teniente del mismo cuerpo; y ha nombrado Tejiente en el de Lusitan</t>
  </si>
  <si>
    <t>Voluntarios de España</t>
  </si>
  <si>
    <t>recho. = Juan Montes, soldado que fue del expresado regimiento de caballería de Voluntarios de España, natural de Juldris, corregimiento de Santiago , é hijo de Christóbal y Felipa Vidal, falleció también sin disposición testamentaria en el hospital general de Madrid el 3 de Julio de 1793:</t>
  </si>
  <si>
    <t>VVuckasiowich, General</t>
  </si>
  <si>
    <t>General VVuckasiowich</t>
  </si>
  <si>
    <t>inzona se pusiéron en marcha el dia 21 hácia el monte de S. Gothardo, y el 22 llegaron á Airolo. El General VVuckasiowich, que tenia su quartel en Faydo, debía atacar el 23 á los enemigos en S. Gothardo; y las cartas de Lugano del 25 añaden que los austriacos se hallan dueños de aquel puesto importan</t>
  </si>
  <si>
    <t>VYinter, Almirante</t>
  </si>
  <si>
    <t>Almirante VYinter</t>
  </si>
  <si>
    <t>olrige. La tripulación de este último buque se salvó. Haya 8 de Marzo. A caba de conferirse al Vice-Almirante VYinter el mando de la esquadra bátava. A la altura de la entrada del Mosa cruzan algunas naves inglesas de guerra para impedir la salida de nuestras embarcaciones mercantes. El Directorio</t>
  </si>
  <si>
    <t>Wadeleux</t>
  </si>
  <si>
    <t>ero último hecho con este objeto. Una de estas patentes de honor es á favor del ciud. Wadeleux,Capitan-Ayudante del General Lecourbe,en recompensa de su sobresaliente conducta y gran v dor en la acción que hubo en Hochstet el 59 de. Junio, á cuyo favorab</t>
  </si>
  <si>
    <t>WaesemsJtoy, Príncipe</t>
  </si>
  <si>
    <t>Príncipe WaesemsJtoy</t>
  </si>
  <si>
    <t>de guardias del; Gran Duque Constantino,. Jankowitseh., Be-: sorasw, Leontjew, Samrasow, Sablukow y Príncipe WaesemsJtoy, por tw siguientes faltas: 1.* la caballería pasó del frente del enemigo s tiro de carabina; 2.* atacó al enetnigoy se acético á él ritas de lo que se había m índadost yj hubo muc</t>
  </si>
  <si>
    <t>Wahnoden, General</t>
  </si>
  <si>
    <t>General Wahnoden</t>
  </si>
  <si>
    <t>11 ó 2 f Dé WestphaíU escribéti qué l'as; tropas hanoverianas, mandadas por él General Wahnoden, se han retirado de los contornos de Oldemburgo, en donde estaban campadas en numero de 8® hombres, y van á acantonarse en las fronteras de Hancvefí i - ' El Ministro prusi¿m&gt; Bar</t>
  </si>
  <si>
    <t>Wailhman</t>
  </si>
  <si>
    <t>conseguir los beneficios de la paz. Sin embargo de apoyarle otros individuos, y de haber observado- Mr. Wailhman que la guerra con los Estados-Unidos se concluyó en fuerza de los recursos del Ayuntamiento, se desechó la propuesta de Mr. Hodgson. Algunas gazetas ministeriales aseguran en el d</t>
  </si>
  <si>
    <t>Wan-Cowvel, Capitán</t>
  </si>
  <si>
    <t>Capitán Wan-Cowvel</t>
  </si>
  <si>
    <t>costo 1© libras de dicha moneda. iy - Haya 18 de Octubre. ; J Ir corsario el Moderado, al mando del Capitán Wan-Cowvel, h* apresada y conducido á Elfzyl, el ii de este mes, el cúter de guerra ingles nombrado el Activo, de 14 cañones, mandado por Mr. Juan Hamilton, Teniente de Navio. El corsario te</t>
  </si>
  <si>
    <t>Wanherck, Agustín</t>
  </si>
  <si>
    <t>Agustín Wanherck</t>
  </si>
  <si>
    <t>hin Arizaga; á primer Subteniente al segundo D. Manuel Hernández ;V á segundo Subteniente al Cadete D. Agustín Wanherck : en el de Guacialaxara á segundo Subteniente al Sargento primero D. Mariano Cherta : en el de Aragón á Coronel al Teniente Coronel del de Valencia, graduado de Coronel, D. Joseph</t>
  </si>
  <si>
    <t>Wanherck, Francisco</t>
  </si>
  <si>
    <t>Francisco Wanherck</t>
  </si>
  <si>
    <t>i°5 í Jos de fusileros D. Francisco Olona, D. Francisco Wanherck y D. Felipe Perez; á segundos Tenientes á los Subtenientes de granaderos D. [oseph Castaño y D. Agustín Arizaga, y á los primeros Subtenientes Don Francisco Coronado y D. Justo Montes</t>
  </si>
  <si>
    <t>Washington</t>
  </si>
  <si>
    <t>Mont-Vernon, en Virginia, al cabo de 24 horas de enfermedad, el exGeneral y ex-Presidente Washington. Su secretario íntimo Tobías Lear comunicó este suceso á Mr. Jtiañ Adams, Presidente del Congreso , erf carta del 15, al fin de la cfíial decía: ,*E1 último tr</t>
  </si>
  <si>
    <t>Washington, General</t>
  </si>
  <si>
    <t>General Washington</t>
  </si>
  <si>
    <t>, erf carta del 15, al fin de la cfíial decía: ,*E1 último trance de la vida del grande y virtuoso General Washington fue conforme á todo el curso de sii vida. Ni una queja, ni uii suspiro se le oyó en medio de sus angustias. Con «na resignación entera* y dueño completamente de su razón, concluyó</t>
  </si>
  <si>
    <t>de esta capital, asistieron en Ja capilla de S. Juan á unas exequias que han hecho celebrar por el General Washington. Se ha padecido en Filadelfía un grande incendio, en el qual han quedado destruidas 6 casas en la calle de Sixth , el circo de Rieketn , y el hermoso edificio de Ocllers. Los Ayun</t>
  </si>
  <si>
    <t>10,1 para hablar del General Washington, de quien hizo gran elogio, recordando que también fue tratado de enemigo de su pais, y citó al mismo tiempo como exerr.plo digno de imitarse la conducta del gobierno ameri- cano</t>
  </si>
  <si>
    <t>necesidad. En el templo llamado de la Victoria se ha celebrado hoy una fiesta fúnebre en honra del General Washington. Han decretado los Cónsules que en todos los pueblos cabeza de partido se levante una coluna para eternizar la memoria de los valerosos republicanos de los respectivos departament</t>
  </si>
  <si>
    <t>ha puesto al sueldo de la Gran Bretaña. rüadelfia 30 de Enero. S e ha dado á luz el testamento del General Washington. Dexa á su viuda el usufructo de sus haciendas, excepto algunas cortas partes de que ha dispuesto á favor de otros: igualmente dexa á su muger y á sus herederos sus muebles y quan</t>
  </si>
  <si>
    <t>Washington, Jorge (general)</t>
  </si>
  <si>
    <t>General Jorge Washington</t>
  </si>
  <si>
    <t>estas inscripciones: Sítrge ad jitdicium.__ Gloria Deo; y en una lámina de plata este letrero: „ El General Jorge Washington, muerto el 14 dé Diciembre de 1799, á los 68 años de edad.” Entre 3'y'4^ dé ia&lt; tardé üñ navíó apostado en'el Déllavvare tiró varios cañonazos de minuto en minuto, y entóACes se'f</t>
  </si>
  <si>
    <t>Watrin</t>
  </si>
  <si>
    <t>xefe de brigada Feurnier, cuya rara intrepidez merece los mayores elogios. Los Generales Watrin, Al amoni y todos los oficiales de plana mayor atacaron al mismo tiempo á los enemigos , quienes perdieron 300 prisioneros, y tuvieron ademas ico hombres. entr</t>
  </si>
  <si>
    <t>Watrin, General</t>
  </si>
  <si>
    <t>General Watrin</t>
  </si>
  <si>
    <t>eforzada coi*tm cuerpo de rusos procerdente de Liorna; y al mismo tiempo el General Kráy atacaba al General Watrin en sus puestos de Valaggio y la Bóchéttal El General Klenau llegó hasta Albaro sin encontrar gran resistencia. Los puestos avanzados de Saint-Cyr se habían replegado mientras que es</t>
  </si>
  <si>
    <t>rito con fecha del 5 el General austríaco Hohenzollern que el diá anterior obligó á la división del General Watrin á evacuar aquella ciudad, cogiéndole 150 prisioneros; y que se aprovechó de esta ventaja para ganar las alturas, y llegar hasta las puertas de Gavi. Según indicios no tardará el e</t>
  </si>
  <si>
    <t>niente General liulíin; uno de sus compañeros quedo herido, y le mataron el caballo que montaba. El General Watrin , con parte de la vanguardia, se halla á medio camino desde Cbatillon al castillo de Bard; y7 hoy al amanecer salid el General Lannes con el resto de las tropas para apoderarse de</t>
  </si>
  <si>
    <t>Jos enemigos ¿ñ donde los encontrase, y al General Víctor para que le sostuviese coft su cuerpo. El General Watrin encontró los primeros puestos enemigos en San Ghineto. Las principales fuerzas austríacas ocupatym á Casteggio y lafc alturas de la derecha, teniendo colocada mucha artillería; y el</t>
  </si>
  <si>
    <t>car aquella aldea. La derecha de los enemigos intentó rodear á estos cuerpos; pero advirtiéndolo el General Watrin, destacó un batallón con orden de ganar las alturas. Unas fuerzas muy .superiores acometiéron por todas partes á este batallón, y le obligaron á retroceder; hasta que adelantándos</t>
  </si>
  <si>
    <t>• / oucri los elogios de los Generales, oficialidad'y tropa. Um Ayudante; hernrmo del General Watrin, fue-muerto al lado de este xefe. Entre los olí-' cíales heridos nombra Berthier al ciud. Ragois, Capitán de la guardia de infantería de los Cónsules, al Ayudante Didier, al Tenie</t>
  </si>
  <si>
    <t>arte de la Romaña, reconcentrándose cerca de Imola. Hállanse actualmente en Bolonia la división del General Watrin y la legión cisalpina que estaba en Módena. El Teniente General Moncey volvió aquí de Brescia para encargarse del mando interino del exército de Italia desde que se ausentó Massena, y</t>
  </si>
  <si>
    <t>olonia JO de Octubre. H a salido para la Romana la división del General Monnier con parte de la dei General Watrin. Ayer llegó un regimiento de húsares cisalpinos, que quedará de guarnición en esta ckidad. Sin embargo del tratado de armisticio, los insurgentes y las milicias de Toscana ocupáro</t>
  </si>
  <si>
    <t>Wdthworth, Lord</t>
  </si>
  <si>
    <t>Lord Wdthworth</t>
  </si>
  <si>
    <t>el ministerio dinamarqués se vio precisado á satisfacer las instancias y repetidas intimaciones del Lord Wdthworth antes de recibir la contestación de Rusia, pues amenazó ausentarse de Copenhague si no le respondían en el tiempo que habia señalado y en los términos que había propuesto. j’ Stra</t>
  </si>
  <si>
    <t>Weihrotz, Coronel</t>
  </si>
  <si>
    <t>Coronel Weihrotz</t>
  </si>
  <si>
    <t>importancia. Varias gazctas de Alemania dan por seguro que á solicitud del Conde de Cobentzel y del Coronel Weihrotz se ha dado contraorden sobre la demolición de las fortificaciones de Ulna, Ingolstadt y aun de PhiMpsburao Lo cierto es que en la primera de estas plazas se han suspendido de repe</t>
  </si>
  <si>
    <t>Weirotter</t>
  </si>
  <si>
    <t>andante interino del exército del Rhin, ha concluido en Augsburgo una prolongación de la tregua con Mr. Weirotter, Ayudante general del Archiduque Juan, el mismo que acompañó al Conde de Cobentzel hasta Augsburgo, y de allí se restituyó al quartel general austríaco de Wels. * Londres i.° de N</t>
  </si>
  <si>
    <t>Werck</t>
  </si>
  <si>
    <t>ompensa de este consiste en un fusil de honor. El 3.0 de dichos premiados es el ciud. Werck, trompeta del 6.° regimiento de cazadores, que el 26 de Junio quando su regimiento y dos compañías de infantería atacaron á las 10 de la noche la aldea de Rhin</t>
  </si>
  <si>
    <t>Western</t>
  </si>
  <si>
    <t>rá á pedir todos los papeles necesarios para ventilar seriamente el asunto.Al día siguiente propuso Mr. Western que la Cámara se formase en junta general para resolver si convenia continuar la guerra, reconocer que auxilios podia la Gran Bretaña esperar de sus aliados, que daños tenia que t</t>
  </si>
  <si>
    <t>o española y portuguesa. Ouando el o i a 9 se ventiló en la Cámara de los Comunes la proposición de Mr. Western sobre que se examinase si convenia seguir la guerra, y sota ye los otros puntos referidos en Ja gazeta anterior, dixo Mr. Sheridan que el objeto que se trataba no era precisamente</t>
  </si>
  <si>
    <t>Wickham</t>
  </si>
  <si>
    <t>ro en 48. La nota que los diputados del Círculo de Suabia entregaron con fecha de 23 de Diciembre á Mr. Wickham, Ministro ingles en Augsburgo, sobre los subsidios que piden,estaba concebida en estos témanos: „ En fuerza de lo acordado por los Príncipes y Estados de Suabia, debe hallarse el</t>
  </si>
  <si>
    <t>e libras esterlinas, sin réditos y pagadero en las épocas que se señalen. Se suplica humildemente á Mr. Wickham emplee sus buenos oficios para el logro de una negociación, que pondrá á los Príncipes y Estados de Suabia en estado de servir la causa del género humano contra el enemigo común con</t>
  </si>
  <si>
    <t>ción y sueldo se encarga la Gran Bretaña, sin embargo de que quedan á disposición del Imperio, pues Mr. Wickham, Ministro ingles, no ha podido alcanzar, como lo solicitaba, que la Inglaterra dirigiese las operaciones y movimientos de este cuerpo ya que lo paga. Mergentheim 24 de Enero. S e</t>
  </si>
  <si>
    <t>que supone firmados en París entre Austria y Francia. Francfort 11 de Agosto. E 1 comisario ingles Mr. Wickham ha pasado revista á las dos'brígadas bávaro-palatinas pagadas por la Gran Bretaña, según lo estipulado en eí tratado de subsidios, el qual previene que cada 3 meses se revistarán</t>
  </si>
  <si>
    <t>l. El gobierno ingles pensaba tomar á su sueldo algunas tropas de Bamberg» y el Ministro Wickham tenia poderes para arreglar el asunto; pero ha renunciado á ello. Coblentza a6" de Agostó. E I ciud. Rostoían, xefe de la plana mayor del exércíto galo-bátávo,</t>
  </si>
  <si>
    <t>Wiels, Domingo</t>
  </si>
  <si>
    <t>Domingo Wiels</t>
  </si>
  <si>
    <t>. Antonio Bragami. ... Ha 'Conferido S. M. la Tenencia de Rey de la plaza de Barcelona al Brigadier D. Domingo Wiels , Gobernador de la de Hostalrich : este Gobierno al Mariscal de Campo D. Diego Tordesillas, y el de las quatro villar de la costa de la mar al Coronel D. Tomas O Donojií, Gapitan</t>
  </si>
  <si>
    <t>Wilberforce</t>
  </si>
  <si>
    <t>-Arisch es ó no obligatorio para este país: y que si lo es, estamos en guerra con nuestros aliados. Mr. Villberforce observó que no resolvería si los Ministros habían obrado con prudencia dando instrucciones al Lord Keith para que se opusiese al cumplimiento del tratado; pero que le dexaba satis</t>
  </si>
  <si>
    <t>si en qualquier caso podia la Cámara confiar todavía en los actuales Ministros de S. M. Le contestó Mr. WHllberforce diciendo en suma que si aconteciese alguna gran mudanza en Europa, no se ocultaría al gobierno, el qual sabrá aprovecharse del momento favorable para hacer una paz ventajosa. A la</t>
  </si>
  <si>
    <t>Williams, Capitán</t>
  </si>
  <si>
    <t>Capitán Williams</t>
  </si>
  <si>
    <t>. En el lago de Constanza se han armado algunas barcas cañoneras para oponerse á la esquadriíla del Capitán WiHiams, que recorre dicho lago con 400 hombres de desembarco. Al paso qiie las noticias de Alemania aseguran la retirada de los rusos, se habla de un cuerpo de 6o0 hombres de dicha nació</t>
  </si>
  <si>
    <t>prosiguen los franceses las obras de fortificación. Asimismo se ha reforzado la esquadrilla que el Capitán Williams manda en el lago de Constanza, la qual en el dia es de 42 cañoneras. Transitan por aquí muchas tropas francesas, que van á aumentar el exército de Italia.__ El de Suiza se aproxim</t>
  </si>
  <si>
    <t>a izquierda del Danubio; y una parte del ala derecha marcha hácia Lindau. La esquadrilla con que el Capitán Williams recorria el lago de Constanza ha sido batida por la francesa, y se ha retirado. De resultas desembarcaron los republicanos, y se apoderaron de Buchhorn. Trátase de reunir , al hac</t>
  </si>
  <si>
    <t>l 9 que si prosiguen los franceses ganando terreno se desarmará y echará á pique la esquadrilla del Capitán Williams. JJhn 12 de Mayo. A caban de entrar aquí 6© hombres de tropas bávaras. Los almacenes de Heidelberga, Canstadt, y los que habia en esta ciudad, se han despachado á Guntzburgo, y de</t>
  </si>
  <si>
    <t>de Mayo. E stá enteramente destruida la esquadrilla austríaca del lago de Constanza, pues quando el Capitán Williams se vió precisado á huir, barrenó todas las embarcaciones y las echó á pique. El General Lecourbe, que manda el ala derecha del exército del Rhin, intenta, según parece, cortar la</t>
  </si>
  <si>
    <t>nza fueron las que se apoderaron de Lindan, adonde los austríacos se habían retirado despuos que el Capitán Williams destruyó la que mandaba. Se asegura que el grito de los republicanos quando atacan á los impe» ríales es la faz, la paz. Ginebra 22 de Mayo. L os austríacos evacúan el país de los Gr</t>
  </si>
  <si>
    <t>Williams, Coronel</t>
  </si>
  <si>
    <t>Coronel Williams</t>
  </si>
  <si>
    <t>de Diciembre pasó por Schaffussa para su destino. Según avisos de Constanza ha aumentado también el Coronel Williams la esquadrilla con que domina aquel lago, en e) qual ha cogido un barco suizo muy interesado. Dicho comandante despacha á veces tropas de Bregentz para hacer incursiones en pais enemig</t>
  </si>
  <si>
    <t>Wimers, Coronel</t>
  </si>
  <si>
    <t>Coronel Wimers</t>
  </si>
  <si>
    <t>propone pasar el invierno, Hoy llegó también el General Suwarow, y se apeó én casa del Te-, iliente Coronel Wimers, Algunos prisioneros franceses transitáron por aquí el dia 7 siguiendo su marcha i Theresienstadt, en donde permanecerán hasta ser cangeudos.</t>
  </si>
  <si>
    <t>Windham</t>
  </si>
  <si>
    <t>vía del Echiquier una junta á que concurrieron Air. Pitt, los Lores Camhden, Spencer y Grenville, y Mr. Windham. Inmediatamente después de este consejo fue quando se despachó á Mr. Crow con la respuesta del Lord Grenville, para que el correo francés la entregue á su gobierno. Según una gaze</t>
  </si>
  <si>
    <t>n á la carta del primer Cóqsul Bonaparte, juzgo preciso aseguraros que es producción toda entera de Mr. Windham, y el que Lord Grenville no la firmó sino como Secretario de Estado encargado del despacho de Relaciones exteriores. Es este un hecho que los mismos Ministros en vez de ocultarlo</t>
  </si>
  <si>
    <t>, cuya execudon ha cubierto de gloria al que los concibió. No creo que el Secretario &lt;je la Guerra (Mr. VVindham) pueda negar que Bonaparte es un gran maestro en el arte de ganar batallas. La línea que los austríacos ocupan actualmente, y que estos Señores ponderan como muy ventajosa para lo</t>
  </si>
  <si>
    <t>Wínter, Almirante</t>
  </si>
  <si>
    <t>Almirante Wínter</t>
  </si>
  <si>
    <t>obras de defensa. Se atiende con igual desvelo á acelerar los armamentos navales, y se cree que el Almirante Wínter mandará una esquadra compuesta de buques bátaVos y franceses, con la qual cuidará de la seguridad de las costas, cruzando hasta la alt ura de Dunquerque. En sesión extraordinaria</t>
  </si>
  <si>
    <t>Winter, Almirante</t>
  </si>
  <si>
    <t>Almirante Winter</t>
  </si>
  <si>
    <t>con agua de salvado. Uaya 14 de Marzo. L a primera Cámara del Cuerpo legislativo habia nombrado al Almirante Winter para comandante en xefe de todas las fuerzas navales de Holanda, asignándole 3® florines mensuales de sueldo; pero la segunda Cámara , al cabo de unos debates reñidísimos , ha des</t>
  </si>
  <si>
    <t>Withwoitn, Lord</t>
  </si>
  <si>
    <t>Lord Withwoitn</t>
  </si>
  <si>
    <t>siglos como autoridad en las guerras que dichas pretensiones puedan producir. Hace unos dias que el Lord Withwoitn ha vuelto de Copenhague á Londres. • ■ , Con la mayor celeridad se está disponiendo una- nueva expedición, de cuyo destiño sé habla con' variedad. — Ya hay en Deál un hospital y u</t>
  </si>
  <si>
    <t>Withworth</t>
  </si>
  <si>
    <t>pre han sido aliadas. Ageste /ezelo é indecisión de la corte de Petefsburgo se atribuye el no haber Mr. Withworth podido concluir todavía el nuevo tratado que está negociando. Por otra parte la permanencia de las tropas rusas en loe estados del Austria disgusta y molesta mucho al gabinete de</t>
  </si>
  <si>
    <t>l fin se han arreglado las diferencias entre este gabinete y el de la Gran Bretaña. Ayer noche tuvo Mr. Withworth una conferencia con el Ministro Conde de Bernstorff: concluida, despachó el Enviado ingles un extraordinario á su gobierno, y hoy expidió esta corte otro correo á P¿tersburgo. Se</t>
  </si>
  <si>
    <t>Withworth y Mr, Lord</t>
  </si>
  <si>
    <t>Lord Withworth y Mr</t>
  </si>
  <si>
    <t>campaña contra los franceses. No sin razón se cree que el viage que han emprendido á Petersburgo el Lord Withworth y Mr. Home Popham no tiene Otro objeto que acabar de persuadir á aquel Soberano se empeñe nuevamente en la guerra; y así el Lord Withworth no se detendrá eri Copenhague.— De todos esto</t>
  </si>
  <si>
    <t>Withworth, Carlos</t>
  </si>
  <si>
    <t>Carlos Withworth</t>
  </si>
  <si>
    <t>jo. .yer salid un correo de aquí á Petersburgo con orden del Rey para que se restituya á Inglaterra Mr. Carlos Withworth, Ministro británico fcn aquella corte. Hasta ahora no se le ha nombrado sucesor.__ Los buques de guerra rusos que se hallan en Scherness saldrán quanto antes para volver á Rusia;</t>
  </si>
  <si>
    <t>Withworth, Lord</t>
  </si>
  <si>
    <t>Lord Withworth</t>
  </si>
  <si>
    <t>han hecho quiebra. lía entrado en Ilarwich la fragata Ariana, en la qual han venido de Jilseneur el Lord Withworth , Mr. Hailes y .Mr. Casamajor. Este último fue presentado al Emperador como Encargado de negocios de Inglaterra en Petcrsburgo quándo se ausentó el Embaxadór Lord Withworth; pero</t>
  </si>
  <si>
    <t>ne Otro objeto que acabar de persuadir á aquel Soberano se empeñe nuevamente en la guerra; y así el Lord Withworth no se detendrá eri Copenhague.— De todos estos antecedentes puede íezelarse una nueva campañaí y en quartto al gabinete británico, nunca méiios que ahora ha pensado en la paz; per</t>
  </si>
  <si>
    <t>Núm. 76. * GAZETA DE MADRID DEL VIERNES 19 DE SETIEMBRE DE 1800. Copenhague 16 de Agosto. E I Lord Withworth, encargado por el ministerio británico de ajustar las desavenencias .ocurridas con motivo del convoy y fragata din nn rquesa apresada por los ingleses, llegó el 10 á Elseneur en l</t>
  </si>
  <si>
    <t>ión secreta. Créese que dicha esquadra va hácia el Norte , para sostener y apoyar el encargo que el Lord Withworth lleva á Copenhague, en caso que aquella corte no quiera convenir en las pretensiones de este gobierno---- Quando el Conde de YV edd Jarlsberg, Ministro dinamarqués, escribió al Lo</t>
  </si>
  <si>
    <t>incendio. Londres 28 de Agosto, A ntes de ayerdlegó aquí el Capitán de marina Duval con pliegos del Lord Withworth. Al mismo tiempo llegó un correo de gabinete despachado por ¿Mr. Paget, Ministro británico en Florencia. De resultas se celebró un con- * scjo de gabinete, al qual asistiéron el D</t>
  </si>
  <si>
    <t>esto de la solicitud de la Princesa, y le dió á entender que se restituyese á Stettin. No ha ido el Lord Withworth á Copenhague á dir satisfacción, sino* ¿ pedirla por no haber la fragata dinamarquesa permitido que los ingleses •visitasen el convoy que iba en su conserva, con lo que dió motivo</t>
  </si>
  <si>
    <t>asta la fecha de estos avisos nada se sabia relativamente á las resultas del encargo que llevaba el Lord Withworth. Los navios de línea despachados de Inglaterra al mando de Mr. Graves para reforzar la esquadra del Almirante Dickson son tres de 74 cañones y otros tres de 64. f . : . . . . El L</t>
  </si>
  <si>
    <t>cañones^-' nueve de 74, y siete de 64. En medio de todas estas disposiciones militaréis apuraba el Lord Withworth pidiendo respuesta pronta y decisiva á sus proposiciones. Esta corte dilataba darla hasta recibir la que esperaba de Rusia,' la qual se asegura que ya ha llegado; y aunque se igno</t>
  </si>
  <si>
    <t>Dey de Argel ha declarado guerra á la Gran Bretaña. .. Hoy llegó el Capitán Popham con pliegos del Lord Withworth y d^t Almirante Dickson , y copia de un convenio firmado por el Enviado ingles y el Ministro de Dinamarca.-Según el tenor de este ajuste se han.arreglado á satisfacción de ambas pot</t>
  </si>
  <si>
    <t>ado el 29 de Agosto entre el Ministro de Estado Conde de Bernstorif y el Plenipotenciario británico Lord Withworth: probablemente no se dará á luz hasta que llegue la ratificación del gabinete de Londres. Este ministerio ha mandado suspender el armamento de la esquadra dinamarquesa, excepto 9</t>
  </si>
  <si>
    <t>la vela para el mar del Norte, quedando únicamente en el Sund una fragata y un bergantín ingles. El Lord Withworth tuvo su primera audiencia del Rey el dia 3; y el Ministro francés Bourgoing tuvo la suya el 5. Se lia publicado el aviso de que éu adelante no habrá buques de guerra dinamarqueses</t>
  </si>
  <si>
    <t>a movió á S. M. $üeca á. hacer preparativos de defensa; y parece que esto fué el motivo de haber el Lord Withworth pasado de Copenhague á Stockolmo. Mr. Krabbe; Secretario de la legación dinamarquesa en Suecia, ha ido de Stockolmo á Copenhague con pliegos, que se dice son de la mayor importanc</t>
  </si>
  <si>
    <t>o, como también los Ministros de Estado, los Ministros extrangeros (entre los quales sé hallaban el Lord Withworth, Ministro ingles, y el ciud. Bourgoing, Ministro de Francia) los profesores de la universidad, y el clero de Ja capital. Administró el bautismo el Obispo de Seelanda, y puso al ni</t>
  </si>
  <si>
    <t>e de Bernstorff, su Chambeland y Secretario de Estado de negocios extrangeros, y S. M. Británica al Lord Withworth, caballero de la orden del Baño: los quaies, después de comunicarse sus plenipotencias, han convenido en los artículos siguientes: i? La qiiestion de derecho relativa á la visita</t>
  </si>
  <si>
    <t>ta á salir al mar, y no tardará en llegar á estas costas. Esta noticia ha causado mucho disgusto al Lord Withworth, quien despachó inmediatamente un cúter ingles para alcanzar á las embarcaciones de su nación que han pasado el Sund, y avisarlas que vuelvan atras. El mencionado Lord sale hoy de</t>
  </si>
  <si>
    <t>puerto 20 embarcaciones inglesas de las que habiendo pasado al Báltico, recibieron luego aviso del Lord Withworth para que retrocediesen, á causa de las medidas hostiles que acababa de tomar el Emperador de Rusia. . Hállanse en franquía los 9 navios de línea dinamarqueses que se han armado co</t>
  </si>
  <si>
    <t>Withworthha, Lord</t>
  </si>
  <si>
    <t>Lord Withworthha</t>
  </si>
  <si>
    <t>s, entre estos un oficial de marina.” í. ■ Hamburgo 1 de Setiembre. Según noticias de Copenhague el Lord Withworthha pedido no solo la destitución5del Capitán de la fragata dinamarquesa, sino también la del comandante del castillo de Cvonburgo que domina al Sund cerca de Elsenéur: y en caso de n</t>
  </si>
  <si>
    <t>Withwortn, Lord</t>
  </si>
  <si>
    <t>Lord Withwortn</t>
  </si>
  <si>
    <t>la Grúa, Ministro que fué de la corte de España en la de Suecia; y ayer mañana salió igualmente el Lord Withwortn para el mismo puerto, desde ci qual.se restituirá á Inglaterra. Queda aquí Mr. Drunmond como Encargado de Negocios del ministerio ingles. . ; ' Para reformar y mejorar las leyes c</t>
  </si>
  <si>
    <t>Wittworth, Lord</t>
  </si>
  <si>
    <t>Lord Wittworth</t>
  </si>
  <si>
    <t>uropa como una pieza curiosa. A, Stockolmo 2/ de Junio. yer llegó aquí por mar desde Petersburgo el Lord Wittworth, Ministro que ha sido de Inglaterra en Rusia. También ha venido Mr. Moradgeade Osson, que vuelve con su esposa de Constantinopla, en donde residió como Ministro plenipotenciario d</t>
  </si>
  <si>
    <t>Wochler, Jorge</t>
  </si>
  <si>
    <t>Jorge Wochler</t>
  </si>
  <si>
    <t>sileros D. Antonio Kamer; y también ha promovido en el Suizo de Rutiman X primer Capitán al segundo D. Jorge Wochler ; á Capitán segundo al Ayudante D. Pedro Haltegg ; á este empleo al Teniente D. Antonio Maister, y á esta resulta al Subteniente D. Gerardo Hirschbach; y ha concedido grado deCapi</t>
  </si>
  <si>
    <t>Wolf</t>
  </si>
  <si>
    <t>a orden de que estaban presos: recogió sus espadas, y dexó dos granaderos á la puerta de su qutrto. Mr. Wolf alega que el número de franceses que sitiaban su castillo ascendía á 16® hombres, y que ya iban á dar el asalto: que ademas cuidó de estipular en* la capitulación que al hacerse l</t>
  </si>
  <si>
    <t>Wolf, Coronel</t>
  </si>
  <si>
    <t>Coronel Wolf</t>
  </si>
  <si>
    <t>lemania. Los dos comandantes del castillo de Hohentwiel, que son el General Dilíinger y el Teniente Coronel Wolf, llegaron á esta ciudad , y poco después un Ayudante les intimó la orden de que estaban presos: recogió sus espadas, y dexó dos granaderos á la puerta de su qutrto. Mr. Wolf alega</t>
  </si>
  <si>
    <t>Woodville</t>
  </si>
  <si>
    <t>e el menor daño ni trae riesgo alguno, asegura que la inoculación de la vacina hecha en Londres por Mr. Woodville, médico del hospital de los inoculados, presenta exemplos. de personas que han muerto de ella. Y en quanto á la ventaja que aseguran tiene de no comunicarse por el ayre, dice que</t>
  </si>
  <si>
    <t>Wóodwüle</t>
  </si>
  <si>
    <t>754 Ha llegado de Inglaterra á París Mr. Wóodwüle, médico del hospital, de inoculación de la vacina* en Londres. Viene á ‘contribuir á los experimentos que sobre este nuevo método de inocular se hacen aquí para averiguar si efect</t>
  </si>
  <si>
    <t>Wrengel, Almirante</t>
  </si>
  <si>
    <t>Almirante Wrengel</t>
  </si>
  <si>
    <t>a. Con no menor actividad seguía el armamento de la esquadra, cuy o mando se-ha confiado al Contra— Almirante Wrengel. Dicha esquadra consta de dos navios de 80 cañones^-' nueve de 74, y siete de 64. En medio de todas estas disposiciones militaréis apuraba el Lord Withworth pidiendo respuesta pro</t>
  </si>
  <si>
    <t>. Copenhague 18 de Octubre. H a vuelto á este puerto la esquadra dinamarquesa mandada por el Contra-Almirante Wrengel. La fragata Tétis de 40 cañones va al Mediterráneo alomando deldaprun E-ílebrecht, para aumentar el número de naves de guerra nacionales que hay en aquel mar, .y proteger la naveg</t>
  </si>
  <si>
    <t>Wucka, Feld-Mariscal</t>
  </si>
  <si>
    <t>Feld-Mariscal Wucka</t>
  </si>
  <si>
    <t>del General Elsnitz) para efectuar la reunión de todo el exército— Según otra relación del Teniente-Feld-Mariscal Wucka&amp;sov^ich, fecha en Castellazip á* 17 de Junio, e.l X^niente Coronel. Barón de Barco, aprove-chándose de ún momento en que .los enemigos sé habían.alejado de Gremona, consiguió apod</t>
  </si>
  <si>
    <t>Wuckasso, General</t>
  </si>
  <si>
    <t>General Wuckasso</t>
  </si>
  <si>
    <t>iempo á {;&amp; corona el producto que saca de este ramo de rentas. Viena i*], de Jimio. U n correo del General Wuckasso*vi'Ch ha traído la desagradable noticia de que los franceses se han apoderadlo de Milán, Pavía, Cremona y Plasencia, con toda la artillería y almac.;en*es que había en aquellas pl</t>
  </si>
  <si>
    <t>Wukassowich, General</t>
  </si>
  <si>
    <t>General Wukassowich</t>
  </si>
  <si>
    <t>020 adonde espera llegar el 6. El General Wukassowich se hallaba el dia 3 en Lodi: y si los enemigos no fe acometen con grandes fuerzas , se sostendrá algún tiempo por las orillas del Adda. No ha podido este General librar la esquadr</t>
  </si>
  <si>
    <t>Wullez, Lorenzo</t>
  </si>
  <si>
    <t>Lorenzo Wullez</t>
  </si>
  <si>
    <t>te al Subteniente de granaderos D. Félix Mijares; á Subteniente de granaderos al primer Subteniente D. Lorenzo Wullez; y á primer Subteniente al segundo D. Miguel Julián Royo: en el batallen' de voluntarios de Gerona á primer Subteniente al segundo D. Juan Montaner; y á segundo Subteniente al Sar</t>
  </si>
  <si>
    <t>X Cónstantinopla</t>
  </si>
  <si>
    <t>9C7 el Embajador X Cónstantinopla , y él Gran Señor no llego á saber losÍ(j 1U tivos del gobierno. Nuestros enemigos , los rusos é ingleses , se aprovecharon astutamente de esta circunstancia,</t>
  </si>
  <si>
    <t>X, Luis</t>
  </si>
  <si>
    <t>Luis X</t>
  </si>
  <si>
    <t>o. H a sido preso y conducido al Temple el Caballero de Cogni, como Ministro de Luis X VÍII por el ramo de policía en Paris. En su casa se hallaron muchos papeles que sirven á comprobar la conspiración, que</t>
  </si>
  <si>
    <t>Xa, Francisco</t>
  </si>
  <si>
    <t>Francisco Xa</t>
  </si>
  <si>
    <t>marítimos, habilitó 4 de las lanchas cañoneras de la plaza de la Coruña, que puso á su. disposición D. Francisco Xa</t>
  </si>
  <si>
    <t>Xaervín</t>
  </si>
  <si>
    <t>Xannes, General</t>
  </si>
  <si>
    <t>General Xannes</t>
  </si>
  <si>
    <t>Scrivia. El cuerpo del Genera! Víctor, que formaba la vanguardia, pasó el Scrivia por Dora: el del General Xannes se apoderó de Castei-Nuovo, en donde dexáron los enemigos I 300</t>
  </si>
  <si>
    <t>Xarainillo, Joseph</t>
  </si>
  <si>
    <t>Joseph Xarainillo</t>
  </si>
  <si>
    <t>a, á D. Francisco de Paula Bucareli: para otra de la catedral de León, vacante por fallecimiento de D. Joseph Xarainillo, á D. Juan Alvarez: para otra de la catedral de Tarazona, vacante por fallecimiento D. Juan Ignacio Asco, á D. Gregorio López de Castro: para la Dignidad de Tesorero primera silla</t>
  </si>
  <si>
    <t>Xareño, Pedro Vicente</t>
  </si>
  <si>
    <t>Pedro Vicente Xareño</t>
  </si>
  <si>
    <t>encias á D. Joseph Antonio Fernandez de la Peña y Gordillo, y al Subteniente graduado de infantería D. Pedro Vicente Xareño: en el de Badajoz Subtenencias de bandera á D. Nicolás Domínguez Roso y á D. Fernando de la Vera y Campos; y en los de Salamanca, Orense, Toro, Córdoba y Granada Subtenencias de b</t>
  </si>
  <si>
    <t>Xencrio y Giles, Joachín</t>
  </si>
  <si>
    <t>Joachín Xencrio y Giles</t>
  </si>
  <si>
    <t>nda, Badajoz, Murcia, Truxillo, Salamanca y Cuenca á D. Ramón González Castro Taboada y Valenzuela, D. Joachín Xencrio y Giles, D. Ramón de Ayala y Silveyra, D. Antonio Callejas, D. Joseph López Berrio, D. Valentín Antonio Gutiérrez, D. Joseph Martin Ruiz y Lúeas y„D. Pedro Alcántara Alamanzon. Él Rey se</t>
  </si>
  <si>
    <t>Xeonarda de Campos</t>
  </si>
  <si>
    <t>o de 130 pesos, núm 303,927, que pertenecían al mismo D. Cipriano , y ahora pertenecen á su hermana Doña Xeonarda de Campos, muger de D. Ventura Madrigal, de la villa de lllescas , sin que se sepa si estaban endosados , ó si se hallaban con firmas en blanco. Quien supiere de ellos avisará á’dichoD. Ven</t>
  </si>
  <si>
    <t>Xerez de la Frontera</t>
  </si>
  <si>
    <t>de Puerto de Plata Diego Delgado , soldado1 arreglado, que dixo ser natural dé Xerez de la Frontera, hijo de Diego Delgado é Ines Montero; sus bienes consistieron en 108 pesos, 6\ rs., de los quales se hallan depositados en caxa 3914 rs. 19 mrs. vn. sujetos á varios descuentos. 5= Igu</t>
  </si>
  <si>
    <t>Xerez, Antonio</t>
  </si>
  <si>
    <t>Antonio Xerez</t>
  </si>
  <si>
    <t>entes á los Cadetes D. Vicente Sánchez y D. Joseph Conesa, y á los Sargentos primeros de granaderos D. Antonio Xerez, graduado de Subteniente, y D. Domingo Acevedo. En el de Granada á segundo Teniente de granaderos al de fusileros D. Rafael Espinosa; y a Subteniente de granaderos al primer Subte</t>
  </si>
  <si>
    <t>z, D. Rafael García y D. Joseph Quirós; á primeros Subtenientes á los segundos D. Marcos Rodríguez, Don Antonio Xerez, D. Juan Carlos de Soto, D. Joseph Diaz, D. Juan de Serra y D. Domingo Navarro, y á segundo Subteniente al Sargento primero D. Mariano Araiz: en el de Zaragoza á Capitanes al Ayud</t>
  </si>
  <si>
    <t>Xerez, Joseph</t>
  </si>
  <si>
    <t>Joseph Xerez</t>
  </si>
  <si>
    <t>brar para el Deanato primera silla de la Cate* dral de Ciudad-Rodrigo, vacante por fallecimiento de D. Joseph Xerez, á D, Tomas Aparicio Santin, con retención cíe la Canongía que obtiene en Ja misma iglesia: para dos Canongías de la catedral de Segorve á D. Manuei Medrano y á D. Vicente Rutz Va</t>
  </si>
  <si>
    <t>vestre Pueyo: para una Canongía de la santa iglesia de Ciudad-Rodrigo, vacante por fallecimiento de D. Joseph Xerez, 4 D* Joseph Bribuega y Ortega, Cura Párroco de la villa de Renera, en la dioces.is de_Tqle4o: para otra de la catedral de Lérida, vacante por fallecimiento, de D, Agustín Montull</t>
  </si>
  <si>
    <t>Xiiñenez de Qrtega, Antonio</t>
  </si>
  <si>
    <t>Antonio Xiiñenez de Qrtega</t>
  </si>
  <si>
    <t>cigalpa, a D. Joseph Midense; y el de Guarda-Almacenes del puerto de Truxillo,enel propio Reyno, á D. Antonio Xiiñenez de Qrtega. , Con'íectia de 9 de este mes há obtenido la villa de Guate facultad Real para celebrar una feria cada año el dia de S. Miguel de Setiembre y su Octava, y un mercado los viérnes</t>
  </si>
  <si>
    <t>Ximeiifcz Bretón, Joseph</t>
  </si>
  <si>
    <t>Joseph Ximeiifcz Bretón</t>
  </si>
  <si>
    <t>que lo era extraordinario; y á este empleo al Ayudante D. Juan Pió de la Cruz. Por fallecimiento de D. Joseph Ximeiifcz Bretón se ha dignado el Rey conferir la Tesorería de exército de Aragón,que servia, á D. Julián Fernandez Navarrete; la que este obtenía en Galicia á D. Nicolás Lavaggi; y la que este de</t>
  </si>
  <si>
    <t>Ximen Ruiz de Liory</t>
  </si>
  <si>
    <t>bteniente D. Joseph de la Reguera; á primeros Subtenientes á los segundos D. Nicolás Juan de Ariza, D. Ximen Ruiz de Liory y D. Ildefonso Tapia, y á segundos Subtenientes á los Cadetes D. Diego Tolosa y D. Antonio Remon y Huet, al Sargento primero de granaderos D. Miguel Fortun y á D. Manuel Xjmenez de Le</t>
  </si>
  <si>
    <t>Ximene, Agustín</t>
  </si>
  <si>
    <t>Agustín Ximene</t>
  </si>
  <si>
    <t>Joseph de Miranda, D. Manuel Aroche y D. Estéban Aymerich , y á segundos Subtenientes a los Cadetes D. Agustín Ximene? de Lasarte y D. Joseph Bermudez de Castro, y al Sargento primero Don Gregorio Dónate : en el de Mallorca á Capitán al Ayudante graduado deTeniente Coronel D. Santiago Texero; y á</t>
  </si>
  <si>
    <t>Ximenez Coronado, Salvador</t>
  </si>
  <si>
    <t>Salvador Ximenez Coronado</t>
  </si>
  <si>
    <t>ere hacer mejora en el citado arrendamiento dirija su preposición al Director del Real Observatorio D. Salvador Ximenez Coronado, que vive en el Buen-Retiro, en el oreciso termino de mes y medio contado desde el dia de la publicación de este Para facilitar el abasto de Madrid en los géneros de su ----------</t>
  </si>
  <si>
    <t>Ximenez de Bagues, Joseph</t>
  </si>
  <si>
    <t>Joseph Ximenez de Bagues</t>
  </si>
  <si>
    <t>do Teniente al Subteniente de granaderos D; Joseph Cülties, y á segundbs Subtenientes á los Cadetes Don Joseph Ximenez de Bagues y D. Mariano Díaz Capilla: en el dé Jaén á prr|ner Subteniente al segundo D. Manuel Alcázar : en el dé Voluntarios de Castilla á Capitán al Ayudante D. Julián Ruiz de Estrada: en el 1</t>
  </si>
  <si>
    <t>Ximenez de Cisneros y la Hoz, Joseph</t>
  </si>
  <si>
    <t>Joseph Ximenez de Cisneros y la Hoz</t>
  </si>
  <si>
    <t>de la villa de Argéte, en la misma diócesis de Toledo, vacante por promucion de D. Gabriel Tovar, á D. Joseph Ximenez de Cisneros y la Hoz.</t>
  </si>
  <si>
    <t>Ximenez de Estrada, Antonio</t>
  </si>
  <si>
    <t>Antonio Ximenez de Estrada</t>
  </si>
  <si>
    <t>eph Ovalle: en el'de Avila Compañía de fusileros al Teniente de cazadores , graduado de infantería, D. Antonio Ximenez de Estrada; esta resulta alTeniente de fusileros D. Gil Montaibo ; Tenencia de fusileros aí Subteniente de granaderos D. Diego González; su resulta al Subteniente de fusileros D. Juan Moreno</t>
  </si>
  <si>
    <t>Ximenez de la Isla, Francisco</t>
  </si>
  <si>
    <t>Francisco Ximenez de la Isla</t>
  </si>
  <si>
    <t>tenientes de los regimientes de infantería de Buenos-Ay res y del Rey; á D011 Fernando de la Serna, D. Francisco Ximenez de la Isla y D. Manuel Bayo, Cadetes de los de. Guadaiaxara, Princesa y Ñapóles, y á D. Mariano del Rio, Subteniente ael provincial de Segovia. El Rey se ha servido conferir las dos Tesorerías d</t>
  </si>
  <si>
    <t>Ximenez del Rio, Juan Francisco</t>
  </si>
  <si>
    <t>Juan Francisco Ximenez del Rio</t>
  </si>
  <si>
    <t>una niña practicó igual expresión de .agradecimiento. A nombre del limo. Sr. Arzobispo de Valencia D. Juan Francisco Ximenez del Rio se premió á un maestro de primeras letras con 320 rs., con otros tantos á una maestra; y la sociedad dio un exemplar de dicho Arte de escribir á otro maestro, como accessit al pre</t>
  </si>
  <si>
    <t>Ximenez Noguerol, Joseph</t>
  </si>
  <si>
    <t>Joseph Ximenez Noguerol</t>
  </si>
  <si>
    <t>os Caballeros, dignidad de la catedral de Badajoz, vacante por fallecimiento de B. Juan Arguello, á D. Joseph Ximenez Noguerol: para el Arciprestazgo de Cillapernl, en la diócesis de Santander, vacante por muerte de D. Pablo N uiiez de Quevedo, á D. Manuel Nuñez Bu,stainante: para otro titulado de Urueña</t>
  </si>
  <si>
    <t>Ximenez Sarmiento, Joseph</t>
  </si>
  <si>
    <t>Joseph Ximenez Sarmiento</t>
  </si>
  <si>
    <t>or de Sonsonate, en el mismo Reyno, á D. Matías Alborsj y una plaza de Agente de numero de Indias á D. Joseph Ximenez Sarmiento. El dia 3 del corriente salieron del puerto de Cádiz para distintas comisiones las fragatas de S. M. nombradas Carmen, Florentina y Sabina, y baxo su escolta un convoy de buques d</t>
  </si>
  <si>
    <t>Ximenez y Liam, Blas</t>
  </si>
  <si>
    <t>Blas Ximenez y Liam</t>
  </si>
  <si>
    <t>ustamante y D. Antonio Hurtado: en el de Zaragoza á Subteniente de granaderos al primer Subteniente D. Blas Ximenez y Liam</t>
  </si>
  <si>
    <t>Ximenez y Lrambre, Blas</t>
  </si>
  <si>
    <t>Blas Ximenez y Lrambre</t>
  </si>
  <si>
    <t>s Subtenientes de granaderos D. Francisco Jlodriguez, 1). Christóbal Morte, graduado de Teniente, y D. Blas Ximenez y Lrambre, y al primer Subteniente D. Andrés Treiles; á Subtenientes de granaderos á los primeros Subtenientes D. Mariano de las Penas, D. Ambrosio Villaba y D. Manuel López; :t primeros Su</t>
  </si>
  <si>
    <t>Ximenez, Antonio</t>
  </si>
  <si>
    <t>Antonio Ximenez</t>
  </si>
  <si>
    <t>a, se hallarán las siguientes obras de música: 4 trios concertantes para guitarra, violín y baxo.de D. Antonio Ximenez , músico de la colegiata de Alicante} obra de mucho gusto5í nn" nuevo divertimiento para guitarra sola del Sr. Almeyda de Ferreyro (portugués); contiene una marcha con 6 glosas, u</t>
  </si>
  <si>
    <t>D. Sebastian Norza^aray ; en el de Bárgos á Subtenientes de granaderos á los primeros Subtenientes D. Antonio Ximenez y D. Joseph Hernando García; y en el de Aragón á primer Teniente de granaderos al de fusileros D. Ramón Lias. 'En América. El Rey se ha servido conceder agregación de Teniente Coronel</t>
  </si>
  <si>
    <t>y D. Christóbal Medina; á segundos Tenientes á los Subtenientes de granaderos D. Andrés Caballero, D. Antonio Ximenez y D. Joseph Hernando; á Subtenientes de granaderos á los primeros Subtenientes D. Juan Ximenez, D. Joseph Ramón Gutiérrez y D. Francisco de Oña; á primeros Subtenientes á los segundos</t>
  </si>
  <si>
    <t>Ximenez, Diego</t>
  </si>
  <si>
    <t>Diego Ximenez</t>
  </si>
  <si>
    <t>quia de San Juan de la villa de Arjona, en la misma diócesis de Jaén , vacante por fallecimiento de D. Diego Ximenez , á D. Pedro María Pinel : para un Medio-Beneficio de la parroquia de Gumiel de Izan , en la diócesis de Osma, vacante por fallecimiento de D. Simón Terradillos, á D. Domingo Just</t>
  </si>
  <si>
    <t>Ximenez, Dionisio María</t>
  </si>
  <si>
    <t>Dionisio María Ximenez</t>
  </si>
  <si>
    <t>ara su desempeño , dirigirán sus memoriales al Ayuntamiento de dicha viila por mano de su escribano D. Dionisio María Ximenez. Memorias del célebre Typpoo-Zai'b, Sultán del Masur, hijo del famoso Heyder-Aiy-Kan. Las gazetas de Europa han repetido por muchos años los nombres de estos dos guerreros ilustre</t>
  </si>
  <si>
    <t>Ximenez, Félix</t>
  </si>
  <si>
    <t>Félix Ximenez</t>
  </si>
  <si>
    <t>a la dignidad de Chantre de la catedraL de Cuenca, vacante por fallecimiento de D. Agustín Yague, á D. Félix Ximenez,., Canónigo de la de Sigiienza: para una Canongía de la catedral'de Ciudad-Rodrigo, vacante oor muerte de D. Anselmo del Valle, á D. Benito de Céspedes*, para otra de la colegial</t>
  </si>
  <si>
    <t>Ximenez, Francisco</t>
  </si>
  <si>
    <t>Francisco Ximenez</t>
  </si>
  <si>
    <t>yo. Ki 11 del corriente la escuela de primeras letras de la calle de la Piedad; que está á cargo de D. Francisco Ximenez, tuvo examen publico deWs alumnos en las casas consistoriales baxo la inspección de los comisarios do escuelas D. Rodrigo García Puerta y D. Juan de Castro. Presidió el Intendente</t>
  </si>
  <si>
    <t>an de León: en el de la Princesa á Capitán d Ayudante D. 1 aolo 1 om; á Ayudante al primer Teniente D. Francisco Ximenez; a primer Teniente al segurído de granaderos, graduado de Capitán , D. Joseph Cavero; a se cundo Teniente de granaderos al de fusileros D. T rancho lvaauan; a segundo Teniente al</t>
  </si>
  <si>
    <t>dante al primer Teniente D. Victoriano Laspeñas; á primer Teniente al segundo, graduado de Capitán, D. Francisco Ximenez; á segundo Teniente al Subteniente de granaderos D. Juan Sarralde; á Subteniente dé granaderos al primer Subteniente D. Juan de la Caballería; á primer Subteniente al segundo D. A</t>
  </si>
  <si>
    <t>Ximenez, Joseph</t>
  </si>
  <si>
    <t>Joseph Ximenez</t>
  </si>
  <si>
    <t>co: en el de la Princesa á Capitán al Ayudante D. Francisco Corrales; á Ayudante al primer Teniente D. Joseph Ximenez ; á primeros Tenientes á los segundos de granaderos D. Domingo Quadrado y D. Isidoro Acevedo; á segundos Tenientes de granaderos á los de fusileros D. Joseph Marín Ordoñez y D. Ma</t>
  </si>
  <si>
    <t>misma catedral. El Rey se ha servido nombrar Secretario de Cámara y del Vireynato de Nueva-España á D. Joseph Ximenez',Contador de exército de la isla de Cuba, concediéndole aTpropio tiempo los. ¿honores de Comisario ordenador. Por fallecimiento de D. Antonio Castrillo, Oidor de la Audiencia de Sa</t>
  </si>
  <si>
    <t>fusileros D. Luis Márquez y tí. Juan de Dioé Perez; estas resultas á los Subtenientes de granaderos D. Joseph Ximenez y D. Joseph Antonio Cabezón; Subtenencias de granaderos á los primeros Subtenientes D. Joseph Benitez Campon y D. Gaspar Gómez ; primera» Subtenencias á los segundos D, Vicente del Fi</t>
  </si>
  <si>
    <t>Ximenez, Juan</t>
  </si>
  <si>
    <t>Juan Ximenez</t>
  </si>
  <si>
    <t>niente de granaderos al de fusileros D. Diego Montalbo : á primer Teniente al segundo de granaderos D. Juan Ximenez: á segundo Teniente de granaderos al de fusileros D. Antonio Angulo: á segundos Tenientes al primer Subteniente D. Agustín Liminiana, y al Subteniente de granaderos graduado de Ca</t>
  </si>
  <si>
    <t>, D. Antonio Ximenez y D. Joseph Hernando; á Subtenientes de granaderos á los primeros Subtenientes D. Juan Ximenez, D. Joseph Ramón Gutiérrez y D. Francisco de Oña; á primeros Subtenientes á los segundos 1&gt;. Pedro Torrequemada, D. Francisco Latorre, D. Francisco Collantes, D. Joseph Talens, D.</t>
  </si>
  <si>
    <t>ranaderos al de fusileros D. Cipriano Aniz Marañon; á segundo Teniente al Subteniente de granaderos D. Juan Ximenez; á Subteniente de granaderos al primer Subteniente D. Antonio Peña; á primer Subteniente al segundo D. Francisco Xavier de Céspedes, y á segundos Subtenientes á los CadetesJO. Man</t>
  </si>
  <si>
    <t>Ximenez, Juan Bautista</t>
  </si>
  <si>
    <t>Juan Bautista Ximenez</t>
  </si>
  <si>
    <t>de Toledo, se venden las siguientes fincas, que pertenecen al vínculo que en la misma fundó el Lie. D. Juan Bautista Ximenez:, de que es poseedor D. Félix Muncharaz-, vecino de la villa de la'Puebla de Montalban, á instancia del mismo: dos casas en la población de la féféHda villa con sus oficinas cómod</t>
  </si>
  <si>
    <t>Ximenez, Juan Romualdo</t>
  </si>
  <si>
    <t>Juan Romualdo Ximenez</t>
  </si>
  <si>
    <t>e sirvió aplicar del fondo pío beneficial y otros, corriendo todo al cuidado del Director inmediato D. Juan Romualdo Ximenez, de su Consejo, Corregidor de dicha ciudad f baxo las providencias y prevenciones de la Colecturía general de espolios y vacantes. Desde entonces el expresado Corregidor ha puesto</t>
  </si>
  <si>
    <t>Ximeno</t>
  </si>
  <si>
    <t>o pago de Tragonera , perteneciente al santuario de Ntra. Sra. de la Cabeza , en 374,626. =Torre de Don Ximeno ; una tierra de 21 fanegas en el sitio llamado Villáres , perteneciente al patronato fundado por D. Alonso de Huete Molina, tasada en 12,842. rs. Una huerta en el sitio llamado Ca</t>
  </si>
  <si>
    <t>Ximeno, Antonio</t>
  </si>
  <si>
    <t>Antonio Ximeno</t>
  </si>
  <si>
    <t>s Angel Gutiérrez, á D. Toribio Ximenez : para otra de la de Tarazona, vacante por fallecimiento de D. Antonio Ximeno, á D. Juan Chrisóstomo Mañero: para la Media-Ración, vacante en la catedral de Córdoba por fallecimiento de D. Pedro Carlos Avalle, á D. Bernardo García Cañete: para otra Media-Ra</t>
  </si>
  <si>
    <t>Ximeno, Bernardo</t>
  </si>
  <si>
    <t>Bernardo Ximeno</t>
  </si>
  <si>
    <t>nio íuentes: en segundo D. Joseph Ainsa, D. Joachin Orozqueta, D. Mariano Serret, D* Pedro Lalane y D. Bernardo Ximeno; y en tercer Jugar D. Pedro Sebastian , D. Manuel Royo y D. Pedro Anaya. La sociedad determinó premiar el mérito de los discípulos; y en junta general de 23 del propio mes, á que</t>
  </si>
  <si>
    <t>Xinic-ncz, Francisco Xavier</t>
  </si>
  <si>
    <t>Francisco Xavier Xinic-ncz</t>
  </si>
  <si>
    <t>de Carmona, en la diócesis de Sevilla, vacante por fallecimiento de D. Joseph Ignacio Fernandez , á D. Francisco Xavier Xinic-ncz , con la obligación de servirle también por sí mismo : para la Capellanía mayor que se halla vacante en el Real convento de la Visitación de Madrid, por fallecimiento de Don Franc</t>
  </si>
  <si>
    <t>Xiron, Ramón</t>
  </si>
  <si>
    <t>Ramón Xiron</t>
  </si>
  <si>
    <t>e de granaderos al de fusileros D. Diego García Hidalgo; X primer Teniente al segundo de granaderos D. Ramón Xiron ; á segundo Teniente de. granaderos al de fusileros D. Diego Antonio Carta; X segundos Tenientes á los Subtenientes de granaderos D. Francisco Villarejo y D. Juan Hernández ; á Su</t>
  </si>
  <si>
    <t>Xjmenez de Leorin y Amar, Manuel</t>
  </si>
  <si>
    <t>Manuel Xjmenez de Leorin y Amar</t>
  </si>
  <si>
    <t>s D. Diego Tolosa y D. Antonio Remon y Huet, al Sargento primero de granaderos D. Miguel Fortun y á D. Manuel Xjmenez de Leorin y Amar: en el de Burgos á Capitán de granaderos al de fusileros D. Cayetano Albornoz; á Capitán al primer Teniente de granaderos, graduado de Teniente Coronel, D. Isidoro Uriarte; á prim</t>
  </si>
  <si>
    <t>Xose, Jorge</t>
  </si>
  <si>
    <t>Jorge Xose</t>
  </si>
  <si>
    <t>sargentos. Habrá siempre en la vanguardia del exército cierto número de oficiales de esta escuela. Mr. Jorge Xose, Secretario de la Tesorería, acaba de publicar una memoria, en que prueba que aun quando se concluyese ahora la guerra, las rentas que tienen que pagar anualmente los ingleses asc</t>
  </si>
  <si>
    <t>XVI, Luis</t>
  </si>
  <si>
    <t>Luis XVI</t>
  </si>
  <si>
    <t>en Gratz el Duque de Módena; y en Agram la Princesa Adelayda de Francia, tia de Luis XVI. Berlín 28 de Febrero. E n breve se levantará aquí un regimiento de infantería llamado de la Reyna, la qual será su Cor</t>
  </si>
  <si>
    <t>e sus dominios todos los emigrados franceses, sin exceptuar la Princesa Hija de Luis XVI ni el Príncipe su esposo: y que solo permite permanezca en Mitaw el-pretendiente Conde de Provenza; pero sin corte, sin</t>
  </si>
  <si>
    <t>y Aguado, Joseph Matheo</t>
  </si>
  <si>
    <t>Joseph Matheo y Aguado</t>
  </si>
  <si>
    <t>qu.e se hicieren. f Por auto del mismo Sr. D. Juan Antonio Santa María, y escribanía del número de D. Joseph Matheo y Aguado se subasta una casa sita en la villa de Puerto-Real, én la calle Mayor, esquina á la playa, con habitación alta , baxa y principal, cochera y almacenes para aceyte; tasada en 323,</t>
  </si>
  <si>
    <t>y Antonia, Joseph</t>
  </si>
  <si>
    <t>Joseph y Antonia</t>
  </si>
  <si>
    <t>....................................... 55. 30. Cabo.. Antonio Pallas , hijo de Joseph y Antonia , natural de M.nresa, Corregimiento Ídem............................................ 124. Otro... F jrancisco Truno, hijo de otro y Esperanza", natural de Pianolas , Corregimiento de Puigce</t>
  </si>
  <si>
    <t>y Antonia, Sebastián</t>
  </si>
  <si>
    <t>Sebastián y Antonia</t>
  </si>
  <si>
    <t>ue................................................ 52. 19. Joseph Font, hijo de Sebastian y Antonia, natural de Tarragona, Corregimiento ídem.................................... 52. 19. Jacinto Armengol, hijo de Senent y Magdalena, natural de Barcelona, Corregimiento ídem................</t>
  </si>
  <si>
    <t>y Carmona, Manuel Salvador</t>
  </si>
  <si>
    <t>Manuel Salvador y Carmona</t>
  </si>
  <si>
    <t>pliego de marca mayor, que representa al niño Dios recibiendo en sus brazos á S. Juan Bautista: por D. Manuel Salvador y Carmona, grabador de Cámara de S. M. ,y Director en la Real academia de S. Fernando, y pintada por el célebre Murillo. Se hallará en las librerías de Barco, carrera de San Gerónimo, y de</t>
  </si>
  <si>
    <t>esco en el Heai palacio de Madrid por D. Francisco Bayeu, Pintor de Cámara de S. M. , y grabado por D. Manuel Salvador y Carmona, Grabador de Cámara de S. M., Director en la Real academia de S. Fernando, y del Rey de Francia en el año de 1*762. Se hallará en las liberías de Barco, carrera de S. Gerónimo, y</t>
  </si>
  <si>
    <t>y Catalina Pilbert, Francisco</t>
  </si>
  <si>
    <t>Francisco y Catalina Pilbert</t>
  </si>
  <si>
    <t>en su ajuste 493 rs. 32 mrs. Pedro Klocq, natural de Mullí en Francia , hijo de Francisco y Catalina Pilbert , falleció en la urca Espaciosa, viniendo de Puerto-Rico á Cádiz, el 19 de Junio de 1790 á los 34 años : alcanzó en su ajuste Ó40 rs. Andrés Smit, hijo de Felipe y Adriana, natural c-t la vi</t>
  </si>
  <si>
    <t>y Catalina, Pablo</t>
  </si>
  <si>
    <t>Pablo y Catalina</t>
  </si>
  <si>
    <t>gimiento de Gerona....;...............A.....d... '¡¡y. 30. Pedro Pons * hijo de Pablo y Catalina , natural de Fscála, Corregimiento de Gerona..................................... . 49. 13. Felipe F-rancas , hijo de Benito y Margarita, natural de Figols , Corregimiento de Manresa.......</t>
  </si>
  <si>
    <t>y Claudia, Esteban</t>
  </si>
  <si>
    <t>Esteban y Claudia</t>
  </si>
  <si>
    <t>nto de Manresa................................... 4j. I2. Narciso Clos, hijo de Esteban y Claudia, natural de San Julián, Corregimiento de Gerona.................................. ^ Francisco Ribas, hijo de Prospero y Rosa , natural de AÍcubé, Corregimiento de Tarragona........ .......</t>
  </si>
  <si>
    <t>y Eulalia, Joseph</t>
  </si>
  <si>
    <t>Joseph y Eulalia</t>
  </si>
  <si>
    <t>de Manresa................................ 124. Otro... Pedro Garriga, hijo de Joseph y Eulalia, natural de Barcelona, Corregimiento ídem........................................... 124. . "Valentín Martorell, hijo de otro y Cándida, natural de Artés, Corregimiento de Manresa.........</t>
  </si>
  <si>
    <t>y Felipa Vidal, Christóbal</t>
  </si>
  <si>
    <t>Christóbal y Felipa Vidal</t>
  </si>
  <si>
    <t>oluntarios de España, natural de Juldris, corregimiento de Santiago , é hijo de Christóbal y Felipa Vidal, falleció también sin disposición testamentaria en el hospital general de Madrid el 3 de Julio de 1793: alcanzó a*4 rs. a mrs.: y no habiendo comparecido sus herederos, se les avisa igualme</t>
  </si>
  <si>
    <t>y Florentina, Joseph</t>
  </si>
  <si>
    <t>Joseph y Florentina</t>
  </si>
  <si>
    <t>....... ................. ........... ...... .. 54. 30. Salvador Pujol, hijo de Joseph y Florentina , natural de Reus , Corregimiento de Tarragona........................ . 49. 14. Jayme Puigdemolas, hijo de Joseph y Rosa , natural de Riüdarenas , Corregimiento de Gerona........... ......</t>
  </si>
  <si>
    <t>y Francisca, Félix</t>
  </si>
  <si>
    <t>Félix y Francisca</t>
  </si>
  <si>
    <t>ases. Nombres. Medias filiaciones. Rs. Mrs. Sargento 2.0 Joseph Grasas, hijo de Félix y Francisca, natural de Villafranca de Panadés , Corregimiento ídem......... ioó. 16. Cabo.. Juan Pons, hijo de Gabriel y Margarita, natural de Monistrol, Corregimiento de Manresa.....................</t>
  </si>
  <si>
    <t>y Francisca, Francisco</t>
  </si>
  <si>
    <t>Francisco y Francisca</t>
  </si>
  <si>
    <t>s de la Bola , Corregimiento de Vique............ 53. 32. Mateo Cadena, hijo de Francisco y Francisca , natural de Montellá , Corregimiento de Urge!........................... 49. 3. Cabo.. Antonio Casal, hijo de otro y Ventura, natural de Canillo, Corregimiento de Urgél....................</t>
  </si>
  <si>
    <t>y Francisca, Gregorio</t>
  </si>
  <si>
    <t>Gregorio y Francisca</t>
  </si>
  <si>
    <t>, Corregimiento de Gerona........... ............. 5$. 30. Joseph Mas , hijo de Gregorio y Francisca , natural de Furiosos, Corregimiento de Mataró......... .................... 41* 17* Ramón Boix , hijo de Estéban y Margarita , natural de Caimmajó, Corregimiento de Gerona.................</t>
  </si>
  <si>
    <t>y Francisca, Joseph</t>
  </si>
  <si>
    <t>Joseph y Francisca</t>
  </si>
  <si>
    <t>........................................ 72. 21. Otro... Jacinto Vidal, hijo de Joseph y Francisca, natural de Sellént, Corregimiento de Manresa............................... 85. 19. Joseph Moret, hijo de Francisco y Teresa, natural de País, Corregimiento de Gerona.......... ........ .</t>
  </si>
  <si>
    <t>Gerona...................................... 47. 29. N arciso Fabregas, hijo de Joseph y Francisca, natural de Anglés, Corregimiento de Gerona....... .................... 51. 3. Jayme Viñas, hijo de Antonio y María, natural de Bulpellich, Corregimiento de Gerona.........................</t>
  </si>
  <si>
    <t>y Josepha, Joseph</t>
  </si>
  <si>
    <t>Joseph y Josepha</t>
  </si>
  <si>
    <t>............... 52. 19. TERCERA COMPAÑÍA. Sarmentó* Agustín Carbonell y hijo de Joseph y Josepha, natural . de Guisóna i Corregimiento de Cervera........................ 88. 21. Gábo.. Juan Madriles, hijo de otro y Ana , natural de Altafuíla, Corregimiento de Tarragona................</t>
  </si>
  <si>
    <t>y las Princesas Antonia, Alberto Felipe (príncipe)</t>
  </si>
  <si>
    <t>Príncipe Alberto Felipe y las Princesas Antonia</t>
  </si>
  <si>
    <t>- La Reyna debía salir de Palermo ei dia 3 para Liorna : trae consigo sus hijos menores, que son el Príncipe Alberto Felipe y las Princesas Antonia é Isabel, y le acompaña una comitiva, de roo personas. Permanecerá S. M. en Viena hasta que se restablezca enteramente el sosiego en este Rey no.. Han llegado últimamente aquí 130</t>
  </si>
  <si>
    <t>y Lucía, Joseph</t>
  </si>
  <si>
    <t>Joseph y Lucía</t>
  </si>
  <si>
    <t>erona....................... .................... 69.; t* Magín Boleda, hijo de Joseph y Lucía, natural de Valls, Corregimiento de Tarragona.......................................... 49* 3* Sevilla 3 de Octubre de 1800.== Joseph González.</t>
  </si>
  <si>
    <t>y Margarita, Benito</t>
  </si>
  <si>
    <t>Benito y Margarita</t>
  </si>
  <si>
    <t>Gerona..................................... . 49. 13. Felipe F-rancas , hijo de Benito y Margarita, natural de Figols , Corregimiento de Manresa.................................. 55. 30. Pablo Esc.msa, hijo de Juan y Rosá, natural de Miñána, Cotregimiento de Villafranca.......i..55. 30.</t>
  </si>
  <si>
    <t>y Margarita, Estéban</t>
  </si>
  <si>
    <t>Estéban y Margarita</t>
  </si>
  <si>
    <t>regimiento de Mataró......... .................... 41* 17* Ramón Boix , hijo de Estéban y Margarita , natural de Caimmajó, Corregimiento de Gerona............................ 55. 1. Miguel Bentrina, hijo de Mateo y Margarita, natural de Mieras, Corregimiento de Gerona.....................</t>
  </si>
  <si>
    <t>y Margarita, Gabriel</t>
  </si>
  <si>
    <t>Gabriel y Margarita</t>
  </si>
  <si>
    <t>nca de Panadés , Corregimiento ídem......... ioó. 16. Cabo.. Juan Pons, hijo de Gabriel y Margarita, natural de Monistrol, Corregimiento de Manresa................................ 124. Otro... Pedro Garriga, hijo de Joseph y Eulalia, natural de Barcelona, Corregimiento ídem..............</t>
  </si>
  <si>
    <t>y Margarita, Juan</t>
  </si>
  <si>
    <t>Juan y Margarita</t>
  </si>
  <si>
    <t>nto idem.....!........*.;...... ;............ 42. 25. Adjutorio Molas , hijo de Juan y Margarita , natural de Riiídepéras , Corregimiento de Vique......;........ ........... 42. «5. Sixto Vila, hijo de Juliart y Ana, natural dé Salrá, Corregimiento de Gerona....;...............A.....d.</t>
  </si>
  <si>
    <t>y Margarita, Mateo</t>
  </si>
  <si>
    <t>Mateo y Margarita</t>
  </si>
  <si>
    <t>egimiento de Gerona............................ 55. 1. Miguel Bentrina, hijo de Mateo y Margarita, natural de Mieras, Corregimiento de Gerona................................. 44; 22. Juan Costa , hijo de Andrés é Isabel, nautral de Olivedas , Corregimiento de Gerona....................</t>
  </si>
  <si>
    <t>y María Noel, Claudio</t>
  </si>
  <si>
    <t>Claudio y María Noel</t>
  </si>
  <si>
    <t>los go años de edad : alcanzó en su ajaste gig rs. vn. Claudio Lecourt, hijo de Claudio y María Noel , natural de Morentin en Francia, murió en Cádiz el 10 de Enero de 179Z de edad de 48 años: alcanzó en su ajuste 493 rs. 32 mrs. Pedro Klocq, natural de Mullí en Francia , hijo de Francisco</t>
  </si>
  <si>
    <t>y María, Francisco</t>
  </si>
  <si>
    <t>Francisco y María</t>
  </si>
  <si>
    <t>o de Jaén................ ................................. Juan Casas, hijo de Francisco y María , natural de Fornells , Corregimiento de Manresa................................... 4j. I2. Narciso Clos, hijo de Esteban y Claudia, natural de San Julián, Corregimiento de Gerona..........</t>
  </si>
  <si>
    <t>y María, Joseph</t>
  </si>
  <si>
    <t>Joseph y María</t>
  </si>
  <si>
    <t>á, Corregimiento de Gerona ........................ 42. 25. Ramón Tuco, hijo de Joseph y María , natural de Ribert, Corregimiento de Talarn....:.... ...................... . 55. . 30. Tomas Pagés, hijo de Juan y Teresa, natural de CasteJJó , Córrégiítiierítb de Gerona....... ........</t>
  </si>
  <si>
    <t>, Corregimiento de Gerona................... 41. 22.' Isidro Quintana, hijo de Joseph y María, natural de Gualta, Corregimiento de Gerona............... ........... ,.... 42. 24. Cabo.. Antonio Rubira , hijo de otro y Magdalena, natural de Ceros, Corregimiento de Lérida............</t>
  </si>
  <si>
    <t>y María, Juan</t>
  </si>
  <si>
    <t>Juan y María</t>
  </si>
  <si>
    <t>......... ......................................... 43. 1. Pedro Pont,. hijo de-Juan y María, natural de Mieras, Corregimiento de Gerona.....!;..... ................................ ;.... 55.- 30. Lu is Renart,.hijo de Jayme y Ana', natural de Villanova, Corregimiento de Gerona...</t>
  </si>
  <si>
    <t>y María, Pedro</t>
  </si>
  <si>
    <t>Pedro y María</t>
  </si>
  <si>
    <t>miento ídem......:............................ Tambor. Joseph Sandoval, hijo de Pedro y María, natural de Ubeda, Reyno de Jaén................ ................................. Juan Casas, hijo de Francisco y María , natural de Fornells , Corregimiento de Manresa...................</t>
  </si>
  <si>
    <t>y Mariana, Juan</t>
  </si>
  <si>
    <t>Juan y Mariana</t>
  </si>
  <si>
    <t>de Gerona...,,.............................. . 43. 23. Lorenzo Arbosé , hijo de Juan y Mariana , natural de Casa de la Selva , Corregimiento de Gerona................. 52. 19. TERCERA COMPAÑÍA. Sarmentó* Agustín Carbonell y hijo de Joseph y Josepha, natural . de Guisóna i Corregimien</t>
  </si>
  <si>
    <t>y Narcisa, Juan</t>
  </si>
  <si>
    <t>Juan y Narcisa</t>
  </si>
  <si>
    <t>nto ídem........................................ 5 530. M arrin Daunis, hijo de Juan y Narcisa, natural de San Feria, Corregimiento de Gerona........................................ 5 5; 30. Rafael Claramunt, hijo de Lorenzo y Teresa, natural de Lérida, Corregimiento ídem...........</t>
  </si>
  <si>
    <t>y Paula, Joseph</t>
  </si>
  <si>
    <t>Joseph y Paula</t>
  </si>
  <si>
    <t>......................... ■.................... . 55* 3°* Juan In gles, hijo de Joseph y Paula, natural de Verdu, Corregimiento de Lérida..................... 55. 30. Joseph Quintana, hijo de Jayme y Ana María, natural de la Muga, Corregimiento de Gerona......... .............. 52.</t>
  </si>
  <si>
    <t>y Rita, Henrique</t>
  </si>
  <si>
    <t>Henrique y Rita</t>
  </si>
  <si>
    <t>.................................... 5 5’. 3b. Domingo Serracarabasa, - hijo de Henrique y Rita, natural de S. Quirse-, Corregimiento-de Vique...... ■........ . 47.Juan Mhnó, hijo-de Francisco y'María* natural de Ole</t>
  </si>
  <si>
    <t>y Romero, Bernardo Miguel</t>
  </si>
  <si>
    <t>Bernardo Miguel y Romero</t>
  </si>
  <si>
    <t>de religiosas Mercenarias descalzas de Madrid, vacante por fallecimiento de D. Francisco Guerra, á D. Bernardo Miguel y Romero, Capellán tercero del mismo convento: para otra Capellanía del de Carmelitas descalzas de Santa Teresa de Madrid, vacante por renuncia que ha hecho de ella su poseedor D. Tomas Pe</t>
  </si>
  <si>
    <t>y Rosa, Joseph</t>
  </si>
  <si>
    <t>Joseph y Rosa</t>
  </si>
  <si>
    <t>iento de Tarragona........................ . 49. 14. Jayme Puigdemolas, hijo de Joseph y Rosa , natural de Riüdarenas , Corregimiento de Gerona........... ............. 5$. 30. Joseph Mas , hijo de Gregorio y Francisca , natural de Furiosos, Corregimiento de Mataró......... ........</t>
  </si>
  <si>
    <t>y Rosá, Juan</t>
  </si>
  <si>
    <t>Juan y Rosá</t>
  </si>
  <si>
    <t>nto de Manresa.................................. 55. 30. Pablo Esc.msa, hijo de Juan y Rosá, natural de Miñána, Cotregimiento de Villafranca.......i..55. 30. r Joseph Cor ver a, hijo de Manuel'y Rosa ^'riátúral dé Clayelk*,-CorregiiTíiéntode Gerona..... . i........i,.'........ 52</t>
  </si>
  <si>
    <t>y Rosa, Mateo</t>
  </si>
  <si>
    <t>Mateo y Rosa</t>
  </si>
  <si>
    <t>erona............... .................................. 30. Pedro Font, hijo de Mateo y Rosa, natural de Riudare. ñas •, Corregimiento de Gerona...,,.............................. . 43. 23. Lorenzo Arbosé , hijo de Juan y Mariana , natural de Casa de la Selva , Corregimiento de Ge</t>
  </si>
  <si>
    <t>y Rosa, Tomás</t>
  </si>
  <si>
    <t>Tomás y Rosa</t>
  </si>
  <si>
    <t>orregimiento de Gerona......... .............. 52. 15. Jayme Cantare!!, hijo de Tomas y Rosa, natural de Manresa, Corregí miento idem......... ......................................... 43. 1. Pedro Pont,. hijo de-Juan y María, natural de Mieras, Corregimiento de Gerona.....!;.....</t>
  </si>
  <si>
    <t>y Serafina, Antonio</t>
  </si>
  <si>
    <t>Antonio y Serafina</t>
  </si>
  <si>
    <t>, Corregimiento de Gerona......... .................. . 30, Juan Solé, hijo de Antonio y Serafina, natural de Barcelona, Corregimiento idem...;..........:........................ 54; n.i Ignacio Morirás, hijo de Salvio y Cecilia, natural de Casa de la Selva , Corregimiento de Gerona...</t>
  </si>
  <si>
    <t>y Teresa, Francisco</t>
  </si>
  <si>
    <t>Francisco y Teresa</t>
  </si>
  <si>
    <t>imiento de Manresa............................... 85. 19. Joseph Moret, hijo de Francisco y Teresa, natural de País, Corregimiento de Gerona.......... ........ ................. 46. 1,</t>
  </si>
  <si>
    <t>y Teresa, Juan</t>
  </si>
  <si>
    <t>Juan y Teresa</t>
  </si>
  <si>
    <t>ento de Talarn....:.... ...................... . 55. . 30. Tomas Pagés, hijo de Juan y Teresa, natural de CasteJJó , Córrégiítiierítb de Gerona....... ................................... 55. 30. Mariano Sans ¿ hijo de Jos‘eph y Magdalena, natürarde Balaguér y Corrégimiénto idem....</t>
  </si>
  <si>
    <t>y Teresa, Lorenzo</t>
  </si>
  <si>
    <t>Lorenzo y Teresa</t>
  </si>
  <si>
    <t>rona........................................ 5 5; 30. Rafael Claramunt, hijo de Lorenzo y Teresa, natural de Lérida, Corregimiento ídem.................................. 55. 30. Joseph Huguet, hijo de Pedro y Teresa, natural de Tora, Corregimiento de Cervera...........................</t>
  </si>
  <si>
    <t>y Teresa, Pablo</t>
  </si>
  <si>
    <t>Pablo y Teresa</t>
  </si>
  <si>
    <t>to de Gerona............................... . 52. 20. , Ramón Domingo , hijo de Pablo y Teresa , natural de Mqntblanch, Corregimiento idem.................................. 58. 13* Cabo.. Juan Puig , hijo de Joseph y María, natural de Caléis, Corregimiento de Gerona..................</t>
  </si>
  <si>
    <t>y Teresa, Pedro</t>
  </si>
  <si>
    <t>Pedro y Teresa</t>
  </si>
  <si>
    <t>egimiento ídem.................................. 55. 30. Joseph Huguet, hijo de Pedro y Teresa, natural de Tora, Corregimiento de Cervera............................. ■.................... . 55* 3°* Juan In gles, hijo de Joseph y Paula, natural de Verdu, Corregimiento de Lérida.....</t>
  </si>
  <si>
    <t>y Víolanta, Joseph</t>
  </si>
  <si>
    <t>Joseph y Víolanta</t>
  </si>
  <si>
    <t>2© Carlos Suca, «atural de Alexandría en el Píamoñte, hijo de Joseph y Víolanta, falleció en Cádiz el 19 de Julio de 1791 á los go años de edad : alcanzó en su ajaste gig rs. vn. Claudio Lecourt, hijo de Claudio y María Noel , natural de Morentin en Francia, murió en C</t>
  </si>
  <si>
    <t>Ya, Antonio Vicente</t>
  </si>
  <si>
    <t>Antonio Vicente Ya</t>
  </si>
  <si>
    <t>citado de mi Real Persona, los Oidores deaquellaAu-i 4ienciá D. Francisco Tomas Perez de los Cobos, D. Antonio Vicente Ya»-&lt; ñcz/9 D. Joseph. Damian de Cuenca, y el Alcalde de la Quadra D. Joseph&gt; María Galdiano y Zalduendo, quienes olvidados de las obligaciones de s» pmpleo, y de lo qué exigía su pr</t>
  </si>
  <si>
    <t>Yadeleux</t>
  </si>
  <si>
    <t>deras ganadas á los austríacos en las acciones de ib y 19 de Junio, se llama el ciud. Yadeleux: tiene 22 años y otras tintas heridas, que ha recibido sirviendo en el exército de Egipto y en el del Rhin. De C alais escriben que 15 navios ingleses y 300 tr</t>
  </si>
  <si>
    <t>Yague, Agustín</t>
  </si>
  <si>
    <t>Agustín Yague</t>
  </si>
  <si>
    <t>servido nombrar para la dignidad de Chantre de la catedraL de Cuenca, vacante por fallecimiento de D. Agustín Yague, á D. Félix Ximenez,., Canónigo de la de Sigiienza: para una Canongía de la catedral'de Ciudad-Rodrigo, vacante oor muerte de D. Anselmo del Valle, á D. Benito de Céspedes*, para</t>
  </si>
  <si>
    <t>Yañez y Máximo Miralles, Joseph</t>
  </si>
  <si>
    <t>Joseph Yañez y Máximo Miralles</t>
  </si>
  <si>
    <t>aderos ai de fusileros D. Pedro Pascual Carrasco; á primeros Tenientes á los segundos de granaderos D. Joseph Yañez y Don Máximo Miralles, y á los de fusileros D. Manuel Ballesteros y D. Pedro Patino; á segundos Tenientes de granaderos á los de fusileros D. Francisco Bartolomé y D. Joseph Baamonde; á segundos Tenien</t>
  </si>
  <si>
    <t>Yáñez, Antonio Vicente</t>
  </si>
  <si>
    <t>Antonio Vicente Yáñez</t>
  </si>
  <si>
    <t>. Rodrigo Riquelme, y para está plaza á D. Francisco * Toribio de Ugárte: para la plaza que obtenía D. Antonio Vicente Yáñez' al Alcalde también de la misma Quadra D. Pedro Joseph Pinuaga y Tole-&gt; d.ó: para esta,resulta á D. Manuel Beunza : para la que obtenía D. Joseph : Damian dé Cuenca á ;D. Pedro Mar</t>
  </si>
  <si>
    <t>Yañez, Benigno</t>
  </si>
  <si>
    <t>Benigno Yañez</t>
  </si>
  <si>
    <t>se adjudicaron das á D. Romualdo Yañez, y las demas á D. Nicolás de la Riva, D. Vicente Velazquez, D. Benigno Yañez, D. Juan Llanas, D. Gregorio Pan y D. Julián García. AlgcCiras 13 de Agosta, H oy á lafc 6 de la tarde fondeó en esta bahía el bergantín ingles el Alerta, de porte.de 140 tonelada</t>
  </si>
  <si>
    <t>Yañez, Joseph</t>
  </si>
  <si>
    <t>Joseph Yañez</t>
  </si>
  <si>
    <t>a: en el de Orense compañía al Teniente D. Francisco Miranda; la Tenencia de granaderos al Teniente D. Joseph Yañez; Tenencia de fusileros al Subteniente D. Manuel Ignacio Domeneeh , y las Subtenencias de granaderos y cazadores \á los Subtenientes D. Roque González de Fuga y D. Francisco Casal</t>
  </si>
  <si>
    <t>zoná; y los de Fragata D. Rafael Basabe y D. Tomas de Gana, y el Teniente de granaderos de Monterey D. Joseph Yañez. Los muertos en la segunda el Alférez de Fragata D. Miguel Godoy, el Ayudante mayor del Rey D. Miguel Planes y el Cadete D. Ramón Pardo; y heridos los primeros Tenientes de Asturi</t>
  </si>
  <si>
    <t>Yañez, Romualdo</t>
  </si>
  <si>
    <t>Romualdo Yañez</t>
  </si>
  <si>
    <t>7^4 premios, entre ellos ocho medallas de plata, de las quales se adjudicaron das á D. Romualdo Yañez, y las demas á D. Nicolás de la Riva, D. Vicente Velazquez, D. Benigno Yañez, D. Juan Llanas, D. Gregorio Pan y D. Julián García. AlgcCiras 13 de Agosta, H oy á lafc 6 de la tarde</t>
  </si>
  <si>
    <t>Yanguas y Acuna, Joseph María</t>
  </si>
  <si>
    <t>Joseph María Yanguas y Acuna</t>
  </si>
  <si>
    <t>de la ciudad de Xerez de la Frontera al Marques de la Candía: para e de letras de la de Bujalance á D. Joseph María Yanguas y Acuna: para el do la v.11a de Aréválo á D. Joachin Calvez de Sant.llana: para el de Madrigal a D Miguel Alvarez de Loaisa: para la vara de Alcalde mayor 1 entente primero de Asistente d</t>
  </si>
  <si>
    <t>Yorck</t>
  </si>
  <si>
    <t>ese al cumplimiento del tratado; pero que le dexaba satisfecho la respuesta del Ministro. Dundas; y Mr. Yorck añadió que sin razón suponían algunos vocales que las primeras órdenes recibid &gt;.s por el Lord Keith, no sé le habían comunicado sino después de ajustado dicho convenio, pues bast</t>
  </si>
  <si>
    <t>Yorck, Cardenal</t>
  </si>
  <si>
    <t>Cardenal Yorck</t>
  </si>
  <si>
    <t>el telégrafo la situación verdadera y el estado respectivo de cada buque. Acaba S. M. de asignar ál Cardenal Yorck una pensión de 4© libras esterlinas durante su vida. Han baxado algo estos dias los fondos públicos, sin duda porque la nueva expedición que dispone este gabinete indica la contin</t>
  </si>
  <si>
    <t>Ypsiíanti, Príncipe</t>
  </si>
  <si>
    <t>Príncipe Ypsiíanti</t>
  </si>
  <si>
    <t>tablecido su residencia los Príncipes griegos. Las llamas consumieron enteramente el palacio que el Príncipe Ypsiíanti estaba reedificando en lugar del que hace año y medio ardid en otro incendio. Acaba el Gran Señor de nombrar Kadíleskier de Romeüa al Bey Ismael) que ha sido primer Ministro plenipo</t>
  </si>
  <si>
    <t>Yurre, Manuel</t>
  </si>
  <si>
    <t>Manuel Yurre</t>
  </si>
  <si>
    <t>imiento de caballería de Montesa se ha servido 'también S. M. promover á Alférez al Portaestandarte D. Manuel Yurre; y á Portaestandarte al Cadete D. Joseph Frasnedo: en el de Carabineros de la Rey na María Luisa á Teniente Coronel al Comandante de esquadron Vizconde de■ ¿Jolina ; á,Comandante</t>
  </si>
  <si>
    <t>Yustiniani, Juan</t>
  </si>
  <si>
    <t>Juan Yustiniani</t>
  </si>
  <si>
    <t>primeros Subtenientes D. Joseph Castaño y-D. Antonio Ruiz; á primíeros Subtenientes á los sc°undo$ D. Juan Yustiniani y D.Antonio González; y á segundos Subtenientes á los Cadetes D. Vicente Sánchez y D. Joseph Conesa, y á los Sargentos primeros de granaderos D. Antonio Xerez, graduado de Subteniente</t>
  </si>
  <si>
    <t>Yutz, Bernardo</t>
  </si>
  <si>
    <t>Bernardo Yutz</t>
  </si>
  <si>
    <t>ranaderos á los de fusileros D. Alexandro de Korb y D. Manuel Gerig; á Tenientes á los Subtenientes D. Bernardo Yutz, D. Fidel de Reding, de granaderos, D. Francisco Kamer, D. Víctor'Nidérist y D. Joseph Ledergerw, y á‘Subteniente dé granade-1 ros ai de fusileros D. Joseph Kaysér ; lvabiéndoAgua</t>
  </si>
  <si>
    <t>YVilliams, Capitán</t>
  </si>
  <si>
    <t>Capitán YVilliams</t>
  </si>
  <si>
    <t>las actuales sesiones parlamentarias. Schajfhusa 21 de Mayo. L os artilleros de la esquadriila del Capitán YVilliams se hallan prisioneros de guerra en Roschach. Un cuerpo de 7 á 8® hombres, mandado por el General de división Lorge, ha ido del exército del Rhin á reforzar el del Teniente General</t>
  </si>
  <si>
    <t>Zablonowsky, General</t>
  </si>
  <si>
    <t>General Zablonowsky</t>
  </si>
  <si>
    <t>yo que los enemigos intentaban cercarme, determiné marchar á la línea de Borghetto. Entre tanto el General Zablonowsky derrotó á una división enemiga que adelantándose por el Tanaro había llegado á la Pieva, y le hizo 500 prisioneros. El 9 recibí órdenes de Massena para atacar á los enemigos, y me pu</t>
  </si>
  <si>
    <t>Zacarías Mateo, Carlos</t>
  </si>
  <si>
    <t>Carlos Zacarías Mateo</t>
  </si>
  <si>
    <t>la parroquial de la ciudad de Chinchilla, en el obispado de Cartagena, vacante por fallecimiento de D. Carlos Zacarías Mateo, á D. Joseph Costa, con la obligación de servirlo según la carga que tiene anexa; y para otro de la de la villa de Alforja, diócesis de Tarragona, baxo la invocación de S. Miguel</t>
  </si>
  <si>
    <t>Zacarías Pérez</t>
  </si>
  <si>
    <t>rpo: en el de Murcia la Tenencia y Subtenencia de granaderos al Teniente y Subteniente de fusileros D. Zacarías Perez y D. Mateo López; y la Subtenencia de cazadores al Subteniente de fusileros D. Luis Ibañez ae Navarra: en el de Bujaiance Tenencia de fusileros al Subteniente de cazadores D. Rafael P</t>
  </si>
  <si>
    <t>Zach, General</t>
  </si>
  <si>
    <t>General Zach</t>
  </si>
  <si>
    <t>do 6® hombres, 15 banderas y 50 cañones. Hemos cogido 82) prisioneros, entre los quales se halla el General Zach, xefe de la plana mayor , y otros muchos Generales. Nuestra pérdida consiste en 600 muertos, 1500 heridos y 903 prisioneros. Los Generales Monnier, Desaix y Keüerman, y el xefe de</t>
  </si>
  <si>
    <t>e nuestra izquierda, dio un ataque con tal ardor y tan á tiempo , que 6® granaderos austríacos y el General Zach , xefe efe la plana mayor general, quedaron prisioneros, y varios Generales enemigos muertos. Todo el exército siguió este movimiento: la derecha de los enemigos se halló cortada,</t>
  </si>
  <si>
    <t>on 400 oficiales y 8 Generales heridos; entre estos últimos se hallan Mrs. Haddick y Bellegarde. El General Zach, xefe de la plana mayor, está prisionero/’ Se asegura que el primer Cónsul ha escrito al Emperador una carta de propio puño sumamente expresiva sobre la paz; y que tomó las posibl</t>
  </si>
  <si>
    <t>s los preliminares iba ya á tratarse ae la paz___ De la misma ciudad escriben que habiendo el Mayor General Zach expuesto al publico las primorosas pistolas de la fábrica ae Versálles, que le regaló en París el primer Cónsul, era tal el gentío que acudía á ver la perfección de la obra, que el</t>
  </si>
  <si>
    <t>Zafra, Joseph</t>
  </si>
  <si>
    <t>Joseph Zafra</t>
  </si>
  <si>
    <t>do de Coronel* D. Joseph Sánchez Yebra; y en el de Almansa á Teniente al Alférez de granaderos D. Joseph Zafra. Pragmática Sanción en fuerza de ley, por la qual ratifica S. M., y en caso necesario de su propio motu y cierta ciencia declara ser los Vales Pesies tíe ¡as siete creaciones publ</t>
  </si>
  <si>
    <t>Zagg</t>
  </si>
  <si>
    <t>á los enemigos y Jes cogieron 621 prisioneros, entre los quales se hallaban los Generales Zagg, Saint-.Julieny otros varios Generales, y casi todos los oficiales de;: plqna mayor: Teniair aun los enemigos una tercer'línea de infanrerí¡a sostenida por tod</t>
  </si>
  <si>
    <t>Zagg, General</t>
  </si>
  <si>
    <t>General Zagg</t>
  </si>
  <si>
    <t>gado aquí con las banderas cogidas á los austríacos en el paso del Danubio. Igualmente ha venido el General Zagg, xefe de la plana mayor del exército austríaco de Italia , que quedó prisionero en la batalla de Marenga quando al frente de un cuerpo de 63 hombres esperaba hacer prisionero ai p</t>
  </si>
  <si>
    <t>a y la Holanda. Viena 8 de Agosto. H an vuelto de París el General Conde de Saint-Julien y el Mayor General Zagg. Acaba el Ministro ingles residente aquí de declarar á esta corte que en</t>
  </si>
  <si>
    <t>Zaldivar, Joseph Cayetano</t>
  </si>
  <si>
    <t>Joseph Cayetano Zaldivar</t>
  </si>
  <si>
    <t>ubteniente de bandera del regimiento de milicias disciplinadas de infantería de la Havana al Cadete D. Joseph Cayetano Zaldivar: en.el de caballería de la misma clase á Xeniente veterano á D. Manuel Noriega, graduado de Teniente; y en el batallón de milicias disciplinadas de infantería de Cuba y Bayamo á C</t>
  </si>
  <si>
    <t>Zalduendo, Ignacio</t>
  </si>
  <si>
    <t>Ignacio Zalduendo</t>
  </si>
  <si>
    <t>ic6ó Sevilla, vacante por fallecimiento de D. Ignacio Zalduendo, á D. Francisco Chacón: para la Ración, que este dexa, al Medio-Racionero D. Angel María de Guzman : para esta Media-Ración á D. Juan Fernandez Soler: para otra Canongía, vacante</t>
  </si>
  <si>
    <t>Zamaum-Shah</t>
  </si>
  <si>
    <t>rse del golpe. Por cartas recibidas de la India la semana última se sabe que el caudillo Zamaum-Shah ha depuesto las armas, suspendiendo todas sus disposiciones hostiles. El Almirante Blanquet había entrado en Boinbay; el castillo de Juan-Labad se entregó á lo</t>
  </si>
  <si>
    <t>Zambrana, Jorge</t>
  </si>
  <si>
    <t>Jorge Zambrana</t>
  </si>
  <si>
    <t>Manuel Pereyra; á segundo Teniente al Alférez D. Alonso Marín ; á Alféreces á los Portaestandartes D. Jorge Zambrana y D. Jayme Goig, y á Portaestandartes á los Cadetes Don Carlos Lanzarote y D. Ildefonso Quintana : en el del Infante á segundo</t>
  </si>
  <si>
    <t>Zamora, Alexo</t>
  </si>
  <si>
    <t>Alexo Zamora</t>
  </si>
  <si>
    <t>imer Teniente de granaderos al de fusileros D. Joseph Carrillo; £ primeros Tenientes á los segundos D. Alexo Zamora y D. Fernando de Rodas, este graduado de Capitán; á segundos Tenientes á los Subtenientes de granaderos £). Francisco Samaniego, graduado de Teniente, D. Juan Manuel Cibidancs y D. Ra</t>
  </si>
  <si>
    <t>Zamora, Joseph</t>
  </si>
  <si>
    <t>Joseph Zamora</t>
  </si>
  <si>
    <t>os compendiosos de albeytería, arreglados á la práctica de los mas clásicos autores medicinales por D. Joseph Zamora. Se hallará en la librería de Dávila , calle de las Carretas. Historia de los Niños célebres, traducida del francés. Mr. Trevil, autor de esta preciosa obra moral, y de los nuevos</t>
  </si>
  <si>
    <t>Zancada, Miguel</t>
  </si>
  <si>
    <t>Miguel Zancada</t>
  </si>
  <si>
    <t>edro Joseph Espadero, Don Francisco Casal y Marado, D. Antonio Pándelo, D. Antonio .María Moscoso y D. Miguel Zancada; y Subtenencias de bandera en los de Toledo y Laredo á D. Juan Manuel Iglesias y D. Sebastian de S. Juan González. En América. El Rey se ha servido conferir el empleo de Coronel d</t>
  </si>
  <si>
    <t>Zanglada de Togo, Joseph</t>
  </si>
  <si>
    <t>Joseph Zanglada de Togo</t>
  </si>
  <si>
    <t>nstancias. Las memorias, manufacturas y certificaciones referidas se han de presentar al secretario D. Joseph Zanglada de Togo*res ántes del dia i.° de Octubre de este año, y las que vengan de fuera de la isla se dirigirán francas de porte al de correspondencias, y podrán escribirse unas y otras en castel</t>
  </si>
  <si>
    <t>Zanglada de Togóres, Joseph</t>
  </si>
  <si>
    <t>Joseph Zanglada de Togóres</t>
  </si>
  <si>
    <t>bítero D. Diego Molina. El Rey ha nombrado Teniente Coronel del regimiento provincial de Mallorca á D. Joseph Zanglada de Togóres, Capitán de fusileros del propio cuerpo; ¿ ■ .. En América. El .Rey se ha servido nombrar) para el Arcedianato de ia metropolitana de México, vacante por fallecimiento de D. Josep</t>
  </si>
  <si>
    <t>Zapatero, Juan</t>
  </si>
  <si>
    <t>Juan Zapatero</t>
  </si>
  <si>
    <t>o en segundo; á este empleo á D. Carlos Cabrer y D. Pedro Hernando, Ingenieros ordinarios; á este a D. Juan Zapatero, Ingeniero extraordinario; y á esta clase al Ayudante D. Vicente Ceris. Atendiendo el Rey á la avanzada edad y quebrantada salud de D. Joseph Ruiz de Celada, Relator de la Cámara,</t>
  </si>
  <si>
    <t>Zapiain, Miguel</t>
  </si>
  <si>
    <t>Miguel Zapiain</t>
  </si>
  <si>
    <t>niente Je granaderos D. Carlos de Romree. En el de infantería del Rey á Ayudante al primer Teniente D. Miguel Zapiain ; á primer Teniente al segundo de granaderos D. Tomas Butler; á segundo Teniente de granaderos al de fusileros D. Agustín Molina; á segundo Teniente aí Subteniente de granaderos D</t>
  </si>
  <si>
    <t>Zapino, Joseph</t>
  </si>
  <si>
    <t>Joseph Zapino</t>
  </si>
  <si>
    <t>anuel Briz : •en el de infantería de Extremadura á segundo Teniente de granaderos al .de. fusileros D. Joseph Zapino: en el de Jaén á segundos Subtenientes á los Sargentos primeros D. Juan Bronchal y D. Francisco Fernandez , este de granaderos, y á los Cadetes D. Francisco Rodrigo Vallabriga y D</t>
  </si>
  <si>
    <t>Zarandía, Martín</t>
  </si>
  <si>
    <t>Martín Zarandía</t>
  </si>
  <si>
    <t>ndo Márquez de la Plata , D. Manuel Minio, D. Diego Lara, D. Vicente Ros, D. Joseph González Pardo, D. Martin Zarandía, D. Ramón Gómez, D. Rafael Riesch, D. Francisco Calderón de la Barca, D. Luis Solana, D.Fernán.lo Navia,D. Miguei Forcalio, Don Jacobo Gil de Avalle, D. Joachin Ponte, D.Francisco</t>
  </si>
  <si>
    <t>Zarco, Joseph Nicolás</t>
  </si>
  <si>
    <t>Joseph Nicolás Zarco</t>
  </si>
  <si>
    <t>para la Vara de Alcalde mayor de la ciudad de Málaga á D. Mariano Madramany: para la de Sepúlveda á D. Joseph Nicolás Zarco: para la primera de la ciudad de Córdoba á Don Benito Saiz de Villegas: para el corregimiento de letras de Lacena, que este dexa, á D. Antonio de la Escalera; y para el de Chinchi</t>
  </si>
  <si>
    <t>Zavaja, Francisco</t>
  </si>
  <si>
    <t>Francisco Zavaja</t>
  </si>
  <si>
    <t>s al de fusileros D. Antonio Lasala. En el de Aragón á segundo Subteniente al Cadete del de Córdoba D. Francisco Zavaja. En el de Extremadura á primer Teniente al segundo de granaderos, graduado de Capitán, D. Ramón Réy.^ En el de voluntarios de Castilla ¿í primer Teniente de granaderos al de fusil</t>
  </si>
  <si>
    <t>Zavala y Zamora, Gaspar</t>
  </si>
  <si>
    <t>Gaspar Zavala y Zamora</t>
  </si>
  <si>
    <t>de en la librería de Ranz, calle de la Cruz. Alexandro en la Sogdiana: comedia nueya en 3 actos por D, Gaspar Zavala y Zamora, representada en los teatros de esta corte. Se hallará en las librerías de Quiroga y Cerro * en su puesto, calle de Alcalá j en el de Sánchez, calle dei Principe, y en el del Diar</t>
  </si>
  <si>
    <t>e Ximenez, Caño', del Peral. Comedia nueva: la Tamara, ó el Poder del beneficio: en tres actos, por Don Gaspar Zavala y Zamora. Se hallará en las librerías de Quiroga, calle de la Concepción, de Cerro, Red de S. Luis, y en los puestos de este calle de Alcalá, de Sánchez, calle del Príncipe, frente el coli</t>
  </si>
  <si>
    <t>Zcltner</t>
  </si>
  <si>
    <t>ania. Según avisos de Berna la Junta ejecutiva interina de Suiza ha depuesto al ciud. Zcltner, Ministro plenipotenciario de Suiza en Francia , y en su lugar ha nombrado al ciud. Jenner , Comisario extraordinario del gobierno helvético en París.__ La men</t>
  </si>
  <si>
    <t>Zea, Antonio</t>
  </si>
  <si>
    <t>Antonio Zea</t>
  </si>
  <si>
    <t>eces de ella D. Joseph Carrillo, D. Pedro Iturraldcn, D. Pedro de Iriberri y D. Antonio Zea, Teniente del regimiento de dragones de la Rey na. . Al Teniente Coronel D. Juan de Villalba, Sargento mayor de la plaza de Cádiz, ha concedido el Rey grado de Coronel de infantería. S. M.</t>
  </si>
  <si>
    <t>Zeítner</t>
  </si>
  <si>
    <t>Schimmelpenninck, Embaxador y Ministro plenipotenciario de la República bátava: ciud. Zeítner» Ministro plenipotenciario cjue íué de la República helvética , que presento sus recrcdenciales: ciud. Jenner , Ministro plenipotenciario actual de dicha Repúb</t>
  </si>
  <si>
    <t>Zelger, Francisco</t>
  </si>
  <si>
    <t>Francisco Zelger</t>
  </si>
  <si>
    <t>Subteniente D. Remigio Kaysser; á Subtenientes de granaderos á los de fusileros O. Félix Obersteg y D. Francisco Zelger, y á Subtenientes de fusileros á los Cadetes D. Fernando Gasser, Don Jorge Jacobo Traxler, D. Jum Godt y D. Francisco Scheer; y en el Suizo de Courten Tenencia de fusileros al Sub</t>
  </si>
  <si>
    <t>Zimmermann</t>
  </si>
  <si>
    <t>lará á 6 rs. en las librerías de Francés y Barco. Diá» egos de Federico II , Rey de Prusia , con el Dr. Zimmermann, Médico y Consejero de S. M. .Británica: traducidos del Portugués por D. J. R. C. : .un tomo en 8.° Se hallará en la librería de Castillo , frente á las gradas de S. Felipe , y en</t>
  </si>
  <si>
    <t>Zopf, General</t>
  </si>
  <si>
    <t>General Zopf</t>
  </si>
  <si>
    <t>aso que se retire él Príncipe; Carlos, que; siguer algo enfermo. _ El mando de Mantua se ha dado al General Zopf. « i Los hielos dtel Danubio han roto dos ateos del «puente de esta, ciudad, por Jo qúal se halla enteramente interrumpida la comunicación éntre Bohemia y Moravia.</t>
  </si>
  <si>
    <t>Zoph, General</t>
  </si>
  <si>
    <t>General Zoph</t>
  </si>
  <si>
    <t>orden á los cuerpos provinciales de aquel pais para que se dispongan á marchar al primer aviso. El General Zoph, comandante del Tirol, ha pedido su dimisión , y le reemplaza el Barón de Staader. Confirman los avisos de Viena que Ali, Baxá de Janina, sigue haciendo disposiciones para atacar</t>
  </si>
  <si>
    <t>Zorri, Joseph</t>
  </si>
  <si>
    <t>Joseph Zorri</t>
  </si>
  <si>
    <t>Palacios; á Ayudante al primer Teniente Don luán Loarte; á primer Teniente al segundo de granaderos D. Joseph Zorri-. lia* á segundo Teniente de granaderos al de fusileros D. Joseph Perez del ViUar; á segundos Tenientes al Subteniente de granaderos D. Roque ,Garralon, y al primer Subteniente D.</t>
  </si>
  <si>
    <t>Zorrilla de San Martín, Ramón</t>
  </si>
  <si>
    <t>Ramón Zorrilla de San Martín</t>
  </si>
  <si>
    <t>o ele Sepíuveaá, dignidad de la catedral de Segovia, vacante por muerte de D. Miguel dp Grijalba, á D. Ramón Zorrilla de San Martin, con dimisión de ía Canonígía que obtiene en la misma iglesia: para una Cauongía de la de Córda</t>
  </si>
  <si>
    <t>Zorrilla, Ramón</t>
  </si>
  <si>
    <t>Ramón Zorrilla</t>
  </si>
  <si>
    <t>mente Gascón, á D. Pedro de Pablos: pura otra de la misma, que se halla vacante por la promoción de D. Ramón Zorrilla al Arcedianato de Sepúlveda, á D. Francisco Ribero Medrnno: para la Ración de la Colegí.il de Xcrez de la Frontera, en el arzobispado de Sevilla, vacante' por fallecimiento de D.</t>
  </si>
  <si>
    <t>Zozaya, Juan Bautista</t>
  </si>
  <si>
    <t>Juan Bautista Zozaya</t>
  </si>
  <si>
    <t>udad, y de ser cóncejante; quedando absuelto de 'los Cargos que sé le han hecho sobre infidencia. A D. Juan Bautista Zozaya, Alcalde de segundo voto, que convino *en la acta, 2 años de destierro á 20 leguas de S. Sebastian, de la corte y sitios Reales, sin que pueda tener en lo sucesivo empleos de Ayun</t>
  </si>
  <si>
    <t>Zuazo, Antonio</t>
  </si>
  <si>
    <t>Antonio Zuazo</t>
  </si>
  <si>
    <t>Manuel Pereyra; y en el de Extremadura á Capitán al Ayudante* graduado también de Teniente Coronel* D. Antonio Zuazo: habiendo nombrado Teniente del Real cuerpo de artillería al Subteniente del mismo D. Manuel de Velasco. , _ ' _ _ . En atención á los servicios y méritos de D. Alexo Koxo lamanz,</t>
  </si>
  <si>
    <t>Zubia, Julián</t>
  </si>
  <si>
    <t>Julián Zubia</t>
  </si>
  <si>
    <t>opia renta, en México, á D. Joseph Ramón Továr: la de Guarda de la factoría del tabaco de Durango á D. Julián Zubia: la de Oficial tercero segundo de la administración principal de la aduana de Cartagena de Indias á D. Domingo Nuñez, Oficial quarto primero: este destino á D. Cárlos Benedeti, Of</t>
  </si>
  <si>
    <t>Zubiria, Joseph</t>
  </si>
  <si>
    <t>Joseph Zubiria</t>
  </si>
  <si>
    <t>a Castilla la vieja al Teniente General D. Joseph de Arteaga; para Extremadura al Mariscal de Campo D. Joseph Zubiria: para Galicia al Teniente General D. Francisco Xavier de N^egrete: para Navarra al de la misma clase D. Joachin de Palafox: para Guipúzcoa al Mariscal de Campo Marques de la Solan</t>
  </si>
  <si>
    <t>Zuloaga, Pedro</t>
  </si>
  <si>
    <t>Pedro Zuloaga</t>
  </si>
  <si>
    <t>Vicente Maldonado y D. Joachirr Mandía; y á Alféreces de-granaderos y cazadores á los de fusileros D. Pedro Zuloaga y D. Manuel de Urbina: en el de Reales Guardias Walonas á Alféreces de granaderos á los de fusileros D. Francisco Ricciuüi y D. Federico Moretti; y en el Real cuerpo de Artillería á C</t>
  </si>
  <si>
    <t>Zurita y Adorno, Antonio</t>
  </si>
  <si>
    <t>Antonio Zurita y Adorno</t>
  </si>
  <si>
    <t>de la Frontera, arzobispado de Sevilla, vacante por fallecimiento de D Luis Ramón de Barricarte, á D. Antonio Zurita y Adorno; y para el Beneficio de Santa Barbara de Ecija, en el mismo arzobispado, vacante por promoción de D. Francisco Tuero á Oidor de Cananas, a D. FranAtendiendo el Rey á los méritos d</t>
  </si>
  <si>
    <t>Zurrido, Bartolomé</t>
  </si>
  <si>
    <t>Bartolomé Zurrido</t>
  </si>
  <si>
    <t>existen los bienes siguientes---- Una haza de 24 fanegas de tierra, perteneciente á la obra pia de D. Bartolomé Zurrido, tasada en venta en 24© rs., y en renta en 720.__ Otra haza de 24 fanegas de tierra en el sitio del camino de Arjona, tasada en venta en 31,200 rs., y en renta en 936, pertenecien</t>
  </si>
  <si>
    <t>Fuentes y criterio de elaboración</t>
  </si>
  <si>
    <t>Páginas impresas</t>
  </si>
  <si>
    <t>Registros</t>
  </si>
  <si>
    <t>Fascículo oficial (PDF)</t>
  </si>
  <si>
    <t>1–8</t>
  </si>
  <si>
    <t>9–20</t>
  </si>
  <si>
    <t>21–28</t>
  </si>
  <si>
    <t>29–40</t>
  </si>
  <si>
    <t>41–48</t>
  </si>
  <si>
    <t>49–60</t>
  </si>
  <si>
    <t>61–68</t>
  </si>
  <si>
    <t>69–76</t>
  </si>
  <si>
    <t>77–88</t>
  </si>
  <si>
    <t>89–100</t>
  </si>
  <si>
    <t>101–108</t>
  </si>
  <si>
    <t>109–116</t>
  </si>
  <si>
    <t>117–128</t>
  </si>
  <si>
    <t>129–136</t>
  </si>
  <si>
    <t>137–144</t>
  </si>
  <si>
    <t>145–152</t>
  </si>
  <si>
    <t>153–164</t>
  </si>
  <si>
    <t>165–172</t>
  </si>
  <si>
    <t>18 (supl.)</t>
  </si>
  <si>
    <t>173–176</t>
  </si>
  <si>
    <t>177–184</t>
  </si>
  <si>
    <t>185–196</t>
  </si>
  <si>
    <t>197–208</t>
  </si>
  <si>
    <t>209–224</t>
  </si>
  <si>
    <t>225–236</t>
  </si>
  <si>
    <t>237–248</t>
  </si>
  <si>
    <t>249–260</t>
  </si>
  <si>
    <t>261–272</t>
  </si>
  <si>
    <t>273–284</t>
  </si>
  <si>
    <t>285–292</t>
  </si>
  <si>
    <t>293–300</t>
  </si>
  <si>
    <t>301–308</t>
  </si>
  <si>
    <t>309–316</t>
  </si>
  <si>
    <t>317–324</t>
  </si>
  <si>
    <t>325–336</t>
  </si>
  <si>
    <t>337–348</t>
  </si>
  <si>
    <t>349–356</t>
  </si>
  <si>
    <t>357–368</t>
  </si>
  <si>
    <t>369–380</t>
  </si>
  <si>
    <t>381–392</t>
  </si>
  <si>
    <t>393–404</t>
  </si>
  <si>
    <t>405–416</t>
  </si>
  <si>
    <t>417–424</t>
  </si>
  <si>
    <t>41 (supl.)</t>
  </si>
  <si>
    <t>425–428</t>
  </si>
  <si>
    <t>429–436</t>
  </si>
  <si>
    <t>42 (supl.)</t>
  </si>
  <si>
    <t>437–440</t>
  </si>
  <si>
    <t>441–452</t>
  </si>
  <si>
    <t>453–464</t>
  </si>
  <si>
    <t>465–476</t>
  </si>
  <si>
    <t>477–492</t>
  </si>
  <si>
    <t>46 (supl.)</t>
  </si>
  <si>
    <t>sin numerar (2 págs.)</t>
  </si>
  <si>
    <t>493–504</t>
  </si>
  <si>
    <t>47 (supl.)</t>
  </si>
  <si>
    <t>505–508</t>
  </si>
  <si>
    <t>509–520</t>
  </si>
  <si>
    <t>48 (supl.)</t>
  </si>
  <si>
    <t>521–524</t>
  </si>
  <si>
    <t>525–532</t>
  </si>
  <si>
    <t>49 (supl.)</t>
  </si>
  <si>
    <t>533–536</t>
  </si>
  <si>
    <t>537–548</t>
  </si>
  <si>
    <t>549–564</t>
  </si>
  <si>
    <t>565–576</t>
  </si>
  <si>
    <t>52 (supl.)</t>
  </si>
  <si>
    <t>577–580</t>
  </si>
  <si>
    <t>581–592</t>
  </si>
  <si>
    <t>53 (supl.)</t>
  </si>
  <si>
    <t>593–596</t>
  </si>
  <si>
    <t>597–608</t>
  </si>
  <si>
    <t>54 (supl.)</t>
  </si>
  <si>
    <t>609–612</t>
  </si>
  <si>
    <t>613–624</t>
  </si>
  <si>
    <t>625–636</t>
  </si>
  <si>
    <t>637–652</t>
  </si>
  <si>
    <t>653–664</t>
  </si>
  <si>
    <t>58 (supl.)</t>
  </si>
  <si>
    <t>665–668</t>
  </si>
  <si>
    <t>669–680</t>
  </si>
  <si>
    <t>681–688</t>
  </si>
  <si>
    <t>689–700</t>
  </si>
  <si>
    <t>701–712</t>
  </si>
  <si>
    <t>713–724</t>
  </si>
  <si>
    <t>725–736</t>
  </si>
  <si>
    <t>737–748</t>
  </si>
  <si>
    <t>749–756</t>
  </si>
  <si>
    <t>757–768</t>
  </si>
  <si>
    <t>769–776</t>
  </si>
  <si>
    <t>70 (extraord.)</t>
  </si>
  <si>
    <t>777–782</t>
  </si>
  <si>
    <t>783–790</t>
  </si>
  <si>
    <t>791–798</t>
  </si>
  <si>
    <t>72 (supl.)</t>
  </si>
  <si>
    <t>799–806</t>
  </si>
  <si>
    <t>807–818</t>
  </si>
  <si>
    <t>73 (supl.)</t>
  </si>
  <si>
    <t>819–822</t>
  </si>
  <si>
    <t>823–838</t>
  </si>
  <si>
    <t>74 (supl.)</t>
  </si>
  <si>
    <t>839–846</t>
  </si>
  <si>
    <t>847–858</t>
  </si>
  <si>
    <t>859–870</t>
  </si>
  <si>
    <t>871–882</t>
  </si>
  <si>
    <t>883–890</t>
  </si>
  <si>
    <t>891–902</t>
  </si>
  <si>
    <t>903–910</t>
  </si>
  <si>
    <t>911–918</t>
  </si>
  <si>
    <t>81 (supl.)</t>
  </si>
  <si>
    <t>919–942</t>
  </si>
  <si>
    <t>943–954</t>
  </si>
  <si>
    <t>955–966</t>
  </si>
  <si>
    <t>967–974</t>
  </si>
  <si>
    <t>84 (supl.)</t>
  </si>
  <si>
    <t>975–978</t>
  </si>
  <si>
    <t>979–986</t>
  </si>
  <si>
    <t>85 (supl.)</t>
  </si>
  <si>
    <t>987–990</t>
  </si>
  <si>
    <t>991–998</t>
  </si>
  <si>
    <t>86 (supl.)</t>
  </si>
  <si>
    <t>999–1002</t>
  </si>
  <si>
    <t>86 (supl. 2)</t>
  </si>
  <si>
    <t>sin numerar (4 págs.)</t>
  </si>
  <si>
    <t>1003–1010</t>
  </si>
  <si>
    <t>87 (supl.)</t>
  </si>
  <si>
    <t>1011–1018</t>
  </si>
  <si>
    <t>1019–1034</t>
  </si>
  <si>
    <t>1035–1046</t>
  </si>
  <si>
    <t>1047–1058</t>
  </si>
  <si>
    <t>1059–1070</t>
  </si>
  <si>
    <t>1047–1054</t>
  </si>
  <si>
    <t>92 (supl.)</t>
  </si>
  <si>
    <t>1055–1060</t>
  </si>
  <si>
    <t>1055–1070</t>
  </si>
  <si>
    <t>1071–1082</t>
  </si>
  <si>
    <t>1083–1090</t>
  </si>
  <si>
    <t>95 (supl.)</t>
  </si>
  <si>
    <t>1091–1096</t>
  </si>
  <si>
    <t>1097–1108</t>
  </si>
  <si>
    <t>1109–1120</t>
  </si>
  <si>
    <t>1121–1132</t>
  </si>
  <si>
    <t>1133–1140</t>
  </si>
  <si>
    <t>99 (supl.)</t>
  </si>
  <si>
    <t>1141–1148</t>
  </si>
  <si>
    <t>1149–1164</t>
  </si>
  <si>
    <t>1165–1176</t>
  </si>
  <si>
    <t>1177–1188</t>
  </si>
  <si>
    <t>1189–1200</t>
  </si>
  <si>
    <t>1201–1212</t>
  </si>
  <si>
    <t>104 (supl.)</t>
  </si>
  <si>
    <t>1213–1216</t>
  </si>
  <si>
    <t>1217–1228</t>
  </si>
  <si>
    <t>Alcance</t>
  </si>
  <si>
    <t>Consolidación de los cinco índices del año 1800: enero; febrero–marzo; abril–mayo; junio–septiembre; y octubre–diciembre.</t>
  </si>
  <si>
    <t>Cobertura</t>
  </si>
  <si>
    <t>Incluye los números 1 a 105 publicados entre el 3 de enero y el 30 de diciembre, además de sus suplementos y del número 70 extraordinario.</t>
  </si>
  <si>
    <t>Consolidación</t>
  </si>
  <si>
    <t>Se conservaron las 7807 menciones. Solo se habrían eliminado duplicados exactos; en estos cinco índices no se detectó ninguno.</t>
  </si>
  <si>
    <t>Paginación</t>
  </si>
  <si>
    <t>Se mantiene la numeración histórica tal como figura en cada fascículo, incluidas sus repeticiones y las páginas sin numerar de algunos suplementos.</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</si>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</sst>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amily val="2"/>
    </font>
    <font>
      <sz val="11"/>
      <color rgb="FFFFFFFF"/>
      <name val="Aptos"/>
      <family val="2"/>
    </font>
    <font>
      <b/>
      <sz val="10"/>
      <color rgb="FF17365D"/>
      <name val="Aptos"/>
      <family val="2"/>
    </font>
    <font>
      <i/>
      <sz val="10"/>
      <color rgb="FF7F6000"/>
      <name val="Aptos"/>
      <family val="2"/>
    </font>
    <font>
      <b/>
      <sz val="10"/>
      <color rgb="FFFFFFFF"/>
      <name val="Aptos"/>
      <family val="2"/>
    </font>
    <font>
      <sz val="9"/>
      <name val="Aptos"/>
      <family val="2"/>
    </font>
    <font>
      <sz val="9"/>
      <color rgb="FF0563C1"/>
      <name val="Aptos"/>
      <family val="2"/>
    </font>
    <font>
      <sz val="10"/>
      <name val="Aptos"/>
      <family val="2"/>
    </font>
    <font>
      <sz val="10"/>
      <color rgb="FF0563C1"/>
      <name val="Aptos"/>
      <family val="2"/>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0" displayName="IndiceOnomasticoAnual1800" ref="A6:K7813" totalsRowShown="0">
  <autoFilter ref="A6:K7813"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0" displayName="FuentesGacetaAnual1800" ref="A3:E132" totalsRowShown="0">
  <autoFilter ref="A3:E132"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7813"/>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11" customWidth="1"/>
    <col min="7" max="7" width="10" customWidth="1"/>
    <col min="8" max="8" width="38" customWidth="1"/>
    <col min="9" max="9" width="45" customWidth="1"/>
    <col min="10" max="10" width="18" customWidth="1"/>
    <col min="11" max="11" width="17" customWidth="1"/>
  </cols>
  <sheetData>
    <row r="1" spans="1:11" ht="31.95"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4.049999999999997"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17</v>
      </c>
      <c r="C7" s="3" t="s">
        <v>18</v>
      </c>
      <c r="D7" s="3" t="s">
        <v>19</v>
      </c>
      <c r="E7" s="3" t="s">
        <v>20</v>
      </c>
      <c r="F7" s="8">
        <v>104</v>
      </c>
      <c r="G7" s="8">
        <v>1210</v>
      </c>
      <c r="H7" s="3" t="s">
        <v>21</v>
      </c>
      <c r="I7" s="3" t="s">
        <v>22</v>
      </c>
      <c r="J7" s="11" t="str">
        <f>HYPERLINK("https://www.boe.es/gazeta/dias/1800/12/26/pdfs/GMD-1800-104.pdf#page=10","Abrir facsímil")</f>
        <v>Abrir facsímil</v>
      </c>
      <c r="K7" s="14" t="s">
        <v>23</v>
      </c>
    </row>
    <row r="8" spans="1:11" ht="42" customHeight="1">
      <c r="A8" s="4" t="s">
        <v>24</v>
      </c>
      <c r="B8" s="5" t="s">
        <v>24</v>
      </c>
      <c r="C8" s="5" t="s">
        <v>25</v>
      </c>
      <c r="D8" s="5" t="s">
        <v>26</v>
      </c>
      <c r="E8" s="5" t="s">
        <v>27</v>
      </c>
      <c r="F8" s="9">
        <v>65</v>
      </c>
      <c r="G8" s="9">
        <v>736</v>
      </c>
      <c r="H8" s="5" t="s">
        <v>21</v>
      </c>
      <c r="I8" s="5" t="s">
        <v>28</v>
      </c>
      <c r="J8" s="12" t="str">
        <f>HYPERLINK("https://www.boe.es/gazeta/dias/1800/08/15/pdfs/GMD-1800-65.pdf#page=12","Abrir facsímil")</f>
        <v>Abrir facsímil</v>
      </c>
      <c r="K8" s="15" t="s">
        <v>23</v>
      </c>
    </row>
    <row r="9" spans="1:11" ht="42" customHeight="1">
      <c r="A9" s="4" t="s">
        <v>29</v>
      </c>
      <c r="B9" s="5" t="s">
        <v>30</v>
      </c>
      <c r="C9" s="5" t="s">
        <v>18</v>
      </c>
      <c r="D9" s="5" t="s">
        <v>19</v>
      </c>
      <c r="E9" s="5" t="s">
        <v>31</v>
      </c>
      <c r="F9" s="9">
        <v>20</v>
      </c>
      <c r="G9" s="9">
        <v>192</v>
      </c>
      <c r="H9" s="5" t="s">
        <v>21</v>
      </c>
      <c r="I9" s="5" t="s">
        <v>32</v>
      </c>
      <c r="J9" s="12" t="str">
        <f>HYPERLINK("https://www.boe.es/gazeta/dias/1800/03/11/pdfs/GMD-1800-20.pdf#page=8","Abrir facsímil")</f>
        <v>Abrir facsímil</v>
      </c>
      <c r="K9" s="15" t="s">
        <v>23</v>
      </c>
    </row>
    <row r="10" spans="1:11" ht="42" customHeight="1">
      <c r="A10" s="4" t="s">
        <v>33</v>
      </c>
      <c r="B10" s="5" t="s">
        <v>34</v>
      </c>
      <c r="C10" s="5" t="s">
        <v>18</v>
      </c>
      <c r="D10" s="5" t="s">
        <v>19</v>
      </c>
      <c r="E10" s="5" t="s">
        <v>35</v>
      </c>
      <c r="F10" s="9">
        <v>21</v>
      </c>
      <c r="G10" s="9">
        <v>206</v>
      </c>
      <c r="H10" s="5" t="s">
        <v>21</v>
      </c>
      <c r="I10" s="5" t="s">
        <v>36</v>
      </c>
      <c r="J10" s="12" t="str">
        <f>HYPERLINK("https://www.boe.es/gazeta/dias/1800/03/14/pdfs/GMD-1800-21.pdf#page=10","Abrir facsímil")</f>
        <v>Abrir facsímil</v>
      </c>
      <c r="K10" s="15" t="s">
        <v>23</v>
      </c>
    </row>
    <row r="11" spans="1:11" ht="42" customHeight="1">
      <c r="A11" s="4" t="s">
        <v>37</v>
      </c>
      <c r="B11" s="5" t="s">
        <v>38</v>
      </c>
      <c r="C11" s="5" t="s">
        <v>18</v>
      </c>
      <c r="D11" s="5" t="s">
        <v>19</v>
      </c>
      <c r="E11" s="5" t="s">
        <v>39</v>
      </c>
      <c r="F11" s="9">
        <v>43</v>
      </c>
      <c r="G11" s="9">
        <v>444</v>
      </c>
      <c r="H11" s="5" t="s">
        <v>21</v>
      </c>
      <c r="I11" s="5" t="s">
        <v>40</v>
      </c>
      <c r="J11" s="12" t="str">
        <f>HYPERLINK("https://www.boe.es/gazeta/dias/1800/05/30/pdfs/GMD-1800-43.pdf#page=4","Abrir facsímil")</f>
        <v>Abrir facsímil</v>
      </c>
      <c r="K11" s="15" t="s">
        <v>23</v>
      </c>
    </row>
    <row r="12" spans="1:11" ht="42" customHeight="1">
      <c r="A12" s="4" t="s">
        <v>37</v>
      </c>
      <c r="B12" s="5" t="s">
        <v>38</v>
      </c>
      <c r="C12" s="5" t="s">
        <v>41</v>
      </c>
      <c r="D12" s="5" t="s">
        <v>42</v>
      </c>
      <c r="E12" s="5" t="s">
        <v>43</v>
      </c>
      <c r="F12" s="9">
        <v>46</v>
      </c>
      <c r="G12" s="9">
        <v>481</v>
      </c>
      <c r="H12" s="5" t="s">
        <v>21</v>
      </c>
      <c r="I12" s="5" t="s">
        <v>44</v>
      </c>
      <c r="J12" s="12" t="str">
        <f>HYPERLINK("https://www.boe.es/gazeta/dias/1800/06/10/pdfs/GMD-1800-46.pdf#page=5","Abrir facsímil")</f>
        <v>Abrir facsímil</v>
      </c>
      <c r="K12" s="15" t="s">
        <v>23</v>
      </c>
    </row>
    <row r="13" spans="1:11" ht="42" customHeight="1">
      <c r="A13" s="4" t="s">
        <v>37</v>
      </c>
      <c r="B13" s="5" t="s">
        <v>38</v>
      </c>
      <c r="C13" s="5" t="s">
        <v>41</v>
      </c>
      <c r="D13" s="5" t="s">
        <v>42</v>
      </c>
      <c r="E13" s="5" t="s">
        <v>45</v>
      </c>
      <c r="F13" s="9">
        <v>47</v>
      </c>
      <c r="G13" s="9">
        <v>495</v>
      </c>
      <c r="H13" s="5" t="s">
        <v>21</v>
      </c>
      <c r="I13" s="5" t="s">
        <v>46</v>
      </c>
      <c r="J13" s="12" t="str">
        <f>HYPERLINK("https://www.boe.es/gazeta/dias/1800/06/13/pdfs/GMD-1800-47.pdf#page=3","Abrir facsímil")</f>
        <v>Abrir facsímil</v>
      </c>
      <c r="K13" s="15" t="s">
        <v>23</v>
      </c>
    </row>
    <row r="14" spans="1:11" ht="42" customHeight="1">
      <c r="A14" s="4" t="s">
        <v>37</v>
      </c>
      <c r="B14" s="5" t="s">
        <v>38</v>
      </c>
      <c r="C14" s="5" t="s">
        <v>41</v>
      </c>
      <c r="D14" s="5" t="s">
        <v>42</v>
      </c>
      <c r="E14" s="5" t="s">
        <v>45</v>
      </c>
      <c r="F14" s="9">
        <v>47</v>
      </c>
      <c r="G14" s="9">
        <v>496</v>
      </c>
      <c r="H14" s="5" t="s">
        <v>21</v>
      </c>
      <c r="I14" s="5" t="s">
        <v>47</v>
      </c>
      <c r="J14" s="12" t="str">
        <f>HYPERLINK("https://www.boe.es/gazeta/dias/1800/06/13/pdfs/GMD-1800-47.pdf#page=4","Abrir facsímil")</f>
        <v>Abrir facsímil</v>
      </c>
      <c r="K14" s="15" t="s">
        <v>23</v>
      </c>
    </row>
    <row r="15" spans="1:11" ht="42" customHeight="1">
      <c r="A15" s="4" t="s">
        <v>37</v>
      </c>
      <c r="B15" s="5" t="s">
        <v>38</v>
      </c>
      <c r="C15" s="5" t="s">
        <v>41</v>
      </c>
      <c r="D15" s="5" t="s">
        <v>42</v>
      </c>
      <c r="E15" s="5" t="s">
        <v>48</v>
      </c>
      <c r="F15" s="9">
        <v>66</v>
      </c>
      <c r="G15" s="9">
        <v>745</v>
      </c>
      <c r="H15" s="5" t="s">
        <v>21</v>
      </c>
      <c r="I15" s="5" t="s">
        <v>49</v>
      </c>
      <c r="J15" s="12" t="str">
        <f>HYPERLINK("https://www.boe.es/gazeta/dias/1800/08/19/pdfs/GMD-1800-66.pdf#page=9","Abrir facsímil")</f>
        <v>Abrir facsímil</v>
      </c>
      <c r="K15" s="15" t="s">
        <v>23</v>
      </c>
    </row>
    <row r="16" spans="1:11" ht="42" customHeight="1">
      <c r="A16" s="4" t="s">
        <v>37</v>
      </c>
      <c r="B16" s="5" t="s">
        <v>38</v>
      </c>
      <c r="C16" s="5" t="s">
        <v>41</v>
      </c>
      <c r="D16" s="5" t="s">
        <v>42</v>
      </c>
      <c r="E16" s="5" t="s">
        <v>50</v>
      </c>
      <c r="F16" s="9">
        <v>81</v>
      </c>
      <c r="G16" s="9">
        <v>914</v>
      </c>
      <c r="H16" s="5" t="s">
        <v>21</v>
      </c>
      <c r="I16" s="5" t="s">
        <v>51</v>
      </c>
      <c r="J16" s="12" t="str">
        <f>HYPERLINK("https://www.boe.es/gazeta/dias/1800/10/07/pdfs/GMD-1800-81.pdf#page=4","Abrir facsímil")</f>
        <v>Abrir facsímil</v>
      </c>
      <c r="K16" s="15" t="s">
        <v>23</v>
      </c>
    </row>
    <row r="17" spans="1:11" ht="42" customHeight="1">
      <c r="A17" s="4" t="s">
        <v>37</v>
      </c>
      <c r="B17" s="5" t="s">
        <v>38</v>
      </c>
      <c r="C17" s="5" t="s">
        <v>41</v>
      </c>
      <c r="D17" s="5" t="s">
        <v>42</v>
      </c>
      <c r="E17" s="5" t="s">
        <v>52</v>
      </c>
      <c r="F17" s="9">
        <v>83</v>
      </c>
      <c r="G17" s="9">
        <v>957</v>
      </c>
      <c r="H17" s="5" t="s">
        <v>21</v>
      </c>
      <c r="I17" s="5" t="s">
        <v>53</v>
      </c>
      <c r="J17" s="12" t="str">
        <f>HYPERLINK("https://www.boe.es/gazeta/dias/1800/10/14/pdfs/GMD-1800-83.pdf#page=3","Abrir facsímil")</f>
        <v>Abrir facsímil</v>
      </c>
      <c r="K17" s="15" t="s">
        <v>23</v>
      </c>
    </row>
    <row r="18" spans="1:11" ht="42" customHeight="1">
      <c r="A18" s="4" t="s">
        <v>37</v>
      </c>
      <c r="B18" s="5" t="s">
        <v>38</v>
      </c>
      <c r="C18" s="5" t="s">
        <v>54</v>
      </c>
      <c r="D18" s="5" t="s">
        <v>55</v>
      </c>
      <c r="E18" s="5" t="s">
        <v>56</v>
      </c>
      <c r="F18" s="9">
        <v>90</v>
      </c>
      <c r="G18" s="9">
        <v>1050</v>
      </c>
      <c r="H18" s="5" t="s">
        <v>21</v>
      </c>
      <c r="I18" s="5" t="s">
        <v>57</v>
      </c>
      <c r="J18" s="12" t="str">
        <f>HYPERLINK("https://www.boe.es/gazeta/dias/1800/11/07/pdfs/GMD-1800-90.pdf#page=4","Abrir facsímil")</f>
        <v>Abrir facsímil</v>
      </c>
      <c r="K18" s="15" t="s">
        <v>23</v>
      </c>
    </row>
    <row r="19" spans="1:11" ht="42" customHeight="1">
      <c r="A19" s="4" t="s">
        <v>37</v>
      </c>
      <c r="B19" s="5" t="s">
        <v>38</v>
      </c>
      <c r="C19" s="5" t="s">
        <v>41</v>
      </c>
      <c r="D19" s="5" t="s">
        <v>42</v>
      </c>
      <c r="E19" s="5" t="s">
        <v>58</v>
      </c>
      <c r="F19" s="9">
        <v>92</v>
      </c>
      <c r="G19" s="9">
        <v>1048</v>
      </c>
      <c r="H19" s="5" t="s">
        <v>21</v>
      </c>
      <c r="I19" s="5" t="s">
        <v>59</v>
      </c>
      <c r="J19" s="12" t="str">
        <f>HYPERLINK("https://www.boe.es/gazeta/dias/1800/11/14/pdfs/GMD-1800-92.pdf#page=2","Abrir facsímil")</f>
        <v>Abrir facsímil</v>
      </c>
      <c r="K19" s="15" t="s">
        <v>23</v>
      </c>
    </row>
    <row r="20" spans="1:11" ht="42" customHeight="1">
      <c r="A20" s="4" t="s">
        <v>37</v>
      </c>
      <c r="B20" s="5" t="s">
        <v>38</v>
      </c>
      <c r="C20" s="5" t="s">
        <v>41</v>
      </c>
      <c r="D20" s="5" t="s">
        <v>42</v>
      </c>
      <c r="E20" s="5" t="s">
        <v>60</v>
      </c>
      <c r="F20" s="9">
        <v>105</v>
      </c>
      <c r="G20" s="9">
        <v>1221</v>
      </c>
      <c r="H20" s="5" t="s">
        <v>21</v>
      </c>
      <c r="I20" s="5" t="s">
        <v>61</v>
      </c>
      <c r="J20" s="12" t="str">
        <f>HYPERLINK("https://www.boe.es/gazeta/dias/1800/12/30/pdfs/GMD-1800-105.pdf#page=5","Abrir facsímil")</f>
        <v>Abrir facsímil</v>
      </c>
      <c r="K20" s="15" t="s">
        <v>23</v>
      </c>
    </row>
    <row r="21" spans="1:11" ht="42" customHeight="1">
      <c r="A21" s="4" t="s">
        <v>62</v>
      </c>
      <c r="B21" s="5" t="s">
        <v>63</v>
      </c>
      <c r="C21" s="5" t="s">
        <v>41</v>
      </c>
      <c r="D21" s="5" t="s">
        <v>42</v>
      </c>
      <c r="E21" s="5" t="s">
        <v>64</v>
      </c>
      <c r="F21" s="9">
        <v>54</v>
      </c>
      <c r="G21" s="9">
        <v>599</v>
      </c>
      <c r="H21" s="5" t="s">
        <v>21</v>
      </c>
      <c r="I21" s="5" t="s">
        <v>65</v>
      </c>
      <c r="J21" s="12" t="str">
        <f>HYPERLINK("https://www.boe.es/gazeta/dias/1800/07/08/pdfs/GMD-1800-54.pdf#page=3","Abrir facsímil")</f>
        <v>Abrir facsímil</v>
      </c>
      <c r="K21" s="15" t="s">
        <v>23</v>
      </c>
    </row>
    <row r="22" spans="1:11" ht="42" customHeight="1">
      <c r="A22" s="4" t="s">
        <v>66</v>
      </c>
      <c r="B22" s="5" t="s">
        <v>67</v>
      </c>
      <c r="C22" s="5" t="s">
        <v>54</v>
      </c>
      <c r="D22" s="5" t="s">
        <v>55</v>
      </c>
      <c r="E22" s="5" t="s">
        <v>68</v>
      </c>
      <c r="F22" s="9">
        <v>67</v>
      </c>
      <c r="G22" s="9">
        <v>752</v>
      </c>
      <c r="H22" s="5" t="s">
        <v>21</v>
      </c>
      <c r="I22" s="5" t="s">
        <v>69</v>
      </c>
      <c r="J22" s="12" t="str">
        <f>HYPERLINK("https://www.boe.es/gazeta/dias/1800/08/22/pdfs/GMD-1800-67.pdf#page=4","Abrir facsímil")</f>
        <v>Abrir facsímil</v>
      </c>
      <c r="K22" s="15" t="s">
        <v>23</v>
      </c>
    </row>
    <row r="23" spans="1:11" ht="42" customHeight="1">
      <c r="A23" s="4" t="s">
        <v>70</v>
      </c>
      <c r="B23" s="5" t="s">
        <v>71</v>
      </c>
      <c r="C23" s="5" t="s">
        <v>25</v>
      </c>
      <c r="D23" s="5" t="s">
        <v>26</v>
      </c>
      <c r="E23" s="5" t="s">
        <v>64</v>
      </c>
      <c r="F23" s="9">
        <v>54</v>
      </c>
      <c r="G23" s="9">
        <v>608</v>
      </c>
      <c r="H23" s="5" t="s">
        <v>21</v>
      </c>
      <c r="I23" s="5" t="s">
        <v>72</v>
      </c>
      <c r="J23" s="12" t="str">
        <f>HYPERLINK("https://www.boe.es/gazeta/dias/1800/07/08/pdfs/GMD-1800-54.pdf#page=12","Abrir facsímil")</f>
        <v>Abrir facsímil</v>
      </c>
      <c r="K23" s="15" t="s">
        <v>23</v>
      </c>
    </row>
    <row r="24" spans="1:11" ht="42" customHeight="1">
      <c r="A24" s="4" t="s">
        <v>73</v>
      </c>
      <c r="B24" s="5" t="s">
        <v>74</v>
      </c>
      <c r="C24" s="5" t="s">
        <v>18</v>
      </c>
      <c r="D24" s="5" t="s">
        <v>19</v>
      </c>
      <c r="E24" s="5" t="s">
        <v>75</v>
      </c>
      <c r="F24" s="9">
        <v>64</v>
      </c>
      <c r="G24" s="9">
        <v>733</v>
      </c>
      <c r="H24" s="5" t="s">
        <v>21</v>
      </c>
      <c r="I24" s="5" t="s">
        <v>76</v>
      </c>
      <c r="J24" s="12" t="str">
        <f>HYPERLINK("https://www.boe.es/gazeta/dias/1800/08/12/pdfs/GMD-1800-64.pdf#page=9","Abrir facsímil")</f>
        <v>Abrir facsímil</v>
      </c>
      <c r="K24" s="15" t="s">
        <v>23</v>
      </c>
    </row>
    <row r="25" spans="1:11" ht="42" customHeight="1">
      <c r="A25" s="4" t="s">
        <v>77</v>
      </c>
      <c r="B25" s="5" t="s">
        <v>78</v>
      </c>
      <c r="C25" s="5" t="s">
        <v>18</v>
      </c>
      <c r="D25" s="5" t="s">
        <v>19</v>
      </c>
      <c r="E25" s="5" t="s">
        <v>79</v>
      </c>
      <c r="F25" s="9">
        <v>7</v>
      </c>
      <c r="G25" s="9">
        <v>66</v>
      </c>
      <c r="H25" s="5" t="s">
        <v>21</v>
      </c>
      <c r="I25" s="5" t="s">
        <v>80</v>
      </c>
      <c r="J25" s="12" t="str">
        <f>HYPERLINK("https://www.boe.es/gazeta/dias/1800/01/24/pdfs/GMD-1800-7.pdf#page=6","Abrir facsímil")</f>
        <v>Abrir facsímil</v>
      </c>
      <c r="K25" s="15" t="s">
        <v>23</v>
      </c>
    </row>
    <row r="26" spans="1:11" ht="42" customHeight="1">
      <c r="A26" s="4" t="s">
        <v>81</v>
      </c>
      <c r="B26" s="5" t="s">
        <v>81</v>
      </c>
      <c r="C26" s="5" t="s">
        <v>41</v>
      </c>
      <c r="D26" s="5" t="s">
        <v>42</v>
      </c>
      <c r="E26" s="5" t="s">
        <v>82</v>
      </c>
      <c r="F26" s="9">
        <v>10</v>
      </c>
      <c r="G26" s="9">
        <v>91</v>
      </c>
      <c r="H26" s="5" t="s">
        <v>21</v>
      </c>
      <c r="I26" s="5" t="s">
        <v>83</v>
      </c>
      <c r="J26" s="12" t="str">
        <f>HYPERLINK("https://www.boe.es/gazeta/dias/1800/02/04/pdfs/GMD-1800-10.pdf#page=3","Abrir facsímil")</f>
        <v>Abrir facsímil</v>
      </c>
      <c r="K26" s="15" t="s">
        <v>23</v>
      </c>
    </row>
    <row r="27" spans="1:11" ht="42" customHeight="1">
      <c r="A27" s="4" t="s">
        <v>81</v>
      </c>
      <c r="B27" s="5" t="s">
        <v>81</v>
      </c>
      <c r="C27" s="5" t="s">
        <v>84</v>
      </c>
      <c r="D27" s="5" t="s">
        <v>85</v>
      </c>
      <c r="E27" s="5" t="s">
        <v>86</v>
      </c>
      <c r="F27" s="9">
        <v>17</v>
      </c>
      <c r="G27" s="9">
        <v>155</v>
      </c>
      <c r="H27" s="5" t="s">
        <v>21</v>
      </c>
      <c r="I27" s="5" t="s">
        <v>87</v>
      </c>
      <c r="J27" s="12" t="str">
        <f>HYPERLINK("https://www.boe.es/gazeta/dias/1800/02/28/pdfs/GMD-1800-17.pdf#page=3","Abrir facsímil")</f>
        <v>Abrir facsímil</v>
      </c>
      <c r="K27" s="15" t="s">
        <v>23</v>
      </c>
    </row>
    <row r="28" spans="1:11" ht="42" customHeight="1">
      <c r="A28" s="4" t="s">
        <v>81</v>
      </c>
      <c r="B28" s="5" t="s">
        <v>81</v>
      </c>
      <c r="C28" s="5" t="s">
        <v>54</v>
      </c>
      <c r="D28" s="5" t="s">
        <v>55</v>
      </c>
      <c r="E28" s="5" t="s">
        <v>88</v>
      </c>
      <c r="F28" s="9">
        <v>23</v>
      </c>
      <c r="G28" s="9">
        <v>225</v>
      </c>
      <c r="H28" s="5" t="s">
        <v>21</v>
      </c>
      <c r="I28" s="5" t="s">
        <v>89</v>
      </c>
      <c r="J28" s="12" t="str">
        <f>HYPERLINK("https://www.boe.es/gazeta/dias/1800/03/21/pdfs/GMD-1800-23.pdf#page=1","Abrir facsímil")</f>
        <v>Abrir facsímil</v>
      </c>
      <c r="K28" s="15" t="s">
        <v>23</v>
      </c>
    </row>
    <row r="29" spans="1:11" ht="42" customHeight="1">
      <c r="A29" s="4" t="s">
        <v>81</v>
      </c>
      <c r="B29" s="5" t="s">
        <v>81</v>
      </c>
      <c r="C29" s="5" t="s">
        <v>18</v>
      </c>
      <c r="D29" s="5" t="s">
        <v>19</v>
      </c>
      <c r="E29" s="5" t="s">
        <v>90</v>
      </c>
      <c r="F29" s="9">
        <v>58</v>
      </c>
      <c r="G29" s="9">
        <v>660</v>
      </c>
      <c r="H29" s="5" t="s">
        <v>21</v>
      </c>
      <c r="I29" s="5" t="s">
        <v>91</v>
      </c>
      <c r="J29" s="12" t="str">
        <f>HYPERLINK("https://www.boe.es/gazeta/dias/1800/07/22/pdfs/GMD-1800-58.pdf#page=8","Abrir facsímil")</f>
        <v>Abrir facsímil</v>
      </c>
      <c r="K29" s="15" t="s">
        <v>23</v>
      </c>
    </row>
    <row r="30" spans="1:11" ht="42" customHeight="1">
      <c r="A30" s="4" t="s">
        <v>81</v>
      </c>
      <c r="B30" s="5" t="s">
        <v>81</v>
      </c>
      <c r="C30" s="5" t="s">
        <v>41</v>
      </c>
      <c r="D30" s="5" t="s">
        <v>42</v>
      </c>
      <c r="E30" s="5" t="s">
        <v>27</v>
      </c>
      <c r="F30" s="9">
        <v>65</v>
      </c>
      <c r="G30" s="9">
        <v>728</v>
      </c>
      <c r="H30" s="5" t="s">
        <v>21</v>
      </c>
      <c r="I30" s="5" t="s">
        <v>92</v>
      </c>
      <c r="J30" s="12" t="str">
        <f>HYPERLINK("https://www.boe.es/gazeta/dias/1800/08/15/pdfs/GMD-1800-65.pdf#page=4","Abrir facsímil")</f>
        <v>Abrir facsímil</v>
      </c>
      <c r="K30" s="15" t="s">
        <v>23</v>
      </c>
    </row>
    <row r="31" spans="1:11" ht="42" customHeight="1">
      <c r="A31" s="4" t="s">
        <v>93</v>
      </c>
      <c r="B31" s="5" t="s">
        <v>94</v>
      </c>
      <c r="C31" s="5" t="s">
        <v>41</v>
      </c>
      <c r="D31" s="5" t="s">
        <v>42</v>
      </c>
      <c r="E31" s="5" t="s">
        <v>48</v>
      </c>
      <c r="F31" s="9">
        <v>66</v>
      </c>
      <c r="G31" s="9">
        <v>745</v>
      </c>
      <c r="H31" s="5" t="s">
        <v>21</v>
      </c>
      <c r="I31" s="5" t="s">
        <v>95</v>
      </c>
      <c r="J31" s="12" t="str">
        <f>HYPERLINK("https://www.boe.es/gazeta/dias/1800/08/19/pdfs/GMD-1800-66.pdf#page=9","Abrir facsímil")</f>
        <v>Abrir facsímil</v>
      </c>
      <c r="K31" s="15" t="s">
        <v>23</v>
      </c>
    </row>
    <row r="32" spans="1:11" ht="42" customHeight="1">
      <c r="A32" s="4" t="s">
        <v>96</v>
      </c>
      <c r="B32" s="5" t="s">
        <v>96</v>
      </c>
      <c r="C32" s="5" t="s">
        <v>41</v>
      </c>
      <c r="D32" s="5" t="s">
        <v>42</v>
      </c>
      <c r="E32" s="5" t="s">
        <v>31</v>
      </c>
      <c r="F32" s="9">
        <v>20</v>
      </c>
      <c r="G32" s="9">
        <v>187</v>
      </c>
      <c r="H32" s="5" t="s">
        <v>21</v>
      </c>
      <c r="I32" s="5" t="s">
        <v>97</v>
      </c>
      <c r="J32" s="12" t="str">
        <f>HYPERLINK("https://www.boe.es/gazeta/dias/1800/03/11/pdfs/GMD-1800-20.pdf#page=3","Abrir facsímil")</f>
        <v>Abrir facsímil</v>
      </c>
      <c r="K32" s="15" t="s">
        <v>23</v>
      </c>
    </row>
    <row r="33" spans="1:11" ht="42" customHeight="1">
      <c r="A33" s="4" t="s">
        <v>96</v>
      </c>
      <c r="B33" s="5" t="s">
        <v>96</v>
      </c>
      <c r="C33" s="5" t="s">
        <v>54</v>
      </c>
      <c r="D33" s="5" t="s">
        <v>55</v>
      </c>
      <c r="E33" s="5" t="s">
        <v>35</v>
      </c>
      <c r="F33" s="9">
        <v>21</v>
      </c>
      <c r="G33" s="9">
        <v>199</v>
      </c>
      <c r="H33" s="5" t="s">
        <v>21</v>
      </c>
      <c r="I33" s="5" t="s">
        <v>98</v>
      </c>
      <c r="J33" s="12" t="str">
        <f>HYPERLINK("https://www.boe.es/gazeta/dias/1800/03/14/pdfs/GMD-1800-21.pdf#page=3","Abrir facsímil")</f>
        <v>Abrir facsímil</v>
      </c>
      <c r="K33" s="15" t="s">
        <v>23</v>
      </c>
    </row>
    <row r="34" spans="1:11" ht="42" customHeight="1">
      <c r="A34" s="4" t="s">
        <v>99</v>
      </c>
      <c r="B34" s="5" t="s">
        <v>100</v>
      </c>
      <c r="C34" s="5" t="s">
        <v>41</v>
      </c>
      <c r="D34" s="5" t="s">
        <v>42</v>
      </c>
      <c r="E34" s="5" t="s">
        <v>101</v>
      </c>
      <c r="F34" s="9">
        <v>37</v>
      </c>
      <c r="G34" s="9">
        <v>376</v>
      </c>
      <c r="H34" s="5" t="s">
        <v>21</v>
      </c>
      <c r="I34" s="5" t="s">
        <v>102</v>
      </c>
      <c r="J34" s="12" t="str">
        <f>HYPERLINK("https://www.boe.es/gazeta/dias/1800/05/09/pdfs/GMD-1800-37.pdf#page=8","Abrir facsímil")</f>
        <v>Abrir facsímil</v>
      </c>
      <c r="K34" s="15" t="s">
        <v>23</v>
      </c>
    </row>
    <row r="35" spans="1:11" ht="42" customHeight="1">
      <c r="A35" s="4" t="s">
        <v>103</v>
      </c>
      <c r="B35" s="5" t="s">
        <v>104</v>
      </c>
      <c r="C35" s="5" t="s">
        <v>41</v>
      </c>
      <c r="D35" s="5" t="s">
        <v>42</v>
      </c>
      <c r="E35" s="5" t="s">
        <v>105</v>
      </c>
      <c r="F35" s="9">
        <v>28</v>
      </c>
      <c r="G35" s="9">
        <v>285</v>
      </c>
      <c r="H35" s="5" t="s">
        <v>21</v>
      </c>
      <c r="I35" s="5" t="s">
        <v>106</v>
      </c>
      <c r="J35" s="12" t="str">
        <f>HYPERLINK("https://www.boe.es/gazeta/dias/1800/04/08/pdfs/GMD-1800-28.pdf#page=1","Abrir facsímil")</f>
        <v>Abrir facsímil</v>
      </c>
      <c r="K35" s="15" t="s">
        <v>23</v>
      </c>
    </row>
    <row r="36" spans="1:11" ht="42" customHeight="1">
      <c r="A36" s="4" t="s">
        <v>107</v>
      </c>
      <c r="B36" s="5" t="s">
        <v>108</v>
      </c>
      <c r="C36" s="5" t="s">
        <v>41</v>
      </c>
      <c r="D36" s="5" t="s">
        <v>42</v>
      </c>
      <c r="E36" s="5" t="s">
        <v>48</v>
      </c>
      <c r="F36" s="9">
        <v>66</v>
      </c>
      <c r="G36" s="9">
        <v>737</v>
      </c>
      <c r="H36" s="5" t="s">
        <v>21</v>
      </c>
      <c r="I36" s="5" t="s">
        <v>109</v>
      </c>
      <c r="J36" s="12" t="str">
        <f>HYPERLINK("https://www.boe.es/gazeta/dias/1800/08/19/pdfs/GMD-1800-66.pdf#page=1","Abrir facsímil")</f>
        <v>Abrir facsímil</v>
      </c>
      <c r="K36" s="15" t="s">
        <v>23</v>
      </c>
    </row>
    <row r="37" spans="1:11" ht="42" customHeight="1">
      <c r="A37" s="4" t="s">
        <v>110</v>
      </c>
      <c r="B37" s="5" t="s">
        <v>110</v>
      </c>
      <c r="C37" s="5" t="s">
        <v>41</v>
      </c>
      <c r="D37" s="5" t="s">
        <v>42</v>
      </c>
      <c r="E37" s="5" t="s">
        <v>111</v>
      </c>
      <c r="F37" s="9">
        <v>98</v>
      </c>
      <c r="G37" s="9">
        <v>1124</v>
      </c>
      <c r="H37" s="5" t="s">
        <v>21</v>
      </c>
      <c r="I37" s="5" t="s">
        <v>112</v>
      </c>
      <c r="J37" s="12" t="str">
        <f>HYPERLINK("https://www.boe.es/gazeta/dias/1800/12/05/pdfs/GMD-1800-98.pdf#page=4","Abrir facsímil")</f>
        <v>Abrir facsímil</v>
      </c>
      <c r="K37" s="15" t="s">
        <v>23</v>
      </c>
    </row>
    <row r="38" spans="1:11" ht="42" customHeight="1">
      <c r="A38" s="4" t="s">
        <v>113</v>
      </c>
      <c r="B38" s="5" t="s">
        <v>113</v>
      </c>
      <c r="C38" s="5" t="s">
        <v>114</v>
      </c>
      <c r="D38" s="5" t="s">
        <v>115</v>
      </c>
      <c r="E38" s="5" t="s">
        <v>116</v>
      </c>
      <c r="F38" s="9">
        <v>86</v>
      </c>
      <c r="G38" s="9" t="s">
        <v>117</v>
      </c>
      <c r="H38" s="5" t="s">
        <v>21</v>
      </c>
      <c r="I38" s="5" t="s">
        <v>118</v>
      </c>
      <c r="J38" s="12" t="str">
        <f>HYPERLINK("https://www.boe.es/gazeta/dias/1800/10/24/pdfs/GMD-D-1800-86.pdf#page=3","Abrir facsímil")</f>
        <v>Abrir facsímil</v>
      </c>
      <c r="K38" s="15" t="s">
        <v>23</v>
      </c>
    </row>
    <row r="39" spans="1:11" ht="42" customHeight="1">
      <c r="A39" s="4" t="s">
        <v>119</v>
      </c>
      <c r="B39" s="5" t="s">
        <v>119</v>
      </c>
      <c r="C39" s="5" t="s">
        <v>18</v>
      </c>
      <c r="D39" s="5" t="s">
        <v>19</v>
      </c>
      <c r="E39" s="5" t="s">
        <v>120</v>
      </c>
      <c r="F39" s="9">
        <v>52</v>
      </c>
      <c r="G39" s="9">
        <v>575</v>
      </c>
      <c r="H39" s="5" t="s">
        <v>21</v>
      </c>
      <c r="I39" s="5" t="s">
        <v>121</v>
      </c>
      <c r="J39" s="12" t="str">
        <f>HYPERLINK("https://www.boe.es/gazeta/dias/1800/07/01/pdfs/GMD-1800-52.pdf#page=11","Abrir facsímil")</f>
        <v>Abrir facsímil</v>
      </c>
      <c r="K39" s="15" t="s">
        <v>23</v>
      </c>
    </row>
    <row r="40" spans="1:11" ht="42" customHeight="1">
      <c r="A40" s="4" t="s">
        <v>122</v>
      </c>
      <c r="B40" s="5" t="s">
        <v>123</v>
      </c>
      <c r="C40" s="5" t="s">
        <v>41</v>
      </c>
      <c r="D40" s="5" t="s">
        <v>42</v>
      </c>
      <c r="E40" s="5" t="s">
        <v>124</v>
      </c>
      <c r="F40" s="9">
        <v>16</v>
      </c>
      <c r="G40" s="9">
        <v>145</v>
      </c>
      <c r="H40" s="5" t="s">
        <v>21</v>
      </c>
      <c r="I40" s="5" t="s">
        <v>125</v>
      </c>
      <c r="J40" s="12" t="str">
        <f>HYPERLINK("https://www.boe.es/gazeta/dias/1800/02/25/pdfs/GMD-1800-16.pdf#page=1","Abrir facsímil")</f>
        <v>Abrir facsímil</v>
      </c>
      <c r="K40" s="15" t="s">
        <v>23</v>
      </c>
    </row>
    <row r="41" spans="1:11" ht="42" customHeight="1">
      <c r="A41" s="4" t="s">
        <v>126</v>
      </c>
      <c r="B41" s="5" t="s">
        <v>127</v>
      </c>
      <c r="C41" s="5" t="s">
        <v>25</v>
      </c>
      <c r="D41" s="5" t="s">
        <v>26</v>
      </c>
      <c r="E41" s="5" t="s">
        <v>45</v>
      </c>
      <c r="F41" s="9">
        <v>47</v>
      </c>
      <c r="G41" s="9">
        <v>503</v>
      </c>
      <c r="H41" s="5" t="s">
        <v>21</v>
      </c>
      <c r="I41" s="5" t="s">
        <v>128</v>
      </c>
      <c r="J41" s="12" t="str">
        <f>HYPERLINK("https://www.boe.es/gazeta/dias/1800/06/13/pdfs/GMD-1800-47.pdf#page=11","Abrir facsímil")</f>
        <v>Abrir facsímil</v>
      </c>
      <c r="K41" s="15" t="s">
        <v>23</v>
      </c>
    </row>
    <row r="42" spans="1:11" ht="42" customHeight="1">
      <c r="A42" s="4" t="s">
        <v>129</v>
      </c>
      <c r="B42" s="5" t="s">
        <v>130</v>
      </c>
      <c r="C42" s="5" t="s">
        <v>18</v>
      </c>
      <c r="D42" s="5" t="s">
        <v>19</v>
      </c>
      <c r="E42" s="5" t="s">
        <v>131</v>
      </c>
      <c r="F42" s="9">
        <v>8</v>
      </c>
      <c r="G42" s="9">
        <v>75</v>
      </c>
      <c r="H42" s="5" t="s">
        <v>21</v>
      </c>
      <c r="I42" s="5" t="s">
        <v>132</v>
      </c>
      <c r="J42" s="12" t="str">
        <f>HYPERLINK("https://www.boe.es/gazeta/dias/1800/01/28/pdfs/GMD-1800-8.pdf#page=7","Abrir facsímil")</f>
        <v>Abrir facsímil</v>
      </c>
      <c r="K42" s="15" t="s">
        <v>23</v>
      </c>
    </row>
    <row r="43" spans="1:11" ht="42" customHeight="1">
      <c r="A43" s="4" t="s">
        <v>133</v>
      </c>
      <c r="B43" s="5" t="s">
        <v>134</v>
      </c>
      <c r="C43" s="5" t="s">
        <v>18</v>
      </c>
      <c r="D43" s="5" t="s">
        <v>19</v>
      </c>
      <c r="E43" s="5" t="s">
        <v>135</v>
      </c>
      <c r="F43" s="9">
        <v>73</v>
      </c>
      <c r="G43" s="9">
        <v>815</v>
      </c>
      <c r="H43" s="5" t="s">
        <v>21</v>
      </c>
      <c r="I43" s="5" t="s">
        <v>136</v>
      </c>
      <c r="J43" s="12" t="str">
        <f>HYPERLINK("https://www.boe.es/gazeta/dias/1800/09/09/pdfs/GMD-1800-73.pdf#page=9","Abrir facsímil")</f>
        <v>Abrir facsímil</v>
      </c>
      <c r="K43" s="15" t="s">
        <v>23</v>
      </c>
    </row>
    <row r="44" spans="1:11" ht="42" customHeight="1">
      <c r="A44" s="4" t="s">
        <v>137</v>
      </c>
      <c r="B44" s="5" t="s">
        <v>138</v>
      </c>
      <c r="C44" s="5" t="s">
        <v>18</v>
      </c>
      <c r="D44" s="5" t="s">
        <v>19</v>
      </c>
      <c r="E44" s="5" t="s">
        <v>139</v>
      </c>
      <c r="F44" s="9">
        <v>2</v>
      </c>
      <c r="G44" s="9">
        <v>17</v>
      </c>
      <c r="H44" s="5" t="s">
        <v>21</v>
      </c>
      <c r="I44" s="5" t="s">
        <v>140</v>
      </c>
      <c r="J44" s="12" t="str">
        <f>HYPERLINK("https://www.boe.es/gazeta/dias/1800/01/07/pdfs/GMD-1800-2.pdf#page=9","Abrir facsímil")</f>
        <v>Abrir facsímil</v>
      </c>
      <c r="K44" s="15" t="s">
        <v>23</v>
      </c>
    </row>
    <row r="45" spans="1:11" ht="42" customHeight="1">
      <c r="A45" s="4" t="s">
        <v>141</v>
      </c>
      <c r="B45" s="5" t="s">
        <v>142</v>
      </c>
      <c r="C45" s="5" t="s">
        <v>54</v>
      </c>
      <c r="D45" s="5" t="s">
        <v>55</v>
      </c>
      <c r="E45" s="5" t="s">
        <v>143</v>
      </c>
      <c r="F45" s="9">
        <v>22</v>
      </c>
      <c r="G45" s="9">
        <v>222</v>
      </c>
      <c r="H45" s="5" t="s">
        <v>21</v>
      </c>
      <c r="I45" s="5" t="s">
        <v>144</v>
      </c>
      <c r="J45" s="12" t="str">
        <f>HYPERLINK("https://www.boe.es/gazeta/dias/1800/03/18/pdfs/GMD-1800-22.pdf#page=14","Abrir facsímil")</f>
        <v>Abrir facsímil</v>
      </c>
      <c r="K45" s="15" t="s">
        <v>23</v>
      </c>
    </row>
    <row r="46" spans="1:11" ht="42" customHeight="1">
      <c r="A46" s="4" t="s">
        <v>145</v>
      </c>
      <c r="B46" s="5" t="s">
        <v>146</v>
      </c>
      <c r="C46" s="5" t="s">
        <v>25</v>
      </c>
      <c r="D46" s="5" t="s">
        <v>26</v>
      </c>
      <c r="E46" s="5" t="s">
        <v>147</v>
      </c>
      <c r="F46" s="9">
        <v>84</v>
      </c>
      <c r="G46" s="9">
        <v>973</v>
      </c>
      <c r="H46" s="5" t="s">
        <v>21</v>
      </c>
      <c r="I46" s="5" t="s">
        <v>148</v>
      </c>
      <c r="J46" s="12" t="str">
        <f>HYPERLINK("https://www.boe.es/gazeta/dias/1800/10/17/pdfs/GMD-1800-84.pdf#page=7","Abrir facsímil")</f>
        <v>Abrir facsímil</v>
      </c>
      <c r="K46" s="15" t="s">
        <v>23</v>
      </c>
    </row>
    <row r="47" spans="1:11" ht="42" customHeight="1">
      <c r="A47" s="4" t="s">
        <v>149</v>
      </c>
      <c r="B47" s="5" t="s">
        <v>150</v>
      </c>
      <c r="C47" s="5" t="s">
        <v>18</v>
      </c>
      <c r="D47" s="5" t="s">
        <v>19</v>
      </c>
      <c r="E47" s="5" t="s">
        <v>135</v>
      </c>
      <c r="F47" s="9">
        <v>73</v>
      </c>
      <c r="G47" s="9">
        <v>815</v>
      </c>
      <c r="H47" s="5" t="s">
        <v>21</v>
      </c>
      <c r="I47" s="5" t="s">
        <v>151</v>
      </c>
      <c r="J47" s="12" t="str">
        <f>HYPERLINK("https://www.boe.es/gazeta/dias/1800/09/09/pdfs/GMD-1800-73.pdf#page=9","Abrir facsímil")</f>
        <v>Abrir facsímil</v>
      </c>
      <c r="K47" s="15" t="s">
        <v>23</v>
      </c>
    </row>
    <row r="48" spans="1:11" ht="42" customHeight="1">
      <c r="A48" s="4" t="s">
        <v>152</v>
      </c>
      <c r="B48" s="5" t="s">
        <v>153</v>
      </c>
      <c r="C48" s="5" t="s">
        <v>25</v>
      </c>
      <c r="D48" s="5" t="s">
        <v>26</v>
      </c>
      <c r="E48" s="5" t="s">
        <v>154</v>
      </c>
      <c r="F48" s="9">
        <v>61</v>
      </c>
      <c r="G48" s="9">
        <v>697</v>
      </c>
      <c r="H48" s="5" t="s">
        <v>21</v>
      </c>
      <c r="I48" s="5" t="s">
        <v>155</v>
      </c>
      <c r="J48" s="12" t="str">
        <f>HYPERLINK("https://www.boe.es/gazeta/dias/1800/08/01/pdfs/GMD-1800-61.pdf#page=9","Abrir facsímil")</f>
        <v>Abrir facsímil</v>
      </c>
      <c r="K48" s="15" t="s">
        <v>23</v>
      </c>
    </row>
    <row r="49" spans="1:11" ht="42" customHeight="1">
      <c r="A49" s="4" t="s">
        <v>156</v>
      </c>
      <c r="B49" s="5" t="s">
        <v>157</v>
      </c>
      <c r="C49" s="5" t="s">
        <v>18</v>
      </c>
      <c r="D49" s="5" t="s">
        <v>19</v>
      </c>
      <c r="E49" s="5" t="s">
        <v>158</v>
      </c>
      <c r="F49" s="9">
        <v>25</v>
      </c>
      <c r="G49" s="9">
        <v>256</v>
      </c>
      <c r="H49" s="5" t="s">
        <v>21</v>
      </c>
      <c r="I49" s="5" t="s">
        <v>159</v>
      </c>
      <c r="J49" s="12" t="str">
        <f>HYPERLINK("https://www.boe.es/gazeta/dias/1800/03/28/pdfs/GMD-1800-25.pdf#page=8","Abrir facsímil")</f>
        <v>Abrir facsímil</v>
      </c>
      <c r="K49" s="15" t="s">
        <v>23</v>
      </c>
    </row>
    <row r="50" spans="1:11" ht="42" customHeight="1">
      <c r="A50" s="4" t="s">
        <v>160</v>
      </c>
      <c r="B50" s="5" t="s">
        <v>161</v>
      </c>
      <c r="C50" s="5" t="s">
        <v>18</v>
      </c>
      <c r="D50" s="5" t="s">
        <v>19</v>
      </c>
      <c r="E50" s="5" t="s">
        <v>162</v>
      </c>
      <c r="F50" s="9">
        <v>15</v>
      </c>
      <c r="G50" s="9">
        <v>142</v>
      </c>
      <c r="H50" s="5" t="s">
        <v>21</v>
      </c>
      <c r="I50" s="5" t="s">
        <v>163</v>
      </c>
      <c r="J50" s="12" t="str">
        <f>HYPERLINK("https://www.boe.es/gazeta/dias/1800/02/21/pdfs/GMD-1800-15.pdf#page=6","Abrir facsímil")</f>
        <v>Abrir facsímil</v>
      </c>
      <c r="K50" s="15" t="s">
        <v>23</v>
      </c>
    </row>
    <row r="51" spans="1:11" ht="42" customHeight="1">
      <c r="A51" s="4" t="s">
        <v>164</v>
      </c>
      <c r="B51" s="5" t="s">
        <v>165</v>
      </c>
      <c r="C51" s="5" t="s">
        <v>18</v>
      </c>
      <c r="D51" s="5" t="s">
        <v>19</v>
      </c>
      <c r="E51" s="5" t="s">
        <v>56</v>
      </c>
      <c r="F51" s="9">
        <v>90</v>
      </c>
      <c r="G51" s="9">
        <v>1055</v>
      </c>
      <c r="H51" s="5" t="s">
        <v>21</v>
      </c>
      <c r="I51" s="5" t="s">
        <v>166</v>
      </c>
      <c r="J51" s="12" t="str">
        <f>HYPERLINK("https://www.boe.es/gazeta/dias/1800/11/07/pdfs/GMD-1800-90.pdf#page=9","Abrir facsímil")</f>
        <v>Abrir facsímil</v>
      </c>
      <c r="K51" s="15" t="s">
        <v>23</v>
      </c>
    </row>
    <row r="52" spans="1:11" ht="42" customHeight="1">
      <c r="A52" s="4" t="s">
        <v>167</v>
      </c>
      <c r="B52" s="5" t="s">
        <v>168</v>
      </c>
      <c r="C52" s="5" t="s">
        <v>54</v>
      </c>
      <c r="D52" s="5" t="s">
        <v>55</v>
      </c>
      <c r="E52" s="5" t="s">
        <v>143</v>
      </c>
      <c r="F52" s="9">
        <v>22</v>
      </c>
      <c r="G52" s="9">
        <v>222</v>
      </c>
      <c r="H52" s="5" t="s">
        <v>21</v>
      </c>
      <c r="I52" s="5" t="s">
        <v>169</v>
      </c>
      <c r="J52" s="12" t="str">
        <f>HYPERLINK("https://www.boe.es/gazeta/dias/1800/03/18/pdfs/GMD-1800-22.pdf#page=14","Abrir facsímil")</f>
        <v>Abrir facsímil</v>
      </c>
      <c r="K52" s="15" t="s">
        <v>23</v>
      </c>
    </row>
    <row r="53" spans="1:11" ht="42" customHeight="1">
      <c r="A53" s="4" t="s">
        <v>170</v>
      </c>
      <c r="B53" s="5" t="s">
        <v>170</v>
      </c>
      <c r="C53" s="5" t="s">
        <v>171</v>
      </c>
      <c r="D53" s="5" t="s">
        <v>172</v>
      </c>
      <c r="E53" s="5" t="s">
        <v>120</v>
      </c>
      <c r="F53" s="9">
        <v>52</v>
      </c>
      <c r="G53" s="9">
        <v>578</v>
      </c>
      <c r="H53" s="5" t="s">
        <v>21</v>
      </c>
      <c r="I53" s="5" t="s">
        <v>173</v>
      </c>
      <c r="J53" s="12" t="str">
        <f>HYPERLINK("https://www.boe.es/gazeta/dias/1800/07/01/pdfs/GMD-C-1800-52.pdf#page=2","Abrir facsímil")</f>
        <v>Abrir facsímil</v>
      </c>
      <c r="K53" s="15" t="s">
        <v>23</v>
      </c>
    </row>
    <row r="54" spans="1:11" ht="42" customHeight="1">
      <c r="A54" s="4" t="s">
        <v>174</v>
      </c>
      <c r="B54" s="5" t="s">
        <v>175</v>
      </c>
      <c r="C54" s="5" t="s">
        <v>18</v>
      </c>
      <c r="D54" s="5" t="s">
        <v>19</v>
      </c>
      <c r="E54" s="5" t="s">
        <v>176</v>
      </c>
      <c r="F54" s="9">
        <v>88</v>
      </c>
      <c r="G54" s="9">
        <v>1031</v>
      </c>
      <c r="H54" s="5" t="s">
        <v>21</v>
      </c>
      <c r="I54" s="5" t="s">
        <v>177</v>
      </c>
      <c r="J54" s="12" t="str">
        <f>HYPERLINK("https://www.boe.es/gazeta/dias/1800/10/31/pdfs/GMD-1800-88.pdf#page=13","Abrir facsímil")</f>
        <v>Abrir facsímil</v>
      </c>
      <c r="K54" s="15" t="s">
        <v>23</v>
      </c>
    </row>
    <row r="55" spans="1:11" ht="42" customHeight="1">
      <c r="A55" s="4" t="s">
        <v>178</v>
      </c>
      <c r="B55" s="5" t="s">
        <v>179</v>
      </c>
      <c r="C55" s="5" t="s">
        <v>18</v>
      </c>
      <c r="D55" s="5" t="s">
        <v>19</v>
      </c>
      <c r="E55" s="5" t="s">
        <v>180</v>
      </c>
      <c r="F55" s="9">
        <v>102</v>
      </c>
      <c r="G55" s="9">
        <v>1187</v>
      </c>
      <c r="H55" s="5" t="s">
        <v>21</v>
      </c>
      <c r="I55" s="5" t="s">
        <v>181</v>
      </c>
      <c r="J55" s="12" t="str">
        <f>HYPERLINK("https://www.boe.es/gazeta/dias/1800/12/19/pdfs/GMD-1800-102.pdf#page=11","Abrir facsímil")</f>
        <v>Abrir facsímil</v>
      </c>
      <c r="K55" s="15" t="s">
        <v>23</v>
      </c>
    </row>
    <row r="56" spans="1:11" ht="42" customHeight="1">
      <c r="A56" s="4" t="s">
        <v>182</v>
      </c>
      <c r="B56" s="5" t="s">
        <v>183</v>
      </c>
      <c r="C56" s="5" t="s">
        <v>18</v>
      </c>
      <c r="D56" s="5" t="s">
        <v>19</v>
      </c>
      <c r="E56" s="5" t="s">
        <v>184</v>
      </c>
      <c r="F56" s="9">
        <v>82</v>
      </c>
      <c r="G56" s="9">
        <v>950</v>
      </c>
      <c r="H56" s="5" t="s">
        <v>21</v>
      </c>
      <c r="I56" s="5" t="s">
        <v>185</v>
      </c>
      <c r="J56" s="12" t="str">
        <f>HYPERLINK("https://www.boe.es/gazeta/dias/1800/10/10/pdfs/GMD-1800-82.pdf#page=8","Abrir facsímil")</f>
        <v>Abrir facsímil</v>
      </c>
      <c r="K56" s="15" t="s">
        <v>23</v>
      </c>
    </row>
    <row r="57" spans="1:11" ht="42" customHeight="1">
      <c r="A57" s="4" t="s">
        <v>186</v>
      </c>
      <c r="B57" s="5" t="s">
        <v>186</v>
      </c>
      <c r="C57" s="5" t="s">
        <v>18</v>
      </c>
      <c r="D57" s="5" t="s">
        <v>19</v>
      </c>
      <c r="E57" s="5" t="s">
        <v>184</v>
      </c>
      <c r="F57" s="9">
        <v>82</v>
      </c>
      <c r="G57" s="9">
        <v>950</v>
      </c>
      <c r="H57" s="5" t="s">
        <v>21</v>
      </c>
      <c r="I57" s="5" t="s">
        <v>187</v>
      </c>
      <c r="J57" s="12" t="str">
        <f>HYPERLINK("https://www.boe.es/gazeta/dias/1800/10/10/pdfs/GMD-1800-82.pdf#page=8","Abrir facsímil")</f>
        <v>Abrir facsímil</v>
      </c>
      <c r="K57" s="15" t="s">
        <v>23</v>
      </c>
    </row>
    <row r="58" spans="1:11" ht="42" customHeight="1">
      <c r="A58" s="4" t="s">
        <v>188</v>
      </c>
      <c r="B58" s="5" t="s">
        <v>189</v>
      </c>
      <c r="C58" s="5" t="s">
        <v>18</v>
      </c>
      <c r="D58" s="5" t="s">
        <v>19</v>
      </c>
      <c r="E58" s="5" t="s">
        <v>190</v>
      </c>
      <c r="F58" s="9">
        <v>93</v>
      </c>
      <c r="G58" s="9">
        <v>1058</v>
      </c>
      <c r="H58" s="5" t="s">
        <v>21</v>
      </c>
      <c r="I58" s="5" t="s">
        <v>191</v>
      </c>
      <c r="J58" s="12" t="str">
        <f>HYPERLINK("https://www.boe.es/gazeta/dias/1800/11/18/pdfs/GMD-1800-93.pdf#page=4","Abrir facsímil")</f>
        <v>Abrir facsímil</v>
      </c>
      <c r="K58" s="15" t="s">
        <v>23</v>
      </c>
    </row>
    <row r="59" spans="1:11" ht="42" customHeight="1">
      <c r="A59" s="4" t="s">
        <v>192</v>
      </c>
      <c r="B59" s="5" t="s">
        <v>193</v>
      </c>
      <c r="C59" s="5" t="s">
        <v>41</v>
      </c>
      <c r="D59" s="5" t="s">
        <v>42</v>
      </c>
      <c r="E59" s="5" t="s">
        <v>194</v>
      </c>
      <c r="F59" s="9">
        <v>48</v>
      </c>
      <c r="G59" s="9">
        <v>517</v>
      </c>
      <c r="H59" s="5" t="s">
        <v>21</v>
      </c>
      <c r="I59" s="5" t="s">
        <v>195</v>
      </c>
      <c r="J59" s="12" t="str">
        <f>HYPERLINK("https://www.boe.es/gazeta/dias/1800/06/17/pdfs/GMD-1800-48.pdf#page=9","Abrir facsímil")</f>
        <v>Abrir facsímil</v>
      </c>
      <c r="K59" s="15" t="s">
        <v>23</v>
      </c>
    </row>
    <row r="60" spans="1:11" ht="42" customHeight="1">
      <c r="A60" s="4" t="s">
        <v>192</v>
      </c>
      <c r="B60" s="5" t="s">
        <v>193</v>
      </c>
      <c r="C60" s="5" t="s">
        <v>41</v>
      </c>
      <c r="D60" s="5" t="s">
        <v>42</v>
      </c>
      <c r="E60" s="5" t="s">
        <v>196</v>
      </c>
      <c r="F60" s="9">
        <v>97</v>
      </c>
      <c r="G60" s="9">
        <v>1115</v>
      </c>
      <c r="H60" s="5" t="s">
        <v>21</v>
      </c>
      <c r="I60" s="5" t="s">
        <v>197</v>
      </c>
      <c r="J60" s="12" t="str">
        <f>HYPERLINK("https://www.boe.es/gazeta/dias/1800/12/02/pdfs/GMD-1800-97.pdf#page=7","Abrir facsímil")</f>
        <v>Abrir facsímil</v>
      </c>
      <c r="K60" s="15" t="s">
        <v>23</v>
      </c>
    </row>
    <row r="61" spans="1:11" ht="42" customHeight="1">
      <c r="A61" s="4" t="s">
        <v>198</v>
      </c>
      <c r="B61" s="5" t="s">
        <v>199</v>
      </c>
      <c r="C61" s="5" t="s">
        <v>18</v>
      </c>
      <c r="D61" s="5" t="s">
        <v>19</v>
      </c>
      <c r="E61" s="5" t="s">
        <v>162</v>
      </c>
      <c r="F61" s="9">
        <v>15</v>
      </c>
      <c r="G61" s="9">
        <v>142</v>
      </c>
      <c r="H61" s="5" t="s">
        <v>21</v>
      </c>
      <c r="I61" s="5" t="s">
        <v>200</v>
      </c>
      <c r="J61" s="12" t="str">
        <f>HYPERLINK("https://www.boe.es/gazeta/dias/1800/02/21/pdfs/GMD-1800-15.pdf#page=6","Abrir facsímil")</f>
        <v>Abrir facsímil</v>
      </c>
      <c r="K61" s="15" t="s">
        <v>23</v>
      </c>
    </row>
    <row r="62" spans="1:11" ht="42" customHeight="1">
      <c r="A62" s="4" t="s">
        <v>201</v>
      </c>
      <c r="B62" s="5" t="s">
        <v>202</v>
      </c>
      <c r="C62" s="5" t="s">
        <v>41</v>
      </c>
      <c r="D62" s="5" t="s">
        <v>42</v>
      </c>
      <c r="E62" s="5" t="s">
        <v>203</v>
      </c>
      <c r="F62" s="9">
        <v>94</v>
      </c>
      <c r="G62" s="9">
        <v>1074</v>
      </c>
      <c r="H62" s="5" t="s">
        <v>21</v>
      </c>
      <c r="I62" s="5" t="s">
        <v>204</v>
      </c>
      <c r="J62" s="12" t="str">
        <f>HYPERLINK("https://www.boe.es/gazeta/dias/1800/11/21/pdfs/GMD-1800-94.pdf#page=4","Abrir facsímil")</f>
        <v>Abrir facsímil</v>
      </c>
      <c r="K62" s="15" t="s">
        <v>23</v>
      </c>
    </row>
    <row r="63" spans="1:11" ht="42" customHeight="1">
      <c r="A63" s="4" t="s">
        <v>205</v>
      </c>
      <c r="B63" s="5" t="s">
        <v>206</v>
      </c>
      <c r="C63" s="5" t="s">
        <v>207</v>
      </c>
      <c r="D63" s="5" t="s">
        <v>55</v>
      </c>
      <c r="E63" s="5" t="s">
        <v>52</v>
      </c>
      <c r="F63" s="9">
        <v>83</v>
      </c>
      <c r="G63" s="9">
        <v>962</v>
      </c>
      <c r="H63" s="5" t="s">
        <v>21</v>
      </c>
      <c r="I63" s="5" t="s">
        <v>208</v>
      </c>
      <c r="J63" s="12" t="str">
        <f>HYPERLINK("https://www.boe.es/gazeta/dias/1800/10/14/pdfs/GMD-1800-83.pdf#page=8","Abrir facsímil")</f>
        <v>Abrir facsímil</v>
      </c>
      <c r="K63" s="15" t="s">
        <v>23</v>
      </c>
    </row>
    <row r="64" spans="1:11" ht="42" customHeight="1">
      <c r="A64" s="4" t="s">
        <v>209</v>
      </c>
      <c r="B64" s="5" t="s">
        <v>210</v>
      </c>
      <c r="C64" s="5" t="s">
        <v>18</v>
      </c>
      <c r="D64" s="5" t="s">
        <v>19</v>
      </c>
      <c r="E64" s="5" t="s">
        <v>56</v>
      </c>
      <c r="F64" s="9">
        <v>90</v>
      </c>
      <c r="G64" s="9">
        <v>1056</v>
      </c>
      <c r="H64" s="5" t="s">
        <v>21</v>
      </c>
      <c r="I64" s="5" t="s">
        <v>211</v>
      </c>
      <c r="J64" s="12" t="str">
        <f>HYPERLINK("https://www.boe.es/gazeta/dias/1800/11/07/pdfs/GMD-1800-90.pdf#page=10","Abrir facsímil")</f>
        <v>Abrir facsímil</v>
      </c>
      <c r="K64" s="15" t="s">
        <v>23</v>
      </c>
    </row>
    <row r="65" spans="1:11" ht="42" customHeight="1">
      <c r="A65" s="4" t="s">
        <v>212</v>
      </c>
      <c r="B65" s="5" t="s">
        <v>213</v>
      </c>
      <c r="C65" s="5" t="s">
        <v>171</v>
      </c>
      <c r="D65" s="5" t="s">
        <v>172</v>
      </c>
      <c r="E65" s="5" t="s">
        <v>214</v>
      </c>
      <c r="F65" s="9">
        <v>41</v>
      </c>
      <c r="G65" s="9">
        <v>428</v>
      </c>
      <c r="H65" s="5" t="s">
        <v>21</v>
      </c>
      <c r="I65" s="5" t="s">
        <v>215</v>
      </c>
      <c r="J65" s="12" t="str">
        <f>HYPERLINK("https://www.boe.es/gazeta/dias/1800/05/23/pdfs/GMD-C-1800-41.pdf#page=4","Abrir facsímil")</f>
        <v>Abrir facsímil</v>
      </c>
      <c r="K65" s="15" t="s">
        <v>23</v>
      </c>
    </row>
    <row r="66" spans="1:11" ht="42" customHeight="1">
      <c r="A66" s="4" t="s">
        <v>216</v>
      </c>
      <c r="B66" s="5" t="s">
        <v>217</v>
      </c>
      <c r="C66" s="5" t="s">
        <v>41</v>
      </c>
      <c r="D66" s="5" t="s">
        <v>42</v>
      </c>
      <c r="E66" s="5" t="s">
        <v>218</v>
      </c>
      <c r="F66" s="9">
        <v>5</v>
      </c>
      <c r="G66" s="9">
        <v>46</v>
      </c>
      <c r="H66" s="5" t="s">
        <v>21</v>
      </c>
      <c r="I66" s="5" t="s">
        <v>219</v>
      </c>
      <c r="J66" s="12" t="str">
        <f>HYPERLINK("https://www.boe.es/gazeta/dias/1800/01/17/pdfs/GMD-1800-5.pdf#page=6","Abrir facsímil")</f>
        <v>Abrir facsímil</v>
      </c>
      <c r="K66" s="15" t="s">
        <v>23</v>
      </c>
    </row>
    <row r="67" spans="1:11" ht="42" customHeight="1">
      <c r="A67" s="4" t="s">
        <v>216</v>
      </c>
      <c r="B67" s="5" t="s">
        <v>217</v>
      </c>
      <c r="C67" s="5" t="s">
        <v>41</v>
      </c>
      <c r="D67" s="5" t="s">
        <v>42</v>
      </c>
      <c r="E67" s="5" t="s">
        <v>82</v>
      </c>
      <c r="F67" s="9">
        <v>10</v>
      </c>
      <c r="G67" s="9">
        <v>95</v>
      </c>
      <c r="H67" s="5" t="s">
        <v>21</v>
      </c>
      <c r="I67" s="5" t="s">
        <v>220</v>
      </c>
      <c r="J67" s="12" t="str">
        <f>HYPERLINK("https://www.boe.es/gazeta/dias/1800/02/04/pdfs/GMD-1800-10.pdf#page=7","Abrir facsímil")</f>
        <v>Abrir facsímil</v>
      </c>
      <c r="K67" s="15" t="s">
        <v>23</v>
      </c>
    </row>
    <row r="68" spans="1:11" ht="42" customHeight="1">
      <c r="A68" s="4" t="s">
        <v>221</v>
      </c>
      <c r="B68" s="5" t="s">
        <v>222</v>
      </c>
      <c r="C68" s="5" t="s">
        <v>18</v>
      </c>
      <c r="D68" s="5" t="s">
        <v>19</v>
      </c>
      <c r="E68" s="5" t="s">
        <v>111</v>
      </c>
      <c r="F68" s="9">
        <v>98</v>
      </c>
      <c r="G68" s="9">
        <v>1128</v>
      </c>
      <c r="H68" s="5" t="s">
        <v>21</v>
      </c>
      <c r="I68" s="5" t="s">
        <v>223</v>
      </c>
      <c r="J68" s="12" t="str">
        <f>HYPERLINK("https://www.boe.es/gazeta/dias/1800/12/05/pdfs/GMD-1800-98.pdf#page=8","Abrir facsímil")</f>
        <v>Abrir facsímil</v>
      </c>
      <c r="K68" s="15" t="s">
        <v>23</v>
      </c>
    </row>
    <row r="69" spans="1:11" ht="42" customHeight="1">
      <c r="A69" s="4" t="s">
        <v>224</v>
      </c>
      <c r="B69" s="5" t="s">
        <v>225</v>
      </c>
      <c r="C69" s="5" t="s">
        <v>84</v>
      </c>
      <c r="D69" s="5" t="s">
        <v>85</v>
      </c>
      <c r="E69" s="5" t="s">
        <v>226</v>
      </c>
      <c r="F69" s="9">
        <v>27</v>
      </c>
      <c r="G69" s="9">
        <v>280</v>
      </c>
      <c r="H69" s="5" t="s">
        <v>21</v>
      </c>
      <c r="I69" s="5" t="s">
        <v>227</v>
      </c>
      <c r="J69" s="12" t="str">
        <f>HYPERLINK("https://www.boe.es/gazeta/dias/1800/04/04/pdfs/GMD-1800-27.pdf#page=8","Abrir facsímil")</f>
        <v>Abrir facsímil</v>
      </c>
      <c r="K69" s="15" t="s">
        <v>23</v>
      </c>
    </row>
    <row r="70" spans="1:11" ht="42" customHeight="1">
      <c r="A70" s="4" t="s">
        <v>228</v>
      </c>
      <c r="B70" s="5" t="s">
        <v>229</v>
      </c>
      <c r="C70" s="5" t="s">
        <v>18</v>
      </c>
      <c r="D70" s="5" t="s">
        <v>19</v>
      </c>
      <c r="E70" s="5" t="s">
        <v>230</v>
      </c>
      <c r="F70" s="9">
        <v>35</v>
      </c>
      <c r="G70" s="9">
        <v>355</v>
      </c>
      <c r="H70" s="5" t="s">
        <v>21</v>
      </c>
      <c r="I70" s="5" t="s">
        <v>231</v>
      </c>
      <c r="J70" s="12" t="str">
        <f>HYPERLINK("https://www.boe.es/gazeta/dias/1800/05/02/pdfs/GMD-1800-35.pdf#page=7","Abrir facsímil")</f>
        <v>Abrir facsímil</v>
      </c>
      <c r="K70" s="15" t="s">
        <v>23</v>
      </c>
    </row>
    <row r="71" spans="1:11" ht="42" customHeight="1">
      <c r="A71" s="4" t="s">
        <v>232</v>
      </c>
      <c r="B71" s="5" t="s">
        <v>233</v>
      </c>
      <c r="C71" s="5" t="s">
        <v>84</v>
      </c>
      <c r="D71" s="5" t="s">
        <v>85</v>
      </c>
      <c r="E71" s="5" t="s">
        <v>226</v>
      </c>
      <c r="F71" s="9">
        <v>27</v>
      </c>
      <c r="G71" s="9">
        <v>280</v>
      </c>
      <c r="H71" s="5" t="s">
        <v>21</v>
      </c>
      <c r="I71" s="5" t="s">
        <v>234</v>
      </c>
      <c r="J71" s="12" t="str">
        <f>HYPERLINK("https://www.boe.es/gazeta/dias/1800/04/04/pdfs/GMD-1800-27.pdf#page=8","Abrir facsímil")</f>
        <v>Abrir facsímil</v>
      </c>
      <c r="K71" s="15" t="s">
        <v>23</v>
      </c>
    </row>
    <row r="72" spans="1:11" ht="42" customHeight="1">
      <c r="A72" s="4" t="s">
        <v>235</v>
      </c>
      <c r="B72" s="5" t="s">
        <v>236</v>
      </c>
      <c r="C72" s="5" t="s">
        <v>18</v>
      </c>
      <c r="D72" s="5" t="s">
        <v>19</v>
      </c>
      <c r="E72" s="5" t="s">
        <v>35</v>
      </c>
      <c r="F72" s="9">
        <v>21</v>
      </c>
      <c r="G72" s="9">
        <v>206</v>
      </c>
      <c r="H72" s="5" t="s">
        <v>21</v>
      </c>
      <c r="I72" s="5" t="s">
        <v>237</v>
      </c>
      <c r="J72" s="12" t="str">
        <f>HYPERLINK("https://www.boe.es/gazeta/dias/1800/03/14/pdfs/GMD-1800-21.pdf#page=10","Abrir facsímil")</f>
        <v>Abrir facsímil</v>
      </c>
      <c r="K72" s="15" t="s">
        <v>23</v>
      </c>
    </row>
    <row r="73" spans="1:11" ht="42" customHeight="1">
      <c r="A73" s="4" t="s">
        <v>238</v>
      </c>
      <c r="B73" s="5" t="s">
        <v>239</v>
      </c>
      <c r="C73" s="5" t="s">
        <v>18</v>
      </c>
      <c r="D73" s="5" t="s">
        <v>19</v>
      </c>
      <c r="E73" s="5" t="s">
        <v>240</v>
      </c>
      <c r="F73" s="9">
        <v>26</v>
      </c>
      <c r="G73" s="9">
        <v>269</v>
      </c>
      <c r="H73" s="5" t="s">
        <v>21</v>
      </c>
      <c r="I73" s="5" t="s">
        <v>241</v>
      </c>
      <c r="J73" s="12" t="str">
        <f>HYPERLINK("https://www.boe.es/gazeta/dias/1800/04/01/pdfs/GMD-1800-26.pdf#page=9","Abrir facsímil")</f>
        <v>Abrir facsímil</v>
      </c>
      <c r="K73" s="15" t="s">
        <v>23</v>
      </c>
    </row>
    <row r="74" spans="1:11" ht="42" customHeight="1">
      <c r="A74" s="4" t="s">
        <v>242</v>
      </c>
      <c r="B74" s="5" t="s">
        <v>243</v>
      </c>
      <c r="C74" s="5" t="s">
        <v>25</v>
      </c>
      <c r="D74" s="5" t="s">
        <v>26</v>
      </c>
      <c r="E74" s="5" t="s">
        <v>244</v>
      </c>
      <c r="F74" s="9">
        <v>9</v>
      </c>
      <c r="G74" s="9">
        <v>87</v>
      </c>
      <c r="H74" s="5" t="s">
        <v>21</v>
      </c>
      <c r="I74" s="5" t="s">
        <v>245</v>
      </c>
      <c r="J74" s="12" t="str">
        <f>HYPERLINK("https://www.boe.es/gazeta/dias/1800/01/31/pdfs/GMD-1800-9.pdf#page=11","Abrir facsímil")</f>
        <v>Abrir facsímil</v>
      </c>
      <c r="K74" s="15" t="s">
        <v>23</v>
      </c>
    </row>
    <row r="75" spans="1:11" ht="42" customHeight="1">
      <c r="A75" s="4" t="s">
        <v>246</v>
      </c>
      <c r="B75" s="5" t="s">
        <v>247</v>
      </c>
      <c r="C75" s="5" t="s">
        <v>18</v>
      </c>
      <c r="D75" s="5" t="s">
        <v>19</v>
      </c>
      <c r="E75" s="5" t="s">
        <v>248</v>
      </c>
      <c r="F75" s="9">
        <v>33</v>
      </c>
      <c r="G75" s="9">
        <v>332</v>
      </c>
      <c r="H75" s="5" t="s">
        <v>21</v>
      </c>
      <c r="I75" s="5" t="s">
        <v>249</v>
      </c>
      <c r="J75" s="12" t="str">
        <f>HYPERLINK("https://www.boe.es/gazeta/dias/1800/04/25/pdfs/GMD-1800-33.pdf#page=8","Abrir facsímil")</f>
        <v>Abrir facsímil</v>
      </c>
      <c r="K75" s="15" t="s">
        <v>23</v>
      </c>
    </row>
    <row r="76" spans="1:11" ht="42" customHeight="1">
      <c r="A76" s="4" t="s">
        <v>250</v>
      </c>
      <c r="B76" s="5" t="s">
        <v>251</v>
      </c>
      <c r="C76" s="5" t="s">
        <v>25</v>
      </c>
      <c r="D76" s="5" t="s">
        <v>26</v>
      </c>
      <c r="E76" s="5" t="s">
        <v>45</v>
      </c>
      <c r="F76" s="9">
        <v>47</v>
      </c>
      <c r="G76" s="9">
        <v>502</v>
      </c>
      <c r="H76" s="5" t="s">
        <v>21</v>
      </c>
      <c r="I76" s="5" t="s">
        <v>252</v>
      </c>
      <c r="J76" s="12" t="str">
        <f>HYPERLINK("https://www.boe.es/gazeta/dias/1800/06/13/pdfs/GMD-1800-47.pdf#page=10","Abrir facsímil")</f>
        <v>Abrir facsímil</v>
      </c>
      <c r="K76" s="15" t="s">
        <v>23</v>
      </c>
    </row>
    <row r="77" spans="1:11" ht="42" customHeight="1">
      <c r="A77" s="4" t="s">
        <v>253</v>
      </c>
      <c r="B77" s="5" t="s">
        <v>254</v>
      </c>
      <c r="C77" s="5" t="s">
        <v>18</v>
      </c>
      <c r="D77" s="5" t="s">
        <v>19</v>
      </c>
      <c r="E77" s="5" t="s">
        <v>255</v>
      </c>
      <c r="F77" s="9">
        <v>75</v>
      </c>
      <c r="G77" s="9">
        <v>855</v>
      </c>
      <c r="H77" s="5" t="s">
        <v>21</v>
      </c>
      <c r="I77" s="5" t="s">
        <v>256</v>
      </c>
      <c r="J77" s="12" t="str">
        <f>HYPERLINK("https://www.boe.es/gazeta/dias/1800/09/16/pdfs/GMD-1800-75.pdf#page=9","Abrir facsímil")</f>
        <v>Abrir facsímil</v>
      </c>
      <c r="K77" s="15" t="s">
        <v>23</v>
      </c>
    </row>
    <row r="78" spans="1:11" ht="42" customHeight="1">
      <c r="A78" s="4" t="s">
        <v>257</v>
      </c>
      <c r="B78" s="5" t="s">
        <v>258</v>
      </c>
      <c r="C78" s="5" t="s">
        <v>18</v>
      </c>
      <c r="D78" s="5" t="s">
        <v>19</v>
      </c>
      <c r="E78" s="5" t="s">
        <v>248</v>
      </c>
      <c r="F78" s="9">
        <v>33</v>
      </c>
      <c r="G78" s="9">
        <v>333</v>
      </c>
      <c r="H78" s="5" t="s">
        <v>21</v>
      </c>
      <c r="I78" s="5" t="s">
        <v>259</v>
      </c>
      <c r="J78" s="12" t="str">
        <f>HYPERLINK("https://www.boe.es/gazeta/dias/1800/04/25/pdfs/GMD-1800-33.pdf#page=9","Abrir facsímil")</f>
        <v>Abrir facsímil</v>
      </c>
      <c r="K78" s="15" t="s">
        <v>23</v>
      </c>
    </row>
    <row r="79" spans="1:11" ht="42" customHeight="1">
      <c r="A79" s="4" t="s">
        <v>260</v>
      </c>
      <c r="B79" s="5" t="s">
        <v>261</v>
      </c>
      <c r="C79" s="5" t="s">
        <v>207</v>
      </c>
      <c r="D79" s="5" t="s">
        <v>55</v>
      </c>
      <c r="E79" s="5" t="s">
        <v>262</v>
      </c>
      <c r="F79" s="9">
        <v>39</v>
      </c>
      <c r="G79" s="9">
        <v>401</v>
      </c>
      <c r="H79" s="5" t="s">
        <v>21</v>
      </c>
      <c r="I79" s="5" t="s">
        <v>263</v>
      </c>
      <c r="J79" s="12" t="str">
        <f>HYPERLINK("https://www.boe.es/gazeta/dias/1800/05/16/pdfs/GMD-1800-39.pdf#page=9","Abrir facsímil")</f>
        <v>Abrir facsímil</v>
      </c>
      <c r="K79" s="15" t="s">
        <v>23</v>
      </c>
    </row>
    <row r="80" spans="1:11" ht="42" customHeight="1">
      <c r="A80" s="4" t="s">
        <v>264</v>
      </c>
      <c r="B80" s="5" t="s">
        <v>265</v>
      </c>
      <c r="C80" s="5" t="s">
        <v>171</v>
      </c>
      <c r="D80" s="5" t="s">
        <v>172</v>
      </c>
      <c r="E80" s="5" t="s">
        <v>64</v>
      </c>
      <c r="F80" s="9">
        <v>54</v>
      </c>
      <c r="G80" s="9">
        <v>612</v>
      </c>
      <c r="H80" s="5" t="s">
        <v>21</v>
      </c>
      <c r="I80" s="5" t="s">
        <v>266</v>
      </c>
      <c r="J80" s="12" t="str">
        <f>HYPERLINK("https://www.boe.es/gazeta/dias/1800/07/08/pdfs/GMD-C-1800-54.pdf#page=4","Abrir facsímil")</f>
        <v>Abrir facsímil</v>
      </c>
      <c r="K80" s="15" t="s">
        <v>23</v>
      </c>
    </row>
    <row r="81" spans="1:11" ht="42" customHeight="1">
      <c r="A81" s="4" t="s">
        <v>267</v>
      </c>
      <c r="B81" s="5" t="s">
        <v>268</v>
      </c>
      <c r="C81" s="5" t="s">
        <v>18</v>
      </c>
      <c r="D81" s="5" t="s">
        <v>19</v>
      </c>
      <c r="E81" s="5" t="s">
        <v>52</v>
      </c>
      <c r="F81" s="9">
        <v>83</v>
      </c>
      <c r="G81" s="9">
        <v>963</v>
      </c>
      <c r="H81" s="5" t="s">
        <v>21</v>
      </c>
      <c r="I81" s="5" t="s">
        <v>269</v>
      </c>
      <c r="J81" s="12" t="str">
        <f>HYPERLINK("https://www.boe.es/gazeta/dias/1800/10/14/pdfs/GMD-1800-83.pdf#page=9","Abrir facsímil")</f>
        <v>Abrir facsímil</v>
      </c>
      <c r="K81" s="15" t="s">
        <v>23</v>
      </c>
    </row>
    <row r="82" spans="1:11" ht="42" customHeight="1">
      <c r="A82" s="4" t="s">
        <v>270</v>
      </c>
      <c r="B82" s="5" t="s">
        <v>271</v>
      </c>
      <c r="C82" s="5" t="s">
        <v>18</v>
      </c>
      <c r="D82" s="5" t="s">
        <v>19</v>
      </c>
      <c r="E82" s="5" t="s">
        <v>154</v>
      </c>
      <c r="F82" s="9">
        <v>61</v>
      </c>
      <c r="G82" s="9">
        <v>697</v>
      </c>
      <c r="H82" s="5" t="s">
        <v>21</v>
      </c>
      <c r="I82" s="5" t="s">
        <v>272</v>
      </c>
      <c r="J82" s="12" t="str">
        <f>HYPERLINK("https://www.boe.es/gazeta/dias/1800/08/01/pdfs/GMD-1800-61.pdf#page=9","Abrir facsímil")</f>
        <v>Abrir facsímil</v>
      </c>
      <c r="K82" s="15" t="s">
        <v>23</v>
      </c>
    </row>
    <row r="83" spans="1:11" ht="42" customHeight="1">
      <c r="A83" s="4" t="s">
        <v>273</v>
      </c>
      <c r="B83" s="5" t="s">
        <v>274</v>
      </c>
      <c r="C83" s="5" t="s">
        <v>207</v>
      </c>
      <c r="D83" s="5" t="s">
        <v>55</v>
      </c>
      <c r="E83" s="5" t="s">
        <v>275</v>
      </c>
      <c r="F83" s="9">
        <v>60</v>
      </c>
      <c r="G83" s="9">
        <v>687</v>
      </c>
      <c r="H83" s="5" t="s">
        <v>21</v>
      </c>
      <c r="I83" s="5" t="s">
        <v>276</v>
      </c>
      <c r="J83" s="12" t="str">
        <f>HYPERLINK("https://www.boe.es/gazeta/dias/1800/07/29/pdfs/GMD-1800-60.pdf#page=7","Abrir facsímil")</f>
        <v>Abrir facsímil</v>
      </c>
      <c r="K83" s="15" t="s">
        <v>23</v>
      </c>
    </row>
    <row r="84" spans="1:11" ht="42" customHeight="1">
      <c r="A84" s="4" t="s">
        <v>277</v>
      </c>
      <c r="B84" s="5" t="s">
        <v>278</v>
      </c>
      <c r="C84" s="5" t="s">
        <v>18</v>
      </c>
      <c r="D84" s="5" t="s">
        <v>19</v>
      </c>
      <c r="E84" s="5" t="s">
        <v>279</v>
      </c>
      <c r="F84" s="9">
        <v>103</v>
      </c>
      <c r="G84" s="9">
        <v>1197</v>
      </c>
      <c r="H84" s="5" t="s">
        <v>21</v>
      </c>
      <c r="I84" s="5" t="s">
        <v>280</v>
      </c>
      <c r="J84" s="12" t="str">
        <f>HYPERLINK("https://www.boe.es/gazeta/dias/1800/12/23/pdfs/GMD-1800-103.pdf#page=9","Abrir facsímil")</f>
        <v>Abrir facsímil</v>
      </c>
      <c r="K84" s="15" t="s">
        <v>23</v>
      </c>
    </row>
    <row r="85" spans="1:11" ht="42" customHeight="1">
      <c r="A85" s="4" t="s">
        <v>281</v>
      </c>
      <c r="B85" s="5" t="s">
        <v>282</v>
      </c>
      <c r="C85" s="5" t="s">
        <v>18</v>
      </c>
      <c r="D85" s="5" t="s">
        <v>19</v>
      </c>
      <c r="E85" s="5" t="s">
        <v>283</v>
      </c>
      <c r="F85" s="9">
        <v>68</v>
      </c>
      <c r="G85" s="9">
        <v>765</v>
      </c>
      <c r="H85" s="5" t="s">
        <v>21</v>
      </c>
      <c r="I85" s="5" t="s">
        <v>284</v>
      </c>
      <c r="J85" s="12" t="str">
        <f>HYPERLINK("https://www.boe.es/gazeta/dias/1800/08/26/pdfs/GMD-1800-68.pdf#page=9","Abrir facsímil")</f>
        <v>Abrir facsímil</v>
      </c>
      <c r="K85" s="15" t="s">
        <v>23</v>
      </c>
    </row>
    <row r="86" spans="1:11" ht="42" customHeight="1">
      <c r="A86" s="4" t="s">
        <v>285</v>
      </c>
      <c r="B86" s="5" t="s">
        <v>286</v>
      </c>
      <c r="C86" s="5" t="s">
        <v>18</v>
      </c>
      <c r="D86" s="5" t="s">
        <v>19</v>
      </c>
      <c r="E86" s="5" t="s">
        <v>31</v>
      </c>
      <c r="F86" s="9">
        <v>20</v>
      </c>
      <c r="G86" s="9">
        <v>192</v>
      </c>
      <c r="H86" s="5" t="s">
        <v>21</v>
      </c>
      <c r="I86" s="5" t="s">
        <v>287</v>
      </c>
      <c r="J86" s="12" t="str">
        <f>HYPERLINK("https://www.boe.es/gazeta/dias/1800/03/11/pdfs/GMD-1800-20.pdf#page=8","Abrir facsímil")</f>
        <v>Abrir facsímil</v>
      </c>
      <c r="K86" s="15" t="s">
        <v>23</v>
      </c>
    </row>
    <row r="87" spans="1:11" ht="42" customHeight="1">
      <c r="A87" s="4" t="s">
        <v>288</v>
      </c>
      <c r="B87" s="5" t="s">
        <v>289</v>
      </c>
      <c r="C87" s="5" t="s">
        <v>18</v>
      </c>
      <c r="D87" s="5" t="s">
        <v>19</v>
      </c>
      <c r="E87" s="5" t="s">
        <v>75</v>
      </c>
      <c r="F87" s="9">
        <v>64</v>
      </c>
      <c r="G87" s="9">
        <v>733</v>
      </c>
      <c r="H87" s="5" t="s">
        <v>21</v>
      </c>
      <c r="I87" s="5" t="s">
        <v>290</v>
      </c>
      <c r="J87" s="12" t="str">
        <f>HYPERLINK("https://www.boe.es/gazeta/dias/1800/08/12/pdfs/GMD-1800-64.pdf#page=9","Abrir facsímil")</f>
        <v>Abrir facsímil</v>
      </c>
      <c r="K87" s="15" t="s">
        <v>23</v>
      </c>
    </row>
    <row r="88" spans="1:11" ht="42" customHeight="1">
      <c r="A88" s="4" t="s">
        <v>291</v>
      </c>
      <c r="B88" s="5" t="s">
        <v>292</v>
      </c>
      <c r="C88" s="5" t="s">
        <v>18</v>
      </c>
      <c r="D88" s="5" t="s">
        <v>19</v>
      </c>
      <c r="E88" s="5" t="s">
        <v>255</v>
      </c>
      <c r="F88" s="9">
        <v>75</v>
      </c>
      <c r="G88" s="9">
        <v>855</v>
      </c>
      <c r="H88" s="5" t="s">
        <v>21</v>
      </c>
      <c r="I88" s="5" t="s">
        <v>293</v>
      </c>
      <c r="J88" s="12" t="str">
        <f>HYPERLINK("https://www.boe.es/gazeta/dias/1800/09/16/pdfs/GMD-1800-75.pdf#page=9","Abrir facsímil")</f>
        <v>Abrir facsímil</v>
      </c>
      <c r="K88" s="15" t="s">
        <v>23</v>
      </c>
    </row>
    <row r="89" spans="1:11" ht="42" customHeight="1">
      <c r="A89" s="4" t="s">
        <v>294</v>
      </c>
      <c r="B89" s="5" t="s">
        <v>295</v>
      </c>
      <c r="C89" s="5" t="s">
        <v>207</v>
      </c>
      <c r="D89" s="5" t="s">
        <v>55</v>
      </c>
      <c r="E89" s="5" t="s">
        <v>52</v>
      </c>
      <c r="F89" s="9">
        <v>83</v>
      </c>
      <c r="G89" s="9">
        <v>962</v>
      </c>
      <c r="H89" s="5" t="s">
        <v>21</v>
      </c>
      <c r="I89" s="5" t="s">
        <v>296</v>
      </c>
      <c r="J89" s="12" t="str">
        <f>HYPERLINK("https://www.boe.es/gazeta/dias/1800/10/14/pdfs/GMD-1800-83.pdf#page=8","Abrir facsímil")</f>
        <v>Abrir facsímil</v>
      </c>
      <c r="K89" s="15" t="s">
        <v>23</v>
      </c>
    </row>
    <row r="90" spans="1:11" ht="42" customHeight="1">
      <c r="A90" s="4" t="s">
        <v>297</v>
      </c>
      <c r="B90" s="5" t="s">
        <v>298</v>
      </c>
      <c r="C90" s="5" t="s">
        <v>18</v>
      </c>
      <c r="D90" s="5" t="s">
        <v>19</v>
      </c>
      <c r="E90" s="5" t="s">
        <v>299</v>
      </c>
      <c r="F90" s="9">
        <v>40</v>
      </c>
      <c r="G90" s="9">
        <v>414</v>
      </c>
      <c r="H90" s="5" t="s">
        <v>21</v>
      </c>
      <c r="I90" s="5" t="s">
        <v>300</v>
      </c>
      <c r="J90" s="12" t="str">
        <f>HYPERLINK("https://www.boe.es/gazeta/dias/1800/05/20/pdfs/GMD-1800-40.pdf#page=10","Abrir facsímil")</f>
        <v>Abrir facsímil</v>
      </c>
      <c r="K90" s="15" t="s">
        <v>23</v>
      </c>
    </row>
    <row r="91" spans="1:11" ht="42" customHeight="1">
      <c r="A91" s="4" t="s">
        <v>301</v>
      </c>
      <c r="B91" s="5" t="s">
        <v>302</v>
      </c>
      <c r="C91" s="5" t="s">
        <v>18</v>
      </c>
      <c r="D91" s="5" t="s">
        <v>19</v>
      </c>
      <c r="E91" s="5" t="s">
        <v>56</v>
      </c>
      <c r="F91" s="9">
        <v>90</v>
      </c>
      <c r="G91" s="9">
        <v>1056</v>
      </c>
      <c r="H91" s="5" t="s">
        <v>21</v>
      </c>
      <c r="I91" s="5" t="s">
        <v>303</v>
      </c>
      <c r="J91" s="12" t="str">
        <f>HYPERLINK("https://www.boe.es/gazeta/dias/1800/11/07/pdfs/GMD-1800-90.pdf#page=10","Abrir facsímil")</f>
        <v>Abrir facsímil</v>
      </c>
      <c r="K91" s="15" t="s">
        <v>23</v>
      </c>
    </row>
    <row r="92" spans="1:11" ht="42" customHeight="1">
      <c r="A92" s="4" t="s">
        <v>304</v>
      </c>
      <c r="B92" s="5" t="s">
        <v>305</v>
      </c>
      <c r="C92" s="5" t="s">
        <v>207</v>
      </c>
      <c r="D92" s="5" t="s">
        <v>55</v>
      </c>
      <c r="E92" s="5" t="s">
        <v>306</v>
      </c>
      <c r="F92" s="9">
        <v>79</v>
      </c>
      <c r="G92" s="9">
        <v>899</v>
      </c>
      <c r="H92" s="5" t="s">
        <v>21</v>
      </c>
      <c r="I92" s="5" t="s">
        <v>307</v>
      </c>
      <c r="J92" s="12" t="str">
        <f>HYPERLINK("https://www.boe.es/gazeta/dias/1800/09/30/pdfs/GMD-1800-79.pdf#page=9","Abrir facsímil")</f>
        <v>Abrir facsímil</v>
      </c>
      <c r="K92" s="15" t="s">
        <v>23</v>
      </c>
    </row>
    <row r="93" spans="1:11" ht="42" customHeight="1">
      <c r="A93" s="4" t="s">
        <v>308</v>
      </c>
      <c r="B93" s="5" t="s">
        <v>309</v>
      </c>
      <c r="C93" s="5" t="s">
        <v>41</v>
      </c>
      <c r="D93" s="5" t="s">
        <v>42</v>
      </c>
      <c r="E93" s="5" t="s">
        <v>310</v>
      </c>
      <c r="F93" s="9">
        <v>56</v>
      </c>
      <c r="G93" s="9">
        <v>628</v>
      </c>
      <c r="H93" s="5" t="s">
        <v>21</v>
      </c>
      <c r="I93" s="5" t="s">
        <v>311</v>
      </c>
      <c r="J93" s="12" t="str">
        <f>HYPERLINK("https://www.boe.es/gazeta/dias/1800/07/15/pdfs/GMD-1800-56.pdf#page=4","Abrir facsímil")</f>
        <v>Abrir facsímil</v>
      </c>
      <c r="K93" s="15" t="s">
        <v>23</v>
      </c>
    </row>
    <row r="94" spans="1:11" ht="42" customHeight="1">
      <c r="A94" s="4" t="s">
        <v>312</v>
      </c>
      <c r="B94" s="5" t="s">
        <v>313</v>
      </c>
      <c r="C94" s="5" t="s">
        <v>18</v>
      </c>
      <c r="D94" s="5" t="s">
        <v>19</v>
      </c>
      <c r="E94" s="5" t="s">
        <v>314</v>
      </c>
      <c r="F94" s="9">
        <v>74</v>
      </c>
      <c r="G94" s="9">
        <v>831</v>
      </c>
      <c r="H94" s="5" t="s">
        <v>21</v>
      </c>
      <c r="I94" s="5" t="s">
        <v>315</v>
      </c>
      <c r="J94" s="12" t="str">
        <f>HYPERLINK("https://www.boe.es/gazeta/dias/1800/09/12/pdfs/GMD-1800-74.pdf#page=9","Abrir facsímil")</f>
        <v>Abrir facsímil</v>
      </c>
      <c r="K94" s="15" t="s">
        <v>23</v>
      </c>
    </row>
    <row r="95" spans="1:11" ht="42" customHeight="1">
      <c r="A95" s="4" t="s">
        <v>312</v>
      </c>
      <c r="B95" s="5" t="s">
        <v>313</v>
      </c>
      <c r="C95" s="5" t="s">
        <v>18</v>
      </c>
      <c r="D95" s="5" t="s">
        <v>19</v>
      </c>
      <c r="E95" s="5" t="s">
        <v>56</v>
      </c>
      <c r="F95" s="9">
        <v>90</v>
      </c>
      <c r="G95" s="9">
        <v>1056</v>
      </c>
      <c r="H95" s="5" t="s">
        <v>21</v>
      </c>
      <c r="I95" s="5" t="s">
        <v>316</v>
      </c>
      <c r="J95" s="12" t="str">
        <f>HYPERLINK("https://www.boe.es/gazeta/dias/1800/11/07/pdfs/GMD-1800-90.pdf#page=10","Abrir facsímil")</f>
        <v>Abrir facsímil</v>
      </c>
      <c r="K95" s="15" t="s">
        <v>23</v>
      </c>
    </row>
    <row r="96" spans="1:11" ht="42" customHeight="1">
      <c r="A96" s="4" t="s">
        <v>317</v>
      </c>
      <c r="B96" s="5" t="s">
        <v>318</v>
      </c>
      <c r="C96" s="5" t="s">
        <v>41</v>
      </c>
      <c r="D96" s="5" t="s">
        <v>42</v>
      </c>
      <c r="E96" s="5" t="s">
        <v>319</v>
      </c>
      <c r="F96" s="9">
        <v>62</v>
      </c>
      <c r="G96" s="9">
        <v>702</v>
      </c>
      <c r="H96" s="5" t="s">
        <v>21</v>
      </c>
      <c r="I96" s="5" t="s">
        <v>320</v>
      </c>
      <c r="J96" s="12" t="str">
        <f>HYPERLINK("https://www.boe.es/gazeta/dias/1800/08/05/pdfs/GMD-1800-62.pdf#page=2","Abrir facsímil")</f>
        <v>Abrir facsímil</v>
      </c>
      <c r="K96" s="15" t="s">
        <v>23</v>
      </c>
    </row>
    <row r="97" spans="1:11" ht="42" customHeight="1">
      <c r="A97" s="4" t="s">
        <v>321</v>
      </c>
      <c r="B97" s="5" t="s">
        <v>322</v>
      </c>
      <c r="C97" s="5" t="s">
        <v>41</v>
      </c>
      <c r="D97" s="5" t="s">
        <v>42</v>
      </c>
      <c r="E97" s="5" t="s">
        <v>162</v>
      </c>
      <c r="F97" s="9">
        <v>15</v>
      </c>
      <c r="G97" s="9">
        <v>137</v>
      </c>
      <c r="H97" s="5" t="s">
        <v>21</v>
      </c>
      <c r="I97" s="5" t="s">
        <v>323</v>
      </c>
      <c r="J97" s="12" t="str">
        <f>HYPERLINK("https://www.boe.es/gazeta/dias/1800/02/21/pdfs/GMD-1800-15.pdf#page=1","Abrir facsímil")</f>
        <v>Abrir facsímil</v>
      </c>
      <c r="K97" s="15" t="s">
        <v>23</v>
      </c>
    </row>
    <row r="98" spans="1:11" ht="42" customHeight="1">
      <c r="A98" s="4" t="s">
        <v>324</v>
      </c>
      <c r="B98" s="5" t="s">
        <v>325</v>
      </c>
      <c r="C98" s="5" t="s">
        <v>41</v>
      </c>
      <c r="D98" s="5" t="s">
        <v>42</v>
      </c>
      <c r="E98" s="5" t="s">
        <v>184</v>
      </c>
      <c r="F98" s="9">
        <v>82</v>
      </c>
      <c r="G98" s="9">
        <v>943</v>
      </c>
      <c r="H98" s="5" t="s">
        <v>21</v>
      </c>
      <c r="I98" s="5" t="s">
        <v>326</v>
      </c>
      <c r="J98" s="12" t="str">
        <f>HYPERLINK("https://www.boe.es/gazeta/dias/1800/10/10/pdfs/GMD-1800-82.pdf#page=1","Abrir facsímil")</f>
        <v>Abrir facsímil</v>
      </c>
      <c r="K98" s="15" t="s">
        <v>23</v>
      </c>
    </row>
    <row r="99" spans="1:11" ht="42" customHeight="1">
      <c r="A99" s="4" t="s">
        <v>327</v>
      </c>
      <c r="B99" s="5" t="s">
        <v>328</v>
      </c>
      <c r="C99" s="5" t="s">
        <v>18</v>
      </c>
      <c r="D99" s="5" t="s">
        <v>19</v>
      </c>
      <c r="E99" s="5" t="s">
        <v>329</v>
      </c>
      <c r="F99" s="9">
        <v>99</v>
      </c>
      <c r="G99" s="9">
        <v>1138</v>
      </c>
      <c r="H99" s="5" t="s">
        <v>21</v>
      </c>
      <c r="I99" s="5" t="s">
        <v>330</v>
      </c>
      <c r="J99" s="12" t="str">
        <f>HYPERLINK("https://www.boe.es/gazeta/dias/1800/12/09/pdfs/GMD-1800-99.pdf#page=6","Abrir facsímil")</f>
        <v>Abrir facsímil</v>
      </c>
      <c r="K99" s="15" t="s">
        <v>23</v>
      </c>
    </row>
    <row r="100" spans="1:11" ht="42" customHeight="1">
      <c r="A100" s="4" t="s">
        <v>331</v>
      </c>
      <c r="B100" s="5" t="s">
        <v>331</v>
      </c>
      <c r="C100" s="5" t="s">
        <v>84</v>
      </c>
      <c r="D100" s="5" t="s">
        <v>85</v>
      </c>
      <c r="E100" s="5" t="s">
        <v>82</v>
      </c>
      <c r="F100" s="9">
        <v>10</v>
      </c>
      <c r="G100" s="9">
        <v>100</v>
      </c>
      <c r="H100" s="5" t="s">
        <v>21</v>
      </c>
      <c r="I100" s="5" t="s">
        <v>332</v>
      </c>
      <c r="J100" s="12" t="str">
        <f>HYPERLINK("https://www.boe.es/gazeta/dias/1800/02/04/pdfs/GMD-1800-10.pdf#page=12","Abrir facsímil")</f>
        <v>Abrir facsímil</v>
      </c>
      <c r="K100" s="15" t="s">
        <v>23</v>
      </c>
    </row>
    <row r="101" spans="1:11" ht="42" customHeight="1">
      <c r="A101" s="4" t="s">
        <v>331</v>
      </c>
      <c r="B101" s="5" t="s">
        <v>331</v>
      </c>
      <c r="C101" s="5" t="s">
        <v>84</v>
      </c>
      <c r="D101" s="5" t="s">
        <v>85</v>
      </c>
      <c r="E101" s="5" t="s">
        <v>31</v>
      </c>
      <c r="F101" s="9">
        <v>20</v>
      </c>
      <c r="G101" s="9">
        <v>196</v>
      </c>
      <c r="H101" s="5" t="s">
        <v>21</v>
      </c>
      <c r="I101" s="5" t="s">
        <v>333</v>
      </c>
      <c r="J101" s="12" t="str">
        <f>HYPERLINK("https://www.boe.es/gazeta/dias/1800/03/11/pdfs/GMD-1800-20.pdf#page=12","Abrir facsímil")</f>
        <v>Abrir facsímil</v>
      </c>
      <c r="K101" s="15" t="s">
        <v>23</v>
      </c>
    </row>
    <row r="102" spans="1:11" ht="42" customHeight="1">
      <c r="A102" s="4" t="s">
        <v>334</v>
      </c>
      <c r="B102" s="5" t="s">
        <v>334</v>
      </c>
      <c r="C102" s="5" t="s">
        <v>18</v>
      </c>
      <c r="D102" s="5" t="s">
        <v>19</v>
      </c>
      <c r="E102" s="5" t="s">
        <v>196</v>
      </c>
      <c r="F102" s="9">
        <v>97</v>
      </c>
      <c r="G102" s="9">
        <v>1117</v>
      </c>
      <c r="H102" s="5" t="s">
        <v>21</v>
      </c>
      <c r="I102" s="5" t="s">
        <v>335</v>
      </c>
      <c r="J102" s="12" t="str">
        <f>HYPERLINK("https://www.boe.es/gazeta/dias/1800/12/02/pdfs/GMD-1800-97.pdf#page=9","Abrir facsímil")</f>
        <v>Abrir facsímil</v>
      </c>
      <c r="K102" s="15" t="s">
        <v>23</v>
      </c>
    </row>
    <row r="103" spans="1:11" ht="42" customHeight="1">
      <c r="A103" s="4" t="s">
        <v>336</v>
      </c>
      <c r="B103" s="5" t="s">
        <v>336</v>
      </c>
      <c r="C103" s="5" t="s">
        <v>54</v>
      </c>
      <c r="D103" s="5" t="s">
        <v>55</v>
      </c>
      <c r="E103" s="5" t="s">
        <v>43</v>
      </c>
      <c r="F103" s="9">
        <v>46</v>
      </c>
      <c r="G103" s="9">
        <v>490</v>
      </c>
      <c r="H103" s="5" t="s">
        <v>21</v>
      </c>
      <c r="I103" s="5" t="s">
        <v>337</v>
      </c>
      <c r="J103" s="12" t="str">
        <f>HYPERLINK("https://www.boe.es/gazeta/dias/1800/06/10/pdfs/GMD-1800-46.pdf#page=14","Abrir facsímil")</f>
        <v>Abrir facsímil</v>
      </c>
      <c r="K103" s="15" t="s">
        <v>23</v>
      </c>
    </row>
    <row r="104" spans="1:11" ht="42" customHeight="1">
      <c r="A104" s="4" t="s">
        <v>338</v>
      </c>
      <c r="B104" s="5" t="s">
        <v>338</v>
      </c>
      <c r="C104" s="5" t="s">
        <v>25</v>
      </c>
      <c r="D104" s="5" t="s">
        <v>26</v>
      </c>
      <c r="E104" s="5" t="s">
        <v>88</v>
      </c>
      <c r="F104" s="9">
        <v>23</v>
      </c>
      <c r="G104" s="9">
        <v>232</v>
      </c>
      <c r="H104" s="5" t="s">
        <v>21</v>
      </c>
      <c r="I104" s="5" t="s">
        <v>339</v>
      </c>
      <c r="J104" s="12" t="str">
        <f>HYPERLINK("https://www.boe.es/gazeta/dias/1800/03/21/pdfs/GMD-1800-23.pdf#page=8","Abrir facsímil")</f>
        <v>Abrir facsímil</v>
      </c>
      <c r="K104" s="15" t="s">
        <v>23</v>
      </c>
    </row>
    <row r="105" spans="1:11" ht="42" customHeight="1">
      <c r="A105" s="4" t="s">
        <v>340</v>
      </c>
      <c r="B105" s="5" t="s">
        <v>340</v>
      </c>
      <c r="C105" s="5" t="s">
        <v>18</v>
      </c>
      <c r="D105" s="5" t="s">
        <v>19</v>
      </c>
      <c r="E105" s="5" t="s">
        <v>56</v>
      </c>
      <c r="F105" s="9">
        <v>90</v>
      </c>
      <c r="G105" s="9">
        <v>1055</v>
      </c>
      <c r="H105" s="5" t="s">
        <v>21</v>
      </c>
      <c r="I105" s="5" t="s">
        <v>341</v>
      </c>
      <c r="J105" s="12" t="str">
        <f>HYPERLINK("https://www.boe.es/gazeta/dias/1800/11/07/pdfs/GMD-1800-90.pdf#page=9","Abrir facsímil")</f>
        <v>Abrir facsímil</v>
      </c>
      <c r="K105" s="15" t="s">
        <v>23</v>
      </c>
    </row>
    <row r="106" spans="1:11" ht="42" customHeight="1">
      <c r="A106" s="4" t="s">
        <v>342</v>
      </c>
      <c r="B106" s="5" t="s">
        <v>342</v>
      </c>
      <c r="C106" s="5" t="s">
        <v>18</v>
      </c>
      <c r="D106" s="5" t="s">
        <v>19</v>
      </c>
      <c r="E106" s="5" t="s">
        <v>262</v>
      </c>
      <c r="F106" s="9">
        <v>39</v>
      </c>
      <c r="G106" s="9">
        <v>404</v>
      </c>
      <c r="H106" s="5" t="s">
        <v>21</v>
      </c>
      <c r="I106" s="5" t="s">
        <v>343</v>
      </c>
      <c r="J106" s="12" t="str">
        <f>HYPERLINK("https://www.boe.es/gazeta/dias/1800/05/16/pdfs/GMD-1800-39.pdf#page=12","Abrir facsímil")</f>
        <v>Abrir facsímil</v>
      </c>
      <c r="K106" s="15" t="s">
        <v>23</v>
      </c>
    </row>
    <row r="107" spans="1:11" ht="42" customHeight="1">
      <c r="A107" s="4" t="s">
        <v>344</v>
      </c>
      <c r="B107" s="5" t="s">
        <v>345</v>
      </c>
      <c r="C107" s="5" t="s">
        <v>18</v>
      </c>
      <c r="D107" s="5" t="s">
        <v>19</v>
      </c>
      <c r="E107" s="5" t="s">
        <v>346</v>
      </c>
      <c r="F107" s="9">
        <v>24</v>
      </c>
      <c r="G107" s="9">
        <v>244</v>
      </c>
      <c r="H107" s="5" t="s">
        <v>21</v>
      </c>
      <c r="I107" s="5" t="s">
        <v>347</v>
      </c>
      <c r="J107" s="12" t="str">
        <f>HYPERLINK("https://www.boe.es/gazeta/dias/1800/03/25/pdfs/GMD-1800-24.pdf#page=8","Abrir facsímil")</f>
        <v>Abrir facsímil</v>
      </c>
      <c r="K107" s="15" t="s">
        <v>23</v>
      </c>
    </row>
    <row r="108" spans="1:11" ht="42" customHeight="1">
      <c r="A108" s="4" t="s">
        <v>348</v>
      </c>
      <c r="B108" s="5" t="s">
        <v>348</v>
      </c>
      <c r="C108" s="5" t="s">
        <v>18</v>
      </c>
      <c r="D108" s="5" t="s">
        <v>19</v>
      </c>
      <c r="E108" s="5" t="s">
        <v>226</v>
      </c>
      <c r="F108" s="9">
        <v>27</v>
      </c>
      <c r="G108" s="9">
        <v>284</v>
      </c>
      <c r="H108" s="5" t="s">
        <v>21</v>
      </c>
      <c r="I108" s="5" t="s">
        <v>349</v>
      </c>
      <c r="J108" s="12" t="str">
        <f>HYPERLINK("https://www.boe.es/gazeta/dias/1800/04/04/pdfs/GMD-1800-27.pdf#page=12","Abrir facsímil")</f>
        <v>Abrir facsímil</v>
      </c>
      <c r="K108" s="15" t="s">
        <v>23</v>
      </c>
    </row>
    <row r="109" spans="1:11" ht="42" customHeight="1">
      <c r="A109" s="4" t="s">
        <v>350</v>
      </c>
      <c r="B109" s="5" t="s">
        <v>351</v>
      </c>
      <c r="C109" s="5" t="s">
        <v>41</v>
      </c>
      <c r="D109" s="5" t="s">
        <v>42</v>
      </c>
      <c r="E109" s="5" t="s">
        <v>176</v>
      </c>
      <c r="F109" s="9">
        <v>88</v>
      </c>
      <c r="G109" s="9">
        <v>1026</v>
      </c>
      <c r="H109" s="5" t="s">
        <v>21</v>
      </c>
      <c r="I109" s="5" t="s">
        <v>352</v>
      </c>
      <c r="J109" s="12" t="str">
        <f>HYPERLINK("https://www.boe.es/gazeta/dias/1800/10/31/pdfs/GMD-1800-88.pdf#page=8","Abrir facsímil")</f>
        <v>Abrir facsímil</v>
      </c>
      <c r="K109" s="15" t="s">
        <v>23</v>
      </c>
    </row>
    <row r="110" spans="1:11" ht="42" customHeight="1">
      <c r="A110" s="4" t="s">
        <v>353</v>
      </c>
      <c r="B110" s="5" t="s">
        <v>353</v>
      </c>
      <c r="C110" s="5" t="s">
        <v>18</v>
      </c>
      <c r="D110" s="5" t="s">
        <v>19</v>
      </c>
      <c r="E110" s="5" t="s">
        <v>111</v>
      </c>
      <c r="F110" s="9">
        <v>98</v>
      </c>
      <c r="G110" s="9">
        <v>1128</v>
      </c>
      <c r="H110" s="5" t="s">
        <v>21</v>
      </c>
      <c r="I110" s="5" t="s">
        <v>354</v>
      </c>
      <c r="J110" s="12" t="str">
        <f>HYPERLINK("https://www.boe.es/gazeta/dias/1800/12/05/pdfs/GMD-1800-98.pdf#page=8","Abrir facsímil")</f>
        <v>Abrir facsímil</v>
      </c>
      <c r="K110" s="15" t="s">
        <v>23</v>
      </c>
    </row>
    <row r="111" spans="1:11" ht="42" customHeight="1">
      <c r="A111" s="4" t="s">
        <v>355</v>
      </c>
      <c r="B111" s="5" t="s">
        <v>355</v>
      </c>
      <c r="C111" s="5" t="s">
        <v>18</v>
      </c>
      <c r="D111" s="5" t="s">
        <v>19</v>
      </c>
      <c r="E111" s="5" t="s">
        <v>356</v>
      </c>
      <c r="F111" s="9">
        <v>31</v>
      </c>
      <c r="G111" s="9">
        <v>314</v>
      </c>
      <c r="H111" s="5" t="s">
        <v>21</v>
      </c>
      <c r="I111" s="5" t="s">
        <v>357</v>
      </c>
      <c r="J111" s="12" t="str">
        <f>HYPERLINK("https://www.boe.es/gazeta/dias/1800/04/18/pdfs/GMD-1800-31.pdf#page=6","Abrir facsímil")</f>
        <v>Abrir facsímil</v>
      </c>
      <c r="K111" s="15" t="s">
        <v>23</v>
      </c>
    </row>
    <row r="112" spans="1:11" ht="42" customHeight="1">
      <c r="A112" s="4" t="s">
        <v>358</v>
      </c>
      <c r="B112" s="5" t="s">
        <v>358</v>
      </c>
      <c r="C112" s="5" t="s">
        <v>18</v>
      </c>
      <c r="D112" s="5" t="s">
        <v>19</v>
      </c>
      <c r="E112" s="5" t="s">
        <v>184</v>
      </c>
      <c r="F112" s="9">
        <v>82</v>
      </c>
      <c r="G112" s="9">
        <v>950</v>
      </c>
      <c r="H112" s="5" t="s">
        <v>21</v>
      </c>
      <c r="I112" s="5" t="s">
        <v>359</v>
      </c>
      <c r="J112" s="12" t="str">
        <f>HYPERLINK("https://www.boe.es/gazeta/dias/1800/10/10/pdfs/GMD-1800-82.pdf#page=8","Abrir facsímil")</f>
        <v>Abrir facsímil</v>
      </c>
      <c r="K112" s="15" t="s">
        <v>23</v>
      </c>
    </row>
    <row r="113" spans="1:11" ht="42" customHeight="1">
      <c r="A113" s="4" t="s">
        <v>360</v>
      </c>
      <c r="B113" s="5" t="s">
        <v>360</v>
      </c>
      <c r="C113" s="5" t="s">
        <v>54</v>
      </c>
      <c r="D113" s="5" t="s">
        <v>55</v>
      </c>
      <c r="E113" s="5" t="s">
        <v>56</v>
      </c>
      <c r="F113" s="9">
        <v>90</v>
      </c>
      <c r="G113" s="9">
        <v>1050</v>
      </c>
      <c r="H113" s="5" t="s">
        <v>21</v>
      </c>
      <c r="I113" s="5" t="s">
        <v>361</v>
      </c>
      <c r="J113" s="12" t="str">
        <f>HYPERLINK("https://www.boe.es/gazeta/dias/1800/11/07/pdfs/GMD-1800-90.pdf#page=4","Abrir facsímil")</f>
        <v>Abrir facsímil</v>
      </c>
      <c r="K113" s="15" t="s">
        <v>23</v>
      </c>
    </row>
    <row r="114" spans="1:11" ht="42" customHeight="1">
      <c r="A114" s="4" t="s">
        <v>362</v>
      </c>
      <c r="B114" s="5" t="s">
        <v>362</v>
      </c>
      <c r="C114" s="5" t="s">
        <v>54</v>
      </c>
      <c r="D114" s="5" t="s">
        <v>55</v>
      </c>
      <c r="E114" s="5" t="s">
        <v>52</v>
      </c>
      <c r="F114" s="9">
        <v>83</v>
      </c>
      <c r="G114" s="9">
        <v>955</v>
      </c>
      <c r="H114" s="5" t="s">
        <v>21</v>
      </c>
      <c r="I114" s="5" t="s">
        <v>363</v>
      </c>
      <c r="J114" s="12" t="str">
        <f>HYPERLINK("https://www.boe.es/gazeta/dias/1800/10/14/pdfs/GMD-1800-83.pdf#page=1","Abrir facsímil")</f>
        <v>Abrir facsímil</v>
      </c>
      <c r="K114" s="15" t="s">
        <v>23</v>
      </c>
    </row>
    <row r="115" spans="1:11" ht="42" customHeight="1">
      <c r="A115" s="4" t="s">
        <v>362</v>
      </c>
      <c r="B115" s="5" t="s">
        <v>362</v>
      </c>
      <c r="C115" s="5" t="s">
        <v>41</v>
      </c>
      <c r="D115" s="5" t="s">
        <v>42</v>
      </c>
      <c r="E115" s="5" t="s">
        <v>52</v>
      </c>
      <c r="F115" s="9">
        <v>83</v>
      </c>
      <c r="G115" s="9">
        <v>956</v>
      </c>
      <c r="H115" s="5" t="s">
        <v>21</v>
      </c>
      <c r="I115" s="5" t="s">
        <v>364</v>
      </c>
      <c r="J115" s="12" t="str">
        <f>HYPERLINK("https://www.boe.es/gazeta/dias/1800/10/14/pdfs/GMD-1800-83.pdf#page=2","Abrir facsímil")</f>
        <v>Abrir facsímil</v>
      </c>
      <c r="K115" s="15" t="s">
        <v>23</v>
      </c>
    </row>
    <row r="116" spans="1:11" ht="42" customHeight="1">
      <c r="A116" s="4" t="s">
        <v>365</v>
      </c>
      <c r="B116" s="5" t="s">
        <v>365</v>
      </c>
      <c r="C116" s="5" t="s">
        <v>18</v>
      </c>
      <c r="D116" s="5" t="s">
        <v>19</v>
      </c>
      <c r="E116" s="5" t="s">
        <v>203</v>
      </c>
      <c r="F116" s="9">
        <v>94</v>
      </c>
      <c r="G116" s="9">
        <v>1081</v>
      </c>
      <c r="H116" s="5" t="s">
        <v>21</v>
      </c>
      <c r="I116" s="5" t="s">
        <v>366</v>
      </c>
      <c r="J116" s="12" t="str">
        <f>HYPERLINK("https://www.boe.es/gazeta/dias/1800/11/21/pdfs/GMD-1800-94.pdf#page=11","Abrir facsímil")</f>
        <v>Abrir facsímil</v>
      </c>
      <c r="K116" s="15" t="s">
        <v>23</v>
      </c>
    </row>
    <row r="117" spans="1:11" ht="42" customHeight="1">
      <c r="A117" s="4" t="s">
        <v>367</v>
      </c>
      <c r="B117" s="5" t="s">
        <v>368</v>
      </c>
      <c r="C117" s="5" t="s">
        <v>18</v>
      </c>
      <c r="D117" s="5" t="s">
        <v>19</v>
      </c>
      <c r="E117" s="5" t="s">
        <v>190</v>
      </c>
      <c r="F117" s="9">
        <v>93</v>
      </c>
      <c r="G117" s="9">
        <v>1066</v>
      </c>
      <c r="H117" s="5" t="s">
        <v>21</v>
      </c>
      <c r="I117" s="5" t="s">
        <v>369</v>
      </c>
      <c r="J117" s="12" t="str">
        <f>HYPERLINK("https://www.boe.es/gazeta/dias/1800/11/18/pdfs/GMD-1800-93.pdf#page=12","Abrir facsímil")</f>
        <v>Abrir facsímil</v>
      </c>
      <c r="K117" s="15" t="s">
        <v>23</v>
      </c>
    </row>
    <row r="118" spans="1:11" ht="42" customHeight="1">
      <c r="A118" s="4" t="s">
        <v>370</v>
      </c>
      <c r="B118" s="5" t="s">
        <v>371</v>
      </c>
      <c r="C118" s="5" t="s">
        <v>18</v>
      </c>
      <c r="D118" s="5" t="s">
        <v>19</v>
      </c>
      <c r="E118" s="5" t="s">
        <v>255</v>
      </c>
      <c r="F118" s="9">
        <v>75</v>
      </c>
      <c r="G118" s="9">
        <v>855</v>
      </c>
      <c r="H118" s="5" t="s">
        <v>21</v>
      </c>
      <c r="I118" s="5" t="s">
        <v>372</v>
      </c>
      <c r="J118" s="12" t="str">
        <f>HYPERLINK("https://www.boe.es/gazeta/dias/1800/09/16/pdfs/GMD-1800-75.pdf#page=9","Abrir facsímil")</f>
        <v>Abrir facsímil</v>
      </c>
      <c r="K118" s="15" t="s">
        <v>23</v>
      </c>
    </row>
    <row r="119" spans="1:11" ht="42" customHeight="1">
      <c r="A119" s="4" t="s">
        <v>373</v>
      </c>
      <c r="B119" s="5" t="s">
        <v>374</v>
      </c>
      <c r="C119" s="5" t="s">
        <v>25</v>
      </c>
      <c r="D119" s="5" t="s">
        <v>26</v>
      </c>
      <c r="E119" s="5" t="s">
        <v>105</v>
      </c>
      <c r="F119" s="9">
        <v>28</v>
      </c>
      <c r="G119" s="9">
        <v>290</v>
      </c>
      <c r="H119" s="5" t="s">
        <v>21</v>
      </c>
      <c r="I119" s="5" t="s">
        <v>375</v>
      </c>
      <c r="J119" s="12" t="str">
        <f>HYPERLINK("https://www.boe.es/gazeta/dias/1800/04/08/pdfs/GMD-1800-28.pdf#page=6","Abrir facsímil")</f>
        <v>Abrir facsímil</v>
      </c>
      <c r="K119" s="15" t="s">
        <v>23</v>
      </c>
    </row>
    <row r="120" spans="1:11" ht="42" customHeight="1">
      <c r="A120" s="4" t="s">
        <v>376</v>
      </c>
      <c r="B120" s="5" t="s">
        <v>377</v>
      </c>
      <c r="C120" s="5" t="s">
        <v>18</v>
      </c>
      <c r="D120" s="5" t="s">
        <v>19</v>
      </c>
      <c r="E120" s="5" t="s">
        <v>111</v>
      </c>
      <c r="F120" s="9">
        <v>98</v>
      </c>
      <c r="G120" s="9">
        <v>1128</v>
      </c>
      <c r="H120" s="5" t="s">
        <v>21</v>
      </c>
      <c r="I120" s="5" t="s">
        <v>378</v>
      </c>
      <c r="J120" s="12" t="str">
        <f>HYPERLINK("https://www.boe.es/gazeta/dias/1800/12/05/pdfs/GMD-1800-98.pdf#page=8","Abrir facsímil")</f>
        <v>Abrir facsímil</v>
      </c>
      <c r="K120" s="15" t="s">
        <v>23</v>
      </c>
    </row>
    <row r="121" spans="1:11" ht="42" customHeight="1">
      <c r="A121" s="4" t="s">
        <v>379</v>
      </c>
      <c r="B121" s="5" t="s">
        <v>380</v>
      </c>
      <c r="C121" s="5" t="s">
        <v>18</v>
      </c>
      <c r="D121" s="5" t="s">
        <v>19</v>
      </c>
      <c r="E121" s="5" t="s">
        <v>35</v>
      </c>
      <c r="F121" s="9">
        <v>21</v>
      </c>
      <c r="G121" s="9">
        <v>205</v>
      </c>
      <c r="H121" s="5" t="s">
        <v>21</v>
      </c>
      <c r="I121" s="5" t="s">
        <v>381</v>
      </c>
      <c r="J121" s="12" t="str">
        <f>HYPERLINK("https://www.boe.es/gazeta/dias/1800/03/14/pdfs/GMD-1800-21.pdf#page=9","Abrir facsímil")</f>
        <v>Abrir facsímil</v>
      </c>
      <c r="K121" s="15" t="s">
        <v>23</v>
      </c>
    </row>
    <row r="122" spans="1:11" ht="42" customHeight="1">
      <c r="A122" s="4" t="s">
        <v>382</v>
      </c>
      <c r="B122" s="5" t="s">
        <v>383</v>
      </c>
      <c r="C122" s="5" t="s">
        <v>25</v>
      </c>
      <c r="D122" s="5" t="s">
        <v>26</v>
      </c>
      <c r="E122" s="5" t="s">
        <v>329</v>
      </c>
      <c r="F122" s="9">
        <v>99</v>
      </c>
      <c r="G122" s="9">
        <v>1139</v>
      </c>
      <c r="H122" s="5" t="s">
        <v>21</v>
      </c>
      <c r="I122" s="5" t="s">
        <v>384</v>
      </c>
      <c r="J122" s="12" t="str">
        <f>HYPERLINK("https://www.boe.es/gazeta/dias/1800/12/09/pdfs/GMD-1800-99.pdf#page=7","Abrir facsímil")</f>
        <v>Abrir facsímil</v>
      </c>
      <c r="K122" s="15" t="s">
        <v>23</v>
      </c>
    </row>
    <row r="123" spans="1:11" ht="42" customHeight="1">
      <c r="A123" s="4" t="s">
        <v>385</v>
      </c>
      <c r="B123" s="5" t="s">
        <v>386</v>
      </c>
      <c r="C123" s="5" t="s">
        <v>54</v>
      </c>
      <c r="D123" s="5" t="s">
        <v>55</v>
      </c>
      <c r="E123" s="5" t="s">
        <v>143</v>
      </c>
      <c r="F123" s="9">
        <v>22</v>
      </c>
      <c r="G123" s="9">
        <v>219</v>
      </c>
      <c r="H123" s="5" t="s">
        <v>21</v>
      </c>
      <c r="I123" s="5" t="s">
        <v>387</v>
      </c>
      <c r="J123" s="12" t="str">
        <f>HYPERLINK("https://www.boe.es/gazeta/dias/1800/03/18/pdfs/GMD-1800-22.pdf#page=11","Abrir facsímil")</f>
        <v>Abrir facsímil</v>
      </c>
      <c r="K123" s="15" t="s">
        <v>23</v>
      </c>
    </row>
    <row r="124" spans="1:11" ht="42" customHeight="1">
      <c r="A124" s="4" t="s">
        <v>388</v>
      </c>
      <c r="B124" s="5" t="s">
        <v>389</v>
      </c>
      <c r="C124" s="5" t="s">
        <v>84</v>
      </c>
      <c r="D124" s="5" t="s">
        <v>85</v>
      </c>
      <c r="E124" s="5" t="s">
        <v>90</v>
      </c>
      <c r="F124" s="9">
        <v>58</v>
      </c>
      <c r="G124" s="9">
        <v>664</v>
      </c>
      <c r="H124" s="5" t="s">
        <v>21</v>
      </c>
      <c r="I124" s="5" t="s">
        <v>390</v>
      </c>
      <c r="J124" s="12" t="str">
        <f>HYPERLINK("https://www.boe.es/gazeta/dias/1800/07/22/pdfs/GMD-1800-58.pdf#page=12","Abrir facsímil")</f>
        <v>Abrir facsímil</v>
      </c>
      <c r="K124" s="15" t="s">
        <v>23</v>
      </c>
    </row>
    <row r="125" spans="1:11" ht="42" customHeight="1">
      <c r="A125" s="4" t="s">
        <v>391</v>
      </c>
      <c r="B125" s="5" t="s">
        <v>392</v>
      </c>
      <c r="C125" s="5" t="s">
        <v>18</v>
      </c>
      <c r="D125" s="5" t="s">
        <v>19</v>
      </c>
      <c r="E125" s="5" t="s">
        <v>20</v>
      </c>
      <c r="F125" s="9">
        <v>104</v>
      </c>
      <c r="G125" s="9">
        <v>1209</v>
      </c>
      <c r="H125" s="5" t="s">
        <v>21</v>
      </c>
      <c r="I125" s="5" t="s">
        <v>393</v>
      </c>
      <c r="J125" s="12" t="str">
        <f>HYPERLINK("https://www.boe.es/gazeta/dias/1800/12/26/pdfs/GMD-1800-104.pdf#page=9","Abrir facsímil")</f>
        <v>Abrir facsímil</v>
      </c>
      <c r="K125" s="15" t="s">
        <v>23</v>
      </c>
    </row>
    <row r="126" spans="1:11" ht="42" customHeight="1">
      <c r="A126" s="4" t="s">
        <v>394</v>
      </c>
      <c r="B126" s="5" t="s">
        <v>395</v>
      </c>
      <c r="C126" s="5" t="s">
        <v>18</v>
      </c>
      <c r="D126" s="5" t="s">
        <v>19</v>
      </c>
      <c r="E126" s="5" t="s">
        <v>329</v>
      </c>
      <c r="F126" s="9">
        <v>99</v>
      </c>
      <c r="G126" s="9">
        <v>1139</v>
      </c>
      <c r="H126" s="5" t="s">
        <v>21</v>
      </c>
      <c r="I126" s="5" t="s">
        <v>396</v>
      </c>
      <c r="J126" s="12" t="str">
        <f>HYPERLINK("https://www.boe.es/gazeta/dias/1800/12/09/pdfs/GMD-1800-99.pdf#page=7","Abrir facsímil")</f>
        <v>Abrir facsímil</v>
      </c>
      <c r="K126" s="15" t="s">
        <v>23</v>
      </c>
    </row>
    <row r="127" spans="1:11" ht="42" customHeight="1">
      <c r="A127" s="4" t="s">
        <v>397</v>
      </c>
      <c r="B127" s="5" t="s">
        <v>398</v>
      </c>
      <c r="C127" s="5" t="s">
        <v>207</v>
      </c>
      <c r="D127" s="5" t="s">
        <v>55</v>
      </c>
      <c r="E127" s="5" t="s">
        <v>116</v>
      </c>
      <c r="F127" s="9">
        <v>86</v>
      </c>
      <c r="G127" s="9">
        <v>997</v>
      </c>
      <c r="H127" s="5" t="s">
        <v>21</v>
      </c>
      <c r="I127" s="5" t="s">
        <v>399</v>
      </c>
      <c r="J127" s="12" t="str">
        <f>HYPERLINK("https://www.boe.es/gazeta/dias/1800/10/24/pdfs/GMD-1800-86.pdf#page=7","Abrir facsímil")</f>
        <v>Abrir facsímil</v>
      </c>
      <c r="K127" s="15" t="s">
        <v>23</v>
      </c>
    </row>
    <row r="128" spans="1:11" ht="42" customHeight="1">
      <c r="A128" s="4" t="s">
        <v>400</v>
      </c>
      <c r="B128" s="5" t="s">
        <v>401</v>
      </c>
      <c r="C128" s="5" t="s">
        <v>25</v>
      </c>
      <c r="D128" s="5" t="s">
        <v>26</v>
      </c>
      <c r="E128" s="5" t="s">
        <v>402</v>
      </c>
      <c r="F128" s="9">
        <v>101</v>
      </c>
      <c r="G128" s="9">
        <v>1173</v>
      </c>
      <c r="H128" s="5" t="s">
        <v>21</v>
      </c>
      <c r="I128" s="5" t="s">
        <v>403</v>
      </c>
      <c r="J128" s="12" t="str">
        <f>HYPERLINK("https://www.boe.es/gazeta/dias/1800/12/16/pdfs/GMD-1800-101.pdf#page=9","Abrir facsímil")</f>
        <v>Abrir facsímil</v>
      </c>
      <c r="K128" s="15" t="s">
        <v>23</v>
      </c>
    </row>
    <row r="129" spans="1:11" ht="42" customHeight="1">
      <c r="A129" s="4" t="s">
        <v>404</v>
      </c>
      <c r="B129" s="5" t="s">
        <v>405</v>
      </c>
      <c r="C129" s="5" t="s">
        <v>18</v>
      </c>
      <c r="D129" s="5" t="s">
        <v>19</v>
      </c>
      <c r="E129" s="5" t="s">
        <v>406</v>
      </c>
      <c r="F129" s="9">
        <v>44</v>
      </c>
      <c r="G129" s="9">
        <v>462</v>
      </c>
      <c r="H129" s="5" t="s">
        <v>21</v>
      </c>
      <c r="I129" s="5" t="s">
        <v>407</v>
      </c>
      <c r="J129" s="12" t="str">
        <f>HYPERLINK("https://www.boe.es/gazeta/dias/1800/06/03/pdfs/GMD-1800-44.pdf#page=10","Abrir facsímil")</f>
        <v>Abrir facsímil</v>
      </c>
      <c r="K129" s="15" t="s">
        <v>23</v>
      </c>
    </row>
    <row r="130" spans="1:11" ht="42" customHeight="1">
      <c r="A130" s="4" t="s">
        <v>408</v>
      </c>
      <c r="B130" s="5" t="s">
        <v>409</v>
      </c>
      <c r="C130" s="5" t="s">
        <v>54</v>
      </c>
      <c r="D130" s="5" t="s">
        <v>55</v>
      </c>
      <c r="E130" s="5" t="s">
        <v>410</v>
      </c>
      <c r="F130" s="9">
        <v>87</v>
      </c>
      <c r="G130" s="9">
        <v>1010</v>
      </c>
      <c r="H130" s="5" t="s">
        <v>21</v>
      </c>
      <c r="I130" s="5" t="s">
        <v>411</v>
      </c>
      <c r="J130" s="12" t="str">
        <f>HYPERLINK("https://www.boe.es/gazeta/dias/1800/10/28/pdfs/GMD-1800-87.pdf#page=8","Abrir facsímil")</f>
        <v>Abrir facsímil</v>
      </c>
      <c r="K130" s="15" t="s">
        <v>23</v>
      </c>
    </row>
    <row r="131" spans="1:11" ht="42" customHeight="1">
      <c r="A131" s="4" t="s">
        <v>412</v>
      </c>
      <c r="B131" s="5" t="s">
        <v>413</v>
      </c>
      <c r="C131" s="5" t="s">
        <v>25</v>
      </c>
      <c r="D131" s="5" t="s">
        <v>26</v>
      </c>
      <c r="E131" s="5" t="s">
        <v>45</v>
      </c>
      <c r="F131" s="9">
        <v>47</v>
      </c>
      <c r="G131" s="9">
        <v>503</v>
      </c>
      <c r="H131" s="5" t="s">
        <v>21</v>
      </c>
      <c r="I131" s="5" t="s">
        <v>414</v>
      </c>
      <c r="J131" s="12" t="str">
        <f>HYPERLINK("https://www.boe.es/gazeta/dias/1800/06/13/pdfs/GMD-1800-47.pdf#page=11","Abrir facsímil")</f>
        <v>Abrir facsímil</v>
      </c>
      <c r="K131" s="15" t="s">
        <v>23</v>
      </c>
    </row>
    <row r="132" spans="1:11" ht="42" customHeight="1">
      <c r="A132" s="4" t="s">
        <v>415</v>
      </c>
      <c r="B132" s="5" t="s">
        <v>416</v>
      </c>
      <c r="C132" s="5" t="s">
        <v>25</v>
      </c>
      <c r="D132" s="5" t="s">
        <v>26</v>
      </c>
      <c r="E132" s="5" t="s">
        <v>27</v>
      </c>
      <c r="F132" s="9">
        <v>65</v>
      </c>
      <c r="G132" s="9">
        <v>733</v>
      </c>
      <c r="H132" s="5" t="s">
        <v>21</v>
      </c>
      <c r="I132" s="5" t="s">
        <v>417</v>
      </c>
      <c r="J132" s="12" t="str">
        <f>HYPERLINK("https://www.boe.es/gazeta/dias/1800/08/15/pdfs/GMD-1800-65.pdf#page=9","Abrir facsímil")</f>
        <v>Abrir facsímil</v>
      </c>
      <c r="K132" s="15" t="s">
        <v>23</v>
      </c>
    </row>
    <row r="133" spans="1:11" ht="42" customHeight="1">
      <c r="A133" s="4" t="s">
        <v>418</v>
      </c>
      <c r="B133" s="5" t="s">
        <v>419</v>
      </c>
      <c r="C133" s="5" t="s">
        <v>25</v>
      </c>
      <c r="D133" s="5" t="s">
        <v>26</v>
      </c>
      <c r="E133" s="5" t="s">
        <v>420</v>
      </c>
      <c r="F133" s="9">
        <v>38</v>
      </c>
      <c r="G133" s="9">
        <v>392</v>
      </c>
      <c r="H133" s="5" t="s">
        <v>21</v>
      </c>
      <c r="I133" s="5" t="s">
        <v>421</v>
      </c>
      <c r="J133" s="12" t="str">
        <f>HYPERLINK("https://www.boe.es/gazeta/dias/1800/05/13/pdfs/GMD-1800-38.pdf#page=12","Abrir facsímil")</f>
        <v>Abrir facsímil</v>
      </c>
      <c r="K133" s="15" t="s">
        <v>23</v>
      </c>
    </row>
    <row r="134" spans="1:11" ht="42" customHeight="1">
      <c r="A134" s="4" t="s">
        <v>418</v>
      </c>
      <c r="B134" s="5" t="s">
        <v>419</v>
      </c>
      <c r="C134" s="5" t="s">
        <v>25</v>
      </c>
      <c r="D134" s="5" t="s">
        <v>26</v>
      </c>
      <c r="E134" s="5" t="s">
        <v>422</v>
      </c>
      <c r="F134" s="9">
        <v>85</v>
      </c>
      <c r="G134" s="9">
        <v>986</v>
      </c>
      <c r="H134" s="5" t="s">
        <v>21</v>
      </c>
      <c r="I134" s="5" t="s">
        <v>423</v>
      </c>
      <c r="J134" s="12" t="str">
        <f>HYPERLINK("https://www.boe.es/gazeta/dias/1800/10/21/pdfs/GMD-1800-85.pdf#page=8","Abrir facsímil")</f>
        <v>Abrir facsímil</v>
      </c>
      <c r="K134" s="15" t="s">
        <v>23</v>
      </c>
    </row>
    <row r="135" spans="1:11" ht="42" customHeight="1">
      <c r="A135" s="4" t="s">
        <v>418</v>
      </c>
      <c r="B135" s="5" t="s">
        <v>419</v>
      </c>
      <c r="C135" s="5" t="s">
        <v>84</v>
      </c>
      <c r="D135" s="5" t="s">
        <v>85</v>
      </c>
      <c r="E135" s="5" t="s">
        <v>329</v>
      </c>
      <c r="F135" s="9">
        <v>99</v>
      </c>
      <c r="G135" s="9">
        <v>1140</v>
      </c>
      <c r="H135" s="5" t="s">
        <v>21</v>
      </c>
      <c r="I135" s="5" t="s">
        <v>424</v>
      </c>
      <c r="J135" s="12" t="str">
        <f>HYPERLINK("https://www.boe.es/gazeta/dias/1800/12/09/pdfs/GMD-1800-99.pdf#page=8","Abrir facsímil")</f>
        <v>Abrir facsímil</v>
      </c>
      <c r="K135" s="15" t="s">
        <v>23</v>
      </c>
    </row>
    <row r="136" spans="1:11" ht="42" customHeight="1">
      <c r="A136" s="4" t="s">
        <v>425</v>
      </c>
      <c r="B136" s="5" t="s">
        <v>426</v>
      </c>
      <c r="C136" s="5" t="s">
        <v>207</v>
      </c>
      <c r="D136" s="5" t="s">
        <v>55</v>
      </c>
      <c r="E136" s="5" t="s">
        <v>52</v>
      </c>
      <c r="F136" s="9">
        <v>83</v>
      </c>
      <c r="G136" s="9">
        <v>963</v>
      </c>
      <c r="H136" s="5" t="s">
        <v>21</v>
      </c>
      <c r="I136" s="5" t="s">
        <v>427</v>
      </c>
      <c r="J136" s="12" t="str">
        <f>HYPERLINK("https://www.boe.es/gazeta/dias/1800/10/14/pdfs/GMD-1800-83.pdf#page=9","Abrir facsímil")</f>
        <v>Abrir facsímil</v>
      </c>
      <c r="K136" s="15" t="s">
        <v>23</v>
      </c>
    </row>
    <row r="137" spans="1:11" ht="42" customHeight="1">
      <c r="A137" s="4" t="s">
        <v>428</v>
      </c>
      <c r="B137" s="5" t="s">
        <v>429</v>
      </c>
      <c r="C137" s="5" t="s">
        <v>18</v>
      </c>
      <c r="D137" s="5" t="s">
        <v>19</v>
      </c>
      <c r="E137" s="5" t="s">
        <v>75</v>
      </c>
      <c r="F137" s="9">
        <v>64</v>
      </c>
      <c r="G137" s="9">
        <v>733</v>
      </c>
      <c r="H137" s="5" t="s">
        <v>21</v>
      </c>
      <c r="I137" s="5" t="s">
        <v>430</v>
      </c>
      <c r="J137" s="12" t="str">
        <f>HYPERLINK("https://www.boe.es/gazeta/dias/1800/08/12/pdfs/GMD-1800-64.pdf#page=9","Abrir facsímil")</f>
        <v>Abrir facsímil</v>
      </c>
      <c r="K137" s="15" t="s">
        <v>23</v>
      </c>
    </row>
    <row r="138" spans="1:11" ht="42" customHeight="1">
      <c r="A138" s="4" t="s">
        <v>428</v>
      </c>
      <c r="B138" s="5" t="s">
        <v>429</v>
      </c>
      <c r="C138" s="5" t="s">
        <v>18</v>
      </c>
      <c r="D138" s="5" t="s">
        <v>19</v>
      </c>
      <c r="E138" s="5" t="s">
        <v>279</v>
      </c>
      <c r="F138" s="9">
        <v>103</v>
      </c>
      <c r="G138" s="9">
        <v>1197</v>
      </c>
      <c r="H138" s="5" t="s">
        <v>21</v>
      </c>
      <c r="I138" s="5" t="s">
        <v>431</v>
      </c>
      <c r="J138" s="12" t="str">
        <f>HYPERLINK("https://www.boe.es/gazeta/dias/1800/12/23/pdfs/GMD-1800-103.pdf#page=9","Abrir facsímil")</f>
        <v>Abrir facsímil</v>
      </c>
      <c r="K138" s="15" t="s">
        <v>23</v>
      </c>
    </row>
    <row r="139" spans="1:11" ht="42" customHeight="1">
      <c r="A139" s="4" t="s">
        <v>432</v>
      </c>
      <c r="B139" s="5" t="s">
        <v>433</v>
      </c>
      <c r="C139" s="5" t="s">
        <v>207</v>
      </c>
      <c r="D139" s="5" t="s">
        <v>55</v>
      </c>
      <c r="E139" s="5" t="s">
        <v>329</v>
      </c>
      <c r="F139" s="9">
        <v>99</v>
      </c>
      <c r="G139" s="9">
        <v>1138</v>
      </c>
      <c r="H139" s="5" t="s">
        <v>21</v>
      </c>
      <c r="I139" s="5" t="s">
        <v>434</v>
      </c>
      <c r="J139" s="12" t="str">
        <f>HYPERLINK("https://www.boe.es/gazeta/dias/1800/12/09/pdfs/GMD-1800-99.pdf#page=6","Abrir facsímil")</f>
        <v>Abrir facsímil</v>
      </c>
      <c r="K139" s="15" t="s">
        <v>23</v>
      </c>
    </row>
    <row r="140" spans="1:11" ht="42" customHeight="1">
      <c r="A140" s="4" t="s">
        <v>435</v>
      </c>
      <c r="B140" s="5" t="s">
        <v>436</v>
      </c>
      <c r="C140" s="5" t="s">
        <v>41</v>
      </c>
      <c r="D140" s="5" t="s">
        <v>42</v>
      </c>
      <c r="E140" s="5" t="s">
        <v>143</v>
      </c>
      <c r="F140" s="9">
        <v>22</v>
      </c>
      <c r="G140" s="9">
        <v>219</v>
      </c>
      <c r="H140" s="5" t="s">
        <v>21</v>
      </c>
      <c r="I140" s="5" t="s">
        <v>437</v>
      </c>
      <c r="J140" s="12" t="str">
        <f>HYPERLINK("https://www.boe.es/gazeta/dias/1800/03/18/pdfs/GMD-1800-22.pdf#page=11","Abrir facsímil")</f>
        <v>Abrir facsímil</v>
      </c>
      <c r="K140" s="15" t="s">
        <v>23</v>
      </c>
    </row>
    <row r="141" spans="1:11" ht="42" customHeight="1">
      <c r="A141" s="4" t="s">
        <v>438</v>
      </c>
      <c r="B141" s="5" t="s">
        <v>439</v>
      </c>
      <c r="C141" s="5" t="s">
        <v>207</v>
      </c>
      <c r="D141" s="5" t="s">
        <v>55</v>
      </c>
      <c r="E141" s="5" t="s">
        <v>184</v>
      </c>
      <c r="F141" s="9">
        <v>82</v>
      </c>
      <c r="G141" s="9">
        <v>950</v>
      </c>
      <c r="H141" s="5" t="s">
        <v>21</v>
      </c>
      <c r="I141" s="5" t="s">
        <v>440</v>
      </c>
      <c r="J141" s="12" t="str">
        <f>HYPERLINK("https://www.boe.es/gazeta/dias/1800/10/10/pdfs/GMD-1800-82.pdf#page=8","Abrir facsímil")</f>
        <v>Abrir facsímil</v>
      </c>
      <c r="K141" s="15" t="s">
        <v>23</v>
      </c>
    </row>
    <row r="142" spans="1:11" ht="42" customHeight="1">
      <c r="A142" s="4" t="s">
        <v>441</v>
      </c>
      <c r="B142" s="5" t="s">
        <v>442</v>
      </c>
      <c r="C142" s="5" t="s">
        <v>25</v>
      </c>
      <c r="D142" s="5" t="s">
        <v>26</v>
      </c>
      <c r="E142" s="5" t="s">
        <v>306</v>
      </c>
      <c r="F142" s="9">
        <v>79</v>
      </c>
      <c r="G142" s="9">
        <v>899</v>
      </c>
      <c r="H142" s="5" t="s">
        <v>21</v>
      </c>
      <c r="I142" s="5" t="s">
        <v>443</v>
      </c>
      <c r="J142" s="12" t="str">
        <f>HYPERLINK("https://www.boe.es/gazeta/dias/1800/09/30/pdfs/GMD-1800-79.pdf#page=9","Abrir facsímil")</f>
        <v>Abrir facsímil</v>
      </c>
      <c r="K142" s="15" t="s">
        <v>23</v>
      </c>
    </row>
    <row r="143" spans="1:11" ht="42" customHeight="1">
      <c r="A143" s="4" t="s">
        <v>444</v>
      </c>
      <c r="B143" s="5" t="s">
        <v>444</v>
      </c>
      <c r="C143" s="5" t="s">
        <v>18</v>
      </c>
      <c r="D143" s="5" t="s">
        <v>19</v>
      </c>
      <c r="E143" s="5" t="s">
        <v>445</v>
      </c>
      <c r="F143" s="9">
        <v>96</v>
      </c>
      <c r="G143" s="9">
        <v>1106</v>
      </c>
      <c r="H143" s="5" t="s">
        <v>21</v>
      </c>
      <c r="I143" s="5" t="s">
        <v>446</v>
      </c>
      <c r="J143" s="12" t="str">
        <f>HYPERLINK("https://www.boe.es/gazeta/dias/1800/11/28/pdfs/GMD-1800-96.pdf#page=10","Abrir facsímil")</f>
        <v>Abrir facsímil</v>
      </c>
      <c r="K143" s="15" t="s">
        <v>23</v>
      </c>
    </row>
    <row r="144" spans="1:11" ht="42" customHeight="1">
      <c r="A144" s="4" t="s">
        <v>447</v>
      </c>
      <c r="B144" s="5" t="s">
        <v>447</v>
      </c>
      <c r="C144" s="5" t="s">
        <v>207</v>
      </c>
      <c r="D144" s="5" t="s">
        <v>55</v>
      </c>
      <c r="E144" s="5" t="s">
        <v>116</v>
      </c>
      <c r="F144" s="9">
        <v>86</v>
      </c>
      <c r="G144" s="9">
        <v>997</v>
      </c>
      <c r="H144" s="5" t="s">
        <v>21</v>
      </c>
      <c r="I144" s="5" t="s">
        <v>448</v>
      </c>
      <c r="J144" s="12" t="str">
        <f>HYPERLINK("https://www.boe.es/gazeta/dias/1800/10/24/pdfs/GMD-1800-86.pdf#page=7","Abrir facsímil")</f>
        <v>Abrir facsímil</v>
      </c>
      <c r="K144" s="15" t="s">
        <v>23</v>
      </c>
    </row>
    <row r="145" spans="1:11" ht="42" customHeight="1">
      <c r="A145" s="4" t="s">
        <v>449</v>
      </c>
      <c r="B145" s="5" t="s">
        <v>450</v>
      </c>
      <c r="C145" s="5" t="s">
        <v>25</v>
      </c>
      <c r="D145" s="5" t="s">
        <v>26</v>
      </c>
      <c r="E145" s="5" t="s">
        <v>214</v>
      </c>
      <c r="F145" s="9">
        <v>41</v>
      </c>
      <c r="G145" s="9">
        <v>424</v>
      </c>
      <c r="H145" s="5" t="s">
        <v>21</v>
      </c>
      <c r="I145" s="5" t="s">
        <v>451</v>
      </c>
      <c r="J145" s="12" t="str">
        <f>HYPERLINK("https://www.boe.es/gazeta/dias/1800/05/23/pdfs/GMD-1800-41.pdf#page=8","Abrir facsímil")</f>
        <v>Abrir facsímil</v>
      </c>
      <c r="K145" s="15" t="s">
        <v>23</v>
      </c>
    </row>
    <row r="146" spans="1:11" ht="42" customHeight="1">
      <c r="A146" s="4" t="s">
        <v>452</v>
      </c>
      <c r="B146" s="5" t="s">
        <v>453</v>
      </c>
      <c r="C146" s="5" t="s">
        <v>41</v>
      </c>
      <c r="D146" s="5" t="s">
        <v>42</v>
      </c>
      <c r="E146" s="5" t="s">
        <v>454</v>
      </c>
      <c r="F146" s="9">
        <v>63</v>
      </c>
      <c r="G146" s="9">
        <v>713</v>
      </c>
      <c r="H146" s="5" t="s">
        <v>21</v>
      </c>
      <c r="I146" s="5" t="s">
        <v>455</v>
      </c>
      <c r="J146" s="12" t="str">
        <f>HYPERLINK("https://www.boe.es/gazeta/dias/1800/08/08/pdfs/GMD-1800-63.pdf#page=1","Abrir facsímil")</f>
        <v>Abrir facsímil</v>
      </c>
      <c r="K146" s="15" t="s">
        <v>23</v>
      </c>
    </row>
    <row r="147" spans="1:11" ht="42" customHeight="1">
      <c r="A147" s="4" t="s">
        <v>456</v>
      </c>
      <c r="B147" s="5" t="s">
        <v>457</v>
      </c>
      <c r="C147" s="5" t="s">
        <v>41</v>
      </c>
      <c r="D147" s="5" t="s">
        <v>42</v>
      </c>
      <c r="E147" s="5" t="s">
        <v>111</v>
      </c>
      <c r="F147" s="9">
        <v>98</v>
      </c>
      <c r="G147" s="9">
        <v>1122</v>
      </c>
      <c r="H147" s="5" t="s">
        <v>21</v>
      </c>
      <c r="I147" s="5" t="s">
        <v>458</v>
      </c>
      <c r="J147" s="12" t="str">
        <f>HYPERLINK("https://www.boe.es/gazeta/dias/1800/12/05/pdfs/GMD-1800-98.pdf#page=2","Abrir facsímil")</f>
        <v>Abrir facsímil</v>
      </c>
      <c r="K147" s="15" t="s">
        <v>23</v>
      </c>
    </row>
    <row r="148" spans="1:11" ht="42" customHeight="1">
      <c r="A148" s="4" t="s">
        <v>459</v>
      </c>
      <c r="B148" s="5" t="s">
        <v>460</v>
      </c>
      <c r="C148" s="5" t="s">
        <v>41</v>
      </c>
      <c r="D148" s="5" t="s">
        <v>42</v>
      </c>
      <c r="E148" s="5" t="s">
        <v>461</v>
      </c>
      <c r="F148" s="9">
        <v>18</v>
      </c>
      <c r="G148" s="9">
        <v>168</v>
      </c>
      <c r="H148" s="5" t="s">
        <v>21</v>
      </c>
      <c r="I148" s="5" t="s">
        <v>462</v>
      </c>
      <c r="J148" s="12" t="str">
        <f>HYPERLINK("https://www.boe.es/datos/pdfs/BOE//1800/018/C00173-00176.pdf#page=4","Abrir facsímil")</f>
        <v>Abrir facsímil</v>
      </c>
      <c r="K148" s="15" t="s">
        <v>23</v>
      </c>
    </row>
    <row r="149" spans="1:11" ht="42" customHeight="1">
      <c r="A149" s="4" t="s">
        <v>463</v>
      </c>
      <c r="B149" s="5" t="s">
        <v>464</v>
      </c>
      <c r="C149" s="5" t="s">
        <v>41</v>
      </c>
      <c r="D149" s="5" t="s">
        <v>42</v>
      </c>
      <c r="E149" s="5" t="s">
        <v>465</v>
      </c>
      <c r="F149" s="9">
        <v>49</v>
      </c>
      <c r="G149" s="9">
        <v>528</v>
      </c>
      <c r="H149" s="5" t="s">
        <v>21</v>
      </c>
      <c r="I149" s="5" t="s">
        <v>466</v>
      </c>
      <c r="J149" s="12" t="str">
        <f>HYPERLINK("https://www.boe.es/gazeta/dias/1800/06/20/pdfs/GMD-1800-49.pdf#page=4","Abrir facsímil")</f>
        <v>Abrir facsímil</v>
      </c>
      <c r="K149" s="15" t="s">
        <v>23</v>
      </c>
    </row>
    <row r="150" spans="1:11" ht="42" customHeight="1">
      <c r="A150" s="4" t="s">
        <v>467</v>
      </c>
      <c r="B150" s="5" t="s">
        <v>468</v>
      </c>
      <c r="C150" s="5" t="s">
        <v>18</v>
      </c>
      <c r="D150" s="5" t="s">
        <v>19</v>
      </c>
      <c r="E150" s="5" t="s">
        <v>135</v>
      </c>
      <c r="F150" s="9">
        <v>73</v>
      </c>
      <c r="G150" s="9">
        <v>815</v>
      </c>
      <c r="H150" s="5" t="s">
        <v>21</v>
      </c>
      <c r="I150" s="5" t="s">
        <v>469</v>
      </c>
      <c r="J150" s="12" t="str">
        <f>HYPERLINK("https://www.boe.es/gazeta/dias/1800/09/09/pdfs/GMD-1800-73.pdf#page=9","Abrir facsímil")</f>
        <v>Abrir facsímil</v>
      </c>
      <c r="K150" s="15" t="s">
        <v>23</v>
      </c>
    </row>
    <row r="151" spans="1:11" ht="42" customHeight="1">
      <c r="A151" s="4" t="s">
        <v>470</v>
      </c>
      <c r="B151" s="5" t="s">
        <v>471</v>
      </c>
      <c r="C151" s="5" t="s">
        <v>18</v>
      </c>
      <c r="D151" s="5" t="s">
        <v>19</v>
      </c>
      <c r="E151" s="5" t="s">
        <v>176</v>
      </c>
      <c r="F151" s="9">
        <v>88</v>
      </c>
      <c r="G151" s="9">
        <v>1031</v>
      </c>
      <c r="H151" s="5" t="s">
        <v>21</v>
      </c>
      <c r="I151" s="5" t="s">
        <v>472</v>
      </c>
      <c r="J151" s="12" t="str">
        <f>HYPERLINK("https://www.boe.es/gazeta/dias/1800/10/31/pdfs/GMD-1800-88.pdf#page=13","Abrir facsímil")</f>
        <v>Abrir facsímil</v>
      </c>
      <c r="K151" s="15" t="s">
        <v>23</v>
      </c>
    </row>
    <row r="152" spans="1:11" ht="42" customHeight="1">
      <c r="A152" s="4" t="s">
        <v>473</v>
      </c>
      <c r="B152" s="5" t="s">
        <v>474</v>
      </c>
      <c r="C152" s="5" t="s">
        <v>18</v>
      </c>
      <c r="D152" s="5" t="s">
        <v>19</v>
      </c>
      <c r="E152" s="5" t="s">
        <v>329</v>
      </c>
      <c r="F152" s="9">
        <v>99</v>
      </c>
      <c r="G152" s="9">
        <v>1139</v>
      </c>
      <c r="H152" s="5" t="s">
        <v>21</v>
      </c>
      <c r="I152" s="5" t="s">
        <v>475</v>
      </c>
      <c r="J152" s="12" t="str">
        <f>HYPERLINK("https://www.boe.es/gazeta/dias/1800/12/09/pdfs/GMD-1800-99.pdf#page=7","Abrir facsímil")</f>
        <v>Abrir facsímil</v>
      </c>
      <c r="K152" s="15" t="s">
        <v>23</v>
      </c>
    </row>
    <row r="153" spans="1:11" ht="42" customHeight="1">
      <c r="A153" s="4" t="s">
        <v>476</v>
      </c>
      <c r="B153" s="5" t="s">
        <v>477</v>
      </c>
      <c r="C153" s="5" t="s">
        <v>84</v>
      </c>
      <c r="D153" s="5" t="s">
        <v>85</v>
      </c>
      <c r="E153" s="5" t="s">
        <v>478</v>
      </c>
      <c r="F153" s="9">
        <v>34</v>
      </c>
      <c r="G153" s="9">
        <v>348</v>
      </c>
      <c r="H153" s="5" t="s">
        <v>21</v>
      </c>
      <c r="I153" s="5" t="s">
        <v>479</v>
      </c>
      <c r="J153" s="12" t="str">
        <f>HYPERLINK("https://www.boe.es/gazeta/dias/1800/04/29/pdfs/GMD-1800-34.pdf#page=12","Abrir facsímil")</f>
        <v>Abrir facsímil</v>
      </c>
      <c r="K153" s="15" t="s">
        <v>23</v>
      </c>
    </row>
    <row r="154" spans="1:11" ht="42" customHeight="1">
      <c r="A154" s="4" t="s">
        <v>480</v>
      </c>
      <c r="B154" s="5" t="s">
        <v>481</v>
      </c>
      <c r="C154" s="5" t="s">
        <v>18</v>
      </c>
      <c r="D154" s="5" t="s">
        <v>19</v>
      </c>
      <c r="E154" s="5" t="s">
        <v>218</v>
      </c>
      <c r="F154" s="9">
        <v>5</v>
      </c>
      <c r="G154" s="9">
        <v>47</v>
      </c>
      <c r="H154" s="5" t="s">
        <v>21</v>
      </c>
      <c r="I154" s="5" t="s">
        <v>482</v>
      </c>
      <c r="J154" s="12" t="str">
        <f>HYPERLINK("https://www.boe.es/gazeta/dias/1800/01/17/pdfs/GMD-1800-5.pdf#page=7","Abrir facsímil")</f>
        <v>Abrir facsímil</v>
      </c>
      <c r="K154" s="15" t="s">
        <v>23</v>
      </c>
    </row>
    <row r="155" spans="1:11" ht="42" customHeight="1">
      <c r="A155" s="4" t="s">
        <v>483</v>
      </c>
      <c r="B155" s="5" t="s">
        <v>484</v>
      </c>
      <c r="C155" s="5" t="s">
        <v>18</v>
      </c>
      <c r="D155" s="5" t="s">
        <v>19</v>
      </c>
      <c r="E155" s="5" t="s">
        <v>135</v>
      </c>
      <c r="F155" s="9">
        <v>73</v>
      </c>
      <c r="G155" s="9">
        <v>815</v>
      </c>
      <c r="H155" s="5" t="s">
        <v>21</v>
      </c>
      <c r="I155" s="5" t="s">
        <v>485</v>
      </c>
      <c r="J155" s="12" t="str">
        <f>HYPERLINK("https://www.boe.es/gazeta/dias/1800/09/09/pdfs/GMD-1800-73.pdf#page=9","Abrir facsímil")</f>
        <v>Abrir facsímil</v>
      </c>
      <c r="K155" s="15" t="s">
        <v>23</v>
      </c>
    </row>
    <row r="156" spans="1:11" ht="42" customHeight="1">
      <c r="A156" s="4" t="s">
        <v>486</v>
      </c>
      <c r="B156" s="5" t="s">
        <v>487</v>
      </c>
      <c r="C156" s="5" t="s">
        <v>18</v>
      </c>
      <c r="D156" s="5" t="s">
        <v>19</v>
      </c>
      <c r="E156" s="5" t="s">
        <v>56</v>
      </c>
      <c r="F156" s="9">
        <v>90</v>
      </c>
      <c r="G156" s="9">
        <v>1054</v>
      </c>
      <c r="H156" s="5" t="s">
        <v>21</v>
      </c>
      <c r="I156" s="5" t="s">
        <v>488</v>
      </c>
      <c r="J156" s="12" t="str">
        <f>HYPERLINK("https://www.boe.es/gazeta/dias/1800/11/07/pdfs/GMD-1800-90.pdf#page=8","Abrir facsímil")</f>
        <v>Abrir facsímil</v>
      </c>
      <c r="K156" s="15" t="s">
        <v>23</v>
      </c>
    </row>
    <row r="157" spans="1:11" ht="42" customHeight="1">
      <c r="A157" s="4" t="s">
        <v>489</v>
      </c>
      <c r="B157" s="5" t="s">
        <v>490</v>
      </c>
      <c r="C157" s="5" t="s">
        <v>207</v>
      </c>
      <c r="D157" s="5" t="s">
        <v>55</v>
      </c>
      <c r="E157" s="5" t="s">
        <v>491</v>
      </c>
      <c r="F157" s="9">
        <v>29</v>
      </c>
      <c r="G157" s="9">
        <v>298</v>
      </c>
      <c r="H157" s="5" t="s">
        <v>21</v>
      </c>
      <c r="I157" s="5" t="s">
        <v>492</v>
      </c>
      <c r="J157" s="12" t="str">
        <f>HYPERLINK("https://www.boe.es/gazeta/dias/1800/04/11/pdfs/GMD-1800-29.pdf#page=6","Abrir facsímil")</f>
        <v>Abrir facsímil</v>
      </c>
      <c r="K157" s="15" t="s">
        <v>23</v>
      </c>
    </row>
    <row r="158" spans="1:11" ht="42" customHeight="1">
      <c r="A158" s="4" t="s">
        <v>493</v>
      </c>
      <c r="B158" s="5" t="s">
        <v>493</v>
      </c>
      <c r="C158" s="5" t="s">
        <v>18</v>
      </c>
      <c r="D158" s="5" t="s">
        <v>19</v>
      </c>
      <c r="E158" s="5" t="s">
        <v>176</v>
      </c>
      <c r="F158" s="9">
        <v>88</v>
      </c>
      <c r="G158" s="9">
        <v>1031</v>
      </c>
      <c r="H158" s="5" t="s">
        <v>21</v>
      </c>
      <c r="I158" s="5" t="s">
        <v>494</v>
      </c>
      <c r="J158" s="12" t="str">
        <f>HYPERLINK("https://www.boe.es/gazeta/dias/1800/10/31/pdfs/GMD-1800-88.pdf#page=13","Abrir facsímil")</f>
        <v>Abrir facsímil</v>
      </c>
      <c r="K158" s="15" t="s">
        <v>23</v>
      </c>
    </row>
    <row r="159" spans="1:11" ht="42" customHeight="1">
      <c r="A159" s="4" t="s">
        <v>495</v>
      </c>
      <c r="B159" s="5" t="s">
        <v>496</v>
      </c>
      <c r="C159" s="5" t="s">
        <v>18</v>
      </c>
      <c r="D159" s="5" t="s">
        <v>19</v>
      </c>
      <c r="E159" s="5" t="s">
        <v>180</v>
      </c>
      <c r="F159" s="9">
        <v>102</v>
      </c>
      <c r="G159" s="9">
        <v>1185</v>
      </c>
      <c r="H159" s="5" t="s">
        <v>21</v>
      </c>
      <c r="I159" s="5" t="s">
        <v>497</v>
      </c>
      <c r="J159" s="12" t="str">
        <f>HYPERLINK("https://www.boe.es/gazeta/dias/1800/12/19/pdfs/GMD-1800-102.pdf#page=9","Abrir facsímil")</f>
        <v>Abrir facsímil</v>
      </c>
      <c r="K159" s="15" t="s">
        <v>23</v>
      </c>
    </row>
    <row r="160" spans="1:11" ht="42" customHeight="1">
      <c r="A160" s="4" t="s">
        <v>498</v>
      </c>
      <c r="B160" s="5" t="s">
        <v>499</v>
      </c>
      <c r="C160" s="5" t="s">
        <v>54</v>
      </c>
      <c r="D160" s="5" t="s">
        <v>55</v>
      </c>
      <c r="E160" s="5" t="s">
        <v>139</v>
      </c>
      <c r="F160" s="9">
        <v>2</v>
      </c>
      <c r="G160" s="9">
        <v>19</v>
      </c>
      <c r="H160" s="5" t="s">
        <v>21</v>
      </c>
      <c r="I160" s="5" t="s">
        <v>500</v>
      </c>
      <c r="J160" s="12" t="str">
        <f>HYPERLINK("https://www.boe.es/gazeta/dias/1800/01/07/pdfs/GMD-1800-2.pdf#page=11","Abrir facsímil")</f>
        <v>Abrir facsímil</v>
      </c>
      <c r="K160" s="15" t="s">
        <v>23</v>
      </c>
    </row>
    <row r="161" spans="1:11" ht="42" customHeight="1">
      <c r="A161" s="4" t="s">
        <v>501</v>
      </c>
      <c r="B161" s="5" t="s">
        <v>502</v>
      </c>
      <c r="C161" s="5" t="s">
        <v>18</v>
      </c>
      <c r="D161" s="5" t="s">
        <v>19</v>
      </c>
      <c r="E161" s="5" t="s">
        <v>503</v>
      </c>
      <c r="F161" s="9">
        <v>13</v>
      </c>
      <c r="G161" s="9">
        <v>126</v>
      </c>
      <c r="H161" s="5" t="s">
        <v>21</v>
      </c>
      <c r="I161" s="5" t="s">
        <v>504</v>
      </c>
      <c r="J161" s="12" t="str">
        <f>HYPERLINK("https://www.boe.es/gazeta/dias/1800/02/14/pdfs/GMD-1800-13.pdf#page=10","Abrir facsímil")</f>
        <v>Abrir facsímil</v>
      </c>
      <c r="K161" s="15" t="s">
        <v>23</v>
      </c>
    </row>
    <row r="162" spans="1:11" ht="42" customHeight="1">
      <c r="A162" s="4" t="s">
        <v>505</v>
      </c>
      <c r="B162" s="5" t="s">
        <v>505</v>
      </c>
      <c r="C162" s="5" t="s">
        <v>114</v>
      </c>
      <c r="D162" s="5" t="s">
        <v>115</v>
      </c>
      <c r="E162" s="5" t="s">
        <v>116</v>
      </c>
      <c r="F162" s="9">
        <v>86</v>
      </c>
      <c r="G162" s="9" t="s">
        <v>117</v>
      </c>
      <c r="H162" s="5" t="s">
        <v>21</v>
      </c>
      <c r="I162" s="5" t="s">
        <v>506</v>
      </c>
      <c r="J162" s="12" t="str">
        <f>HYPERLINK("https://www.boe.es/gazeta/dias/1800/10/24/pdfs/GMD-D-1800-86.pdf#page=3","Abrir facsímil")</f>
        <v>Abrir facsímil</v>
      </c>
      <c r="K162" s="15" t="s">
        <v>23</v>
      </c>
    </row>
    <row r="163" spans="1:11" ht="42" customHeight="1">
      <c r="A163" s="4" t="s">
        <v>507</v>
      </c>
      <c r="B163" s="5" t="s">
        <v>508</v>
      </c>
      <c r="C163" s="5" t="s">
        <v>18</v>
      </c>
      <c r="D163" s="5" t="s">
        <v>19</v>
      </c>
      <c r="E163" s="5" t="s">
        <v>135</v>
      </c>
      <c r="F163" s="9">
        <v>73</v>
      </c>
      <c r="G163" s="9">
        <v>815</v>
      </c>
      <c r="H163" s="5" t="s">
        <v>21</v>
      </c>
      <c r="I163" s="5" t="s">
        <v>509</v>
      </c>
      <c r="J163" s="12" t="str">
        <f>HYPERLINK("https://www.boe.es/gazeta/dias/1800/09/09/pdfs/GMD-1800-73.pdf#page=9","Abrir facsímil")</f>
        <v>Abrir facsímil</v>
      </c>
      <c r="K163" s="15" t="s">
        <v>23</v>
      </c>
    </row>
    <row r="164" spans="1:11" ht="42" customHeight="1">
      <c r="A164" s="4" t="s">
        <v>510</v>
      </c>
      <c r="B164" s="5" t="s">
        <v>511</v>
      </c>
      <c r="C164" s="5" t="s">
        <v>18</v>
      </c>
      <c r="D164" s="5" t="s">
        <v>19</v>
      </c>
      <c r="E164" s="5" t="s">
        <v>329</v>
      </c>
      <c r="F164" s="9">
        <v>99</v>
      </c>
      <c r="G164" s="9">
        <v>1138</v>
      </c>
      <c r="H164" s="5" t="s">
        <v>21</v>
      </c>
      <c r="I164" s="5" t="s">
        <v>512</v>
      </c>
      <c r="J164" s="12" t="str">
        <f>HYPERLINK("https://www.boe.es/gazeta/dias/1800/12/09/pdfs/GMD-1800-99.pdf#page=6","Abrir facsímil")</f>
        <v>Abrir facsímil</v>
      </c>
      <c r="K164" s="15" t="s">
        <v>23</v>
      </c>
    </row>
    <row r="165" spans="1:11" ht="42" customHeight="1">
      <c r="A165" s="4" t="s">
        <v>513</v>
      </c>
      <c r="B165" s="5" t="s">
        <v>514</v>
      </c>
      <c r="C165" s="5" t="s">
        <v>18</v>
      </c>
      <c r="D165" s="5" t="s">
        <v>19</v>
      </c>
      <c r="E165" s="5" t="s">
        <v>314</v>
      </c>
      <c r="F165" s="9">
        <v>74</v>
      </c>
      <c r="G165" s="9">
        <v>831</v>
      </c>
      <c r="H165" s="5" t="s">
        <v>21</v>
      </c>
      <c r="I165" s="5" t="s">
        <v>515</v>
      </c>
      <c r="J165" s="12" t="str">
        <f>HYPERLINK("https://www.boe.es/gazeta/dias/1800/09/12/pdfs/GMD-1800-74.pdf#page=9","Abrir facsímil")</f>
        <v>Abrir facsímil</v>
      </c>
      <c r="K165" s="15" t="s">
        <v>23</v>
      </c>
    </row>
    <row r="166" spans="1:11" ht="42" customHeight="1">
      <c r="A166" s="4" t="s">
        <v>516</v>
      </c>
      <c r="B166" s="5" t="s">
        <v>517</v>
      </c>
      <c r="C166" s="5" t="s">
        <v>18</v>
      </c>
      <c r="D166" s="5" t="s">
        <v>19</v>
      </c>
      <c r="E166" s="5" t="s">
        <v>299</v>
      </c>
      <c r="F166" s="9">
        <v>40</v>
      </c>
      <c r="G166" s="9">
        <v>412</v>
      </c>
      <c r="H166" s="5" t="s">
        <v>21</v>
      </c>
      <c r="I166" s="5" t="s">
        <v>518</v>
      </c>
      <c r="J166" s="12" t="str">
        <f>HYPERLINK("https://www.boe.es/gazeta/dias/1800/05/20/pdfs/GMD-1800-40.pdf#page=8","Abrir facsímil")</f>
        <v>Abrir facsímil</v>
      </c>
      <c r="K166" s="15" t="s">
        <v>23</v>
      </c>
    </row>
    <row r="167" spans="1:11" ht="42" customHeight="1">
      <c r="A167" s="4" t="s">
        <v>519</v>
      </c>
      <c r="B167" s="5" t="s">
        <v>520</v>
      </c>
      <c r="C167" s="5" t="s">
        <v>41</v>
      </c>
      <c r="D167" s="5" t="s">
        <v>42</v>
      </c>
      <c r="E167" s="5" t="s">
        <v>56</v>
      </c>
      <c r="F167" s="9">
        <v>90</v>
      </c>
      <c r="G167" s="9">
        <v>1049</v>
      </c>
      <c r="H167" s="5" t="s">
        <v>21</v>
      </c>
      <c r="I167" s="5" t="s">
        <v>521</v>
      </c>
      <c r="J167" s="12" t="str">
        <f>HYPERLINK("https://www.boe.es/gazeta/dias/1800/11/07/pdfs/GMD-1800-90.pdf#page=3","Abrir facsímil")</f>
        <v>Abrir facsímil</v>
      </c>
      <c r="K167" s="15" t="s">
        <v>23</v>
      </c>
    </row>
    <row r="168" spans="1:11" ht="42" customHeight="1">
      <c r="A168" s="4" t="s">
        <v>519</v>
      </c>
      <c r="B168" s="5" t="s">
        <v>520</v>
      </c>
      <c r="C168" s="5" t="s">
        <v>41</v>
      </c>
      <c r="D168" s="5" t="s">
        <v>42</v>
      </c>
      <c r="E168" s="5" t="s">
        <v>402</v>
      </c>
      <c r="F168" s="9">
        <v>101</v>
      </c>
      <c r="G168" s="9">
        <v>1169</v>
      </c>
      <c r="H168" s="5" t="s">
        <v>21</v>
      </c>
      <c r="I168" s="5" t="s">
        <v>522</v>
      </c>
      <c r="J168" s="12" t="str">
        <f>HYPERLINK("https://www.boe.es/gazeta/dias/1800/12/16/pdfs/GMD-1800-101.pdf#page=5","Abrir facsímil")</f>
        <v>Abrir facsímil</v>
      </c>
      <c r="K168" s="15" t="s">
        <v>23</v>
      </c>
    </row>
    <row r="169" spans="1:11" ht="42" customHeight="1">
      <c r="A169" s="4" t="s">
        <v>523</v>
      </c>
      <c r="B169" s="5" t="s">
        <v>523</v>
      </c>
      <c r="C169" s="5" t="s">
        <v>54</v>
      </c>
      <c r="D169" s="5" t="s">
        <v>55</v>
      </c>
      <c r="E169" s="5" t="s">
        <v>244</v>
      </c>
      <c r="F169" s="9">
        <v>9</v>
      </c>
      <c r="G169" s="9">
        <v>87</v>
      </c>
      <c r="H169" s="5" t="s">
        <v>21</v>
      </c>
      <c r="I169" s="5" t="s">
        <v>524</v>
      </c>
      <c r="J169" s="12" t="str">
        <f>HYPERLINK("https://www.boe.es/gazeta/dias/1800/01/31/pdfs/GMD-1800-9.pdf#page=11","Abrir facsímil")</f>
        <v>Abrir facsímil</v>
      </c>
      <c r="K169" s="15" t="s">
        <v>23</v>
      </c>
    </row>
    <row r="170" spans="1:11" ht="42" customHeight="1">
      <c r="A170" s="4" t="s">
        <v>525</v>
      </c>
      <c r="B170" s="5" t="s">
        <v>526</v>
      </c>
      <c r="C170" s="5" t="s">
        <v>18</v>
      </c>
      <c r="D170" s="5" t="s">
        <v>19</v>
      </c>
      <c r="E170" s="5" t="s">
        <v>82</v>
      </c>
      <c r="F170" s="9">
        <v>10</v>
      </c>
      <c r="G170" s="9">
        <v>97</v>
      </c>
      <c r="H170" s="5" t="s">
        <v>21</v>
      </c>
      <c r="I170" s="5" t="s">
        <v>527</v>
      </c>
      <c r="J170" s="12" t="str">
        <f>HYPERLINK("https://www.boe.es/gazeta/dias/1800/02/04/pdfs/GMD-1800-10.pdf#page=9","Abrir facsímil")</f>
        <v>Abrir facsímil</v>
      </c>
      <c r="K170" s="15" t="s">
        <v>23</v>
      </c>
    </row>
    <row r="171" spans="1:11" ht="42" customHeight="1">
      <c r="A171" s="4" t="s">
        <v>528</v>
      </c>
      <c r="B171" s="5" t="s">
        <v>529</v>
      </c>
      <c r="C171" s="5" t="s">
        <v>18</v>
      </c>
      <c r="D171" s="5" t="s">
        <v>19</v>
      </c>
      <c r="E171" s="5" t="s">
        <v>530</v>
      </c>
      <c r="F171" s="9">
        <v>55</v>
      </c>
      <c r="G171" s="9">
        <v>619</v>
      </c>
      <c r="H171" s="5" t="s">
        <v>21</v>
      </c>
      <c r="I171" s="5" t="s">
        <v>531</v>
      </c>
      <c r="J171" s="12" t="str">
        <f>HYPERLINK("https://www.boe.es/gazeta/dias/1800/07/11/pdfs/GMD-1800-55.pdf#page=7","Abrir facsímil")</f>
        <v>Abrir facsímil</v>
      </c>
      <c r="K171" s="15" t="s">
        <v>23</v>
      </c>
    </row>
    <row r="172" spans="1:11" ht="42" customHeight="1">
      <c r="A172" s="4" t="s">
        <v>532</v>
      </c>
      <c r="B172" s="5" t="s">
        <v>533</v>
      </c>
      <c r="C172" s="5" t="s">
        <v>18</v>
      </c>
      <c r="D172" s="5" t="s">
        <v>19</v>
      </c>
      <c r="E172" s="5" t="s">
        <v>534</v>
      </c>
      <c r="F172" s="9">
        <v>100</v>
      </c>
      <c r="G172" s="9">
        <v>1161</v>
      </c>
      <c r="H172" s="5" t="s">
        <v>21</v>
      </c>
      <c r="I172" s="5" t="s">
        <v>535</v>
      </c>
      <c r="J172" s="12" t="str">
        <f>HYPERLINK("https://www.boe.es/gazeta/dias/1800/12/12/pdfs/GMD-1800-100.pdf#page=13","Abrir facsímil")</f>
        <v>Abrir facsímil</v>
      </c>
      <c r="K172" s="15" t="s">
        <v>23</v>
      </c>
    </row>
    <row r="173" spans="1:11" ht="42" customHeight="1">
      <c r="A173" s="4" t="s">
        <v>536</v>
      </c>
      <c r="B173" s="5" t="s">
        <v>537</v>
      </c>
      <c r="C173" s="5" t="s">
        <v>18</v>
      </c>
      <c r="D173" s="5" t="s">
        <v>19</v>
      </c>
      <c r="E173" s="5" t="s">
        <v>31</v>
      </c>
      <c r="F173" s="9">
        <v>20</v>
      </c>
      <c r="G173" s="9">
        <v>192</v>
      </c>
      <c r="H173" s="5" t="s">
        <v>21</v>
      </c>
      <c r="I173" s="5" t="s">
        <v>538</v>
      </c>
      <c r="J173" s="12" t="str">
        <f>HYPERLINK("https://www.boe.es/gazeta/dias/1800/03/11/pdfs/GMD-1800-20.pdf#page=8","Abrir facsímil")</f>
        <v>Abrir facsímil</v>
      </c>
      <c r="K173" s="15" t="s">
        <v>23</v>
      </c>
    </row>
    <row r="174" spans="1:11" ht="42" customHeight="1">
      <c r="A174" s="4" t="s">
        <v>539</v>
      </c>
      <c r="B174" s="5" t="s">
        <v>539</v>
      </c>
      <c r="C174" s="5" t="s">
        <v>171</v>
      </c>
      <c r="D174" s="5" t="s">
        <v>172</v>
      </c>
      <c r="E174" s="5" t="s">
        <v>120</v>
      </c>
      <c r="F174" s="9">
        <v>52</v>
      </c>
      <c r="G174" s="9">
        <v>578</v>
      </c>
      <c r="H174" s="5" t="s">
        <v>21</v>
      </c>
      <c r="I174" s="5" t="s">
        <v>540</v>
      </c>
      <c r="J174" s="12" t="str">
        <f>HYPERLINK("https://www.boe.es/gazeta/dias/1800/07/01/pdfs/GMD-C-1800-52.pdf#page=2","Abrir facsímil")</f>
        <v>Abrir facsímil</v>
      </c>
      <c r="K174" s="15" t="s">
        <v>23</v>
      </c>
    </row>
    <row r="175" spans="1:11" ht="42" customHeight="1">
      <c r="A175" s="4" t="s">
        <v>541</v>
      </c>
      <c r="B175" s="5" t="s">
        <v>541</v>
      </c>
      <c r="C175" s="5" t="s">
        <v>41</v>
      </c>
      <c r="D175" s="5" t="s">
        <v>42</v>
      </c>
      <c r="E175" s="5" t="s">
        <v>176</v>
      </c>
      <c r="F175" s="9">
        <v>88</v>
      </c>
      <c r="G175" s="9">
        <v>1024</v>
      </c>
      <c r="H175" s="5" t="s">
        <v>21</v>
      </c>
      <c r="I175" s="5" t="s">
        <v>542</v>
      </c>
      <c r="J175" s="12" t="str">
        <f>HYPERLINK("https://www.boe.es/gazeta/dias/1800/10/31/pdfs/GMD-1800-88.pdf#page=6","Abrir facsímil")</f>
        <v>Abrir facsímil</v>
      </c>
      <c r="K175" s="15" t="s">
        <v>23</v>
      </c>
    </row>
    <row r="176" spans="1:11" ht="42" customHeight="1">
      <c r="A176" s="4" t="s">
        <v>543</v>
      </c>
      <c r="B176" s="5" t="s">
        <v>544</v>
      </c>
      <c r="C176" s="5" t="s">
        <v>18</v>
      </c>
      <c r="D176" s="5" t="s">
        <v>19</v>
      </c>
      <c r="E176" s="5" t="s">
        <v>545</v>
      </c>
      <c r="F176" s="9">
        <v>14</v>
      </c>
      <c r="G176" s="9">
        <v>134</v>
      </c>
      <c r="H176" s="5" t="s">
        <v>21</v>
      </c>
      <c r="I176" s="5" t="s">
        <v>546</v>
      </c>
      <c r="J176" s="12" t="str">
        <f>HYPERLINK("https://www.boe.es/gazeta/dias/1800/02/18/pdfs/GMD-1800-14.pdf#page=6","Abrir facsímil")</f>
        <v>Abrir facsímil</v>
      </c>
      <c r="K176" s="15" t="s">
        <v>23</v>
      </c>
    </row>
    <row r="177" spans="1:11" ht="42" customHeight="1">
      <c r="A177" s="4" t="s">
        <v>547</v>
      </c>
      <c r="B177" s="5" t="s">
        <v>548</v>
      </c>
      <c r="C177" s="5" t="s">
        <v>18</v>
      </c>
      <c r="D177" s="5" t="s">
        <v>19</v>
      </c>
      <c r="E177" s="5" t="s">
        <v>82</v>
      </c>
      <c r="F177" s="9">
        <v>10</v>
      </c>
      <c r="G177" s="9">
        <v>96</v>
      </c>
      <c r="H177" s="5" t="s">
        <v>21</v>
      </c>
      <c r="I177" s="5" t="s">
        <v>549</v>
      </c>
      <c r="J177" s="12" t="str">
        <f>HYPERLINK("https://www.boe.es/gazeta/dias/1800/02/04/pdfs/GMD-1800-10.pdf#page=8","Abrir facsímil")</f>
        <v>Abrir facsímil</v>
      </c>
      <c r="K177" s="15" t="s">
        <v>23</v>
      </c>
    </row>
    <row r="178" spans="1:11" ht="42" customHeight="1">
      <c r="A178" s="4" t="s">
        <v>547</v>
      </c>
      <c r="B178" s="5" t="s">
        <v>548</v>
      </c>
      <c r="C178" s="5" t="s">
        <v>18</v>
      </c>
      <c r="D178" s="5" t="s">
        <v>19</v>
      </c>
      <c r="E178" s="5" t="s">
        <v>56</v>
      </c>
      <c r="F178" s="9">
        <v>90</v>
      </c>
      <c r="G178" s="9">
        <v>1054</v>
      </c>
      <c r="H178" s="5" t="s">
        <v>21</v>
      </c>
      <c r="I178" s="5" t="s">
        <v>550</v>
      </c>
      <c r="J178" s="12" t="str">
        <f>HYPERLINK("https://www.boe.es/gazeta/dias/1800/11/07/pdfs/GMD-1800-90.pdf#page=8","Abrir facsímil")</f>
        <v>Abrir facsímil</v>
      </c>
      <c r="K178" s="15" t="s">
        <v>23</v>
      </c>
    </row>
    <row r="179" spans="1:11" ht="42" customHeight="1">
      <c r="A179" s="4" t="s">
        <v>551</v>
      </c>
      <c r="B179" s="5" t="s">
        <v>552</v>
      </c>
      <c r="C179" s="5" t="s">
        <v>18</v>
      </c>
      <c r="D179" s="5" t="s">
        <v>19</v>
      </c>
      <c r="E179" s="5" t="s">
        <v>39</v>
      </c>
      <c r="F179" s="9">
        <v>43</v>
      </c>
      <c r="G179" s="9">
        <v>449</v>
      </c>
      <c r="H179" s="5" t="s">
        <v>21</v>
      </c>
      <c r="I179" s="5" t="s">
        <v>553</v>
      </c>
      <c r="J179" s="12" t="str">
        <f>HYPERLINK("https://www.boe.es/gazeta/dias/1800/05/30/pdfs/GMD-1800-43.pdf#page=9","Abrir facsímil")</f>
        <v>Abrir facsímil</v>
      </c>
      <c r="K179" s="15" t="s">
        <v>23</v>
      </c>
    </row>
    <row r="180" spans="1:11" ht="42" customHeight="1">
      <c r="A180" s="4" t="s">
        <v>554</v>
      </c>
      <c r="B180" s="5" t="s">
        <v>554</v>
      </c>
      <c r="C180" s="5" t="s">
        <v>18</v>
      </c>
      <c r="D180" s="5" t="s">
        <v>19</v>
      </c>
      <c r="E180" s="5" t="s">
        <v>135</v>
      </c>
      <c r="F180" s="9">
        <v>73</v>
      </c>
      <c r="G180" s="9">
        <v>815</v>
      </c>
      <c r="H180" s="5" t="s">
        <v>21</v>
      </c>
      <c r="I180" s="5" t="s">
        <v>555</v>
      </c>
      <c r="J180" s="12" t="str">
        <f>HYPERLINK("https://www.boe.es/gazeta/dias/1800/09/09/pdfs/GMD-1800-73.pdf#page=9","Abrir facsímil")</f>
        <v>Abrir facsímil</v>
      </c>
      <c r="K180" s="15" t="s">
        <v>23</v>
      </c>
    </row>
    <row r="181" spans="1:11" ht="42" customHeight="1">
      <c r="A181" s="4" t="s">
        <v>556</v>
      </c>
      <c r="B181" s="5" t="s">
        <v>557</v>
      </c>
      <c r="C181" s="5" t="s">
        <v>18</v>
      </c>
      <c r="D181" s="5" t="s">
        <v>19</v>
      </c>
      <c r="E181" s="5" t="s">
        <v>255</v>
      </c>
      <c r="F181" s="9">
        <v>75</v>
      </c>
      <c r="G181" s="9">
        <v>855</v>
      </c>
      <c r="H181" s="5" t="s">
        <v>21</v>
      </c>
      <c r="I181" s="5" t="s">
        <v>558</v>
      </c>
      <c r="J181" s="12" t="str">
        <f>HYPERLINK("https://www.boe.es/gazeta/dias/1800/09/16/pdfs/GMD-1800-75.pdf#page=9","Abrir facsímil")</f>
        <v>Abrir facsímil</v>
      </c>
      <c r="K181" s="15" t="s">
        <v>23</v>
      </c>
    </row>
    <row r="182" spans="1:11" ht="42" customHeight="1">
      <c r="A182" s="4" t="s">
        <v>559</v>
      </c>
      <c r="B182" s="5" t="s">
        <v>560</v>
      </c>
      <c r="C182" s="5" t="s">
        <v>18</v>
      </c>
      <c r="D182" s="5" t="s">
        <v>19</v>
      </c>
      <c r="E182" s="5" t="s">
        <v>111</v>
      </c>
      <c r="F182" s="9">
        <v>98</v>
      </c>
      <c r="G182" s="9">
        <v>1128</v>
      </c>
      <c r="H182" s="5" t="s">
        <v>21</v>
      </c>
      <c r="I182" s="5" t="s">
        <v>561</v>
      </c>
      <c r="J182" s="12" t="str">
        <f>HYPERLINK("https://www.boe.es/gazeta/dias/1800/12/05/pdfs/GMD-1800-98.pdf#page=8","Abrir facsímil")</f>
        <v>Abrir facsímil</v>
      </c>
      <c r="K182" s="15" t="s">
        <v>23</v>
      </c>
    </row>
    <row r="183" spans="1:11" ht="42" customHeight="1">
      <c r="A183" s="4" t="s">
        <v>562</v>
      </c>
      <c r="B183" s="5" t="s">
        <v>563</v>
      </c>
      <c r="C183" s="5" t="s">
        <v>18</v>
      </c>
      <c r="D183" s="5" t="s">
        <v>19</v>
      </c>
      <c r="E183" s="5" t="s">
        <v>461</v>
      </c>
      <c r="F183" s="9">
        <v>18</v>
      </c>
      <c r="G183" s="9">
        <v>171</v>
      </c>
      <c r="H183" s="5" t="s">
        <v>21</v>
      </c>
      <c r="I183" s="5" t="s">
        <v>564</v>
      </c>
      <c r="J183" s="12" t="str">
        <f>HYPERLINK("https://www.boe.es/datos/pdfs/BOE//1800/018/C00173-00176.pdf#page=7","Abrir facsímil")</f>
        <v>Abrir facsímil</v>
      </c>
      <c r="K183" s="15" t="s">
        <v>23</v>
      </c>
    </row>
    <row r="184" spans="1:11" ht="42" customHeight="1">
      <c r="A184" s="4" t="s">
        <v>565</v>
      </c>
      <c r="B184" s="5" t="s">
        <v>566</v>
      </c>
      <c r="C184" s="5" t="s">
        <v>18</v>
      </c>
      <c r="D184" s="5" t="s">
        <v>19</v>
      </c>
      <c r="E184" s="5" t="s">
        <v>567</v>
      </c>
      <c r="F184" s="9">
        <v>3</v>
      </c>
      <c r="G184" s="9">
        <v>27</v>
      </c>
      <c r="H184" s="5" t="s">
        <v>21</v>
      </c>
      <c r="I184" s="5" t="s">
        <v>568</v>
      </c>
      <c r="J184" s="12" t="str">
        <f>HYPERLINK("https://www.boe.es/gazeta/dias/1800/01/10/pdfs/GMD-1800-3.pdf#page=7","Abrir facsímil")</f>
        <v>Abrir facsímil</v>
      </c>
      <c r="K184" s="15" t="s">
        <v>23</v>
      </c>
    </row>
    <row r="185" spans="1:11" ht="42" customHeight="1">
      <c r="A185" s="4" t="s">
        <v>569</v>
      </c>
      <c r="B185" s="5" t="s">
        <v>569</v>
      </c>
      <c r="C185" s="5" t="s">
        <v>207</v>
      </c>
      <c r="D185" s="5" t="s">
        <v>55</v>
      </c>
      <c r="E185" s="5" t="s">
        <v>275</v>
      </c>
      <c r="F185" s="9">
        <v>60</v>
      </c>
      <c r="G185" s="9">
        <v>687</v>
      </c>
      <c r="H185" s="5" t="s">
        <v>21</v>
      </c>
      <c r="I185" s="5" t="s">
        <v>570</v>
      </c>
      <c r="J185" s="12" t="str">
        <f>HYPERLINK("https://www.boe.es/gazeta/dias/1800/07/29/pdfs/GMD-1800-60.pdf#page=7","Abrir facsímil")</f>
        <v>Abrir facsímil</v>
      </c>
      <c r="K185" s="15" t="s">
        <v>23</v>
      </c>
    </row>
    <row r="186" spans="1:11" ht="42" customHeight="1">
      <c r="A186" s="4" t="s">
        <v>571</v>
      </c>
      <c r="B186" s="5" t="s">
        <v>571</v>
      </c>
      <c r="C186" s="5" t="s">
        <v>54</v>
      </c>
      <c r="D186" s="5" t="s">
        <v>55</v>
      </c>
      <c r="E186" s="5" t="s">
        <v>572</v>
      </c>
      <c r="F186" s="9">
        <v>76</v>
      </c>
      <c r="G186" s="9">
        <v>868</v>
      </c>
      <c r="H186" s="5" t="s">
        <v>21</v>
      </c>
      <c r="I186" s="5" t="s">
        <v>573</v>
      </c>
      <c r="J186" s="12" t="str">
        <f>HYPERLINK("https://www.boe.es/gazeta/dias/1800/09/19/pdfs/GMD-1800-76.pdf#page=10","Abrir facsímil")</f>
        <v>Abrir facsímil</v>
      </c>
      <c r="K186" s="15" t="s">
        <v>23</v>
      </c>
    </row>
    <row r="187" spans="1:11" ht="42" customHeight="1">
      <c r="A187" s="4" t="s">
        <v>574</v>
      </c>
      <c r="B187" s="5" t="s">
        <v>575</v>
      </c>
      <c r="C187" s="5" t="s">
        <v>207</v>
      </c>
      <c r="D187" s="5" t="s">
        <v>55</v>
      </c>
      <c r="E187" s="5" t="s">
        <v>576</v>
      </c>
      <c r="F187" s="9">
        <v>91</v>
      </c>
      <c r="G187" s="9">
        <v>1067</v>
      </c>
      <c r="H187" s="5" t="s">
        <v>21</v>
      </c>
      <c r="I187" s="5" t="s">
        <v>577</v>
      </c>
      <c r="J187" s="12" t="str">
        <f>HYPERLINK("https://www.boe.es/gazeta/dias/1800/11/11/pdfs/GMD-1800-91.pdf#page=9","Abrir facsímil")</f>
        <v>Abrir facsímil</v>
      </c>
      <c r="K187" s="15" t="s">
        <v>23</v>
      </c>
    </row>
    <row r="188" spans="1:11" ht="42" customHeight="1">
      <c r="A188" s="4" t="s">
        <v>578</v>
      </c>
      <c r="B188" s="5" t="s">
        <v>579</v>
      </c>
      <c r="C188" s="5" t="s">
        <v>18</v>
      </c>
      <c r="D188" s="5" t="s">
        <v>19</v>
      </c>
      <c r="E188" s="5" t="s">
        <v>82</v>
      </c>
      <c r="F188" s="9">
        <v>10</v>
      </c>
      <c r="G188" s="9">
        <v>97</v>
      </c>
      <c r="H188" s="5" t="s">
        <v>21</v>
      </c>
      <c r="I188" s="5" t="s">
        <v>580</v>
      </c>
      <c r="J188" s="12" t="str">
        <f>HYPERLINK("https://www.boe.es/gazeta/dias/1800/02/04/pdfs/GMD-1800-10.pdf#page=9","Abrir facsímil")</f>
        <v>Abrir facsímil</v>
      </c>
      <c r="K188" s="15" t="s">
        <v>23</v>
      </c>
    </row>
    <row r="189" spans="1:11" ht="42" customHeight="1">
      <c r="A189" s="4" t="s">
        <v>581</v>
      </c>
      <c r="B189" s="5" t="s">
        <v>582</v>
      </c>
      <c r="C189" s="5" t="s">
        <v>18</v>
      </c>
      <c r="D189" s="5" t="s">
        <v>19</v>
      </c>
      <c r="E189" s="5" t="s">
        <v>583</v>
      </c>
      <c r="F189" s="9">
        <v>77</v>
      </c>
      <c r="G189" s="9">
        <v>879</v>
      </c>
      <c r="H189" s="5" t="s">
        <v>21</v>
      </c>
      <c r="I189" s="5" t="s">
        <v>584</v>
      </c>
      <c r="J189" s="12" t="str">
        <f>HYPERLINK("https://www.boe.es/gazeta/dias/1800/09/23/pdfs/GMD-1800-77.pdf#page=9","Abrir facsímil")</f>
        <v>Abrir facsímil</v>
      </c>
      <c r="K189" s="15" t="s">
        <v>23</v>
      </c>
    </row>
    <row r="190" spans="1:11" ht="42" customHeight="1">
      <c r="A190" s="4" t="s">
        <v>585</v>
      </c>
      <c r="B190" s="5" t="s">
        <v>586</v>
      </c>
      <c r="C190" s="5" t="s">
        <v>18</v>
      </c>
      <c r="D190" s="5" t="s">
        <v>19</v>
      </c>
      <c r="E190" s="5" t="s">
        <v>147</v>
      </c>
      <c r="F190" s="9">
        <v>84</v>
      </c>
      <c r="G190" s="9">
        <v>973</v>
      </c>
      <c r="H190" s="5" t="s">
        <v>21</v>
      </c>
      <c r="I190" s="5" t="s">
        <v>587</v>
      </c>
      <c r="J190" s="12" t="str">
        <f>HYPERLINK("https://www.boe.es/gazeta/dias/1800/10/17/pdfs/GMD-1800-84.pdf#page=7","Abrir facsímil")</f>
        <v>Abrir facsímil</v>
      </c>
      <c r="K190" s="15" t="s">
        <v>23</v>
      </c>
    </row>
    <row r="191" spans="1:11" ht="42" customHeight="1">
      <c r="A191" s="4" t="s">
        <v>588</v>
      </c>
      <c r="B191" s="5" t="s">
        <v>589</v>
      </c>
      <c r="C191" s="5" t="s">
        <v>25</v>
      </c>
      <c r="D191" s="5" t="s">
        <v>26</v>
      </c>
      <c r="E191" s="5" t="s">
        <v>590</v>
      </c>
      <c r="F191" s="9">
        <v>69</v>
      </c>
      <c r="G191" s="9">
        <v>775</v>
      </c>
      <c r="H191" s="5" t="s">
        <v>21</v>
      </c>
      <c r="I191" s="5" t="s">
        <v>591</v>
      </c>
      <c r="J191" s="12" t="str">
        <f>HYPERLINK("https://www.boe.es/gazeta/dias/1800/08/29/pdfs/GMD-1800-69.pdf#page=7","Abrir facsímil")</f>
        <v>Abrir facsímil</v>
      </c>
      <c r="K191" s="15" t="s">
        <v>23</v>
      </c>
    </row>
    <row r="192" spans="1:11" ht="42" customHeight="1">
      <c r="A192" s="4" t="s">
        <v>592</v>
      </c>
      <c r="B192" s="5" t="s">
        <v>592</v>
      </c>
      <c r="C192" s="5" t="s">
        <v>25</v>
      </c>
      <c r="D192" s="5" t="s">
        <v>26</v>
      </c>
      <c r="E192" s="5" t="s">
        <v>240</v>
      </c>
      <c r="F192" s="9">
        <v>26</v>
      </c>
      <c r="G192" s="9">
        <v>267</v>
      </c>
      <c r="H192" s="5" t="s">
        <v>21</v>
      </c>
      <c r="I192" s="5" t="s">
        <v>593</v>
      </c>
      <c r="J192" s="12" t="str">
        <f>HYPERLINK("https://www.boe.es/gazeta/dias/1800/04/01/pdfs/GMD-1800-26.pdf#page=7","Abrir facsímil")</f>
        <v>Abrir facsímil</v>
      </c>
      <c r="K192" s="15" t="s">
        <v>23</v>
      </c>
    </row>
    <row r="193" spans="1:11" ht="42" customHeight="1">
      <c r="A193" s="4" t="s">
        <v>594</v>
      </c>
      <c r="B193" s="5" t="s">
        <v>594</v>
      </c>
      <c r="C193" s="5" t="s">
        <v>171</v>
      </c>
      <c r="D193" s="5" t="s">
        <v>172</v>
      </c>
      <c r="E193" s="5" t="s">
        <v>595</v>
      </c>
      <c r="F193" s="9">
        <v>72</v>
      </c>
      <c r="G193" s="9">
        <v>801</v>
      </c>
      <c r="H193" s="5" t="s">
        <v>21</v>
      </c>
      <c r="I193" s="5" t="s">
        <v>596</v>
      </c>
      <c r="J193" s="12" t="str">
        <f>HYPERLINK("https://www.boe.es/gazeta/dias/1800/09/05/pdfs/GMD-C-1800-72.pdf#page=3","Abrir facsímil")</f>
        <v>Abrir facsímil</v>
      </c>
      <c r="K193" s="15" t="s">
        <v>23</v>
      </c>
    </row>
    <row r="194" spans="1:11" ht="42" customHeight="1">
      <c r="A194" s="4" t="s">
        <v>597</v>
      </c>
      <c r="B194" s="5" t="s">
        <v>597</v>
      </c>
      <c r="C194" s="5" t="s">
        <v>54</v>
      </c>
      <c r="D194" s="5" t="s">
        <v>55</v>
      </c>
      <c r="E194" s="5" t="s">
        <v>598</v>
      </c>
      <c r="F194" s="9">
        <v>32</v>
      </c>
      <c r="G194" s="9">
        <v>323</v>
      </c>
      <c r="H194" s="5" t="s">
        <v>21</v>
      </c>
      <c r="I194" s="5" t="s">
        <v>599</v>
      </c>
      <c r="J194" s="12" t="str">
        <f>HYPERLINK("https://www.boe.es/gazeta/dias/1800/04/22/pdfs/GMD-1800-32.pdf#page=7","Abrir facsímil")</f>
        <v>Abrir facsímil</v>
      </c>
      <c r="K194" s="15" t="s">
        <v>23</v>
      </c>
    </row>
    <row r="195" spans="1:11" ht="42" customHeight="1">
      <c r="A195" s="4" t="s">
        <v>597</v>
      </c>
      <c r="B195" s="5" t="s">
        <v>597</v>
      </c>
      <c r="C195" s="5" t="s">
        <v>54</v>
      </c>
      <c r="D195" s="5" t="s">
        <v>55</v>
      </c>
      <c r="E195" s="5" t="s">
        <v>600</v>
      </c>
      <c r="F195" s="9">
        <v>45</v>
      </c>
      <c r="G195" s="9">
        <v>473</v>
      </c>
      <c r="H195" s="5" t="s">
        <v>21</v>
      </c>
      <c r="I195" s="5" t="s">
        <v>601</v>
      </c>
      <c r="J195" s="12" t="str">
        <f>HYPERLINK("https://www.boe.es/gazeta/dias/1800/06/06/pdfs/GMD-1800-45.pdf#page=9","Abrir facsímil")</f>
        <v>Abrir facsímil</v>
      </c>
      <c r="K195" s="15" t="s">
        <v>23</v>
      </c>
    </row>
    <row r="196" spans="1:11" ht="42" customHeight="1">
      <c r="A196" s="4" t="s">
        <v>602</v>
      </c>
      <c r="B196" s="5" t="s">
        <v>602</v>
      </c>
      <c r="C196" s="5" t="s">
        <v>18</v>
      </c>
      <c r="D196" s="5" t="s">
        <v>19</v>
      </c>
      <c r="E196" s="5" t="s">
        <v>310</v>
      </c>
      <c r="F196" s="9">
        <v>56</v>
      </c>
      <c r="G196" s="9">
        <v>635</v>
      </c>
      <c r="H196" s="5" t="s">
        <v>21</v>
      </c>
      <c r="I196" s="5" t="s">
        <v>603</v>
      </c>
      <c r="J196" s="12" t="str">
        <f>HYPERLINK("https://www.boe.es/gazeta/dias/1800/07/15/pdfs/GMD-1800-56.pdf#page=11","Abrir facsímil")</f>
        <v>Abrir facsímil</v>
      </c>
      <c r="K196" s="15" t="s">
        <v>23</v>
      </c>
    </row>
    <row r="197" spans="1:11" ht="42" customHeight="1">
      <c r="A197" s="4" t="s">
        <v>604</v>
      </c>
      <c r="B197" s="5" t="s">
        <v>605</v>
      </c>
      <c r="C197" s="5" t="s">
        <v>207</v>
      </c>
      <c r="D197" s="5" t="s">
        <v>55</v>
      </c>
      <c r="E197" s="5" t="s">
        <v>214</v>
      </c>
      <c r="F197" s="9">
        <v>41</v>
      </c>
      <c r="G197" s="9">
        <v>424</v>
      </c>
      <c r="H197" s="5" t="s">
        <v>21</v>
      </c>
      <c r="I197" s="5" t="s">
        <v>606</v>
      </c>
      <c r="J197" s="12" t="str">
        <f>HYPERLINK("https://www.boe.es/gazeta/dias/1800/05/23/pdfs/GMD-1800-41.pdf#page=8","Abrir facsímil")</f>
        <v>Abrir facsímil</v>
      </c>
      <c r="K197" s="15" t="s">
        <v>23</v>
      </c>
    </row>
    <row r="198" spans="1:11" ht="42" customHeight="1">
      <c r="A198" s="4" t="s">
        <v>607</v>
      </c>
      <c r="B198" s="5" t="s">
        <v>608</v>
      </c>
      <c r="C198" s="5" t="s">
        <v>25</v>
      </c>
      <c r="D198" s="5" t="s">
        <v>26</v>
      </c>
      <c r="E198" s="5" t="s">
        <v>595</v>
      </c>
      <c r="F198" s="9">
        <v>72</v>
      </c>
      <c r="G198" s="9">
        <v>798</v>
      </c>
      <c r="H198" s="5" t="s">
        <v>21</v>
      </c>
      <c r="I198" s="5" t="s">
        <v>609</v>
      </c>
      <c r="J198" s="12" t="str">
        <f>HYPERLINK("https://www.boe.es/gazeta/dias/1800/09/05/pdfs/GMD-1800-72.pdf#page=8","Abrir facsímil")</f>
        <v>Abrir facsímil</v>
      </c>
      <c r="K198" s="15" t="s">
        <v>23</v>
      </c>
    </row>
    <row r="199" spans="1:11" ht="42" customHeight="1">
      <c r="A199" s="4" t="s">
        <v>610</v>
      </c>
      <c r="B199" s="5" t="s">
        <v>611</v>
      </c>
      <c r="C199" s="5" t="s">
        <v>25</v>
      </c>
      <c r="D199" s="5" t="s">
        <v>26</v>
      </c>
      <c r="E199" s="5" t="s">
        <v>595</v>
      </c>
      <c r="F199" s="9">
        <v>72</v>
      </c>
      <c r="G199" s="9">
        <v>798</v>
      </c>
      <c r="H199" s="5" t="s">
        <v>21</v>
      </c>
      <c r="I199" s="5" t="s">
        <v>612</v>
      </c>
      <c r="J199" s="12" t="str">
        <f>HYPERLINK("https://www.boe.es/gazeta/dias/1800/09/05/pdfs/GMD-1800-72.pdf#page=8","Abrir facsímil")</f>
        <v>Abrir facsímil</v>
      </c>
      <c r="K199" s="15" t="s">
        <v>23</v>
      </c>
    </row>
    <row r="200" spans="1:11" ht="42" customHeight="1">
      <c r="A200" s="4" t="s">
        <v>613</v>
      </c>
      <c r="B200" s="5" t="s">
        <v>614</v>
      </c>
      <c r="C200" s="5" t="s">
        <v>207</v>
      </c>
      <c r="D200" s="5" t="s">
        <v>55</v>
      </c>
      <c r="E200" s="5" t="s">
        <v>615</v>
      </c>
      <c r="F200" s="9">
        <v>95</v>
      </c>
      <c r="G200" s="9">
        <v>1088</v>
      </c>
      <c r="H200" s="5" t="s">
        <v>21</v>
      </c>
      <c r="I200" s="5" t="s">
        <v>616</v>
      </c>
      <c r="J200" s="12" t="str">
        <f>HYPERLINK("https://www.boe.es/gazeta/dias/1800/11/25/pdfs/GMD-1800-95.pdf#page=6","Abrir facsímil")</f>
        <v>Abrir facsímil</v>
      </c>
      <c r="K200" s="15" t="s">
        <v>23</v>
      </c>
    </row>
    <row r="201" spans="1:11" ht="42" customHeight="1">
      <c r="A201" s="4" t="s">
        <v>617</v>
      </c>
      <c r="B201" s="5" t="s">
        <v>617</v>
      </c>
      <c r="C201" s="5" t="s">
        <v>18</v>
      </c>
      <c r="D201" s="5" t="s">
        <v>19</v>
      </c>
      <c r="E201" s="5" t="s">
        <v>618</v>
      </c>
      <c r="F201" s="9">
        <v>1</v>
      </c>
      <c r="G201" s="9">
        <v>5</v>
      </c>
      <c r="H201" s="5" t="s">
        <v>21</v>
      </c>
      <c r="I201" s="5" t="s">
        <v>619</v>
      </c>
      <c r="J201" s="12" t="str">
        <f>HYPERLINK("https://www.boe.es/gazeta/dias/1800/01/03/pdfs/GMD-1800-1.pdf#page=5","Abrir facsímil")</f>
        <v>Abrir facsímil</v>
      </c>
      <c r="K201" s="15" t="s">
        <v>23</v>
      </c>
    </row>
    <row r="202" spans="1:11" ht="42" customHeight="1">
      <c r="A202" s="4" t="s">
        <v>617</v>
      </c>
      <c r="B202" s="5" t="s">
        <v>617</v>
      </c>
      <c r="C202" s="5" t="s">
        <v>25</v>
      </c>
      <c r="D202" s="5" t="s">
        <v>26</v>
      </c>
      <c r="E202" s="5" t="s">
        <v>620</v>
      </c>
      <c r="F202" s="9">
        <v>19</v>
      </c>
      <c r="G202" s="9">
        <v>183</v>
      </c>
      <c r="H202" s="5" t="s">
        <v>21</v>
      </c>
      <c r="I202" s="5" t="s">
        <v>621</v>
      </c>
      <c r="J202" s="12" t="str">
        <f>HYPERLINK("https://www.boe.es/gazeta/dias/1800/03/07/pdfs/GMD-1800-19.pdf#page=7","Abrir facsímil")</f>
        <v>Abrir facsímil</v>
      </c>
      <c r="K202" s="15" t="s">
        <v>23</v>
      </c>
    </row>
    <row r="203" spans="1:11" ht="42" customHeight="1">
      <c r="A203" s="4" t="s">
        <v>617</v>
      </c>
      <c r="B203" s="5" t="s">
        <v>617</v>
      </c>
      <c r="C203" s="5" t="s">
        <v>18</v>
      </c>
      <c r="D203" s="5" t="s">
        <v>19</v>
      </c>
      <c r="E203" s="5" t="s">
        <v>31</v>
      </c>
      <c r="F203" s="9">
        <v>20</v>
      </c>
      <c r="G203" s="9">
        <v>191</v>
      </c>
      <c r="H203" s="5" t="s">
        <v>21</v>
      </c>
      <c r="I203" s="5" t="s">
        <v>622</v>
      </c>
      <c r="J203" s="12" t="str">
        <f>HYPERLINK("https://www.boe.es/gazeta/dias/1800/03/11/pdfs/GMD-1800-20.pdf#page=7","Abrir facsímil")</f>
        <v>Abrir facsímil</v>
      </c>
      <c r="K203" s="15" t="s">
        <v>23</v>
      </c>
    </row>
    <row r="204" spans="1:11" ht="42" customHeight="1">
      <c r="A204" s="4" t="s">
        <v>623</v>
      </c>
      <c r="B204" s="5" t="s">
        <v>623</v>
      </c>
      <c r="C204" s="5" t="s">
        <v>18</v>
      </c>
      <c r="D204" s="5" t="s">
        <v>19</v>
      </c>
      <c r="E204" s="5" t="s">
        <v>534</v>
      </c>
      <c r="F204" s="9">
        <v>100</v>
      </c>
      <c r="G204" s="9">
        <v>1160</v>
      </c>
      <c r="H204" s="5" t="s">
        <v>21</v>
      </c>
      <c r="I204" s="5" t="s">
        <v>624</v>
      </c>
      <c r="J204" s="12" t="str">
        <f>HYPERLINK("https://www.boe.es/gazeta/dias/1800/12/12/pdfs/GMD-1800-100.pdf#page=12","Abrir facsímil")</f>
        <v>Abrir facsímil</v>
      </c>
      <c r="K204" s="15" t="s">
        <v>23</v>
      </c>
    </row>
    <row r="205" spans="1:11" ht="42" customHeight="1">
      <c r="A205" s="4" t="s">
        <v>625</v>
      </c>
      <c r="B205" s="5" t="s">
        <v>625</v>
      </c>
      <c r="C205" s="5" t="s">
        <v>207</v>
      </c>
      <c r="D205" s="5" t="s">
        <v>55</v>
      </c>
      <c r="E205" s="5" t="s">
        <v>306</v>
      </c>
      <c r="F205" s="9">
        <v>79</v>
      </c>
      <c r="G205" s="9">
        <v>899</v>
      </c>
      <c r="H205" s="5" t="s">
        <v>21</v>
      </c>
      <c r="I205" s="5" t="s">
        <v>626</v>
      </c>
      <c r="J205" s="12" t="str">
        <f>HYPERLINK("https://www.boe.es/gazeta/dias/1800/09/30/pdfs/GMD-1800-79.pdf#page=9","Abrir facsímil")</f>
        <v>Abrir facsímil</v>
      </c>
      <c r="K205" s="15" t="s">
        <v>23</v>
      </c>
    </row>
    <row r="206" spans="1:11" ht="42" customHeight="1">
      <c r="A206" s="4" t="s">
        <v>627</v>
      </c>
      <c r="B206" s="5" t="s">
        <v>627</v>
      </c>
      <c r="C206" s="5" t="s">
        <v>18</v>
      </c>
      <c r="D206" s="5" t="s">
        <v>19</v>
      </c>
      <c r="E206" s="5" t="s">
        <v>82</v>
      </c>
      <c r="F206" s="9">
        <v>10</v>
      </c>
      <c r="G206" s="9">
        <v>97</v>
      </c>
      <c r="H206" s="5" t="s">
        <v>21</v>
      </c>
      <c r="I206" s="5" t="s">
        <v>628</v>
      </c>
      <c r="J206" s="12" t="str">
        <f>HYPERLINK("https://www.boe.es/gazeta/dias/1800/02/04/pdfs/GMD-1800-10.pdf#page=9","Abrir facsímil")</f>
        <v>Abrir facsímil</v>
      </c>
      <c r="K206" s="15" t="s">
        <v>23</v>
      </c>
    </row>
    <row r="207" spans="1:11" ht="42" customHeight="1">
      <c r="A207" s="4" t="s">
        <v>629</v>
      </c>
      <c r="B207" s="5" t="s">
        <v>630</v>
      </c>
      <c r="C207" s="5" t="s">
        <v>18</v>
      </c>
      <c r="D207" s="5" t="s">
        <v>19</v>
      </c>
      <c r="E207" s="5" t="s">
        <v>576</v>
      </c>
      <c r="F207" s="9">
        <v>91</v>
      </c>
      <c r="G207" s="9">
        <v>1068</v>
      </c>
      <c r="H207" s="5" t="s">
        <v>21</v>
      </c>
      <c r="I207" s="5" t="s">
        <v>631</v>
      </c>
      <c r="J207" s="12" t="str">
        <f>HYPERLINK("https://www.boe.es/gazeta/dias/1800/11/11/pdfs/GMD-1800-91.pdf#page=10","Abrir facsímil")</f>
        <v>Abrir facsímil</v>
      </c>
      <c r="K207" s="15" t="s">
        <v>23</v>
      </c>
    </row>
    <row r="208" spans="1:11" ht="42" customHeight="1">
      <c r="A208" s="4" t="s">
        <v>632</v>
      </c>
      <c r="B208" s="5" t="s">
        <v>633</v>
      </c>
      <c r="C208" s="5" t="s">
        <v>54</v>
      </c>
      <c r="D208" s="5" t="s">
        <v>55</v>
      </c>
      <c r="E208" s="5" t="s">
        <v>58</v>
      </c>
      <c r="F208" s="9">
        <v>92</v>
      </c>
      <c r="G208" s="9">
        <v>1053</v>
      </c>
      <c r="H208" s="5" t="s">
        <v>21</v>
      </c>
      <c r="I208" s="5" t="s">
        <v>634</v>
      </c>
      <c r="J208" s="12" t="str">
        <f>HYPERLINK("https://www.boe.es/gazeta/dias/1800/11/14/pdfs/GMD-1800-92.pdf#page=7","Abrir facsímil")</f>
        <v>Abrir facsímil</v>
      </c>
      <c r="K208" s="15" t="s">
        <v>23</v>
      </c>
    </row>
    <row r="209" spans="1:11" ht="42" customHeight="1">
      <c r="A209" s="4" t="s">
        <v>635</v>
      </c>
      <c r="B209" s="5" t="s">
        <v>636</v>
      </c>
      <c r="C209" s="5" t="s">
        <v>18</v>
      </c>
      <c r="D209" s="5" t="s">
        <v>19</v>
      </c>
      <c r="E209" s="5" t="s">
        <v>572</v>
      </c>
      <c r="F209" s="9">
        <v>76</v>
      </c>
      <c r="G209" s="9">
        <v>861</v>
      </c>
      <c r="H209" s="5" t="s">
        <v>21</v>
      </c>
      <c r="I209" s="5" t="s">
        <v>637</v>
      </c>
      <c r="J209" s="12" t="str">
        <f>HYPERLINK("https://www.boe.es/gazeta/dias/1800/09/19/pdfs/GMD-1800-76.pdf#page=3","Abrir facsímil")</f>
        <v>Abrir facsímil</v>
      </c>
      <c r="K209" s="15" t="s">
        <v>23</v>
      </c>
    </row>
    <row r="210" spans="1:11" ht="42" customHeight="1">
      <c r="A210" s="4" t="s">
        <v>638</v>
      </c>
      <c r="B210" s="5" t="s">
        <v>638</v>
      </c>
      <c r="C210" s="5" t="s">
        <v>18</v>
      </c>
      <c r="D210" s="5" t="s">
        <v>19</v>
      </c>
      <c r="E210" s="5" t="s">
        <v>20</v>
      </c>
      <c r="F210" s="9">
        <v>104</v>
      </c>
      <c r="G210" s="9">
        <v>1210</v>
      </c>
      <c r="H210" s="5" t="s">
        <v>21</v>
      </c>
      <c r="I210" s="5" t="s">
        <v>639</v>
      </c>
      <c r="J210" s="12" t="str">
        <f>HYPERLINK("https://www.boe.es/gazeta/dias/1800/12/26/pdfs/GMD-1800-104.pdf#page=10","Abrir facsímil")</f>
        <v>Abrir facsímil</v>
      </c>
      <c r="K210" s="15" t="s">
        <v>23</v>
      </c>
    </row>
    <row r="211" spans="1:11" ht="42" customHeight="1">
      <c r="A211" s="4" t="s">
        <v>640</v>
      </c>
      <c r="B211" s="5" t="s">
        <v>640</v>
      </c>
      <c r="C211" s="5" t="s">
        <v>41</v>
      </c>
      <c r="D211" s="5" t="s">
        <v>42</v>
      </c>
      <c r="E211" s="5" t="s">
        <v>101</v>
      </c>
      <c r="F211" s="9">
        <v>37</v>
      </c>
      <c r="G211" s="9">
        <v>376</v>
      </c>
      <c r="H211" s="5" t="s">
        <v>21</v>
      </c>
      <c r="I211" s="5" t="s">
        <v>641</v>
      </c>
      <c r="J211" s="12" t="str">
        <f>HYPERLINK("https://www.boe.es/gazeta/dias/1800/05/09/pdfs/GMD-1800-37.pdf#page=8","Abrir facsímil")</f>
        <v>Abrir facsímil</v>
      </c>
      <c r="K211" s="15" t="s">
        <v>23</v>
      </c>
    </row>
    <row r="212" spans="1:11" ht="42" customHeight="1">
      <c r="A212" s="4" t="s">
        <v>642</v>
      </c>
      <c r="B212" s="5" t="s">
        <v>643</v>
      </c>
      <c r="C212" s="5" t="s">
        <v>54</v>
      </c>
      <c r="D212" s="5" t="s">
        <v>55</v>
      </c>
      <c r="E212" s="5" t="s">
        <v>218</v>
      </c>
      <c r="F212" s="9">
        <v>5</v>
      </c>
      <c r="G212" s="9">
        <v>48</v>
      </c>
      <c r="H212" s="5" t="s">
        <v>21</v>
      </c>
      <c r="I212" s="5" t="s">
        <v>644</v>
      </c>
      <c r="J212" s="12" t="str">
        <f>HYPERLINK("https://www.boe.es/gazeta/dias/1800/01/17/pdfs/GMD-1800-5.pdf#page=8","Abrir facsímil")</f>
        <v>Abrir facsímil</v>
      </c>
      <c r="K212" s="15" t="s">
        <v>23</v>
      </c>
    </row>
    <row r="213" spans="1:11" ht="42" customHeight="1">
      <c r="A213" s="4" t="s">
        <v>645</v>
      </c>
      <c r="B213" s="5" t="s">
        <v>646</v>
      </c>
      <c r="C213" s="5" t="s">
        <v>84</v>
      </c>
      <c r="D213" s="5" t="s">
        <v>85</v>
      </c>
      <c r="E213" s="5" t="s">
        <v>248</v>
      </c>
      <c r="F213" s="9">
        <v>33</v>
      </c>
      <c r="G213" s="9">
        <v>335</v>
      </c>
      <c r="H213" s="5" t="s">
        <v>21</v>
      </c>
      <c r="I213" s="5" t="s">
        <v>647</v>
      </c>
      <c r="J213" s="12" t="str">
        <f>HYPERLINK("https://www.boe.es/gazeta/dias/1800/04/25/pdfs/GMD-1800-33.pdf#page=11","Abrir facsímil")</f>
        <v>Abrir facsímil</v>
      </c>
      <c r="K213" s="15" t="s">
        <v>23</v>
      </c>
    </row>
    <row r="214" spans="1:11" ht="42" customHeight="1">
      <c r="A214" s="4" t="s">
        <v>645</v>
      </c>
      <c r="B214" s="5" t="s">
        <v>646</v>
      </c>
      <c r="C214" s="5" t="s">
        <v>207</v>
      </c>
      <c r="D214" s="5" t="s">
        <v>55</v>
      </c>
      <c r="E214" s="5" t="s">
        <v>176</v>
      </c>
      <c r="F214" s="9">
        <v>88</v>
      </c>
      <c r="G214" s="9">
        <v>1032</v>
      </c>
      <c r="H214" s="5" t="s">
        <v>21</v>
      </c>
      <c r="I214" s="5" t="s">
        <v>648</v>
      </c>
      <c r="J214" s="12" t="str">
        <f>HYPERLINK("https://www.boe.es/gazeta/dias/1800/10/31/pdfs/GMD-1800-88.pdf#page=14","Abrir facsímil")</f>
        <v>Abrir facsímil</v>
      </c>
      <c r="K214" s="15" t="s">
        <v>23</v>
      </c>
    </row>
    <row r="215" spans="1:11" ht="42" customHeight="1">
      <c r="A215" s="4" t="s">
        <v>649</v>
      </c>
      <c r="B215" s="5" t="s">
        <v>649</v>
      </c>
      <c r="C215" s="5" t="s">
        <v>18</v>
      </c>
      <c r="D215" s="5" t="s">
        <v>19</v>
      </c>
      <c r="E215" s="5" t="s">
        <v>279</v>
      </c>
      <c r="F215" s="9">
        <v>103</v>
      </c>
      <c r="G215" s="9">
        <v>1197</v>
      </c>
      <c r="H215" s="5" t="s">
        <v>21</v>
      </c>
      <c r="I215" s="5" t="s">
        <v>650</v>
      </c>
      <c r="J215" s="12" t="str">
        <f>HYPERLINK("https://www.boe.es/gazeta/dias/1800/12/23/pdfs/GMD-1800-103.pdf#page=9","Abrir facsímil")</f>
        <v>Abrir facsímil</v>
      </c>
      <c r="K215" s="15" t="s">
        <v>23</v>
      </c>
    </row>
    <row r="216" spans="1:11" ht="42" customHeight="1">
      <c r="A216" s="4" t="s">
        <v>651</v>
      </c>
      <c r="B216" s="5" t="s">
        <v>652</v>
      </c>
      <c r="C216" s="5" t="s">
        <v>207</v>
      </c>
      <c r="D216" s="5" t="s">
        <v>55</v>
      </c>
      <c r="E216" s="5" t="s">
        <v>64</v>
      </c>
      <c r="F216" s="9">
        <v>54</v>
      </c>
      <c r="G216" s="9">
        <v>606</v>
      </c>
      <c r="H216" s="5" t="s">
        <v>21</v>
      </c>
      <c r="I216" s="5" t="s">
        <v>653</v>
      </c>
      <c r="J216" s="12" t="str">
        <f>HYPERLINK("https://www.boe.es/gazeta/dias/1800/07/08/pdfs/GMD-1800-54.pdf#page=10","Abrir facsímil")</f>
        <v>Abrir facsímil</v>
      </c>
      <c r="K216" s="15" t="s">
        <v>23</v>
      </c>
    </row>
    <row r="217" spans="1:11" ht="42" customHeight="1">
      <c r="A217" s="4" t="s">
        <v>654</v>
      </c>
      <c r="B217" s="5" t="s">
        <v>655</v>
      </c>
      <c r="C217" s="5" t="s">
        <v>18</v>
      </c>
      <c r="D217" s="5" t="s">
        <v>19</v>
      </c>
      <c r="E217" s="5" t="s">
        <v>154</v>
      </c>
      <c r="F217" s="9">
        <v>61</v>
      </c>
      <c r="G217" s="9">
        <v>697</v>
      </c>
      <c r="H217" s="5" t="s">
        <v>21</v>
      </c>
      <c r="I217" s="5" t="s">
        <v>656</v>
      </c>
      <c r="J217" s="12" t="str">
        <f>HYPERLINK("https://www.boe.es/gazeta/dias/1800/08/01/pdfs/GMD-1800-61.pdf#page=9","Abrir facsímil")</f>
        <v>Abrir facsímil</v>
      </c>
      <c r="K217" s="15" t="s">
        <v>23</v>
      </c>
    </row>
    <row r="218" spans="1:11" ht="42" customHeight="1">
      <c r="A218" s="4" t="s">
        <v>657</v>
      </c>
      <c r="B218" s="5" t="s">
        <v>658</v>
      </c>
      <c r="C218" s="5" t="s">
        <v>18</v>
      </c>
      <c r="D218" s="5" t="s">
        <v>19</v>
      </c>
      <c r="E218" s="5" t="s">
        <v>111</v>
      </c>
      <c r="F218" s="9">
        <v>98</v>
      </c>
      <c r="G218" s="9">
        <v>1129</v>
      </c>
      <c r="H218" s="5" t="s">
        <v>21</v>
      </c>
      <c r="I218" s="5" t="s">
        <v>659</v>
      </c>
      <c r="J218" s="12" t="str">
        <f>HYPERLINK("https://www.boe.es/gazeta/dias/1800/12/05/pdfs/GMD-1800-98.pdf#page=9","Abrir facsímil")</f>
        <v>Abrir facsímil</v>
      </c>
      <c r="K218" s="15" t="s">
        <v>23</v>
      </c>
    </row>
    <row r="219" spans="1:11" ht="42" customHeight="1">
      <c r="A219" s="4" t="s">
        <v>660</v>
      </c>
      <c r="B219" s="5" t="s">
        <v>660</v>
      </c>
      <c r="C219" s="5" t="s">
        <v>18</v>
      </c>
      <c r="D219" s="5" t="s">
        <v>19</v>
      </c>
      <c r="E219" s="5" t="s">
        <v>279</v>
      </c>
      <c r="F219" s="9">
        <v>103</v>
      </c>
      <c r="G219" s="9">
        <v>1197</v>
      </c>
      <c r="H219" s="5" t="s">
        <v>21</v>
      </c>
      <c r="I219" s="5" t="s">
        <v>661</v>
      </c>
      <c r="J219" s="12" t="str">
        <f>HYPERLINK("https://www.boe.es/gazeta/dias/1800/12/23/pdfs/GMD-1800-103.pdf#page=9","Abrir facsímil")</f>
        <v>Abrir facsímil</v>
      </c>
      <c r="K219" s="15" t="s">
        <v>23</v>
      </c>
    </row>
    <row r="220" spans="1:11" ht="42" customHeight="1">
      <c r="A220" s="4" t="s">
        <v>662</v>
      </c>
      <c r="B220" s="5" t="s">
        <v>663</v>
      </c>
      <c r="C220" s="5" t="s">
        <v>18</v>
      </c>
      <c r="D220" s="5" t="s">
        <v>19</v>
      </c>
      <c r="E220" s="5" t="s">
        <v>50</v>
      </c>
      <c r="F220" s="9">
        <v>81</v>
      </c>
      <c r="G220" s="9">
        <v>918</v>
      </c>
      <c r="H220" s="5" t="s">
        <v>21</v>
      </c>
      <c r="I220" s="5" t="s">
        <v>664</v>
      </c>
      <c r="J220" s="12" t="str">
        <f>HYPERLINK("https://www.boe.es/gazeta/dias/1800/10/07/pdfs/GMD-1800-81.pdf#page=8","Abrir facsímil")</f>
        <v>Abrir facsímil</v>
      </c>
      <c r="K220" s="15" t="s">
        <v>23</v>
      </c>
    </row>
    <row r="221" spans="1:11" ht="42" customHeight="1">
      <c r="A221" s="4" t="s">
        <v>665</v>
      </c>
      <c r="B221" s="5" t="s">
        <v>666</v>
      </c>
      <c r="C221" s="5" t="s">
        <v>25</v>
      </c>
      <c r="D221" s="5" t="s">
        <v>26</v>
      </c>
      <c r="E221" s="5" t="s">
        <v>101</v>
      </c>
      <c r="F221" s="9">
        <v>37</v>
      </c>
      <c r="G221" s="9">
        <v>377</v>
      </c>
      <c r="H221" s="5" t="s">
        <v>21</v>
      </c>
      <c r="I221" s="5" t="s">
        <v>667</v>
      </c>
      <c r="J221" s="12" t="str">
        <f>HYPERLINK("https://www.boe.es/gazeta/dias/1800/05/09/pdfs/GMD-1800-37.pdf#page=9","Abrir facsímil")</f>
        <v>Abrir facsímil</v>
      </c>
      <c r="K221" s="15" t="s">
        <v>23</v>
      </c>
    </row>
    <row r="222" spans="1:11" ht="42" customHeight="1">
      <c r="A222" s="4" t="s">
        <v>668</v>
      </c>
      <c r="B222" s="5" t="s">
        <v>669</v>
      </c>
      <c r="C222" s="5" t="s">
        <v>18</v>
      </c>
      <c r="D222" s="5" t="s">
        <v>19</v>
      </c>
      <c r="E222" s="5" t="s">
        <v>314</v>
      </c>
      <c r="F222" s="9">
        <v>74</v>
      </c>
      <c r="G222" s="9">
        <v>831</v>
      </c>
      <c r="H222" s="5" t="s">
        <v>21</v>
      </c>
      <c r="I222" s="5" t="s">
        <v>670</v>
      </c>
      <c r="J222" s="12" t="str">
        <f>HYPERLINK("https://www.boe.es/gazeta/dias/1800/09/12/pdfs/GMD-1800-74.pdf#page=9","Abrir facsímil")</f>
        <v>Abrir facsímil</v>
      </c>
      <c r="K222" s="15" t="s">
        <v>23</v>
      </c>
    </row>
    <row r="223" spans="1:11" ht="42" customHeight="1">
      <c r="A223" s="4" t="s">
        <v>671</v>
      </c>
      <c r="B223" s="5" t="s">
        <v>672</v>
      </c>
      <c r="C223" s="5" t="s">
        <v>18</v>
      </c>
      <c r="D223" s="5" t="s">
        <v>19</v>
      </c>
      <c r="E223" s="5" t="s">
        <v>673</v>
      </c>
      <c r="F223" s="9">
        <v>89</v>
      </c>
      <c r="G223" s="9">
        <v>1043</v>
      </c>
      <c r="H223" s="5" t="s">
        <v>21</v>
      </c>
      <c r="I223" s="5" t="s">
        <v>674</v>
      </c>
      <c r="J223" s="12" t="str">
        <f>HYPERLINK("https://www.boe.es/gazeta/dias/1800/11/04/pdfs/GMD-1800-89.pdf#page=9","Abrir facsímil")</f>
        <v>Abrir facsímil</v>
      </c>
      <c r="K223" s="15" t="s">
        <v>23</v>
      </c>
    </row>
    <row r="224" spans="1:11" ht="42" customHeight="1">
      <c r="A224" s="4" t="s">
        <v>675</v>
      </c>
      <c r="B224" s="5" t="s">
        <v>676</v>
      </c>
      <c r="C224" s="5" t="s">
        <v>25</v>
      </c>
      <c r="D224" s="5" t="s">
        <v>26</v>
      </c>
      <c r="E224" s="5" t="s">
        <v>139</v>
      </c>
      <c r="F224" s="9">
        <v>2</v>
      </c>
      <c r="G224" s="9">
        <v>16</v>
      </c>
      <c r="H224" s="5" t="s">
        <v>21</v>
      </c>
      <c r="I224" s="5" t="s">
        <v>677</v>
      </c>
      <c r="J224" s="12" t="str">
        <f>HYPERLINK("https://www.boe.es/gazeta/dias/1800/01/07/pdfs/GMD-1800-2.pdf#page=8","Abrir facsímil")</f>
        <v>Abrir facsímil</v>
      </c>
      <c r="K224" s="15" t="s">
        <v>23</v>
      </c>
    </row>
    <row r="225" spans="1:11" ht="42" customHeight="1">
      <c r="A225" s="4" t="s">
        <v>678</v>
      </c>
      <c r="B225" s="5" t="s">
        <v>679</v>
      </c>
      <c r="C225" s="5" t="s">
        <v>18</v>
      </c>
      <c r="D225" s="5" t="s">
        <v>19</v>
      </c>
      <c r="E225" s="5" t="s">
        <v>124</v>
      </c>
      <c r="F225" s="9">
        <v>16</v>
      </c>
      <c r="G225" s="9">
        <v>151</v>
      </c>
      <c r="H225" s="5" t="s">
        <v>21</v>
      </c>
      <c r="I225" s="5" t="s">
        <v>680</v>
      </c>
      <c r="J225" s="12" t="str">
        <f>HYPERLINK("https://www.boe.es/gazeta/dias/1800/02/25/pdfs/GMD-1800-16.pdf#page=7","Abrir facsímil")</f>
        <v>Abrir facsímil</v>
      </c>
      <c r="K225" s="15" t="s">
        <v>23</v>
      </c>
    </row>
    <row r="226" spans="1:11" ht="42" customHeight="1">
      <c r="A226" s="4" t="s">
        <v>681</v>
      </c>
      <c r="B226" s="5" t="s">
        <v>682</v>
      </c>
      <c r="C226" s="5" t="s">
        <v>114</v>
      </c>
      <c r="D226" s="5" t="s">
        <v>115</v>
      </c>
      <c r="E226" s="5" t="s">
        <v>116</v>
      </c>
      <c r="F226" s="9">
        <v>86</v>
      </c>
      <c r="G226" s="9" t="s">
        <v>117</v>
      </c>
      <c r="H226" s="5" t="s">
        <v>21</v>
      </c>
      <c r="I226" s="5" t="s">
        <v>683</v>
      </c>
      <c r="J226" s="12" t="str">
        <f>HYPERLINK("https://www.boe.es/gazeta/dias/1800/10/24/pdfs/GMD-D-1800-86.pdf#page=3","Abrir facsímil")</f>
        <v>Abrir facsímil</v>
      </c>
      <c r="K226" s="15" t="s">
        <v>23</v>
      </c>
    </row>
    <row r="227" spans="1:11" ht="42" customHeight="1">
      <c r="A227" s="4" t="s">
        <v>684</v>
      </c>
      <c r="B227" s="5" t="s">
        <v>685</v>
      </c>
      <c r="C227" s="5" t="s">
        <v>18</v>
      </c>
      <c r="D227" s="5" t="s">
        <v>19</v>
      </c>
      <c r="E227" s="5" t="s">
        <v>39</v>
      </c>
      <c r="F227" s="9">
        <v>43</v>
      </c>
      <c r="G227" s="9">
        <v>450</v>
      </c>
      <c r="H227" s="5" t="s">
        <v>21</v>
      </c>
      <c r="I227" s="5" t="s">
        <v>686</v>
      </c>
      <c r="J227" s="12" t="str">
        <f>HYPERLINK("https://www.boe.es/gazeta/dias/1800/05/30/pdfs/GMD-1800-43.pdf#page=10","Abrir facsímil")</f>
        <v>Abrir facsímil</v>
      </c>
      <c r="K227" s="15" t="s">
        <v>23</v>
      </c>
    </row>
    <row r="228" spans="1:11" ht="42" customHeight="1">
      <c r="A228" s="4" t="s">
        <v>687</v>
      </c>
      <c r="B228" s="5" t="s">
        <v>688</v>
      </c>
      <c r="C228" s="5" t="s">
        <v>207</v>
      </c>
      <c r="D228" s="5" t="s">
        <v>55</v>
      </c>
      <c r="E228" s="5" t="s">
        <v>43</v>
      </c>
      <c r="F228" s="9">
        <v>46</v>
      </c>
      <c r="G228" s="9">
        <v>487</v>
      </c>
      <c r="H228" s="5" t="s">
        <v>21</v>
      </c>
      <c r="I228" s="5" t="s">
        <v>689</v>
      </c>
      <c r="J228" s="12" t="str">
        <f>HYPERLINK("https://www.boe.es/gazeta/dias/1800/06/10/pdfs/GMD-1800-46.pdf#page=11","Abrir facsímil")</f>
        <v>Abrir facsímil</v>
      </c>
      <c r="K228" s="15" t="s">
        <v>23</v>
      </c>
    </row>
    <row r="229" spans="1:11" ht="42" customHeight="1">
      <c r="A229" s="4" t="s">
        <v>690</v>
      </c>
      <c r="B229" s="5" t="s">
        <v>691</v>
      </c>
      <c r="C229" s="5" t="s">
        <v>171</v>
      </c>
      <c r="D229" s="5" t="s">
        <v>172</v>
      </c>
      <c r="E229" s="5" t="s">
        <v>461</v>
      </c>
      <c r="F229" s="9">
        <v>18</v>
      </c>
      <c r="G229" s="9">
        <v>173</v>
      </c>
      <c r="H229" s="5" t="s">
        <v>21</v>
      </c>
      <c r="I229" s="5" t="s">
        <v>692</v>
      </c>
      <c r="J229" s="12" t="str">
        <f>HYPERLINK("https://www.boe.es/datos/pdfs/BOE//1800/018/C00173-00176.pdf#page=1","Abrir facsímil")</f>
        <v>Abrir facsímil</v>
      </c>
      <c r="K229" s="15" t="s">
        <v>23</v>
      </c>
    </row>
    <row r="230" spans="1:11" ht="42" customHeight="1">
      <c r="A230" s="4" t="s">
        <v>693</v>
      </c>
      <c r="B230" s="5" t="s">
        <v>694</v>
      </c>
      <c r="C230" s="5" t="s">
        <v>18</v>
      </c>
      <c r="D230" s="5" t="s">
        <v>19</v>
      </c>
      <c r="E230" s="5" t="s">
        <v>576</v>
      </c>
      <c r="F230" s="9">
        <v>91</v>
      </c>
      <c r="G230" s="9">
        <v>1068</v>
      </c>
      <c r="H230" s="5" t="s">
        <v>21</v>
      </c>
      <c r="I230" s="5" t="s">
        <v>695</v>
      </c>
      <c r="J230" s="12" t="str">
        <f>HYPERLINK("https://www.boe.es/gazeta/dias/1800/11/11/pdfs/GMD-1800-91.pdf#page=10","Abrir facsímil")</f>
        <v>Abrir facsímil</v>
      </c>
      <c r="K230" s="15" t="s">
        <v>23</v>
      </c>
    </row>
    <row r="231" spans="1:11" ht="42" customHeight="1">
      <c r="A231" s="4" t="s">
        <v>696</v>
      </c>
      <c r="B231" s="5" t="s">
        <v>696</v>
      </c>
      <c r="C231" s="5" t="s">
        <v>25</v>
      </c>
      <c r="D231" s="5" t="s">
        <v>26</v>
      </c>
      <c r="E231" s="5" t="s">
        <v>420</v>
      </c>
      <c r="F231" s="9">
        <v>38</v>
      </c>
      <c r="G231" s="9">
        <v>392</v>
      </c>
      <c r="H231" s="5" t="s">
        <v>21</v>
      </c>
      <c r="I231" s="5" t="s">
        <v>697</v>
      </c>
      <c r="J231" s="12" t="str">
        <f>HYPERLINK("https://www.boe.es/gazeta/dias/1800/05/13/pdfs/GMD-1800-38.pdf#page=12","Abrir facsímil")</f>
        <v>Abrir facsímil</v>
      </c>
      <c r="K231" s="15" t="s">
        <v>23</v>
      </c>
    </row>
    <row r="232" spans="1:11" ht="42" customHeight="1">
      <c r="A232" s="4" t="s">
        <v>698</v>
      </c>
      <c r="B232" s="5" t="s">
        <v>698</v>
      </c>
      <c r="C232" s="5" t="s">
        <v>18</v>
      </c>
      <c r="D232" s="5" t="s">
        <v>19</v>
      </c>
      <c r="E232" s="5" t="s">
        <v>279</v>
      </c>
      <c r="F232" s="9">
        <v>103</v>
      </c>
      <c r="G232" s="9">
        <v>1196</v>
      </c>
      <c r="H232" s="5" t="s">
        <v>21</v>
      </c>
      <c r="I232" s="5" t="s">
        <v>699</v>
      </c>
      <c r="J232" s="12" t="str">
        <f>HYPERLINK("https://www.boe.es/gazeta/dias/1800/12/23/pdfs/GMD-1800-103.pdf#page=8","Abrir facsímil")</f>
        <v>Abrir facsímil</v>
      </c>
      <c r="K232" s="15" t="s">
        <v>23</v>
      </c>
    </row>
    <row r="233" spans="1:11" ht="42" customHeight="1">
      <c r="A233" s="4" t="s">
        <v>700</v>
      </c>
      <c r="B233" s="5" t="s">
        <v>701</v>
      </c>
      <c r="C233" s="5" t="s">
        <v>18</v>
      </c>
      <c r="D233" s="5" t="s">
        <v>19</v>
      </c>
      <c r="E233" s="5" t="s">
        <v>240</v>
      </c>
      <c r="F233" s="9">
        <v>26</v>
      </c>
      <c r="G233" s="9">
        <v>268</v>
      </c>
      <c r="H233" s="5" t="s">
        <v>21</v>
      </c>
      <c r="I233" s="5" t="s">
        <v>702</v>
      </c>
      <c r="J233" s="12" t="str">
        <f>HYPERLINK("https://www.boe.es/gazeta/dias/1800/04/01/pdfs/GMD-1800-26.pdf#page=8","Abrir facsímil")</f>
        <v>Abrir facsímil</v>
      </c>
      <c r="K233" s="15" t="s">
        <v>23</v>
      </c>
    </row>
    <row r="234" spans="1:11" ht="42" customHeight="1">
      <c r="A234" s="4" t="s">
        <v>703</v>
      </c>
      <c r="B234" s="5" t="s">
        <v>704</v>
      </c>
      <c r="C234" s="5" t="s">
        <v>18</v>
      </c>
      <c r="D234" s="5" t="s">
        <v>19</v>
      </c>
      <c r="E234" s="5" t="s">
        <v>279</v>
      </c>
      <c r="F234" s="9">
        <v>103</v>
      </c>
      <c r="G234" s="9">
        <v>1197</v>
      </c>
      <c r="H234" s="5" t="s">
        <v>21</v>
      </c>
      <c r="I234" s="5" t="s">
        <v>705</v>
      </c>
      <c r="J234" s="12" t="str">
        <f>HYPERLINK("https://www.boe.es/gazeta/dias/1800/12/23/pdfs/GMD-1800-103.pdf#page=9","Abrir facsímil")</f>
        <v>Abrir facsímil</v>
      </c>
      <c r="K234" s="15" t="s">
        <v>23</v>
      </c>
    </row>
    <row r="235" spans="1:11" ht="42" customHeight="1">
      <c r="A235" s="4" t="s">
        <v>706</v>
      </c>
      <c r="B235" s="5" t="s">
        <v>707</v>
      </c>
      <c r="C235" s="5" t="s">
        <v>18</v>
      </c>
      <c r="D235" s="5" t="s">
        <v>19</v>
      </c>
      <c r="E235" s="5" t="s">
        <v>194</v>
      </c>
      <c r="F235" s="9">
        <v>48</v>
      </c>
      <c r="G235" s="9">
        <v>519</v>
      </c>
      <c r="H235" s="5" t="s">
        <v>21</v>
      </c>
      <c r="I235" s="5" t="s">
        <v>708</v>
      </c>
      <c r="J235" s="12" t="str">
        <f>HYPERLINK("https://www.boe.es/gazeta/dias/1800/06/17/pdfs/GMD-1800-48.pdf#page=11","Abrir facsímil")</f>
        <v>Abrir facsímil</v>
      </c>
      <c r="K235" s="15" t="s">
        <v>23</v>
      </c>
    </row>
    <row r="236" spans="1:11" ht="42" customHeight="1">
      <c r="A236" s="4" t="s">
        <v>709</v>
      </c>
      <c r="B236" s="5" t="s">
        <v>710</v>
      </c>
      <c r="C236" s="5" t="s">
        <v>18</v>
      </c>
      <c r="D236" s="5" t="s">
        <v>19</v>
      </c>
      <c r="E236" s="5" t="s">
        <v>194</v>
      </c>
      <c r="F236" s="9">
        <v>48</v>
      </c>
      <c r="G236" s="9">
        <v>519</v>
      </c>
      <c r="H236" s="5" t="s">
        <v>21</v>
      </c>
      <c r="I236" s="5" t="s">
        <v>711</v>
      </c>
      <c r="J236" s="12" t="str">
        <f>HYPERLINK("https://www.boe.es/gazeta/dias/1800/06/17/pdfs/GMD-1800-48.pdf#page=11","Abrir facsímil")</f>
        <v>Abrir facsímil</v>
      </c>
      <c r="K236" s="15" t="s">
        <v>23</v>
      </c>
    </row>
    <row r="237" spans="1:11" ht="42" customHeight="1">
      <c r="A237" s="4" t="s">
        <v>712</v>
      </c>
      <c r="B237" s="5" t="s">
        <v>713</v>
      </c>
      <c r="C237" s="5" t="s">
        <v>18</v>
      </c>
      <c r="D237" s="5" t="s">
        <v>19</v>
      </c>
      <c r="E237" s="5" t="s">
        <v>56</v>
      </c>
      <c r="F237" s="9">
        <v>90</v>
      </c>
      <c r="G237" s="9">
        <v>1055</v>
      </c>
      <c r="H237" s="5" t="s">
        <v>21</v>
      </c>
      <c r="I237" s="5" t="s">
        <v>714</v>
      </c>
      <c r="J237" s="12" t="str">
        <f>HYPERLINK("https://www.boe.es/gazeta/dias/1800/11/07/pdfs/GMD-1800-90.pdf#page=9","Abrir facsímil")</f>
        <v>Abrir facsímil</v>
      </c>
      <c r="K237" s="15" t="s">
        <v>23</v>
      </c>
    </row>
    <row r="238" spans="1:11" ht="42" customHeight="1">
      <c r="A238" s="4" t="s">
        <v>715</v>
      </c>
      <c r="B238" s="5" t="s">
        <v>715</v>
      </c>
      <c r="C238" s="5" t="s">
        <v>18</v>
      </c>
      <c r="D238" s="5" t="s">
        <v>19</v>
      </c>
      <c r="E238" s="5" t="s">
        <v>135</v>
      </c>
      <c r="F238" s="9">
        <v>73</v>
      </c>
      <c r="G238" s="9">
        <v>815</v>
      </c>
      <c r="H238" s="5" t="s">
        <v>21</v>
      </c>
      <c r="I238" s="5" t="s">
        <v>716</v>
      </c>
      <c r="J238" s="12" t="str">
        <f>HYPERLINK("https://www.boe.es/gazeta/dias/1800/09/09/pdfs/GMD-1800-73.pdf#page=9","Abrir facsímil")</f>
        <v>Abrir facsímil</v>
      </c>
      <c r="K238" s="15" t="s">
        <v>23</v>
      </c>
    </row>
    <row r="239" spans="1:11" ht="42" customHeight="1">
      <c r="A239" s="4" t="s">
        <v>717</v>
      </c>
      <c r="B239" s="5" t="s">
        <v>718</v>
      </c>
      <c r="C239" s="5" t="s">
        <v>18</v>
      </c>
      <c r="D239" s="5" t="s">
        <v>19</v>
      </c>
      <c r="E239" s="5" t="s">
        <v>35</v>
      </c>
      <c r="F239" s="9">
        <v>21</v>
      </c>
      <c r="G239" s="9">
        <v>206</v>
      </c>
      <c r="H239" s="5" t="s">
        <v>21</v>
      </c>
      <c r="I239" s="5" t="s">
        <v>719</v>
      </c>
      <c r="J239" s="12" t="str">
        <f>HYPERLINK("https://www.boe.es/gazeta/dias/1800/03/14/pdfs/GMD-1800-21.pdf#page=10","Abrir facsímil")</f>
        <v>Abrir facsímil</v>
      </c>
      <c r="K239" s="15" t="s">
        <v>23</v>
      </c>
    </row>
    <row r="240" spans="1:11" ht="42" customHeight="1">
      <c r="A240" s="4" t="s">
        <v>720</v>
      </c>
      <c r="B240" s="5" t="s">
        <v>721</v>
      </c>
      <c r="C240" s="5" t="s">
        <v>18</v>
      </c>
      <c r="D240" s="5" t="s">
        <v>19</v>
      </c>
      <c r="E240" s="5" t="s">
        <v>35</v>
      </c>
      <c r="F240" s="9">
        <v>21</v>
      </c>
      <c r="G240" s="9">
        <v>206</v>
      </c>
      <c r="H240" s="5" t="s">
        <v>21</v>
      </c>
      <c r="I240" s="5" t="s">
        <v>722</v>
      </c>
      <c r="J240" s="12" t="str">
        <f>HYPERLINK("https://www.boe.es/gazeta/dias/1800/03/14/pdfs/GMD-1800-21.pdf#page=10","Abrir facsímil")</f>
        <v>Abrir facsímil</v>
      </c>
      <c r="K240" s="15" t="s">
        <v>23</v>
      </c>
    </row>
    <row r="241" spans="1:11" ht="42" customHeight="1">
      <c r="A241" s="4" t="s">
        <v>723</v>
      </c>
      <c r="B241" s="5" t="s">
        <v>724</v>
      </c>
      <c r="C241" s="5" t="s">
        <v>114</v>
      </c>
      <c r="D241" s="5" t="s">
        <v>115</v>
      </c>
      <c r="E241" s="5" t="s">
        <v>116</v>
      </c>
      <c r="F241" s="9">
        <v>86</v>
      </c>
      <c r="G241" s="9" t="s">
        <v>725</v>
      </c>
      <c r="H241" s="5" t="s">
        <v>21</v>
      </c>
      <c r="I241" s="5" t="s">
        <v>726</v>
      </c>
      <c r="J241" s="12" t="str">
        <f>HYPERLINK("https://www.boe.es/gazeta/dias/1800/10/24/pdfs/GMD-D-1800-86.pdf#page=1","Abrir facsímil")</f>
        <v>Abrir facsímil</v>
      </c>
      <c r="K241" s="15" t="s">
        <v>23</v>
      </c>
    </row>
    <row r="242" spans="1:11" ht="42" customHeight="1">
      <c r="A242" s="4" t="s">
        <v>727</v>
      </c>
      <c r="B242" s="5" t="s">
        <v>728</v>
      </c>
      <c r="C242" s="5" t="s">
        <v>18</v>
      </c>
      <c r="D242" s="5" t="s">
        <v>19</v>
      </c>
      <c r="E242" s="5" t="s">
        <v>203</v>
      </c>
      <c r="F242" s="9">
        <v>94</v>
      </c>
      <c r="G242" s="9">
        <v>1081</v>
      </c>
      <c r="H242" s="5" t="s">
        <v>21</v>
      </c>
      <c r="I242" s="5" t="s">
        <v>729</v>
      </c>
      <c r="J242" s="12" t="str">
        <f>HYPERLINK("https://www.boe.es/gazeta/dias/1800/11/21/pdfs/GMD-1800-94.pdf#page=11","Abrir facsímil")</f>
        <v>Abrir facsímil</v>
      </c>
      <c r="K242" s="15" t="s">
        <v>23</v>
      </c>
    </row>
    <row r="243" spans="1:11" ht="42" customHeight="1">
      <c r="A243" s="4" t="s">
        <v>730</v>
      </c>
      <c r="B243" s="5" t="s">
        <v>730</v>
      </c>
      <c r="C243" s="5" t="s">
        <v>25</v>
      </c>
      <c r="D243" s="5" t="s">
        <v>26</v>
      </c>
      <c r="E243" s="5" t="s">
        <v>255</v>
      </c>
      <c r="F243" s="9">
        <v>75</v>
      </c>
      <c r="G243" s="9">
        <v>856</v>
      </c>
      <c r="H243" s="5" t="s">
        <v>21</v>
      </c>
      <c r="I243" s="5" t="s">
        <v>731</v>
      </c>
      <c r="J243" s="12" t="str">
        <f>HYPERLINK("https://www.boe.es/gazeta/dias/1800/09/16/pdfs/GMD-1800-75.pdf#page=10","Abrir facsímil")</f>
        <v>Abrir facsímil</v>
      </c>
      <c r="K243" s="15" t="s">
        <v>23</v>
      </c>
    </row>
    <row r="244" spans="1:11" ht="42" customHeight="1">
      <c r="A244" s="4" t="s">
        <v>732</v>
      </c>
      <c r="B244" s="5" t="s">
        <v>732</v>
      </c>
      <c r="C244" s="5" t="s">
        <v>25</v>
      </c>
      <c r="D244" s="5" t="s">
        <v>26</v>
      </c>
      <c r="E244" s="5" t="s">
        <v>255</v>
      </c>
      <c r="F244" s="9">
        <v>75</v>
      </c>
      <c r="G244" s="9">
        <v>856</v>
      </c>
      <c r="H244" s="5" t="s">
        <v>21</v>
      </c>
      <c r="I244" s="5" t="s">
        <v>733</v>
      </c>
      <c r="J244" s="12" t="str">
        <f>HYPERLINK("https://www.boe.es/gazeta/dias/1800/09/16/pdfs/GMD-1800-75.pdf#page=10","Abrir facsímil")</f>
        <v>Abrir facsímil</v>
      </c>
      <c r="K244" s="15" t="s">
        <v>23</v>
      </c>
    </row>
    <row r="245" spans="1:11" ht="42" customHeight="1">
      <c r="A245" s="4" t="s">
        <v>734</v>
      </c>
      <c r="B245" s="5" t="s">
        <v>734</v>
      </c>
      <c r="C245" s="5" t="s">
        <v>41</v>
      </c>
      <c r="D245" s="5" t="s">
        <v>42</v>
      </c>
      <c r="E245" s="5" t="s">
        <v>196</v>
      </c>
      <c r="F245" s="9">
        <v>97</v>
      </c>
      <c r="G245" s="9">
        <v>1114</v>
      </c>
      <c r="H245" s="5" t="s">
        <v>21</v>
      </c>
      <c r="I245" s="5" t="s">
        <v>735</v>
      </c>
      <c r="J245" s="12" t="str">
        <f>HYPERLINK("https://www.boe.es/gazeta/dias/1800/12/02/pdfs/GMD-1800-97.pdf#page=6","Abrir facsímil")</f>
        <v>Abrir facsímil</v>
      </c>
      <c r="K245" s="15" t="s">
        <v>23</v>
      </c>
    </row>
    <row r="246" spans="1:11" ht="42" customHeight="1">
      <c r="A246" s="4" t="s">
        <v>736</v>
      </c>
      <c r="B246" s="5" t="s">
        <v>737</v>
      </c>
      <c r="C246" s="5" t="s">
        <v>41</v>
      </c>
      <c r="D246" s="5" t="s">
        <v>42</v>
      </c>
      <c r="E246" s="5" t="s">
        <v>101</v>
      </c>
      <c r="F246" s="9">
        <v>37</v>
      </c>
      <c r="G246" s="9">
        <v>376</v>
      </c>
      <c r="H246" s="5" t="s">
        <v>21</v>
      </c>
      <c r="I246" s="5" t="s">
        <v>738</v>
      </c>
      <c r="J246" s="12" t="str">
        <f>HYPERLINK("https://www.boe.es/gazeta/dias/1800/05/09/pdfs/GMD-1800-37.pdf#page=8","Abrir facsímil")</f>
        <v>Abrir facsímil</v>
      </c>
      <c r="K246" s="15" t="s">
        <v>23</v>
      </c>
    </row>
    <row r="247" spans="1:11" ht="42" customHeight="1">
      <c r="A247" s="4" t="s">
        <v>739</v>
      </c>
      <c r="B247" s="5" t="s">
        <v>739</v>
      </c>
      <c r="C247" s="5" t="s">
        <v>84</v>
      </c>
      <c r="D247" s="5" t="s">
        <v>85</v>
      </c>
      <c r="E247" s="5" t="s">
        <v>356</v>
      </c>
      <c r="F247" s="9">
        <v>31</v>
      </c>
      <c r="G247" s="9">
        <v>313</v>
      </c>
      <c r="H247" s="5" t="s">
        <v>21</v>
      </c>
      <c r="I247" s="5" t="s">
        <v>740</v>
      </c>
      <c r="J247" s="12" t="str">
        <f>HYPERLINK("https://www.boe.es/gazeta/dias/1800/04/18/pdfs/GMD-1800-31.pdf#page=5","Abrir facsímil")</f>
        <v>Abrir facsímil</v>
      </c>
      <c r="K247" s="15" t="s">
        <v>23</v>
      </c>
    </row>
    <row r="248" spans="1:11" ht="42" customHeight="1">
      <c r="A248" s="4" t="s">
        <v>741</v>
      </c>
      <c r="B248" s="5" t="s">
        <v>742</v>
      </c>
      <c r="C248" s="5" t="s">
        <v>18</v>
      </c>
      <c r="D248" s="5" t="s">
        <v>19</v>
      </c>
      <c r="E248" s="5" t="s">
        <v>194</v>
      </c>
      <c r="F248" s="9">
        <v>48</v>
      </c>
      <c r="G248" s="9">
        <v>518</v>
      </c>
      <c r="H248" s="5" t="s">
        <v>21</v>
      </c>
      <c r="I248" s="5" t="s">
        <v>743</v>
      </c>
      <c r="J248" s="12" t="str">
        <f>HYPERLINK("https://www.boe.es/gazeta/dias/1800/06/17/pdfs/GMD-1800-48.pdf#page=10","Abrir facsímil")</f>
        <v>Abrir facsímil</v>
      </c>
      <c r="K248" s="15" t="s">
        <v>23</v>
      </c>
    </row>
    <row r="249" spans="1:11" ht="42" customHeight="1">
      <c r="A249" s="4" t="s">
        <v>744</v>
      </c>
      <c r="B249" s="5" t="s">
        <v>745</v>
      </c>
      <c r="C249" s="5" t="s">
        <v>18</v>
      </c>
      <c r="D249" s="5" t="s">
        <v>19</v>
      </c>
      <c r="E249" s="5" t="s">
        <v>39</v>
      </c>
      <c r="F249" s="9">
        <v>43</v>
      </c>
      <c r="G249" s="9">
        <v>449</v>
      </c>
      <c r="H249" s="5" t="s">
        <v>21</v>
      </c>
      <c r="I249" s="5" t="s">
        <v>746</v>
      </c>
      <c r="J249" s="12" t="str">
        <f>HYPERLINK("https://www.boe.es/gazeta/dias/1800/05/30/pdfs/GMD-1800-43.pdf#page=9","Abrir facsímil")</f>
        <v>Abrir facsímil</v>
      </c>
      <c r="K249" s="15" t="s">
        <v>23</v>
      </c>
    </row>
    <row r="250" spans="1:11" ht="42" customHeight="1">
      <c r="A250" s="4" t="s">
        <v>747</v>
      </c>
      <c r="B250" s="5" t="s">
        <v>748</v>
      </c>
      <c r="C250" s="5" t="s">
        <v>18</v>
      </c>
      <c r="D250" s="5" t="s">
        <v>19</v>
      </c>
      <c r="E250" s="5" t="s">
        <v>39</v>
      </c>
      <c r="F250" s="9">
        <v>43</v>
      </c>
      <c r="G250" s="9">
        <v>449</v>
      </c>
      <c r="H250" s="5" t="s">
        <v>21</v>
      </c>
      <c r="I250" s="5" t="s">
        <v>749</v>
      </c>
      <c r="J250" s="12" t="str">
        <f>HYPERLINK("https://www.boe.es/gazeta/dias/1800/05/30/pdfs/GMD-1800-43.pdf#page=9","Abrir facsímil")</f>
        <v>Abrir facsímil</v>
      </c>
      <c r="K250" s="15" t="s">
        <v>23</v>
      </c>
    </row>
    <row r="251" spans="1:11" ht="42" customHeight="1">
      <c r="A251" s="4" t="s">
        <v>750</v>
      </c>
      <c r="B251" s="5" t="s">
        <v>751</v>
      </c>
      <c r="C251" s="5" t="s">
        <v>18</v>
      </c>
      <c r="D251" s="5" t="s">
        <v>19</v>
      </c>
      <c r="E251" s="5" t="s">
        <v>478</v>
      </c>
      <c r="F251" s="9">
        <v>34</v>
      </c>
      <c r="G251" s="9">
        <v>347</v>
      </c>
      <c r="H251" s="5" t="s">
        <v>21</v>
      </c>
      <c r="I251" s="5" t="s">
        <v>752</v>
      </c>
      <c r="J251" s="12" t="str">
        <f>HYPERLINK("https://www.boe.es/gazeta/dias/1800/04/29/pdfs/GMD-1800-34.pdf#page=11","Abrir facsímil")</f>
        <v>Abrir facsímil</v>
      </c>
      <c r="K251" s="15" t="s">
        <v>23</v>
      </c>
    </row>
    <row r="252" spans="1:11" ht="42" customHeight="1">
      <c r="A252" s="4" t="s">
        <v>753</v>
      </c>
      <c r="B252" s="5" t="s">
        <v>754</v>
      </c>
      <c r="C252" s="5" t="s">
        <v>18</v>
      </c>
      <c r="D252" s="5" t="s">
        <v>19</v>
      </c>
      <c r="E252" s="5" t="s">
        <v>283</v>
      </c>
      <c r="F252" s="9">
        <v>68</v>
      </c>
      <c r="G252" s="9">
        <v>765</v>
      </c>
      <c r="H252" s="5" t="s">
        <v>21</v>
      </c>
      <c r="I252" s="5" t="s">
        <v>755</v>
      </c>
      <c r="J252" s="12" t="str">
        <f>HYPERLINK("https://www.boe.es/gazeta/dias/1800/08/26/pdfs/GMD-1800-68.pdf#page=9","Abrir facsímil")</f>
        <v>Abrir facsímil</v>
      </c>
      <c r="K252" s="15" t="s">
        <v>23</v>
      </c>
    </row>
    <row r="253" spans="1:11" ht="42" customHeight="1">
      <c r="A253" s="4" t="s">
        <v>756</v>
      </c>
      <c r="B253" s="5" t="s">
        <v>757</v>
      </c>
      <c r="C253" s="5" t="s">
        <v>18</v>
      </c>
      <c r="D253" s="5" t="s">
        <v>19</v>
      </c>
      <c r="E253" s="5" t="s">
        <v>135</v>
      </c>
      <c r="F253" s="9">
        <v>73</v>
      </c>
      <c r="G253" s="9">
        <v>817</v>
      </c>
      <c r="H253" s="5" t="s">
        <v>21</v>
      </c>
      <c r="I253" s="5" t="s">
        <v>758</v>
      </c>
      <c r="J253" s="12" t="str">
        <f>HYPERLINK("https://www.boe.es/gazeta/dias/1800/09/09/pdfs/GMD-1800-73.pdf#page=11","Abrir facsímil")</f>
        <v>Abrir facsímil</v>
      </c>
      <c r="K253" s="15" t="s">
        <v>23</v>
      </c>
    </row>
    <row r="254" spans="1:11" ht="42" customHeight="1">
      <c r="A254" s="4" t="s">
        <v>759</v>
      </c>
      <c r="B254" s="5" t="s">
        <v>760</v>
      </c>
      <c r="C254" s="5" t="s">
        <v>18</v>
      </c>
      <c r="D254" s="5" t="s">
        <v>19</v>
      </c>
      <c r="E254" s="5" t="s">
        <v>420</v>
      </c>
      <c r="F254" s="9">
        <v>38</v>
      </c>
      <c r="G254" s="9">
        <v>388</v>
      </c>
      <c r="H254" s="5" t="s">
        <v>21</v>
      </c>
      <c r="I254" s="5" t="s">
        <v>761</v>
      </c>
      <c r="J254" s="12" t="str">
        <f>HYPERLINK("https://www.boe.es/gazeta/dias/1800/05/13/pdfs/GMD-1800-38.pdf#page=8","Abrir facsímil")</f>
        <v>Abrir facsímil</v>
      </c>
      <c r="K254" s="15" t="s">
        <v>23</v>
      </c>
    </row>
    <row r="255" spans="1:11" ht="42" customHeight="1">
      <c r="A255" s="4" t="s">
        <v>762</v>
      </c>
      <c r="B255" s="5" t="s">
        <v>763</v>
      </c>
      <c r="C255" s="5" t="s">
        <v>18</v>
      </c>
      <c r="D255" s="5" t="s">
        <v>19</v>
      </c>
      <c r="E255" s="5" t="s">
        <v>673</v>
      </c>
      <c r="F255" s="9">
        <v>89</v>
      </c>
      <c r="G255" s="9">
        <v>1043</v>
      </c>
      <c r="H255" s="5" t="s">
        <v>21</v>
      </c>
      <c r="I255" s="5" t="s">
        <v>764</v>
      </c>
      <c r="J255" s="12" t="str">
        <f>HYPERLINK("https://www.boe.es/gazeta/dias/1800/11/04/pdfs/GMD-1800-89.pdf#page=9","Abrir facsímil")</f>
        <v>Abrir facsímil</v>
      </c>
      <c r="K255" s="15" t="s">
        <v>23</v>
      </c>
    </row>
    <row r="256" spans="1:11" ht="42" customHeight="1">
      <c r="A256" s="4" t="s">
        <v>765</v>
      </c>
      <c r="B256" s="5" t="s">
        <v>766</v>
      </c>
      <c r="C256" s="5" t="s">
        <v>18</v>
      </c>
      <c r="D256" s="5" t="s">
        <v>19</v>
      </c>
      <c r="E256" s="5" t="s">
        <v>262</v>
      </c>
      <c r="F256" s="9">
        <v>39</v>
      </c>
      <c r="G256" s="9">
        <v>400</v>
      </c>
      <c r="H256" s="5" t="s">
        <v>21</v>
      </c>
      <c r="I256" s="5" t="s">
        <v>767</v>
      </c>
      <c r="J256" s="12" t="str">
        <f>HYPERLINK("https://www.boe.es/gazeta/dias/1800/05/16/pdfs/GMD-1800-39.pdf#page=8","Abrir facsímil")</f>
        <v>Abrir facsímil</v>
      </c>
      <c r="K256" s="15" t="s">
        <v>23</v>
      </c>
    </row>
    <row r="257" spans="1:11" ht="42" customHeight="1">
      <c r="A257" s="4" t="s">
        <v>768</v>
      </c>
      <c r="B257" s="5" t="s">
        <v>769</v>
      </c>
      <c r="C257" s="5" t="s">
        <v>54</v>
      </c>
      <c r="D257" s="5" t="s">
        <v>55</v>
      </c>
      <c r="E257" s="5" t="s">
        <v>572</v>
      </c>
      <c r="F257" s="9">
        <v>76</v>
      </c>
      <c r="G257" s="9">
        <v>868</v>
      </c>
      <c r="H257" s="5" t="s">
        <v>21</v>
      </c>
      <c r="I257" s="5" t="s">
        <v>770</v>
      </c>
      <c r="J257" s="12" t="str">
        <f>HYPERLINK("https://www.boe.es/gazeta/dias/1800/09/19/pdfs/GMD-1800-76.pdf#page=10","Abrir facsímil")</f>
        <v>Abrir facsímil</v>
      </c>
      <c r="K257" s="15" t="s">
        <v>23</v>
      </c>
    </row>
    <row r="258" spans="1:11" ht="42" customHeight="1">
      <c r="A258" s="4" t="s">
        <v>771</v>
      </c>
      <c r="B258" s="5" t="s">
        <v>771</v>
      </c>
      <c r="C258" s="5" t="s">
        <v>41</v>
      </c>
      <c r="D258" s="5" t="s">
        <v>42</v>
      </c>
      <c r="E258" s="5" t="s">
        <v>31</v>
      </c>
      <c r="F258" s="9">
        <v>20</v>
      </c>
      <c r="G258" s="9">
        <v>188</v>
      </c>
      <c r="H258" s="5" t="s">
        <v>21</v>
      </c>
      <c r="I258" s="5" t="s">
        <v>772</v>
      </c>
      <c r="J258" s="12" t="str">
        <f>HYPERLINK("https://www.boe.es/gazeta/dias/1800/03/11/pdfs/GMD-1800-20.pdf#page=4","Abrir facsímil")</f>
        <v>Abrir facsímil</v>
      </c>
      <c r="K258" s="15" t="s">
        <v>23</v>
      </c>
    </row>
    <row r="259" spans="1:11" ht="42" customHeight="1">
      <c r="A259" s="4" t="s">
        <v>773</v>
      </c>
      <c r="B259" s="5" t="s">
        <v>774</v>
      </c>
      <c r="C259" s="5" t="s">
        <v>84</v>
      </c>
      <c r="D259" s="5" t="s">
        <v>85</v>
      </c>
      <c r="E259" s="5" t="s">
        <v>158</v>
      </c>
      <c r="F259" s="9">
        <v>25</v>
      </c>
      <c r="G259" s="9">
        <v>260</v>
      </c>
      <c r="H259" s="5" t="s">
        <v>21</v>
      </c>
      <c r="I259" s="5" t="s">
        <v>775</v>
      </c>
      <c r="J259" s="12" t="str">
        <f>HYPERLINK("https://www.boe.es/gazeta/dias/1800/03/28/pdfs/GMD-1800-25.pdf#page=12","Abrir facsímil")</f>
        <v>Abrir facsímil</v>
      </c>
      <c r="K259" s="15" t="s">
        <v>23</v>
      </c>
    </row>
    <row r="260" spans="1:11" ht="42" customHeight="1">
      <c r="A260" s="4" t="s">
        <v>776</v>
      </c>
      <c r="B260" s="5" t="s">
        <v>777</v>
      </c>
      <c r="C260" s="5" t="s">
        <v>207</v>
      </c>
      <c r="D260" s="5" t="s">
        <v>55</v>
      </c>
      <c r="E260" s="5" t="s">
        <v>329</v>
      </c>
      <c r="F260" s="9">
        <v>99</v>
      </c>
      <c r="G260" s="9">
        <v>1138</v>
      </c>
      <c r="H260" s="5" t="s">
        <v>21</v>
      </c>
      <c r="I260" s="5" t="s">
        <v>778</v>
      </c>
      <c r="J260" s="12" t="str">
        <f>HYPERLINK("https://www.boe.es/gazeta/dias/1800/12/09/pdfs/GMD-1800-99.pdf#page=6","Abrir facsímil")</f>
        <v>Abrir facsímil</v>
      </c>
      <c r="K260" s="15" t="s">
        <v>23</v>
      </c>
    </row>
    <row r="261" spans="1:11" ht="42" customHeight="1">
      <c r="A261" s="4" t="s">
        <v>779</v>
      </c>
      <c r="B261" s="5" t="s">
        <v>780</v>
      </c>
      <c r="C261" s="5" t="s">
        <v>207</v>
      </c>
      <c r="D261" s="5" t="s">
        <v>55</v>
      </c>
      <c r="E261" s="5" t="s">
        <v>184</v>
      </c>
      <c r="F261" s="9">
        <v>82</v>
      </c>
      <c r="G261" s="9">
        <v>950</v>
      </c>
      <c r="H261" s="5" t="s">
        <v>21</v>
      </c>
      <c r="I261" s="5" t="s">
        <v>781</v>
      </c>
      <c r="J261" s="12" t="str">
        <f>HYPERLINK("https://www.boe.es/gazeta/dias/1800/10/10/pdfs/GMD-1800-82.pdf#page=8","Abrir facsímil")</f>
        <v>Abrir facsímil</v>
      </c>
      <c r="K261" s="15" t="s">
        <v>23</v>
      </c>
    </row>
    <row r="262" spans="1:11" ht="42" customHeight="1">
      <c r="A262" s="4" t="s">
        <v>782</v>
      </c>
      <c r="B262" s="5" t="s">
        <v>783</v>
      </c>
      <c r="C262" s="5" t="s">
        <v>18</v>
      </c>
      <c r="D262" s="5" t="s">
        <v>19</v>
      </c>
      <c r="E262" s="5" t="s">
        <v>135</v>
      </c>
      <c r="F262" s="9">
        <v>73</v>
      </c>
      <c r="G262" s="9">
        <v>815</v>
      </c>
      <c r="H262" s="5" t="s">
        <v>21</v>
      </c>
      <c r="I262" s="5" t="s">
        <v>784</v>
      </c>
      <c r="J262" s="12" t="str">
        <f>HYPERLINK("https://www.boe.es/gazeta/dias/1800/09/09/pdfs/GMD-1800-73.pdf#page=9","Abrir facsímil")</f>
        <v>Abrir facsímil</v>
      </c>
      <c r="K262" s="15" t="s">
        <v>23</v>
      </c>
    </row>
    <row r="263" spans="1:11" ht="42" customHeight="1">
      <c r="A263" s="4" t="s">
        <v>785</v>
      </c>
      <c r="B263" s="5" t="s">
        <v>786</v>
      </c>
      <c r="C263" s="5" t="s">
        <v>84</v>
      </c>
      <c r="D263" s="5" t="s">
        <v>85</v>
      </c>
      <c r="E263" s="5" t="s">
        <v>787</v>
      </c>
      <c r="F263" s="9">
        <v>6</v>
      </c>
      <c r="G263" s="9">
        <v>60</v>
      </c>
      <c r="H263" s="5" t="s">
        <v>21</v>
      </c>
      <c r="I263" s="5" t="s">
        <v>788</v>
      </c>
      <c r="J263" s="12" t="str">
        <f>HYPERLINK("https://www.boe.es/gazeta/dias/1800/01/21/pdfs/GMD-1800-6.pdf#page=12","Abrir facsímil")</f>
        <v>Abrir facsímil</v>
      </c>
      <c r="K263" s="15" t="s">
        <v>23</v>
      </c>
    </row>
    <row r="264" spans="1:11" ht="42" customHeight="1">
      <c r="A264" s="4" t="s">
        <v>789</v>
      </c>
      <c r="B264" s="5" t="s">
        <v>790</v>
      </c>
      <c r="C264" s="5" t="s">
        <v>54</v>
      </c>
      <c r="D264" s="5" t="s">
        <v>55</v>
      </c>
      <c r="E264" s="5" t="s">
        <v>214</v>
      </c>
      <c r="F264" s="9">
        <v>41</v>
      </c>
      <c r="G264" s="9">
        <v>422</v>
      </c>
      <c r="H264" s="5" t="s">
        <v>21</v>
      </c>
      <c r="I264" s="5" t="s">
        <v>791</v>
      </c>
      <c r="J264" s="12" t="str">
        <f>HYPERLINK("https://www.boe.es/gazeta/dias/1800/05/23/pdfs/GMD-1800-41.pdf#page=6","Abrir facsímil")</f>
        <v>Abrir facsímil</v>
      </c>
      <c r="K264" s="15" t="s">
        <v>23</v>
      </c>
    </row>
    <row r="265" spans="1:11" ht="42" customHeight="1">
      <c r="A265" s="4" t="s">
        <v>792</v>
      </c>
      <c r="B265" s="5" t="s">
        <v>793</v>
      </c>
      <c r="C265" s="5" t="s">
        <v>18</v>
      </c>
      <c r="D265" s="5" t="s">
        <v>19</v>
      </c>
      <c r="E265" s="5" t="s">
        <v>162</v>
      </c>
      <c r="F265" s="9">
        <v>15</v>
      </c>
      <c r="G265" s="9">
        <v>142</v>
      </c>
      <c r="H265" s="5" t="s">
        <v>21</v>
      </c>
      <c r="I265" s="5" t="s">
        <v>794</v>
      </c>
      <c r="J265" s="12" t="str">
        <f>HYPERLINK("https://www.boe.es/gazeta/dias/1800/02/21/pdfs/GMD-1800-15.pdf#page=6","Abrir facsímil")</f>
        <v>Abrir facsímil</v>
      </c>
      <c r="K265" s="15" t="s">
        <v>23</v>
      </c>
    </row>
    <row r="266" spans="1:11" ht="42" customHeight="1">
      <c r="A266" s="4" t="s">
        <v>795</v>
      </c>
      <c r="B266" s="5" t="s">
        <v>795</v>
      </c>
      <c r="C266" s="5" t="s">
        <v>18</v>
      </c>
      <c r="D266" s="5" t="s">
        <v>19</v>
      </c>
      <c r="E266" s="5" t="s">
        <v>240</v>
      </c>
      <c r="F266" s="9">
        <v>26</v>
      </c>
      <c r="G266" s="9">
        <v>269</v>
      </c>
      <c r="H266" s="5" t="s">
        <v>21</v>
      </c>
      <c r="I266" s="5" t="s">
        <v>796</v>
      </c>
      <c r="J266" s="12" t="str">
        <f>HYPERLINK("https://www.boe.es/gazeta/dias/1800/04/01/pdfs/GMD-1800-26.pdf#page=9","Abrir facsímil")</f>
        <v>Abrir facsímil</v>
      </c>
      <c r="K266" s="15" t="s">
        <v>23</v>
      </c>
    </row>
    <row r="267" spans="1:11" ht="42" customHeight="1">
      <c r="A267" s="4" t="s">
        <v>797</v>
      </c>
      <c r="B267" s="5" t="s">
        <v>797</v>
      </c>
      <c r="C267" s="5" t="s">
        <v>207</v>
      </c>
      <c r="D267" s="5" t="s">
        <v>55</v>
      </c>
      <c r="E267" s="5" t="s">
        <v>184</v>
      </c>
      <c r="F267" s="9">
        <v>82</v>
      </c>
      <c r="G267" s="9">
        <v>950</v>
      </c>
      <c r="H267" s="5" t="s">
        <v>21</v>
      </c>
      <c r="I267" s="5" t="s">
        <v>798</v>
      </c>
      <c r="J267" s="12" t="str">
        <f>HYPERLINK("https://www.boe.es/gazeta/dias/1800/10/10/pdfs/GMD-1800-82.pdf#page=8","Abrir facsímil")</f>
        <v>Abrir facsímil</v>
      </c>
      <c r="K267" s="15" t="s">
        <v>23</v>
      </c>
    </row>
    <row r="268" spans="1:11" ht="42" customHeight="1">
      <c r="A268" s="4" t="s">
        <v>799</v>
      </c>
      <c r="B268" s="5" t="s">
        <v>800</v>
      </c>
      <c r="C268" s="5" t="s">
        <v>54</v>
      </c>
      <c r="D268" s="5" t="s">
        <v>55</v>
      </c>
      <c r="E268" s="5" t="s">
        <v>101</v>
      </c>
      <c r="F268" s="9">
        <v>37</v>
      </c>
      <c r="G268" s="9">
        <v>378</v>
      </c>
      <c r="H268" s="5" t="s">
        <v>21</v>
      </c>
      <c r="I268" s="5" t="s">
        <v>801</v>
      </c>
      <c r="J268" s="12" t="str">
        <f>HYPERLINK("https://www.boe.es/gazeta/dias/1800/05/09/pdfs/GMD-1800-37.pdf#page=10","Abrir facsímil")</f>
        <v>Abrir facsímil</v>
      </c>
      <c r="K268" s="15" t="s">
        <v>23</v>
      </c>
    </row>
    <row r="269" spans="1:11" ht="42" customHeight="1">
      <c r="A269" s="4" t="s">
        <v>802</v>
      </c>
      <c r="B269" s="5" t="s">
        <v>802</v>
      </c>
      <c r="C269" s="5" t="s">
        <v>18</v>
      </c>
      <c r="D269" s="5" t="s">
        <v>19</v>
      </c>
      <c r="E269" s="5" t="s">
        <v>75</v>
      </c>
      <c r="F269" s="9">
        <v>64</v>
      </c>
      <c r="G269" s="9">
        <v>734</v>
      </c>
      <c r="H269" s="5" t="s">
        <v>21</v>
      </c>
      <c r="I269" s="5" t="s">
        <v>803</v>
      </c>
      <c r="J269" s="12" t="str">
        <f>HYPERLINK("https://www.boe.es/gazeta/dias/1800/08/12/pdfs/GMD-1800-64.pdf#page=10","Abrir facsímil")</f>
        <v>Abrir facsímil</v>
      </c>
      <c r="K269" s="15" t="s">
        <v>23</v>
      </c>
    </row>
    <row r="270" spans="1:11" ht="42" customHeight="1">
      <c r="A270" s="4" t="s">
        <v>804</v>
      </c>
      <c r="B270" s="5" t="s">
        <v>804</v>
      </c>
      <c r="C270" s="5" t="s">
        <v>18</v>
      </c>
      <c r="D270" s="5" t="s">
        <v>19</v>
      </c>
      <c r="E270" s="5" t="s">
        <v>56</v>
      </c>
      <c r="F270" s="9">
        <v>90</v>
      </c>
      <c r="G270" s="9">
        <v>1056</v>
      </c>
      <c r="H270" s="5" t="s">
        <v>21</v>
      </c>
      <c r="I270" s="5" t="s">
        <v>805</v>
      </c>
      <c r="J270" s="12" t="str">
        <f>HYPERLINK("https://www.boe.es/gazeta/dias/1800/11/07/pdfs/GMD-1800-90.pdf#page=10","Abrir facsímil")</f>
        <v>Abrir facsímil</v>
      </c>
      <c r="K270" s="15" t="s">
        <v>23</v>
      </c>
    </row>
    <row r="271" spans="1:11" ht="42" customHeight="1">
      <c r="A271" s="4" t="s">
        <v>804</v>
      </c>
      <c r="B271" s="5" t="s">
        <v>804</v>
      </c>
      <c r="C271" s="5" t="s">
        <v>18</v>
      </c>
      <c r="D271" s="5" t="s">
        <v>19</v>
      </c>
      <c r="E271" s="5" t="s">
        <v>180</v>
      </c>
      <c r="F271" s="9">
        <v>102</v>
      </c>
      <c r="G271" s="9">
        <v>1185</v>
      </c>
      <c r="H271" s="5" t="s">
        <v>21</v>
      </c>
      <c r="I271" s="5" t="s">
        <v>806</v>
      </c>
      <c r="J271" s="12" t="str">
        <f>HYPERLINK("https://www.boe.es/gazeta/dias/1800/12/19/pdfs/GMD-1800-102.pdf#page=9","Abrir facsímil")</f>
        <v>Abrir facsímil</v>
      </c>
      <c r="K271" s="15" t="s">
        <v>23</v>
      </c>
    </row>
    <row r="272" spans="1:11" ht="42" customHeight="1">
      <c r="A272" s="4" t="s">
        <v>807</v>
      </c>
      <c r="B272" s="5" t="s">
        <v>808</v>
      </c>
      <c r="C272" s="5" t="s">
        <v>25</v>
      </c>
      <c r="D272" s="5" t="s">
        <v>26</v>
      </c>
      <c r="E272" s="5" t="s">
        <v>214</v>
      </c>
      <c r="F272" s="9">
        <v>41</v>
      </c>
      <c r="G272" s="9">
        <v>424</v>
      </c>
      <c r="H272" s="5" t="s">
        <v>21</v>
      </c>
      <c r="I272" s="5" t="s">
        <v>809</v>
      </c>
      <c r="J272" s="12" t="str">
        <f>HYPERLINK("https://www.boe.es/gazeta/dias/1800/05/23/pdfs/GMD-1800-41.pdf#page=8","Abrir facsímil")</f>
        <v>Abrir facsímil</v>
      </c>
      <c r="K272" s="15" t="s">
        <v>23</v>
      </c>
    </row>
    <row r="273" spans="1:11" ht="42" customHeight="1">
      <c r="A273" s="4" t="s">
        <v>810</v>
      </c>
      <c r="B273" s="5" t="s">
        <v>811</v>
      </c>
      <c r="C273" s="5" t="s">
        <v>18</v>
      </c>
      <c r="D273" s="5" t="s">
        <v>19</v>
      </c>
      <c r="E273" s="5" t="s">
        <v>75</v>
      </c>
      <c r="F273" s="9">
        <v>64</v>
      </c>
      <c r="G273" s="9">
        <v>729</v>
      </c>
      <c r="H273" s="5" t="s">
        <v>21</v>
      </c>
      <c r="I273" s="5" t="s">
        <v>812</v>
      </c>
      <c r="J273" s="12" t="str">
        <f>HYPERLINK("https://www.boe.es/gazeta/dias/1800/08/12/pdfs/GMD-1800-64.pdf#page=5","Abrir facsímil")</f>
        <v>Abrir facsímil</v>
      </c>
      <c r="K273" s="15" t="s">
        <v>23</v>
      </c>
    </row>
    <row r="274" spans="1:11" ht="42" customHeight="1">
      <c r="A274" s="4" t="s">
        <v>813</v>
      </c>
      <c r="B274" s="5" t="s">
        <v>814</v>
      </c>
      <c r="C274" s="5" t="s">
        <v>18</v>
      </c>
      <c r="D274" s="5" t="s">
        <v>19</v>
      </c>
      <c r="E274" s="5" t="s">
        <v>279</v>
      </c>
      <c r="F274" s="9">
        <v>103</v>
      </c>
      <c r="G274" s="9">
        <v>1191</v>
      </c>
      <c r="H274" s="5" t="s">
        <v>21</v>
      </c>
      <c r="I274" s="5" t="s">
        <v>815</v>
      </c>
      <c r="J274" s="12" t="str">
        <f>HYPERLINK("https://www.boe.es/gazeta/dias/1800/12/23/pdfs/GMD-1800-103.pdf#page=3","Abrir facsímil")</f>
        <v>Abrir facsímil</v>
      </c>
      <c r="K274" s="15" t="s">
        <v>23</v>
      </c>
    </row>
    <row r="275" spans="1:11" ht="42" customHeight="1">
      <c r="A275" s="4" t="s">
        <v>816</v>
      </c>
      <c r="B275" s="5" t="s">
        <v>817</v>
      </c>
      <c r="C275" s="5" t="s">
        <v>18</v>
      </c>
      <c r="D275" s="5" t="s">
        <v>19</v>
      </c>
      <c r="E275" s="5" t="s">
        <v>787</v>
      </c>
      <c r="F275" s="9">
        <v>6</v>
      </c>
      <c r="G275" s="9">
        <v>53</v>
      </c>
      <c r="H275" s="5" t="s">
        <v>21</v>
      </c>
      <c r="I275" s="5" t="s">
        <v>818</v>
      </c>
      <c r="J275" s="12" t="str">
        <f>HYPERLINK("https://www.boe.es/gazeta/dias/1800/01/21/pdfs/GMD-1800-6.pdf#page=5","Abrir facsímil")</f>
        <v>Abrir facsímil</v>
      </c>
      <c r="K275" s="15" t="s">
        <v>23</v>
      </c>
    </row>
    <row r="276" spans="1:11" ht="42" customHeight="1">
      <c r="A276" s="4" t="s">
        <v>816</v>
      </c>
      <c r="B276" s="5" t="s">
        <v>817</v>
      </c>
      <c r="C276" s="5" t="s">
        <v>18</v>
      </c>
      <c r="D276" s="5" t="s">
        <v>19</v>
      </c>
      <c r="E276" s="5" t="s">
        <v>86</v>
      </c>
      <c r="F276" s="9">
        <v>17</v>
      </c>
      <c r="G276" s="9">
        <v>157</v>
      </c>
      <c r="H276" s="5" t="s">
        <v>21</v>
      </c>
      <c r="I276" s="5" t="s">
        <v>819</v>
      </c>
      <c r="J276" s="12" t="str">
        <f>HYPERLINK("https://www.boe.es/gazeta/dias/1800/02/28/pdfs/GMD-1800-17.pdf#page=5","Abrir facsímil")</f>
        <v>Abrir facsímil</v>
      </c>
      <c r="K276" s="15" t="s">
        <v>23</v>
      </c>
    </row>
    <row r="277" spans="1:11" ht="42" customHeight="1">
      <c r="A277" s="4" t="s">
        <v>816</v>
      </c>
      <c r="B277" s="5" t="s">
        <v>817</v>
      </c>
      <c r="C277" s="5" t="s">
        <v>41</v>
      </c>
      <c r="D277" s="5" t="s">
        <v>42</v>
      </c>
      <c r="E277" s="5" t="s">
        <v>31</v>
      </c>
      <c r="F277" s="9">
        <v>20</v>
      </c>
      <c r="G277" s="9">
        <v>188</v>
      </c>
      <c r="H277" s="5" t="s">
        <v>21</v>
      </c>
      <c r="I277" s="5" t="s">
        <v>820</v>
      </c>
      <c r="J277" s="12" t="str">
        <f>HYPERLINK("https://www.boe.es/gazeta/dias/1800/03/11/pdfs/GMD-1800-20.pdf#page=4","Abrir facsímil")</f>
        <v>Abrir facsímil</v>
      </c>
      <c r="K277" s="15" t="s">
        <v>23</v>
      </c>
    </row>
    <row r="278" spans="1:11" ht="42" customHeight="1">
      <c r="A278" s="4" t="s">
        <v>816</v>
      </c>
      <c r="B278" s="5" t="s">
        <v>817</v>
      </c>
      <c r="C278" s="5" t="s">
        <v>41</v>
      </c>
      <c r="D278" s="5" t="s">
        <v>42</v>
      </c>
      <c r="E278" s="5" t="s">
        <v>598</v>
      </c>
      <c r="F278" s="9">
        <v>32</v>
      </c>
      <c r="G278" s="9">
        <v>320</v>
      </c>
      <c r="H278" s="5" t="s">
        <v>21</v>
      </c>
      <c r="I278" s="5" t="s">
        <v>821</v>
      </c>
      <c r="J278" s="12" t="str">
        <f>HYPERLINK("https://www.boe.es/gazeta/dias/1800/04/22/pdfs/GMD-1800-32.pdf#page=4","Abrir facsímil")</f>
        <v>Abrir facsímil</v>
      </c>
      <c r="K278" s="15" t="s">
        <v>23</v>
      </c>
    </row>
    <row r="279" spans="1:11" ht="42" customHeight="1">
      <c r="A279" s="4" t="s">
        <v>816</v>
      </c>
      <c r="B279" s="5" t="s">
        <v>817</v>
      </c>
      <c r="C279" s="5" t="s">
        <v>41</v>
      </c>
      <c r="D279" s="5" t="s">
        <v>42</v>
      </c>
      <c r="E279" s="5" t="s">
        <v>406</v>
      </c>
      <c r="F279" s="9">
        <v>44</v>
      </c>
      <c r="G279" s="9">
        <v>456</v>
      </c>
      <c r="H279" s="5" t="s">
        <v>21</v>
      </c>
      <c r="I279" s="5" t="s">
        <v>822</v>
      </c>
      <c r="J279" s="12" t="str">
        <f>HYPERLINK("https://www.boe.es/gazeta/dias/1800/06/03/pdfs/GMD-1800-44.pdf#page=4","Abrir facsímil")</f>
        <v>Abrir facsímil</v>
      </c>
      <c r="K279" s="15" t="s">
        <v>23</v>
      </c>
    </row>
    <row r="280" spans="1:11" ht="42" customHeight="1">
      <c r="A280" s="4" t="s">
        <v>816</v>
      </c>
      <c r="B280" s="5" t="s">
        <v>817</v>
      </c>
      <c r="C280" s="5" t="s">
        <v>41</v>
      </c>
      <c r="D280" s="5" t="s">
        <v>42</v>
      </c>
      <c r="E280" s="5" t="s">
        <v>823</v>
      </c>
      <c r="F280" s="9">
        <v>50</v>
      </c>
      <c r="G280" s="9">
        <v>540</v>
      </c>
      <c r="H280" s="5" t="s">
        <v>21</v>
      </c>
      <c r="I280" s="5" t="s">
        <v>824</v>
      </c>
      <c r="J280" s="12" t="str">
        <f>HYPERLINK("https://www.boe.es/gazeta/dias/1800/06/24/pdfs/GMD-1800-50.pdf#page=4","Abrir facsímil")</f>
        <v>Abrir facsímil</v>
      </c>
      <c r="K280" s="15" t="s">
        <v>23</v>
      </c>
    </row>
    <row r="281" spans="1:11" ht="42" customHeight="1">
      <c r="A281" s="4" t="s">
        <v>816</v>
      </c>
      <c r="B281" s="5" t="s">
        <v>817</v>
      </c>
      <c r="C281" s="5" t="s">
        <v>41</v>
      </c>
      <c r="D281" s="5" t="s">
        <v>42</v>
      </c>
      <c r="E281" s="5" t="s">
        <v>825</v>
      </c>
      <c r="F281" s="9">
        <v>51</v>
      </c>
      <c r="G281" s="9">
        <v>555</v>
      </c>
      <c r="H281" s="5" t="s">
        <v>21</v>
      </c>
      <c r="I281" s="5" t="s">
        <v>826</v>
      </c>
      <c r="J281" s="12" t="str">
        <f>HYPERLINK("https://www.boe.es/gazeta/dias/1800/06/27/pdfs/GMD-1800-51.pdf#page=7","Abrir facsímil")</f>
        <v>Abrir facsímil</v>
      </c>
      <c r="K281" s="15" t="s">
        <v>23</v>
      </c>
    </row>
    <row r="282" spans="1:11" ht="42" customHeight="1">
      <c r="A282" s="4" t="s">
        <v>816</v>
      </c>
      <c r="B282" s="5" t="s">
        <v>817</v>
      </c>
      <c r="C282" s="5" t="s">
        <v>41</v>
      </c>
      <c r="D282" s="5" t="s">
        <v>42</v>
      </c>
      <c r="E282" s="5" t="s">
        <v>120</v>
      </c>
      <c r="F282" s="9">
        <v>52</v>
      </c>
      <c r="G282" s="9">
        <v>567</v>
      </c>
      <c r="H282" s="5" t="s">
        <v>21</v>
      </c>
      <c r="I282" s="5" t="s">
        <v>827</v>
      </c>
      <c r="J282" s="12" t="str">
        <f>HYPERLINK("https://www.boe.es/gazeta/dias/1800/07/01/pdfs/GMD-1800-52.pdf#page=3","Abrir facsímil")</f>
        <v>Abrir facsímil</v>
      </c>
      <c r="K282" s="15" t="s">
        <v>23</v>
      </c>
    </row>
    <row r="283" spans="1:11" ht="42" customHeight="1">
      <c r="A283" s="4" t="s">
        <v>816</v>
      </c>
      <c r="B283" s="5" t="s">
        <v>817</v>
      </c>
      <c r="C283" s="5" t="s">
        <v>41</v>
      </c>
      <c r="D283" s="5" t="s">
        <v>42</v>
      </c>
      <c r="E283" s="5" t="s">
        <v>828</v>
      </c>
      <c r="F283" s="9">
        <v>53</v>
      </c>
      <c r="G283" s="9">
        <v>584</v>
      </c>
      <c r="H283" s="5" t="s">
        <v>21</v>
      </c>
      <c r="I283" s="5" t="s">
        <v>829</v>
      </c>
      <c r="J283" s="12" t="str">
        <f>HYPERLINK("https://www.boe.es/gazeta/dias/1800/07/04/pdfs/GMD-1800-53.pdf#page=4","Abrir facsímil")</f>
        <v>Abrir facsímil</v>
      </c>
      <c r="K283" s="15" t="s">
        <v>23</v>
      </c>
    </row>
    <row r="284" spans="1:11" ht="42" customHeight="1">
      <c r="A284" s="4" t="s">
        <v>816</v>
      </c>
      <c r="B284" s="5" t="s">
        <v>817</v>
      </c>
      <c r="C284" s="5" t="s">
        <v>41</v>
      </c>
      <c r="D284" s="5" t="s">
        <v>42</v>
      </c>
      <c r="E284" s="5" t="s">
        <v>64</v>
      </c>
      <c r="F284" s="9">
        <v>54</v>
      </c>
      <c r="G284" s="9">
        <v>600</v>
      </c>
      <c r="H284" s="5" t="s">
        <v>21</v>
      </c>
      <c r="I284" s="5" t="s">
        <v>830</v>
      </c>
      <c r="J284" s="12" t="str">
        <f>HYPERLINK("https://www.boe.es/gazeta/dias/1800/07/08/pdfs/GMD-1800-54.pdf#page=4","Abrir facsímil")</f>
        <v>Abrir facsímil</v>
      </c>
      <c r="K284" s="15" t="s">
        <v>23</v>
      </c>
    </row>
    <row r="285" spans="1:11" ht="42" customHeight="1">
      <c r="A285" s="4" t="s">
        <v>816</v>
      </c>
      <c r="B285" s="5" t="s">
        <v>817</v>
      </c>
      <c r="C285" s="5" t="s">
        <v>41</v>
      </c>
      <c r="D285" s="5" t="s">
        <v>42</v>
      </c>
      <c r="E285" s="5" t="s">
        <v>319</v>
      </c>
      <c r="F285" s="9">
        <v>62</v>
      </c>
      <c r="G285" s="9">
        <v>705</v>
      </c>
      <c r="H285" s="5" t="s">
        <v>21</v>
      </c>
      <c r="I285" s="5" t="s">
        <v>831</v>
      </c>
      <c r="J285" s="12" t="str">
        <f>HYPERLINK("https://www.boe.es/gazeta/dias/1800/08/05/pdfs/GMD-1800-62.pdf#page=5","Abrir facsímil")</f>
        <v>Abrir facsímil</v>
      </c>
      <c r="K285" s="15" t="s">
        <v>23</v>
      </c>
    </row>
    <row r="286" spans="1:11" ht="42" customHeight="1">
      <c r="A286" s="4" t="s">
        <v>816</v>
      </c>
      <c r="B286" s="5" t="s">
        <v>817</v>
      </c>
      <c r="C286" s="5" t="s">
        <v>41</v>
      </c>
      <c r="D286" s="5" t="s">
        <v>42</v>
      </c>
      <c r="E286" s="5" t="s">
        <v>454</v>
      </c>
      <c r="F286" s="9">
        <v>63</v>
      </c>
      <c r="G286" s="9">
        <v>716</v>
      </c>
      <c r="H286" s="5" t="s">
        <v>21</v>
      </c>
      <c r="I286" s="5" t="s">
        <v>832</v>
      </c>
      <c r="J286" s="12" t="str">
        <f>HYPERLINK("https://www.boe.es/gazeta/dias/1800/08/08/pdfs/GMD-1800-63.pdf#page=4","Abrir facsímil")</f>
        <v>Abrir facsímil</v>
      </c>
      <c r="K286" s="15" t="s">
        <v>23</v>
      </c>
    </row>
    <row r="287" spans="1:11" ht="42" customHeight="1">
      <c r="A287" s="4" t="s">
        <v>816</v>
      </c>
      <c r="B287" s="5" t="s">
        <v>817</v>
      </c>
      <c r="C287" s="5" t="s">
        <v>41</v>
      </c>
      <c r="D287" s="5" t="s">
        <v>42</v>
      </c>
      <c r="E287" s="5" t="s">
        <v>75</v>
      </c>
      <c r="F287" s="9">
        <v>64</v>
      </c>
      <c r="G287" s="9">
        <v>731</v>
      </c>
      <c r="H287" s="5" t="s">
        <v>21</v>
      </c>
      <c r="I287" s="5" t="s">
        <v>833</v>
      </c>
      <c r="J287" s="12" t="str">
        <f>HYPERLINK("https://www.boe.es/gazeta/dias/1800/08/12/pdfs/GMD-1800-64.pdf#page=7","Abrir facsímil")</f>
        <v>Abrir facsímil</v>
      </c>
      <c r="K287" s="15" t="s">
        <v>23</v>
      </c>
    </row>
    <row r="288" spans="1:11" ht="42" customHeight="1">
      <c r="A288" s="4" t="s">
        <v>816</v>
      </c>
      <c r="B288" s="5" t="s">
        <v>817</v>
      </c>
      <c r="C288" s="5" t="s">
        <v>41</v>
      </c>
      <c r="D288" s="5" t="s">
        <v>42</v>
      </c>
      <c r="E288" s="5" t="s">
        <v>48</v>
      </c>
      <c r="F288" s="9">
        <v>66</v>
      </c>
      <c r="G288" s="9">
        <v>741</v>
      </c>
      <c r="H288" s="5" t="s">
        <v>21</v>
      </c>
      <c r="I288" s="5" t="s">
        <v>834</v>
      </c>
      <c r="J288" s="12" t="str">
        <f>HYPERLINK("https://www.boe.es/gazeta/dias/1800/08/19/pdfs/GMD-1800-66.pdf#page=5","Abrir facsímil")</f>
        <v>Abrir facsímil</v>
      </c>
      <c r="K288" s="15" t="s">
        <v>23</v>
      </c>
    </row>
    <row r="289" spans="1:11" ht="42" customHeight="1">
      <c r="A289" s="4" t="s">
        <v>816</v>
      </c>
      <c r="B289" s="5" t="s">
        <v>817</v>
      </c>
      <c r="C289" s="5" t="s">
        <v>41</v>
      </c>
      <c r="D289" s="5" t="s">
        <v>42</v>
      </c>
      <c r="E289" s="5" t="s">
        <v>590</v>
      </c>
      <c r="F289" s="9">
        <v>69</v>
      </c>
      <c r="G289" s="9">
        <v>773</v>
      </c>
      <c r="H289" s="5" t="s">
        <v>21</v>
      </c>
      <c r="I289" s="5" t="s">
        <v>835</v>
      </c>
      <c r="J289" s="12" t="str">
        <f>HYPERLINK("https://www.boe.es/gazeta/dias/1800/08/29/pdfs/GMD-1800-69.pdf#page=5","Abrir facsímil")</f>
        <v>Abrir facsímil</v>
      </c>
      <c r="K289" s="15" t="s">
        <v>23</v>
      </c>
    </row>
    <row r="290" spans="1:11" ht="42" customHeight="1">
      <c r="A290" s="4" t="s">
        <v>816</v>
      </c>
      <c r="B290" s="5" t="s">
        <v>817</v>
      </c>
      <c r="C290" s="5" t="s">
        <v>41</v>
      </c>
      <c r="D290" s="5" t="s">
        <v>42</v>
      </c>
      <c r="E290" s="5" t="s">
        <v>836</v>
      </c>
      <c r="F290" s="9">
        <v>71</v>
      </c>
      <c r="G290" s="9">
        <v>786</v>
      </c>
      <c r="H290" s="5" t="s">
        <v>21</v>
      </c>
      <c r="I290" s="5" t="s">
        <v>837</v>
      </c>
      <c r="J290" s="12" t="str">
        <f>HYPERLINK("https://www.boe.es/gazeta/dias/1800/09/02/pdfs/GMD-1800-71.pdf#page=4","Abrir facsímil")</f>
        <v>Abrir facsímil</v>
      </c>
      <c r="K290" s="15" t="s">
        <v>23</v>
      </c>
    </row>
    <row r="291" spans="1:11" ht="42" customHeight="1">
      <c r="A291" s="4" t="s">
        <v>816</v>
      </c>
      <c r="B291" s="5" t="s">
        <v>817</v>
      </c>
      <c r="C291" s="5" t="s">
        <v>41</v>
      </c>
      <c r="D291" s="5" t="s">
        <v>42</v>
      </c>
      <c r="E291" s="5" t="s">
        <v>836</v>
      </c>
      <c r="F291" s="9">
        <v>71</v>
      </c>
      <c r="G291" s="9">
        <v>787</v>
      </c>
      <c r="H291" s="5" t="s">
        <v>21</v>
      </c>
      <c r="I291" s="5" t="s">
        <v>838</v>
      </c>
      <c r="J291" s="12" t="str">
        <f>HYPERLINK("https://www.boe.es/gazeta/dias/1800/09/02/pdfs/GMD-1800-71.pdf#page=5","Abrir facsímil")</f>
        <v>Abrir facsímil</v>
      </c>
      <c r="K291" s="15" t="s">
        <v>23</v>
      </c>
    </row>
    <row r="292" spans="1:11" ht="42" customHeight="1">
      <c r="A292" s="4" t="s">
        <v>816</v>
      </c>
      <c r="B292" s="5" t="s">
        <v>817</v>
      </c>
      <c r="C292" s="5" t="s">
        <v>41</v>
      </c>
      <c r="D292" s="5" t="s">
        <v>42</v>
      </c>
      <c r="E292" s="5" t="s">
        <v>135</v>
      </c>
      <c r="F292" s="9">
        <v>73</v>
      </c>
      <c r="G292" s="9">
        <v>811</v>
      </c>
      <c r="H292" s="5" t="s">
        <v>21</v>
      </c>
      <c r="I292" s="5" t="s">
        <v>839</v>
      </c>
      <c r="J292" s="12" t="str">
        <f>HYPERLINK("https://www.boe.es/gazeta/dias/1800/09/09/pdfs/GMD-1800-73.pdf#page=5","Abrir facsímil")</f>
        <v>Abrir facsímil</v>
      </c>
      <c r="K292" s="15" t="s">
        <v>23</v>
      </c>
    </row>
    <row r="293" spans="1:11" ht="42" customHeight="1">
      <c r="A293" s="4" t="s">
        <v>816</v>
      </c>
      <c r="B293" s="5" t="s">
        <v>817</v>
      </c>
      <c r="C293" s="5" t="s">
        <v>41</v>
      </c>
      <c r="D293" s="5" t="s">
        <v>42</v>
      </c>
      <c r="E293" s="5" t="s">
        <v>314</v>
      </c>
      <c r="F293" s="9">
        <v>74</v>
      </c>
      <c r="G293" s="9">
        <v>827</v>
      </c>
      <c r="H293" s="5" t="s">
        <v>21</v>
      </c>
      <c r="I293" s="5" t="s">
        <v>840</v>
      </c>
      <c r="J293" s="12" t="str">
        <f>HYPERLINK("https://www.boe.es/gazeta/dias/1800/09/12/pdfs/GMD-1800-74.pdf#page=5","Abrir facsímil")</f>
        <v>Abrir facsímil</v>
      </c>
      <c r="K293" s="15" t="s">
        <v>23</v>
      </c>
    </row>
    <row r="294" spans="1:11" ht="42" customHeight="1">
      <c r="A294" s="4" t="s">
        <v>816</v>
      </c>
      <c r="B294" s="5" t="s">
        <v>817</v>
      </c>
      <c r="C294" s="5" t="s">
        <v>41</v>
      </c>
      <c r="D294" s="5" t="s">
        <v>42</v>
      </c>
      <c r="E294" s="5" t="s">
        <v>572</v>
      </c>
      <c r="F294" s="9">
        <v>76</v>
      </c>
      <c r="G294" s="9">
        <v>861</v>
      </c>
      <c r="H294" s="5" t="s">
        <v>21</v>
      </c>
      <c r="I294" s="5" t="s">
        <v>841</v>
      </c>
      <c r="J294" s="12" t="str">
        <f>HYPERLINK("https://www.boe.es/gazeta/dias/1800/09/19/pdfs/GMD-1800-76.pdf#page=3","Abrir facsímil")</f>
        <v>Abrir facsímil</v>
      </c>
      <c r="K294" s="15" t="s">
        <v>23</v>
      </c>
    </row>
    <row r="295" spans="1:11" ht="42" customHeight="1">
      <c r="A295" s="4" t="s">
        <v>816</v>
      </c>
      <c r="B295" s="5" t="s">
        <v>817</v>
      </c>
      <c r="C295" s="5" t="s">
        <v>41</v>
      </c>
      <c r="D295" s="5" t="s">
        <v>42</v>
      </c>
      <c r="E295" s="5" t="s">
        <v>572</v>
      </c>
      <c r="F295" s="9">
        <v>76</v>
      </c>
      <c r="G295" s="9">
        <v>863</v>
      </c>
      <c r="H295" s="5" t="s">
        <v>21</v>
      </c>
      <c r="I295" s="5" t="s">
        <v>842</v>
      </c>
      <c r="J295" s="12" t="str">
        <f>HYPERLINK("https://www.boe.es/gazeta/dias/1800/09/19/pdfs/GMD-1800-76.pdf#page=5","Abrir facsímil")</f>
        <v>Abrir facsímil</v>
      </c>
      <c r="K295" s="15" t="s">
        <v>23</v>
      </c>
    </row>
    <row r="296" spans="1:11" ht="42" customHeight="1">
      <c r="A296" s="4" t="s">
        <v>816</v>
      </c>
      <c r="B296" s="5" t="s">
        <v>817</v>
      </c>
      <c r="C296" s="5" t="s">
        <v>18</v>
      </c>
      <c r="D296" s="5" t="s">
        <v>19</v>
      </c>
      <c r="E296" s="5" t="s">
        <v>843</v>
      </c>
      <c r="F296" s="9">
        <v>78</v>
      </c>
      <c r="G296" s="9">
        <v>887</v>
      </c>
      <c r="H296" s="5" t="s">
        <v>21</v>
      </c>
      <c r="I296" s="5" t="s">
        <v>844</v>
      </c>
      <c r="J296" s="12" t="str">
        <f>HYPERLINK("https://www.boe.es/gazeta/dias/1800/09/26/pdfs/GMD-1800-78.pdf#page=5","Abrir facsímil")</f>
        <v>Abrir facsímil</v>
      </c>
      <c r="K296" s="15" t="s">
        <v>23</v>
      </c>
    </row>
    <row r="297" spans="1:11" ht="42" customHeight="1">
      <c r="A297" s="4" t="s">
        <v>816</v>
      </c>
      <c r="B297" s="5" t="s">
        <v>817</v>
      </c>
      <c r="C297" s="5" t="s">
        <v>41</v>
      </c>
      <c r="D297" s="5" t="s">
        <v>42</v>
      </c>
      <c r="E297" s="5" t="s">
        <v>845</v>
      </c>
      <c r="F297" s="9">
        <v>80</v>
      </c>
      <c r="G297" s="9">
        <v>906</v>
      </c>
      <c r="H297" s="5" t="s">
        <v>21</v>
      </c>
      <c r="I297" s="5" t="s">
        <v>846</v>
      </c>
      <c r="J297" s="12" t="str">
        <f>HYPERLINK("https://www.boe.es/gazeta/dias/1800/10/03/pdfs/GMD-1800-80.pdf#page=4","Abrir facsímil")</f>
        <v>Abrir facsímil</v>
      </c>
      <c r="K297" s="15" t="s">
        <v>23</v>
      </c>
    </row>
    <row r="298" spans="1:11" ht="42" customHeight="1">
      <c r="A298" s="4" t="s">
        <v>816</v>
      </c>
      <c r="B298" s="5" t="s">
        <v>817</v>
      </c>
      <c r="C298" s="5" t="s">
        <v>41</v>
      </c>
      <c r="D298" s="5" t="s">
        <v>42</v>
      </c>
      <c r="E298" s="5" t="s">
        <v>50</v>
      </c>
      <c r="F298" s="9">
        <v>81</v>
      </c>
      <c r="G298" s="9">
        <v>914</v>
      </c>
      <c r="H298" s="5" t="s">
        <v>21</v>
      </c>
      <c r="I298" s="5" t="s">
        <v>847</v>
      </c>
      <c r="J298" s="12" t="str">
        <f>HYPERLINK("https://www.boe.es/gazeta/dias/1800/10/07/pdfs/GMD-1800-81.pdf#page=4","Abrir facsímil")</f>
        <v>Abrir facsímil</v>
      </c>
      <c r="K298" s="15" t="s">
        <v>23</v>
      </c>
    </row>
    <row r="299" spans="1:11" ht="42" customHeight="1">
      <c r="A299" s="4" t="s">
        <v>816</v>
      </c>
      <c r="B299" s="5" t="s">
        <v>817</v>
      </c>
      <c r="C299" s="5" t="s">
        <v>41</v>
      </c>
      <c r="D299" s="5" t="s">
        <v>42</v>
      </c>
      <c r="E299" s="5" t="s">
        <v>184</v>
      </c>
      <c r="F299" s="9">
        <v>82</v>
      </c>
      <c r="G299" s="9">
        <v>945</v>
      </c>
      <c r="H299" s="5" t="s">
        <v>21</v>
      </c>
      <c r="I299" s="5" t="s">
        <v>848</v>
      </c>
      <c r="J299" s="12" t="str">
        <f>HYPERLINK("https://www.boe.es/gazeta/dias/1800/10/10/pdfs/GMD-1800-82.pdf#page=3","Abrir facsímil")</f>
        <v>Abrir facsímil</v>
      </c>
      <c r="K299" s="15" t="s">
        <v>23</v>
      </c>
    </row>
    <row r="300" spans="1:11" ht="42" customHeight="1">
      <c r="A300" s="4" t="s">
        <v>816</v>
      </c>
      <c r="B300" s="5" t="s">
        <v>817</v>
      </c>
      <c r="C300" s="5" t="s">
        <v>41</v>
      </c>
      <c r="D300" s="5" t="s">
        <v>42</v>
      </c>
      <c r="E300" s="5" t="s">
        <v>422</v>
      </c>
      <c r="F300" s="9">
        <v>85</v>
      </c>
      <c r="G300" s="9">
        <v>980</v>
      </c>
      <c r="H300" s="5" t="s">
        <v>21</v>
      </c>
      <c r="I300" s="5" t="s">
        <v>849</v>
      </c>
      <c r="J300" s="12" t="str">
        <f>HYPERLINK("https://www.boe.es/gazeta/dias/1800/10/21/pdfs/GMD-1800-85.pdf#page=2","Abrir facsímil")</f>
        <v>Abrir facsímil</v>
      </c>
      <c r="K300" s="15" t="s">
        <v>23</v>
      </c>
    </row>
    <row r="301" spans="1:11" ht="42" customHeight="1">
      <c r="A301" s="4" t="s">
        <v>816</v>
      </c>
      <c r="B301" s="5" t="s">
        <v>817</v>
      </c>
      <c r="C301" s="5" t="s">
        <v>41</v>
      </c>
      <c r="D301" s="5" t="s">
        <v>42</v>
      </c>
      <c r="E301" s="5" t="s">
        <v>422</v>
      </c>
      <c r="F301" s="9">
        <v>85</v>
      </c>
      <c r="G301" s="9">
        <v>982</v>
      </c>
      <c r="H301" s="5" t="s">
        <v>21</v>
      </c>
      <c r="I301" s="5" t="s">
        <v>850</v>
      </c>
      <c r="J301" s="12" t="str">
        <f>HYPERLINK("https://www.boe.es/gazeta/dias/1800/10/21/pdfs/GMD-1800-85.pdf#page=4","Abrir facsímil")</f>
        <v>Abrir facsímil</v>
      </c>
      <c r="K301" s="15" t="s">
        <v>23</v>
      </c>
    </row>
    <row r="302" spans="1:11" ht="42" customHeight="1">
      <c r="A302" s="4" t="s">
        <v>816</v>
      </c>
      <c r="B302" s="5" t="s">
        <v>817</v>
      </c>
      <c r="C302" s="5" t="s">
        <v>41</v>
      </c>
      <c r="D302" s="5" t="s">
        <v>42</v>
      </c>
      <c r="E302" s="5" t="s">
        <v>116</v>
      </c>
      <c r="F302" s="9">
        <v>86</v>
      </c>
      <c r="G302" s="9">
        <v>995</v>
      </c>
      <c r="H302" s="5" t="s">
        <v>21</v>
      </c>
      <c r="I302" s="5" t="s">
        <v>851</v>
      </c>
      <c r="J302" s="12" t="str">
        <f>HYPERLINK("https://www.boe.es/gazeta/dias/1800/10/24/pdfs/GMD-1800-86.pdf#page=5","Abrir facsímil")</f>
        <v>Abrir facsímil</v>
      </c>
      <c r="K302" s="15" t="s">
        <v>23</v>
      </c>
    </row>
    <row r="303" spans="1:11" ht="42" customHeight="1">
      <c r="A303" s="4" t="s">
        <v>816</v>
      </c>
      <c r="B303" s="5" t="s">
        <v>817</v>
      </c>
      <c r="C303" s="5" t="s">
        <v>41</v>
      </c>
      <c r="D303" s="5" t="s">
        <v>42</v>
      </c>
      <c r="E303" s="5" t="s">
        <v>410</v>
      </c>
      <c r="F303" s="9">
        <v>87</v>
      </c>
      <c r="G303" s="9">
        <v>1006</v>
      </c>
      <c r="H303" s="5" t="s">
        <v>21</v>
      </c>
      <c r="I303" s="5" t="s">
        <v>852</v>
      </c>
      <c r="J303" s="12" t="str">
        <f>HYPERLINK("https://www.boe.es/gazeta/dias/1800/10/28/pdfs/GMD-1800-87.pdf#page=4","Abrir facsímil")</f>
        <v>Abrir facsímil</v>
      </c>
      <c r="K303" s="15" t="s">
        <v>23</v>
      </c>
    </row>
    <row r="304" spans="1:11" ht="42" customHeight="1">
      <c r="A304" s="4" t="s">
        <v>853</v>
      </c>
      <c r="B304" s="5" t="s">
        <v>854</v>
      </c>
      <c r="C304" s="5" t="s">
        <v>41</v>
      </c>
      <c r="D304" s="5" t="s">
        <v>42</v>
      </c>
      <c r="E304" s="5" t="s">
        <v>176</v>
      </c>
      <c r="F304" s="9">
        <v>88</v>
      </c>
      <c r="G304" s="9">
        <v>1022</v>
      </c>
      <c r="H304" s="5" t="s">
        <v>21</v>
      </c>
      <c r="I304" s="5" t="s">
        <v>855</v>
      </c>
      <c r="J304" s="12" t="str">
        <f>HYPERLINK("https://www.boe.es/gazeta/dias/1800/10/31/pdfs/GMD-1800-88.pdf#page=4","Abrir facsímil")</f>
        <v>Abrir facsímil</v>
      </c>
      <c r="K304" s="15" t="s">
        <v>23</v>
      </c>
    </row>
    <row r="305" spans="1:11" ht="42" customHeight="1">
      <c r="A305" s="4" t="s">
        <v>816</v>
      </c>
      <c r="B305" s="5" t="s">
        <v>817</v>
      </c>
      <c r="C305" s="5" t="s">
        <v>18</v>
      </c>
      <c r="D305" s="5" t="s">
        <v>19</v>
      </c>
      <c r="E305" s="5" t="s">
        <v>673</v>
      </c>
      <c r="F305" s="9">
        <v>89</v>
      </c>
      <c r="G305" s="9">
        <v>1037</v>
      </c>
      <c r="H305" s="5" t="s">
        <v>21</v>
      </c>
      <c r="I305" s="5" t="s">
        <v>856</v>
      </c>
      <c r="J305" s="12" t="str">
        <f>HYPERLINK("https://www.boe.es/gazeta/dias/1800/11/04/pdfs/GMD-1800-89.pdf#page=3","Abrir facsímil")</f>
        <v>Abrir facsímil</v>
      </c>
      <c r="K305" s="15" t="s">
        <v>23</v>
      </c>
    </row>
    <row r="306" spans="1:11" ht="42" customHeight="1">
      <c r="A306" s="4" t="s">
        <v>816</v>
      </c>
      <c r="B306" s="5" t="s">
        <v>817</v>
      </c>
      <c r="C306" s="5" t="s">
        <v>41</v>
      </c>
      <c r="D306" s="5" t="s">
        <v>42</v>
      </c>
      <c r="E306" s="5" t="s">
        <v>56</v>
      </c>
      <c r="F306" s="9">
        <v>90</v>
      </c>
      <c r="G306" s="9">
        <v>1049</v>
      </c>
      <c r="H306" s="5" t="s">
        <v>21</v>
      </c>
      <c r="I306" s="5" t="s">
        <v>857</v>
      </c>
      <c r="J306" s="12" t="str">
        <f>HYPERLINK("https://www.boe.es/gazeta/dias/1800/11/07/pdfs/GMD-1800-90.pdf#page=3","Abrir facsímil")</f>
        <v>Abrir facsímil</v>
      </c>
      <c r="K306" s="15" t="s">
        <v>23</v>
      </c>
    </row>
    <row r="307" spans="1:11" ht="42" customHeight="1">
      <c r="A307" s="4" t="s">
        <v>816</v>
      </c>
      <c r="B307" s="5" t="s">
        <v>817</v>
      </c>
      <c r="C307" s="5" t="s">
        <v>41</v>
      </c>
      <c r="D307" s="5" t="s">
        <v>42</v>
      </c>
      <c r="E307" s="5" t="s">
        <v>576</v>
      </c>
      <c r="F307" s="9">
        <v>91</v>
      </c>
      <c r="G307" s="9">
        <v>1061</v>
      </c>
      <c r="H307" s="5" t="s">
        <v>21</v>
      </c>
      <c r="I307" s="5" t="s">
        <v>858</v>
      </c>
      <c r="J307" s="12" t="str">
        <f>HYPERLINK("https://www.boe.es/gazeta/dias/1800/11/11/pdfs/GMD-1800-91.pdf#page=3","Abrir facsímil")</f>
        <v>Abrir facsímil</v>
      </c>
      <c r="K307" s="15" t="s">
        <v>23</v>
      </c>
    </row>
    <row r="308" spans="1:11" ht="42" customHeight="1">
      <c r="A308" s="4" t="s">
        <v>816</v>
      </c>
      <c r="B308" s="5" t="s">
        <v>817</v>
      </c>
      <c r="C308" s="5" t="s">
        <v>84</v>
      </c>
      <c r="D308" s="5" t="s">
        <v>85</v>
      </c>
      <c r="E308" s="5" t="s">
        <v>58</v>
      </c>
      <c r="F308" s="9">
        <v>92</v>
      </c>
      <c r="G308" s="9">
        <v>1048</v>
      </c>
      <c r="H308" s="5" t="s">
        <v>21</v>
      </c>
      <c r="I308" s="5" t="s">
        <v>859</v>
      </c>
      <c r="J308" s="12" t="str">
        <f>HYPERLINK("https://www.boe.es/gazeta/dias/1800/11/14/pdfs/GMD-1800-92.pdf#page=2","Abrir facsímil")</f>
        <v>Abrir facsímil</v>
      </c>
      <c r="K308" s="15" t="s">
        <v>23</v>
      </c>
    </row>
    <row r="309" spans="1:11" ht="42" customHeight="1">
      <c r="A309" s="4" t="s">
        <v>816</v>
      </c>
      <c r="B309" s="5" t="s">
        <v>817</v>
      </c>
      <c r="C309" s="5" t="s">
        <v>41</v>
      </c>
      <c r="D309" s="5" t="s">
        <v>42</v>
      </c>
      <c r="E309" s="5" t="s">
        <v>615</v>
      </c>
      <c r="F309" s="9">
        <v>95</v>
      </c>
      <c r="G309" s="9">
        <v>1084</v>
      </c>
      <c r="H309" s="5" t="s">
        <v>21</v>
      </c>
      <c r="I309" s="5" t="s">
        <v>860</v>
      </c>
      <c r="J309" s="12" t="str">
        <f>HYPERLINK("https://www.boe.es/gazeta/dias/1800/11/25/pdfs/GMD-1800-95.pdf#page=2","Abrir facsímil")</f>
        <v>Abrir facsímil</v>
      </c>
      <c r="K309" s="15" t="s">
        <v>23</v>
      </c>
    </row>
    <row r="310" spans="1:11" ht="42" customHeight="1">
      <c r="A310" s="4" t="s">
        <v>816</v>
      </c>
      <c r="B310" s="5" t="s">
        <v>817</v>
      </c>
      <c r="C310" s="5" t="s">
        <v>84</v>
      </c>
      <c r="D310" s="5" t="s">
        <v>85</v>
      </c>
      <c r="E310" s="5" t="s">
        <v>329</v>
      </c>
      <c r="F310" s="9">
        <v>99</v>
      </c>
      <c r="G310" s="9">
        <v>1135</v>
      </c>
      <c r="H310" s="5" t="s">
        <v>21</v>
      </c>
      <c r="I310" s="5" t="s">
        <v>861</v>
      </c>
      <c r="J310" s="12" t="str">
        <f>HYPERLINK("https://www.boe.es/gazeta/dias/1800/12/09/pdfs/GMD-1800-99.pdf#page=3","Abrir facsímil")</f>
        <v>Abrir facsímil</v>
      </c>
      <c r="K310" s="15" t="s">
        <v>23</v>
      </c>
    </row>
    <row r="311" spans="1:11" ht="42" customHeight="1">
      <c r="A311" s="4" t="s">
        <v>816</v>
      </c>
      <c r="B311" s="5" t="s">
        <v>817</v>
      </c>
      <c r="C311" s="5" t="s">
        <v>41</v>
      </c>
      <c r="D311" s="5" t="s">
        <v>42</v>
      </c>
      <c r="E311" s="5" t="s">
        <v>534</v>
      </c>
      <c r="F311" s="9">
        <v>100</v>
      </c>
      <c r="G311" s="9">
        <v>1154</v>
      </c>
      <c r="H311" s="5" t="s">
        <v>21</v>
      </c>
      <c r="I311" s="5" t="s">
        <v>862</v>
      </c>
      <c r="J311" s="12" t="str">
        <f>HYPERLINK("https://www.boe.es/gazeta/dias/1800/12/12/pdfs/GMD-1800-100.pdf#page=6","Abrir facsímil")</f>
        <v>Abrir facsímil</v>
      </c>
      <c r="K311" s="15" t="s">
        <v>23</v>
      </c>
    </row>
    <row r="312" spans="1:11" ht="42" customHeight="1">
      <c r="A312" s="4" t="s">
        <v>816</v>
      </c>
      <c r="B312" s="5" t="s">
        <v>817</v>
      </c>
      <c r="C312" s="5" t="s">
        <v>41</v>
      </c>
      <c r="D312" s="5" t="s">
        <v>42</v>
      </c>
      <c r="E312" s="5" t="s">
        <v>402</v>
      </c>
      <c r="F312" s="9">
        <v>101</v>
      </c>
      <c r="G312" s="9">
        <v>1169</v>
      </c>
      <c r="H312" s="5" t="s">
        <v>21</v>
      </c>
      <c r="I312" s="5" t="s">
        <v>863</v>
      </c>
      <c r="J312" s="12" t="str">
        <f>HYPERLINK("https://www.boe.es/gazeta/dias/1800/12/16/pdfs/GMD-1800-101.pdf#page=5","Abrir facsímil")</f>
        <v>Abrir facsímil</v>
      </c>
      <c r="K312" s="15" t="s">
        <v>23</v>
      </c>
    </row>
    <row r="313" spans="1:11" ht="42" customHeight="1">
      <c r="A313" s="4" t="s">
        <v>864</v>
      </c>
      <c r="B313" s="5" t="s">
        <v>865</v>
      </c>
      <c r="C313" s="5" t="s">
        <v>41</v>
      </c>
      <c r="D313" s="5" t="s">
        <v>42</v>
      </c>
      <c r="E313" s="5" t="s">
        <v>180</v>
      </c>
      <c r="F313" s="9">
        <v>102</v>
      </c>
      <c r="G313" s="9">
        <v>1178</v>
      </c>
      <c r="H313" s="5" t="s">
        <v>21</v>
      </c>
      <c r="I313" s="5" t="s">
        <v>866</v>
      </c>
      <c r="J313" s="12" t="str">
        <f>HYPERLINK("https://www.boe.es/gazeta/dias/1800/12/19/pdfs/GMD-1800-102.pdf#page=2","Abrir facsímil")</f>
        <v>Abrir facsímil</v>
      </c>
      <c r="K313" s="15" t="s">
        <v>23</v>
      </c>
    </row>
    <row r="314" spans="1:11" ht="42" customHeight="1">
      <c r="A314" s="4" t="s">
        <v>816</v>
      </c>
      <c r="B314" s="5" t="s">
        <v>817</v>
      </c>
      <c r="C314" s="5" t="s">
        <v>41</v>
      </c>
      <c r="D314" s="5" t="s">
        <v>42</v>
      </c>
      <c r="E314" s="5" t="s">
        <v>279</v>
      </c>
      <c r="F314" s="9">
        <v>103</v>
      </c>
      <c r="G314" s="9">
        <v>1192</v>
      </c>
      <c r="H314" s="5" t="s">
        <v>21</v>
      </c>
      <c r="I314" s="5" t="s">
        <v>867</v>
      </c>
      <c r="J314" s="12" t="str">
        <f>HYPERLINK("https://www.boe.es/gazeta/dias/1800/12/23/pdfs/GMD-1800-103.pdf#page=4","Abrir facsímil")</f>
        <v>Abrir facsímil</v>
      </c>
      <c r="K314" s="15" t="s">
        <v>23</v>
      </c>
    </row>
    <row r="315" spans="1:11" ht="42" customHeight="1">
      <c r="A315" s="4" t="s">
        <v>816</v>
      </c>
      <c r="B315" s="5" t="s">
        <v>817</v>
      </c>
      <c r="C315" s="5" t="s">
        <v>207</v>
      </c>
      <c r="D315" s="5" t="s">
        <v>55</v>
      </c>
      <c r="E315" s="5" t="s">
        <v>279</v>
      </c>
      <c r="F315" s="9">
        <v>103</v>
      </c>
      <c r="G315" s="9">
        <v>1195</v>
      </c>
      <c r="H315" s="5" t="s">
        <v>21</v>
      </c>
      <c r="I315" s="5" t="s">
        <v>868</v>
      </c>
      <c r="J315" s="12" t="str">
        <f>HYPERLINK("https://www.boe.es/gazeta/dias/1800/12/23/pdfs/GMD-1800-103.pdf#page=7","Abrir facsímil")</f>
        <v>Abrir facsímil</v>
      </c>
      <c r="K315" s="15" t="s">
        <v>23</v>
      </c>
    </row>
    <row r="316" spans="1:11" ht="42" customHeight="1">
      <c r="A316" s="4" t="s">
        <v>816</v>
      </c>
      <c r="B316" s="5" t="s">
        <v>817</v>
      </c>
      <c r="C316" s="5" t="s">
        <v>25</v>
      </c>
      <c r="D316" s="5" t="s">
        <v>26</v>
      </c>
      <c r="E316" s="5" t="s">
        <v>279</v>
      </c>
      <c r="F316" s="9">
        <v>103</v>
      </c>
      <c r="G316" s="9">
        <v>1196</v>
      </c>
      <c r="H316" s="5" t="s">
        <v>21</v>
      </c>
      <c r="I316" s="5" t="s">
        <v>869</v>
      </c>
      <c r="J316" s="12" t="str">
        <f>HYPERLINK("https://www.boe.es/gazeta/dias/1800/12/23/pdfs/GMD-1800-103.pdf#page=8","Abrir facsímil")</f>
        <v>Abrir facsímil</v>
      </c>
      <c r="K316" s="15" t="s">
        <v>23</v>
      </c>
    </row>
    <row r="317" spans="1:11" ht="42" customHeight="1">
      <c r="A317" s="4" t="s">
        <v>816</v>
      </c>
      <c r="B317" s="5" t="s">
        <v>817</v>
      </c>
      <c r="C317" s="5" t="s">
        <v>54</v>
      </c>
      <c r="D317" s="5" t="s">
        <v>55</v>
      </c>
      <c r="E317" s="5" t="s">
        <v>60</v>
      </c>
      <c r="F317" s="9">
        <v>105</v>
      </c>
      <c r="G317" s="9">
        <v>1219</v>
      </c>
      <c r="H317" s="5" t="s">
        <v>21</v>
      </c>
      <c r="I317" s="5" t="s">
        <v>870</v>
      </c>
      <c r="J317" s="12" t="str">
        <f>HYPERLINK("https://www.boe.es/gazeta/dias/1800/12/30/pdfs/GMD-1800-105.pdf#page=3","Abrir facsímil")</f>
        <v>Abrir facsímil</v>
      </c>
      <c r="K317" s="15" t="s">
        <v>23</v>
      </c>
    </row>
    <row r="318" spans="1:11" ht="42" customHeight="1">
      <c r="A318" s="4" t="s">
        <v>816</v>
      </c>
      <c r="B318" s="5" t="s">
        <v>817</v>
      </c>
      <c r="C318" s="5" t="s">
        <v>41</v>
      </c>
      <c r="D318" s="5" t="s">
        <v>42</v>
      </c>
      <c r="E318" s="5" t="s">
        <v>60</v>
      </c>
      <c r="F318" s="9">
        <v>105</v>
      </c>
      <c r="G318" s="9">
        <v>1220</v>
      </c>
      <c r="H318" s="5" t="s">
        <v>21</v>
      </c>
      <c r="I318" s="5" t="s">
        <v>871</v>
      </c>
      <c r="J318" s="12" t="str">
        <f>HYPERLINK("https://www.boe.es/gazeta/dias/1800/12/30/pdfs/GMD-1800-105.pdf#page=4","Abrir facsímil")</f>
        <v>Abrir facsímil</v>
      </c>
      <c r="K318" s="15" t="s">
        <v>23</v>
      </c>
    </row>
    <row r="319" spans="1:11" ht="42" customHeight="1">
      <c r="A319" s="4" t="s">
        <v>816</v>
      </c>
      <c r="B319" s="5" t="s">
        <v>817</v>
      </c>
      <c r="C319" s="5" t="s">
        <v>41</v>
      </c>
      <c r="D319" s="5" t="s">
        <v>42</v>
      </c>
      <c r="E319" s="5" t="s">
        <v>60</v>
      </c>
      <c r="F319" s="9">
        <v>105</v>
      </c>
      <c r="G319" s="9">
        <v>1221</v>
      </c>
      <c r="H319" s="5" t="s">
        <v>21</v>
      </c>
      <c r="I319" s="5" t="s">
        <v>872</v>
      </c>
      <c r="J319" s="12" t="str">
        <f>HYPERLINK("https://www.boe.es/gazeta/dias/1800/12/30/pdfs/GMD-1800-105.pdf#page=5","Abrir facsímil")</f>
        <v>Abrir facsímil</v>
      </c>
      <c r="K319" s="15" t="s">
        <v>23</v>
      </c>
    </row>
    <row r="320" spans="1:11" ht="42" customHeight="1">
      <c r="A320" s="4" t="s">
        <v>816</v>
      </c>
      <c r="B320" s="5" t="s">
        <v>817</v>
      </c>
      <c r="C320" s="5" t="s">
        <v>41</v>
      </c>
      <c r="D320" s="5" t="s">
        <v>42</v>
      </c>
      <c r="E320" s="5" t="s">
        <v>60</v>
      </c>
      <c r="F320" s="9">
        <v>105</v>
      </c>
      <c r="G320" s="9">
        <v>1223</v>
      </c>
      <c r="H320" s="5" t="s">
        <v>21</v>
      </c>
      <c r="I320" s="5" t="s">
        <v>873</v>
      </c>
      <c r="J320" s="12" t="str">
        <f>HYPERLINK("https://www.boe.es/gazeta/dias/1800/12/30/pdfs/GMD-1800-105.pdf#page=7","Abrir facsímil")</f>
        <v>Abrir facsímil</v>
      </c>
      <c r="K320" s="15" t="s">
        <v>23</v>
      </c>
    </row>
    <row r="321" spans="1:11" ht="42" customHeight="1">
      <c r="A321" s="4" t="s">
        <v>874</v>
      </c>
      <c r="B321" s="5" t="s">
        <v>875</v>
      </c>
      <c r="C321" s="5" t="s">
        <v>41</v>
      </c>
      <c r="D321" s="5" t="s">
        <v>42</v>
      </c>
      <c r="E321" s="5" t="s">
        <v>836</v>
      </c>
      <c r="F321" s="9">
        <v>71</v>
      </c>
      <c r="G321" s="9">
        <v>787</v>
      </c>
      <c r="H321" s="5" t="s">
        <v>21</v>
      </c>
      <c r="I321" s="5" t="s">
        <v>876</v>
      </c>
      <c r="J321" s="12" t="str">
        <f>HYPERLINK("https://www.boe.es/gazeta/dias/1800/09/02/pdfs/GMD-1800-71.pdf#page=5","Abrir facsímil")</f>
        <v>Abrir facsímil</v>
      </c>
      <c r="K321" s="15" t="s">
        <v>23</v>
      </c>
    </row>
    <row r="322" spans="1:11" ht="42" customHeight="1">
      <c r="A322" s="4" t="s">
        <v>877</v>
      </c>
      <c r="B322" s="5" t="s">
        <v>878</v>
      </c>
      <c r="C322" s="5" t="s">
        <v>41</v>
      </c>
      <c r="D322" s="5" t="s">
        <v>42</v>
      </c>
      <c r="E322" s="5" t="s">
        <v>196</v>
      </c>
      <c r="F322" s="9">
        <v>97</v>
      </c>
      <c r="G322" s="9">
        <v>1113</v>
      </c>
      <c r="H322" s="5" t="s">
        <v>21</v>
      </c>
      <c r="I322" s="5" t="s">
        <v>879</v>
      </c>
      <c r="J322" s="12" t="str">
        <f>HYPERLINK("https://www.boe.es/gazeta/dias/1800/12/02/pdfs/GMD-1800-97.pdf#page=5","Abrir facsímil")</f>
        <v>Abrir facsímil</v>
      </c>
      <c r="K322" s="15" t="s">
        <v>23</v>
      </c>
    </row>
    <row r="323" spans="1:11" ht="42" customHeight="1">
      <c r="A323" s="4" t="s">
        <v>880</v>
      </c>
      <c r="B323" s="5" t="s">
        <v>881</v>
      </c>
      <c r="C323" s="5" t="s">
        <v>41</v>
      </c>
      <c r="D323" s="5" t="s">
        <v>42</v>
      </c>
      <c r="E323" s="5" t="s">
        <v>600</v>
      </c>
      <c r="F323" s="9">
        <v>45</v>
      </c>
      <c r="G323" s="9">
        <v>465</v>
      </c>
      <c r="H323" s="5" t="s">
        <v>21</v>
      </c>
      <c r="I323" s="5" t="s">
        <v>882</v>
      </c>
      <c r="J323" s="12" t="str">
        <f>HYPERLINK("https://www.boe.es/gazeta/dias/1800/06/06/pdfs/GMD-1800-45.pdf#page=1","Abrir facsímil")</f>
        <v>Abrir facsímil</v>
      </c>
      <c r="K323" s="15" t="s">
        <v>23</v>
      </c>
    </row>
    <row r="324" spans="1:11" ht="42" customHeight="1">
      <c r="A324" s="4" t="s">
        <v>880</v>
      </c>
      <c r="B324" s="5" t="s">
        <v>881</v>
      </c>
      <c r="C324" s="5" t="s">
        <v>41</v>
      </c>
      <c r="D324" s="5" t="s">
        <v>42</v>
      </c>
      <c r="E324" s="5" t="s">
        <v>43</v>
      </c>
      <c r="F324" s="9">
        <v>46</v>
      </c>
      <c r="G324" s="9">
        <v>481</v>
      </c>
      <c r="H324" s="5" t="s">
        <v>21</v>
      </c>
      <c r="I324" s="5" t="s">
        <v>883</v>
      </c>
      <c r="J324" s="12" t="str">
        <f>HYPERLINK("https://www.boe.es/gazeta/dias/1800/06/10/pdfs/GMD-1800-46.pdf#page=5","Abrir facsímil")</f>
        <v>Abrir facsímil</v>
      </c>
      <c r="K324" s="15" t="s">
        <v>23</v>
      </c>
    </row>
    <row r="325" spans="1:11" ht="42" customHeight="1">
      <c r="A325" s="4" t="s">
        <v>884</v>
      </c>
      <c r="B325" s="5" t="s">
        <v>885</v>
      </c>
      <c r="C325" s="5" t="s">
        <v>41</v>
      </c>
      <c r="D325" s="5" t="s">
        <v>42</v>
      </c>
      <c r="E325" s="5" t="s">
        <v>20</v>
      </c>
      <c r="F325" s="9">
        <v>104</v>
      </c>
      <c r="G325" s="9">
        <v>1204</v>
      </c>
      <c r="H325" s="5" t="s">
        <v>21</v>
      </c>
      <c r="I325" s="5" t="s">
        <v>886</v>
      </c>
      <c r="J325" s="12" t="str">
        <f>HYPERLINK("https://www.boe.es/gazeta/dias/1800/12/26/pdfs/GMD-1800-104.pdf#page=4","Abrir facsímil")</f>
        <v>Abrir facsímil</v>
      </c>
      <c r="K325" s="15" t="s">
        <v>23</v>
      </c>
    </row>
    <row r="326" spans="1:11" ht="42" customHeight="1">
      <c r="A326" s="4" t="s">
        <v>887</v>
      </c>
      <c r="B326" s="5" t="s">
        <v>888</v>
      </c>
      <c r="C326" s="5" t="s">
        <v>18</v>
      </c>
      <c r="D326" s="5" t="s">
        <v>19</v>
      </c>
      <c r="E326" s="5" t="s">
        <v>828</v>
      </c>
      <c r="F326" s="9">
        <v>53</v>
      </c>
      <c r="G326" s="9">
        <v>583</v>
      </c>
      <c r="H326" s="5" t="s">
        <v>21</v>
      </c>
      <c r="I326" s="5" t="s">
        <v>889</v>
      </c>
      <c r="J326" s="12" t="str">
        <f>HYPERLINK("https://www.boe.es/gazeta/dias/1800/07/04/pdfs/GMD-1800-53.pdf#page=3","Abrir facsímil")</f>
        <v>Abrir facsímil</v>
      </c>
      <c r="K326" s="15" t="s">
        <v>23</v>
      </c>
    </row>
    <row r="327" spans="1:11" ht="42" customHeight="1">
      <c r="A327" s="4" t="s">
        <v>890</v>
      </c>
      <c r="B327" s="5" t="s">
        <v>890</v>
      </c>
      <c r="C327" s="5" t="s">
        <v>54</v>
      </c>
      <c r="D327" s="5" t="s">
        <v>55</v>
      </c>
      <c r="E327" s="5" t="s">
        <v>279</v>
      </c>
      <c r="F327" s="9">
        <v>103</v>
      </c>
      <c r="G327" s="9">
        <v>1195</v>
      </c>
      <c r="H327" s="5" t="s">
        <v>21</v>
      </c>
      <c r="I327" s="5" t="s">
        <v>891</v>
      </c>
      <c r="J327" s="12" t="str">
        <f>HYPERLINK("https://www.boe.es/gazeta/dias/1800/12/23/pdfs/GMD-1800-103.pdf#page=7","Abrir facsímil")</f>
        <v>Abrir facsímil</v>
      </c>
      <c r="K327" s="15" t="s">
        <v>23</v>
      </c>
    </row>
    <row r="328" spans="1:11" ht="42" customHeight="1">
      <c r="A328" s="4" t="s">
        <v>892</v>
      </c>
      <c r="B328" s="5" t="s">
        <v>893</v>
      </c>
      <c r="C328" s="5" t="s">
        <v>41</v>
      </c>
      <c r="D328" s="5" t="s">
        <v>42</v>
      </c>
      <c r="E328" s="5" t="s">
        <v>534</v>
      </c>
      <c r="F328" s="9">
        <v>100</v>
      </c>
      <c r="G328" s="9">
        <v>1152</v>
      </c>
      <c r="H328" s="5" t="s">
        <v>21</v>
      </c>
      <c r="I328" s="5" t="s">
        <v>894</v>
      </c>
      <c r="J328" s="12" t="str">
        <f>HYPERLINK("https://www.boe.es/gazeta/dias/1800/12/12/pdfs/GMD-1800-100.pdf#page=4","Abrir facsímil")</f>
        <v>Abrir facsímil</v>
      </c>
      <c r="K328" s="15" t="s">
        <v>23</v>
      </c>
    </row>
    <row r="329" spans="1:11" ht="42" customHeight="1">
      <c r="A329" s="4" t="s">
        <v>895</v>
      </c>
      <c r="B329" s="5" t="s">
        <v>896</v>
      </c>
      <c r="C329" s="5" t="s">
        <v>41</v>
      </c>
      <c r="D329" s="5" t="s">
        <v>42</v>
      </c>
      <c r="E329" s="5" t="s">
        <v>226</v>
      </c>
      <c r="F329" s="9">
        <v>27</v>
      </c>
      <c r="G329" s="9">
        <v>275</v>
      </c>
      <c r="H329" s="5" t="s">
        <v>21</v>
      </c>
      <c r="I329" s="5" t="s">
        <v>897</v>
      </c>
      <c r="J329" s="12" t="str">
        <f>HYPERLINK("https://www.boe.es/gazeta/dias/1800/04/04/pdfs/GMD-1800-27.pdf#page=3","Abrir facsímil")</f>
        <v>Abrir facsímil</v>
      </c>
      <c r="K329" s="15" t="s">
        <v>23</v>
      </c>
    </row>
    <row r="330" spans="1:11" ht="42" customHeight="1">
      <c r="A330" s="4" t="s">
        <v>898</v>
      </c>
      <c r="B330" s="5" t="s">
        <v>899</v>
      </c>
      <c r="C330" s="5" t="s">
        <v>18</v>
      </c>
      <c r="D330" s="5" t="s">
        <v>19</v>
      </c>
      <c r="E330" s="5" t="s">
        <v>111</v>
      </c>
      <c r="F330" s="9">
        <v>98</v>
      </c>
      <c r="G330" s="9">
        <v>1129</v>
      </c>
      <c r="H330" s="5" t="s">
        <v>21</v>
      </c>
      <c r="I330" s="5" t="s">
        <v>900</v>
      </c>
      <c r="J330" s="12" t="str">
        <f>HYPERLINK("https://www.boe.es/gazeta/dias/1800/12/05/pdfs/GMD-1800-98.pdf#page=9","Abrir facsímil")</f>
        <v>Abrir facsímil</v>
      </c>
      <c r="K330" s="15" t="s">
        <v>23</v>
      </c>
    </row>
    <row r="331" spans="1:11" ht="42" customHeight="1">
      <c r="A331" s="4" t="s">
        <v>901</v>
      </c>
      <c r="B331" s="5" t="s">
        <v>902</v>
      </c>
      <c r="C331" s="5" t="s">
        <v>54</v>
      </c>
      <c r="D331" s="5" t="s">
        <v>55</v>
      </c>
      <c r="E331" s="5" t="s">
        <v>43</v>
      </c>
      <c r="F331" s="9">
        <v>46</v>
      </c>
      <c r="G331" s="9">
        <v>490</v>
      </c>
      <c r="H331" s="5" t="s">
        <v>21</v>
      </c>
      <c r="I331" s="5" t="s">
        <v>903</v>
      </c>
      <c r="J331" s="12" t="str">
        <f>HYPERLINK("https://www.boe.es/gazeta/dias/1800/06/10/pdfs/GMD-1800-46.pdf#page=14","Abrir facsímil")</f>
        <v>Abrir facsímil</v>
      </c>
      <c r="K331" s="15" t="s">
        <v>23</v>
      </c>
    </row>
    <row r="332" spans="1:11" ht="42" customHeight="1">
      <c r="A332" s="4" t="s">
        <v>904</v>
      </c>
      <c r="B332" s="5" t="s">
        <v>905</v>
      </c>
      <c r="C332" s="5" t="s">
        <v>18</v>
      </c>
      <c r="D332" s="5" t="s">
        <v>19</v>
      </c>
      <c r="E332" s="5" t="s">
        <v>262</v>
      </c>
      <c r="F332" s="9">
        <v>39</v>
      </c>
      <c r="G332" s="9">
        <v>401</v>
      </c>
      <c r="H332" s="5" t="s">
        <v>21</v>
      </c>
      <c r="I332" s="5" t="s">
        <v>906</v>
      </c>
      <c r="J332" s="12" t="str">
        <f>HYPERLINK("https://www.boe.es/gazeta/dias/1800/05/16/pdfs/GMD-1800-39.pdf#page=9","Abrir facsímil")</f>
        <v>Abrir facsímil</v>
      </c>
      <c r="K332" s="15" t="s">
        <v>23</v>
      </c>
    </row>
    <row r="333" spans="1:11" ht="42" customHeight="1">
      <c r="A333" s="4" t="s">
        <v>907</v>
      </c>
      <c r="B333" s="5" t="s">
        <v>908</v>
      </c>
      <c r="C333" s="5" t="s">
        <v>18</v>
      </c>
      <c r="D333" s="5" t="s">
        <v>19</v>
      </c>
      <c r="E333" s="5" t="s">
        <v>240</v>
      </c>
      <c r="F333" s="9">
        <v>26</v>
      </c>
      <c r="G333" s="9">
        <v>269</v>
      </c>
      <c r="H333" s="5" t="s">
        <v>21</v>
      </c>
      <c r="I333" s="5" t="s">
        <v>909</v>
      </c>
      <c r="J333" s="12" t="str">
        <f>HYPERLINK("https://www.boe.es/gazeta/dias/1800/04/01/pdfs/GMD-1800-26.pdf#page=9","Abrir facsímil")</f>
        <v>Abrir facsímil</v>
      </c>
      <c r="K333" s="15" t="s">
        <v>23</v>
      </c>
    </row>
    <row r="334" spans="1:11" ht="42" customHeight="1">
      <c r="A334" s="4" t="s">
        <v>910</v>
      </c>
      <c r="B334" s="5" t="s">
        <v>911</v>
      </c>
      <c r="C334" s="5" t="s">
        <v>207</v>
      </c>
      <c r="D334" s="5" t="s">
        <v>55</v>
      </c>
      <c r="E334" s="5" t="s">
        <v>135</v>
      </c>
      <c r="F334" s="9">
        <v>73</v>
      </c>
      <c r="G334" s="9">
        <v>814</v>
      </c>
      <c r="H334" s="5" t="s">
        <v>21</v>
      </c>
      <c r="I334" s="5" t="s">
        <v>912</v>
      </c>
      <c r="J334" s="12" t="str">
        <f>HYPERLINK("https://www.boe.es/gazeta/dias/1800/09/09/pdfs/GMD-1800-73.pdf#page=8","Abrir facsímil")</f>
        <v>Abrir facsímil</v>
      </c>
      <c r="K334" s="15" t="s">
        <v>23</v>
      </c>
    </row>
    <row r="335" spans="1:11" ht="42" customHeight="1">
      <c r="A335" s="4" t="s">
        <v>913</v>
      </c>
      <c r="B335" s="5" t="s">
        <v>914</v>
      </c>
      <c r="C335" s="5" t="s">
        <v>18</v>
      </c>
      <c r="D335" s="5" t="s">
        <v>19</v>
      </c>
      <c r="E335" s="5" t="s">
        <v>139</v>
      </c>
      <c r="F335" s="9">
        <v>2</v>
      </c>
      <c r="G335" s="9">
        <v>17</v>
      </c>
      <c r="H335" s="5" t="s">
        <v>21</v>
      </c>
      <c r="I335" s="5" t="s">
        <v>915</v>
      </c>
      <c r="J335" s="12" t="str">
        <f>HYPERLINK("https://www.boe.es/gazeta/dias/1800/01/07/pdfs/GMD-1800-2.pdf#page=9","Abrir facsímil")</f>
        <v>Abrir facsímil</v>
      </c>
      <c r="K335" s="15" t="s">
        <v>23</v>
      </c>
    </row>
    <row r="336" spans="1:11" ht="42" customHeight="1">
      <c r="A336" s="4" t="s">
        <v>916</v>
      </c>
      <c r="B336" s="5" t="s">
        <v>917</v>
      </c>
      <c r="C336" s="5" t="s">
        <v>18</v>
      </c>
      <c r="D336" s="5" t="s">
        <v>19</v>
      </c>
      <c r="E336" s="5" t="s">
        <v>503</v>
      </c>
      <c r="F336" s="9">
        <v>13</v>
      </c>
      <c r="G336" s="9">
        <v>126</v>
      </c>
      <c r="H336" s="5" t="s">
        <v>21</v>
      </c>
      <c r="I336" s="5" t="s">
        <v>918</v>
      </c>
      <c r="J336" s="12" t="str">
        <f>HYPERLINK("https://www.boe.es/gazeta/dias/1800/02/14/pdfs/GMD-1800-13.pdf#page=10","Abrir facsímil")</f>
        <v>Abrir facsímil</v>
      </c>
      <c r="K336" s="15" t="s">
        <v>23</v>
      </c>
    </row>
    <row r="337" spans="1:11" ht="42" customHeight="1">
      <c r="A337" s="4" t="s">
        <v>919</v>
      </c>
      <c r="B337" s="5" t="s">
        <v>920</v>
      </c>
      <c r="C337" s="5" t="s">
        <v>41</v>
      </c>
      <c r="D337" s="5" t="s">
        <v>42</v>
      </c>
      <c r="E337" s="5" t="s">
        <v>461</v>
      </c>
      <c r="F337" s="9">
        <v>18</v>
      </c>
      <c r="G337" s="9">
        <v>168</v>
      </c>
      <c r="H337" s="5" t="s">
        <v>21</v>
      </c>
      <c r="I337" s="5" t="s">
        <v>921</v>
      </c>
      <c r="J337" s="12" t="str">
        <f>HYPERLINK("https://www.boe.es/datos/pdfs/BOE//1800/018/C00173-00176.pdf#page=4","Abrir facsímil")</f>
        <v>Abrir facsímil</v>
      </c>
      <c r="K337" s="15" t="s">
        <v>23</v>
      </c>
    </row>
    <row r="338" spans="1:11" ht="42" customHeight="1">
      <c r="A338" s="4" t="s">
        <v>919</v>
      </c>
      <c r="B338" s="5" t="s">
        <v>920</v>
      </c>
      <c r="C338" s="5" t="s">
        <v>41</v>
      </c>
      <c r="D338" s="5" t="s">
        <v>42</v>
      </c>
      <c r="E338" s="5" t="s">
        <v>240</v>
      </c>
      <c r="F338" s="9">
        <v>26</v>
      </c>
      <c r="G338" s="9">
        <v>265</v>
      </c>
      <c r="H338" s="5" t="s">
        <v>21</v>
      </c>
      <c r="I338" s="5" t="s">
        <v>922</v>
      </c>
      <c r="J338" s="12" t="str">
        <f>HYPERLINK("https://www.boe.es/gazeta/dias/1800/04/01/pdfs/GMD-1800-26.pdf#page=5","Abrir facsímil")</f>
        <v>Abrir facsímil</v>
      </c>
      <c r="K338" s="15" t="s">
        <v>23</v>
      </c>
    </row>
    <row r="339" spans="1:11" ht="42" customHeight="1">
      <c r="A339" s="4" t="s">
        <v>923</v>
      </c>
      <c r="B339" s="5" t="s">
        <v>924</v>
      </c>
      <c r="C339" s="5" t="s">
        <v>18</v>
      </c>
      <c r="D339" s="5" t="s">
        <v>19</v>
      </c>
      <c r="E339" s="5" t="s">
        <v>422</v>
      </c>
      <c r="F339" s="9">
        <v>85</v>
      </c>
      <c r="G339" s="9">
        <v>985</v>
      </c>
      <c r="H339" s="5" t="s">
        <v>21</v>
      </c>
      <c r="I339" s="5" t="s">
        <v>925</v>
      </c>
      <c r="J339" s="12" t="str">
        <f>HYPERLINK("https://www.boe.es/gazeta/dias/1800/10/21/pdfs/GMD-1800-85.pdf#page=7","Abrir facsímil")</f>
        <v>Abrir facsímil</v>
      </c>
      <c r="K339" s="15" t="s">
        <v>23</v>
      </c>
    </row>
    <row r="340" spans="1:11" ht="42" customHeight="1">
      <c r="A340" s="4" t="s">
        <v>926</v>
      </c>
      <c r="B340" s="5" t="s">
        <v>926</v>
      </c>
      <c r="C340" s="5" t="s">
        <v>41</v>
      </c>
      <c r="D340" s="5" t="s">
        <v>42</v>
      </c>
      <c r="E340" s="5" t="s">
        <v>176</v>
      </c>
      <c r="F340" s="9">
        <v>88</v>
      </c>
      <c r="G340" s="9">
        <v>1029</v>
      </c>
      <c r="H340" s="5" t="s">
        <v>21</v>
      </c>
      <c r="I340" s="5" t="s">
        <v>927</v>
      </c>
      <c r="J340" s="12" t="str">
        <f>HYPERLINK("https://www.boe.es/gazeta/dias/1800/10/31/pdfs/GMD-1800-88.pdf#page=11","Abrir facsímil")</f>
        <v>Abrir facsímil</v>
      </c>
      <c r="K340" s="15" t="s">
        <v>23</v>
      </c>
    </row>
    <row r="341" spans="1:11" ht="42" customHeight="1">
      <c r="A341" s="4" t="s">
        <v>928</v>
      </c>
      <c r="B341" s="5" t="s">
        <v>929</v>
      </c>
      <c r="C341" s="5" t="s">
        <v>25</v>
      </c>
      <c r="D341" s="5" t="s">
        <v>26</v>
      </c>
      <c r="E341" s="5" t="s">
        <v>406</v>
      </c>
      <c r="F341" s="9">
        <v>44</v>
      </c>
      <c r="G341" s="9">
        <v>461</v>
      </c>
      <c r="H341" s="5" t="s">
        <v>21</v>
      </c>
      <c r="I341" s="5" t="s">
        <v>930</v>
      </c>
      <c r="J341" s="12" t="str">
        <f>HYPERLINK("https://www.boe.es/gazeta/dias/1800/06/03/pdfs/GMD-1800-44.pdf#page=9","Abrir facsímil")</f>
        <v>Abrir facsímil</v>
      </c>
      <c r="K341" s="15" t="s">
        <v>23</v>
      </c>
    </row>
    <row r="342" spans="1:11" ht="42" customHeight="1">
      <c r="A342" s="4" t="s">
        <v>931</v>
      </c>
      <c r="B342" s="5" t="s">
        <v>932</v>
      </c>
      <c r="C342" s="5" t="s">
        <v>84</v>
      </c>
      <c r="D342" s="5" t="s">
        <v>85</v>
      </c>
      <c r="E342" s="5" t="s">
        <v>158</v>
      </c>
      <c r="F342" s="9">
        <v>25</v>
      </c>
      <c r="G342" s="9">
        <v>260</v>
      </c>
      <c r="H342" s="5" t="s">
        <v>21</v>
      </c>
      <c r="I342" s="5" t="s">
        <v>933</v>
      </c>
      <c r="J342" s="12" t="str">
        <f>HYPERLINK("https://www.boe.es/gazeta/dias/1800/03/28/pdfs/GMD-1800-25.pdf#page=12","Abrir facsímil")</f>
        <v>Abrir facsímil</v>
      </c>
      <c r="K342" s="15" t="s">
        <v>23</v>
      </c>
    </row>
    <row r="343" spans="1:11" ht="42" customHeight="1">
      <c r="A343" s="4" t="s">
        <v>934</v>
      </c>
      <c r="B343" s="5" t="s">
        <v>935</v>
      </c>
      <c r="C343" s="5" t="s">
        <v>18</v>
      </c>
      <c r="D343" s="5" t="s">
        <v>19</v>
      </c>
      <c r="E343" s="5" t="s">
        <v>534</v>
      </c>
      <c r="F343" s="9">
        <v>100</v>
      </c>
      <c r="G343" s="9">
        <v>1160</v>
      </c>
      <c r="H343" s="5" t="s">
        <v>21</v>
      </c>
      <c r="I343" s="5" t="s">
        <v>936</v>
      </c>
      <c r="J343" s="12" t="str">
        <f>HYPERLINK("https://www.boe.es/gazeta/dias/1800/12/12/pdfs/GMD-1800-100.pdf#page=12","Abrir facsímil")</f>
        <v>Abrir facsímil</v>
      </c>
      <c r="K343" s="15" t="s">
        <v>23</v>
      </c>
    </row>
    <row r="344" spans="1:11" ht="42" customHeight="1">
      <c r="A344" s="4" t="s">
        <v>937</v>
      </c>
      <c r="B344" s="5" t="s">
        <v>938</v>
      </c>
      <c r="C344" s="5" t="s">
        <v>18</v>
      </c>
      <c r="D344" s="5" t="s">
        <v>19</v>
      </c>
      <c r="E344" s="5" t="s">
        <v>56</v>
      </c>
      <c r="F344" s="9">
        <v>90</v>
      </c>
      <c r="G344" s="9">
        <v>1056</v>
      </c>
      <c r="H344" s="5" t="s">
        <v>21</v>
      </c>
      <c r="I344" s="5" t="s">
        <v>939</v>
      </c>
      <c r="J344" s="12" t="str">
        <f>HYPERLINK("https://www.boe.es/gazeta/dias/1800/11/07/pdfs/GMD-1800-90.pdf#page=10","Abrir facsímil")</f>
        <v>Abrir facsímil</v>
      </c>
      <c r="K344" s="15" t="s">
        <v>23</v>
      </c>
    </row>
    <row r="345" spans="1:11" ht="42" customHeight="1">
      <c r="A345" s="4" t="s">
        <v>940</v>
      </c>
      <c r="B345" s="5" t="s">
        <v>941</v>
      </c>
      <c r="C345" s="5" t="s">
        <v>41</v>
      </c>
      <c r="D345" s="5" t="s">
        <v>42</v>
      </c>
      <c r="E345" s="5" t="s">
        <v>600</v>
      </c>
      <c r="F345" s="9">
        <v>45</v>
      </c>
      <c r="G345" s="9">
        <v>471</v>
      </c>
      <c r="H345" s="5" t="s">
        <v>21</v>
      </c>
      <c r="I345" s="5" t="s">
        <v>942</v>
      </c>
      <c r="J345" s="12" t="str">
        <f>HYPERLINK("https://www.boe.es/gazeta/dias/1800/06/06/pdfs/GMD-1800-45.pdf#page=7","Abrir facsímil")</f>
        <v>Abrir facsímil</v>
      </c>
      <c r="K345" s="15" t="s">
        <v>23</v>
      </c>
    </row>
    <row r="346" spans="1:11" ht="42" customHeight="1">
      <c r="A346" s="4" t="s">
        <v>943</v>
      </c>
      <c r="B346" s="5" t="s">
        <v>944</v>
      </c>
      <c r="C346" s="5" t="s">
        <v>207</v>
      </c>
      <c r="D346" s="5" t="s">
        <v>55</v>
      </c>
      <c r="E346" s="5" t="s">
        <v>116</v>
      </c>
      <c r="F346" s="9">
        <v>86</v>
      </c>
      <c r="G346" s="9">
        <v>997</v>
      </c>
      <c r="H346" s="5" t="s">
        <v>21</v>
      </c>
      <c r="I346" s="5" t="s">
        <v>945</v>
      </c>
      <c r="J346" s="12" t="str">
        <f>HYPERLINK("https://www.boe.es/gazeta/dias/1800/10/24/pdfs/GMD-1800-86.pdf#page=7","Abrir facsímil")</f>
        <v>Abrir facsímil</v>
      </c>
      <c r="K346" s="15" t="s">
        <v>23</v>
      </c>
    </row>
    <row r="347" spans="1:11" ht="42" customHeight="1">
      <c r="A347" s="4" t="s">
        <v>946</v>
      </c>
      <c r="B347" s="5" t="s">
        <v>947</v>
      </c>
      <c r="C347" s="5" t="s">
        <v>18</v>
      </c>
      <c r="D347" s="5" t="s">
        <v>19</v>
      </c>
      <c r="E347" s="5" t="s">
        <v>154</v>
      </c>
      <c r="F347" s="9">
        <v>61</v>
      </c>
      <c r="G347" s="9">
        <v>697</v>
      </c>
      <c r="H347" s="5" t="s">
        <v>21</v>
      </c>
      <c r="I347" s="5" t="s">
        <v>948</v>
      </c>
      <c r="J347" s="12" t="str">
        <f>HYPERLINK("https://www.boe.es/gazeta/dias/1800/08/01/pdfs/GMD-1800-61.pdf#page=9","Abrir facsímil")</f>
        <v>Abrir facsímil</v>
      </c>
      <c r="K347" s="15" t="s">
        <v>23</v>
      </c>
    </row>
    <row r="348" spans="1:11" ht="42" customHeight="1">
      <c r="A348" s="4" t="s">
        <v>949</v>
      </c>
      <c r="B348" s="5" t="s">
        <v>950</v>
      </c>
      <c r="C348" s="5" t="s">
        <v>207</v>
      </c>
      <c r="D348" s="5" t="s">
        <v>55</v>
      </c>
      <c r="E348" s="5" t="s">
        <v>618</v>
      </c>
      <c r="F348" s="9">
        <v>1</v>
      </c>
      <c r="G348" s="9">
        <v>5</v>
      </c>
      <c r="H348" s="5" t="s">
        <v>21</v>
      </c>
      <c r="I348" s="5" t="s">
        <v>951</v>
      </c>
      <c r="J348" s="12" t="str">
        <f>HYPERLINK("https://www.boe.es/gazeta/dias/1800/01/03/pdfs/GMD-1800-1.pdf#page=5","Abrir facsímil")</f>
        <v>Abrir facsímil</v>
      </c>
      <c r="K348" s="15" t="s">
        <v>23</v>
      </c>
    </row>
    <row r="349" spans="1:11" ht="42" customHeight="1">
      <c r="A349" s="4" t="s">
        <v>952</v>
      </c>
      <c r="B349" s="5" t="s">
        <v>952</v>
      </c>
      <c r="C349" s="5" t="s">
        <v>41</v>
      </c>
      <c r="D349" s="5" t="s">
        <v>42</v>
      </c>
      <c r="E349" s="5" t="s">
        <v>116</v>
      </c>
      <c r="F349" s="9">
        <v>86</v>
      </c>
      <c r="G349" s="9">
        <v>994</v>
      </c>
      <c r="H349" s="5" t="s">
        <v>21</v>
      </c>
      <c r="I349" s="5" t="s">
        <v>953</v>
      </c>
      <c r="J349" s="12" t="str">
        <f>HYPERLINK("https://www.boe.es/gazeta/dias/1800/10/24/pdfs/GMD-1800-86.pdf#page=4","Abrir facsímil")</f>
        <v>Abrir facsímil</v>
      </c>
      <c r="K349" s="15" t="s">
        <v>23</v>
      </c>
    </row>
    <row r="350" spans="1:11" ht="42" customHeight="1">
      <c r="A350" s="4" t="s">
        <v>954</v>
      </c>
      <c r="B350" s="5" t="s">
        <v>955</v>
      </c>
      <c r="C350" s="5" t="s">
        <v>25</v>
      </c>
      <c r="D350" s="5" t="s">
        <v>26</v>
      </c>
      <c r="E350" s="5" t="s">
        <v>45</v>
      </c>
      <c r="F350" s="9">
        <v>47</v>
      </c>
      <c r="G350" s="9">
        <v>502</v>
      </c>
      <c r="H350" s="5" t="s">
        <v>21</v>
      </c>
      <c r="I350" s="5" t="s">
        <v>956</v>
      </c>
      <c r="J350" s="12" t="str">
        <f>HYPERLINK("https://www.boe.es/gazeta/dias/1800/06/13/pdfs/GMD-1800-47.pdf#page=10","Abrir facsímil")</f>
        <v>Abrir facsímil</v>
      </c>
      <c r="K350" s="15" t="s">
        <v>23</v>
      </c>
    </row>
    <row r="351" spans="1:11" ht="42" customHeight="1">
      <c r="A351" s="4" t="s">
        <v>957</v>
      </c>
      <c r="B351" s="5" t="s">
        <v>958</v>
      </c>
      <c r="C351" s="5" t="s">
        <v>18</v>
      </c>
      <c r="D351" s="5" t="s">
        <v>19</v>
      </c>
      <c r="E351" s="5" t="s">
        <v>190</v>
      </c>
      <c r="F351" s="9">
        <v>93</v>
      </c>
      <c r="G351" s="9">
        <v>1067</v>
      </c>
      <c r="H351" s="5" t="s">
        <v>21</v>
      </c>
      <c r="I351" s="5" t="s">
        <v>959</v>
      </c>
      <c r="J351" s="12" t="str">
        <f>HYPERLINK("https://www.boe.es/gazeta/dias/1800/11/18/pdfs/GMD-1800-93.pdf#page=13","Abrir facsímil")</f>
        <v>Abrir facsímil</v>
      </c>
      <c r="K351" s="15" t="s">
        <v>23</v>
      </c>
    </row>
    <row r="352" spans="1:11" ht="42" customHeight="1">
      <c r="A352" s="4" t="s">
        <v>960</v>
      </c>
      <c r="B352" s="5" t="s">
        <v>961</v>
      </c>
      <c r="C352" s="5" t="s">
        <v>18</v>
      </c>
      <c r="D352" s="5" t="s">
        <v>19</v>
      </c>
      <c r="E352" s="5" t="s">
        <v>48</v>
      </c>
      <c r="F352" s="9">
        <v>66</v>
      </c>
      <c r="G352" s="9">
        <v>746</v>
      </c>
      <c r="H352" s="5" t="s">
        <v>21</v>
      </c>
      <c r="I352" s="5" t="s">
        <v>962</v>
      </c>
      <c r="J352" s="12" t="str">
        <f>HYPERLINK("https://www.boe.es/gazeta/dias/1800/08/19/pdfs/GMD-1800-66.pdf#page=10","Abrir facsímil")</f>
        <v>Abrir facsímil</v>
      </c>
      <c r="K352" s="15" t="s">
        <v>23</v>
      </c>
    </row>
    <row r="353" spans="1:11" ht="42" customHeight="1">
      <c r="A353" s="4" t="s">
        <v>963</v>
      </c>
      <c r="B353" s="5" t="s">
        <v>964</v>
      </c>
      <c r="C353" s="5" t="s">
        <v>18</v>
      </c>
      <c r="D353" s="5" t="s">
        <v>19</v>
      </c>
      <c r="E353" s="5" t="s">
        <v>196</v>
      </c>
      <c r="F353" s="9">
        <v>97</v>
      </c>
      <c r="G353" s="9">
        <v>1117</v>
      </c>
      <c r="H353" s="5" t="s">
        <v>21</v>
      </c>
      <c r="I353" s="5" t="s">
        <v>965</v>
      </c>
      <c r="J353" s="12" t="str">
        <f>HYPERLINK("https://www.boe.es/gazeta/dias/1800/12/02/pdfs/GMD-1800-97.pdf#page=9","Abrir facsímil")</f>
        <v>Abrir facsímil</v>
      </c>
      <c r="K353" s="15" t="s">
        <v>23</v>
      </c>
    </row>
    <row r="354" spans="1:11" ht="42" customHeight="1">
      <c r="A354" s="4" t="s">
        <v>966</v>
      </c>
      <c r="B354" s="5" t="s">
        <v>967</v>
      </c>
      <c r="C354" s="5" t="s">
        <v>18</v>
      </c>
      <c r="D354" s="5" t="s">
        <v>19</v>
      </c>
      <c r="E354" s="5" t="s">
        <v>310</v>
      </c>
      <c r="F354" s="9">
        <v>56</v>
      </c>
      <c r="G354" s="9">
        <v>633</v>
      </c>
      <c r="H354" s="5" t="s">
        <v>21</v>
      </c>
      <c r="I354" s="5" t="s">
        <v>968</v>
      </c>
      <c r="J354" s="12" t="str">
        <f>HYPERLINK("https://www.boe.es/gazeta/dias/1800/07/15/pdfs/GMD-1800-56.pdf#page=9","Abrir facsímil")</f>
        <v>Abrir facsímil</v>
      </c>
      <c r="K354" s="15" t="s">
        <v>23</v>
      </c>
    </row>
    <row r="355" spans="1:11" ht="42" customHeight="1">
      <c r="A355" s="4" t="s">
        <v>969</v>
      </c>
      <c r="B355" s="5" t="s">
        <v>970</v>
      </c>
      <c r="C355" s="5" t="s">
        <v>18</v>
      </c>
      <c r="D355" s="5" t="s">
        <v>19</v>
      </c>
      <c r="E355" s="5" t="s">
        <v>143</v>
      </c>
      <c r="F355" s="9">
        <v>22</v>
      </c>
      <c r="G355" s="9">
        <v>220</v>
      </c>
      <c r="H355" s="5" t="s">
        <v>21</v>
      </c>
      <c r="I355" s="5" t="s">
        <v>971</v>
      </c>
      <c r="J355" s="12" t="str">
        <f>HYPERLINK("https://www.boe.es/gazeta/dias/1800/03/18/pdfs/GMD-1800-22.pdf#page=12","Abrir facsímil")</f>
        <v>Abrir facsímil</v>
      </c>
      <c r="K355" s="15" t="s">
        <v>23</v>
      </c>
    </row>
    <row r="356" spans="1:11" ht="42" customHeight="1">
      <c r="A356" s="4" t="s">
        <v>972</v>
      </c>
      <c r="B356" s="5" t="s">
        <v>973</v>
      </c>
      <c r="C356" s="5" t="s">
        <v>84</v>
      </c>
      <c r="D356" s="5" t="s">
        <v>85</v>
      </c>
      <c r="E356" s="5" t="s">
        <v>787</v>
      </c>
      <c r="F356" s="9">
        <v>6</v>
      </c>
      <c r="G356" s="9">
        <v>56</v>
      </c>
      <c r="H356" s="5" t="s">
        <v>21</v>
      </c>
      <c r="I356" s="5" t="s">
        <v>974</v>
      </c>
      <c r="J356" s="12" t="str">
        <f>HYPERLINK("https://www.boe.es/gazeta/dias/1800/01/21/pdfs/GMD-1800-6.pdf#page=8","Abrir facsímil")</f>
        <v>Abrir facsímil</v>
      </c>
      <c r="K356" s="15" t="s">
        <v>23</v>
      </c>
    </row>
    <row r="357" spans="1:11" ht="42" customHeight="1">
      <c r="A357" s="4" t="s">
        <v>975</v>
      </c>
      <c r="B357" s="5" t="s">
        <v>976</v>
      </c>
      <c r="C357" s="5" t="s">
        <v>41</v>
      </c>
      <c r="D357" s="5" t="s">
        <v>42</v>
      </c>
      <c r="E357" s="5" t="s">
        <v>283</v>
      </c>
      <c r="F357" s="9">
        <v>68</v>
      </c>
      <c r="G357" s="9">
        <v>760</v>
      </c>
      <c r="H357" s="5" t="s">
        <v>21</v>
      </c>
      <c r="I357" s="5" t="s">
        <v>977</v>
      </c>
      <c r="J357" s="12" t="str">
        <f>HYPERLINK("https://www.boe.es/gazeta/dias/1800/08/26/pdfs/GMD-1800-68.pdf#page=4","Abrir facsímil")</f>
        <v>Abrir facsímil</v>
      </c>
      <c r="K357" s="15" t="s">
        <v>23</v>
      </c>
    </row>
    <row r="358" spans="1:11" ht="42" customHeight="1">
      <c r="A358" s="4" t="s">
        <v>978</v>
      </c>
      <c r="B358" s="5" t="s">
        <v>979</v>
      </c>
      <c r="C358" s="5" t="s">
        <v>18</v>
      </c>
      <c r="D358" s="5" t="s">
        <v>19</v>
      </c>
      <c r="E358" s="5" t="s">
        <v>176</v>
      </c>
      <c r="F358" s="9">
        <v>88</v>
      </c>
      <c r="G358" s="9">
        <v>1031</v>
      </c>
      <c r="H358" s="5" t="s">
        <v>21</v>
      </c>
      <c r="I358" s="5" t="s">
        <v>980</v>
      </c>
      <c r="J358" s="12" t="str">
        <f>HYPERLINK("https://www.boe.es/gazeta/dias/1800/10/31/pdfs/GMD-1800-88.pdf#page=13","Abrir facsímil")</f>
        <v>Abrir facsímil</v>
      </c>
      <c r="K358" s="15" t="s">
        <v>23</v>
      </c>
    </row>
    <row r="359" spans="1:11" ht="42" customHeight="1">
      <c r="A359" s="4" t="s">
        <v>981</v>
      </c>
      <c r="B359" s="5" t="s">
        <v>982</v>
      </c>
      <c r="C359" s="5" t="s">
        <v>18</v>
      </c>
      <c r="D359" s="5" t="s">
        <v>19</v>
      </c>
      <c r="E359" s="5" t="s">
        <v>422</v>
      </c>
      <c r="F359" s="9">
        <v>85</v>
      </c>
      <c r="G359" s="9">
        <v>985</v>
      </c>
      <c r="H359" s="5" t="s">
        <v>21</v>
      </c>
      <c r="I359" s="5" t="s">
        <v>983</v>
      </c>
      <c r="J359" s="12" t="str">
        <f>HYPERLINK("https://www.boe.es/gazeta/dias/1800/10/21/pdfs/GMD-1800-85.pdf#page=7","Abrir facsímil")</f>
        <v>Abrir facsímil</v>
      </c>
      <c r="K359" s="15" t="s">
        <v>23</v>
      </c>
    </row>
    <row r="360" spans="1:11" ht="42" customHeight="1">
      <c r="A360" s="4" t="s">
        <v>984</v>
      </c>
      <c r="B360" s="5" t="s">
        <v>985</v>
      </c>
      <c r="C360" s="5" t="s">
        <v>18</v>
      </c>
      <c r="D360" s="5" t="s">
        <v>19</v>
      </c>
      <c r="E360" s="5" t="s">
        <v>35</v>
      </c>
      <c r="F360" s="9">
        <v>21</v>
      </c>
      <c r="G360" s="9">
        <v>206</v>
      </c>
      <c r="H360" s="5" t="s">
        <v>21</v>
      </c>
      <c r="I360" s="5" t="s">
        <v>986</v>
      </c>
      <c r="J360" s="12" t="str">
        <f>HYPERLINK("https://www.boe.es/gazeta/dias/1800/03/14/pdfs/GMD-1800-21.pdf#page=10","Abrir facsímil")</f>
        <v>Abrir facsímil</v>
      </c>
      <c r="K360" s="15" t="s">
        <v>23</v>
      </c>
    </row>
    <row r="361" spans="1:11" ht="42" customHeight="1">
      <c r="A361" s="4" t="s">
        <v>987</v>
      </c>
      <c r="B361" s="5" t="s">
        <v>988</v>
      </c>
      <c r="C361" s="5" t="s">
        <v>18</v>
      </c>
      <c r="D361" s="5" t="s">
        <v>19</v>
      </c>
      <c r="E361" s="5" t="s">
        <v>139</v>
      </c>
      <c r="F361" s="9">
        <v>2</v>
      </c>
      <c r="G361" s="9">
        <v>18</v>
      </c>
      <c r="H361" s="5" t="s">
        <v>21</v>
      </c>
      <c r="I361" s="5" t="s">
        <v>989</v>
      </c>
      <c r="J361" s="12" t="str">
        <f>HYPERLINK("https://www.boe.es/gazeta/dias/1800/01/07/pdfs/GMD-1800-2.pdf#page=10","Abrir facsímil")</f>
        <v>Abrir facsímil</v>
      </c>
      <c r="K361" s="15" t="s">
        <v>23</v>
      </c>
    </row>
    <row r="362" spans="1:11" ht="42" customHeight="1">
      <c r="A362" s="4" t="s">
        <v>990</v>
      </c>
      <c r="B362" s="5" t="s">
        <v>990</v>
      </c>
      <c r="C362" s="5" t="s">
        <v>114</v>
      </c>
      <c r="D362" s="5" t="s">
        <v>115</v>
      </c>
      <c r="E362" s="5" t="s">
        <v>116</v>
      </c>
      <c r="F362" s="9">
        <v>86</v>
      </c>
      <c r="G362" s="9" t="s">
        <v>991</v>
      </c>
      <c r="H362" s="5" t="s">
        <v>21</v>
      </c>
      <c r="I362" s="5" t="s">
        <v>992</v>
      </c>
      <c r="J362" s="12" t="str">
        <f>HYPERLINK("https://www.boe.es/gazeta/dias/1800/10/24/pdfs/GMD-D-1800-86.pdf#page=4","Abrir facsímil")</f>
        <v>Abrir facsímil</v>
      </c>
      <c r="K362" s="15" t="s">
        <v>23</v>
      </c>
    </row>
    <row r="363" spans="1:11" ht="42" customHeight="1">
      <c r="A363" s="4" t="s">
        <v>993</v>
      </c>
      <c r="B363" s="5" t="s">
        <v>994</v>
      </c>
      <c r="C363" s="5" t="s">
        <v>18</v>
      </c>
      <c r="D363" s="5" t="s">
        <v>19</v>
      </c>
      <c r="E363" s="5" t="s">
        <v>314</v>
      </c>
      <c r="F363" s="9">
        <v>74</v>
      </c>
      <c r="G363" s="9">
        <v>832</v>
      </c>
      <c r="H363" s="5" t="s">
        <v>21</v>
      </c>
      <c r="I363" s="5" t="s">
        <v>995</v>
      </c>
      <c r="J363" s="12" t="str">
        <f>HYPERLINK("https://www.boe.es/gazeta/dias/1800/09/12/pdfs/GMD-1800-74.pdf#page=10","Abrir facsímil")</f>
        <v>Abrir facsímil</v>
      </c>
      <c r="K363" s="15" t="s">
        <v>23</v>
      </c>
    </row>
    <row r="364" spans="1:11" ht="42" customHeight="1">
      <c r="A364" s="4" t="s">
        <v>996</v>
      </c>
      <c r="B364" s="5" t="s">
        <v>997</v>
      </c>
      <c r="C364" s="5" t="s">
        <v>18</v>
      </c>
      <c r="D364" s="5" t="s">
        <v>19</v>
      </c>
      <c r="E364" s="5" t="s">
        <v>184</v>
      </c>
      <c r="F364" s="9">
        <v>82</v>
      </c>
      <c r="G364" s="9">
        <v>950</v>
      </c>
      <c r="H364" s="5" t="s">
        <v>21</v>
      </c>
      <c r="I364" s="5" t="s">
        <v>998</v>
      </c>
      <c r="J364" s="12" t="str">
        <f>HYPERLINK("https://www.boe.es/gazeta/dias/1800/10/10/pdfs/GMD-1800-82.pdf#page=8","Abrir facsímil")</f>
        <v>Abrir facsímil</v>
      </c>
      <c r="K364" s="15" t="s">
        <v>23</v>
      </c>
    </row>
    <row r="365" spans="1:11" ht="42" customHeight="1">
      <c r="A365" s="4" t="s">
        <v>999</v>
      </c>
      <c r="B365" s="5" t="s">
        <v>1000</v>
      </c>
      <c r="C365" s="5" t="s">
        <v>54</v>
      </c>
      <c r="D365" s="5" t="s">
        <v>55</v>
      </c>
      <c r="E365" s="5" t="s">
        <v>244</v>
      </c>
      <c r="F365" s="9">
        <v>9</v>
      </c>
      <c r="G365" s="9">
        <v>86</v>
      </c>
      <c r="H365" s="5" t="s">
        <v>21</v>
      </c>
      <c r="I365" s="5" t="s">
        <v>1001</v>
      </c>
      <c r="J365" s="12" t="str">
        <f>HYPERLINK("https://www.boe.es/gazeta/dias/1800/01/31/pdfs/GMD-1800-9.pdf#page=10","Abrir facsímil")</f>
        <v>Abrir facsímil</v>
      </c>
      <c r="K365" s="15" t="s">
        <v>23</v>
      </c>
    </row>
    <row r="366" spans="1:11" ht="42" customHeight="1">
      <c r="A366" s="4" t="s">
        <v>1002</v>
      </c>
      <c r="B366" s="5" t="s">
        <v>1003</v>
      </c>
      <c r="C366" s="5" t="s">
        <v>18</v>
      </c>
      <c r="D366" s="5" t="s">
        <v>19</v>
      </c>
      <c r="E366" s="5" t="s">
        <v>135</v>
      </c>
      <c r="F366" s="9">
        <v>73</v>
      </c>
      <c r="G366" s="9">
        <v>815</v>
      </c>
      <c r="H366" s="5" t="s">
        <v>21</v>
      </c>
      <c r="I366" s="5" t="s">
        <v>1004</v>
      </c>
      <c r="J366" s="12" t="str">
        <f>HYPERLINK("https://www.boe.es/gazeta/dias/1800/09/09/pdfs/GMD-1800-73.pdf#page=9","Abrir facsímil")</f>
        <v>Abrir facsímil</v>
      </c>
      <c r="K366" s="15" t="s">
        <v>23</v>
      </c>
    </row>
    <row r="367" spans="1:11" ht="42" customHeight="1">
      <c r="A367" s="4" t="s">
        <v>1005</v>
      </c>
      <c r="B367" s="5" t="s">
        <v>1006</v>
      </c>
      <c r="C367" s="5" t="s">
        <v>18</v>
      </c>
      <c r="D367" s="5" t="s">
        <v>19</v>
      </c>
      <c r="E367" s="5" t="s">
        <v>105</v>
      </c>
      <c r="F367" s="9">
        <v>28</v>
      </c>
      <c r="G367" s="9">
        <v>290</v>
      </c>
      <c r="H367" s="5" t="s">
        <v>21</v>
      </c>
      <c r="I367" s="5" t="s">
        <v>1007</v>
      </c>
      <c r="J367" s="12" t="str">
        <f>HYPERLINK("https://www.boe.es/gazeta/dias/1800/04/08/pdfs/GMD-1800-28.pdf#page=6","Abrir facsímil")</f>
        <v>Abrir facsímil</v>
      </c>
      <c r="K367" s="15" t="s">
        <v>23</v>
      </c>
    </row>
    <row r="368" spans="1:11" ht="42" customHeight="1">
      <c r="A368" s="4" t="s">
        <v>1008</v>
      </c>
      <c r="B368" s="5" t="s">
        <v>1009</v>
      </c>
      <c r="C368" s="5" t="s">
        <v>18</v>
      </c>
      <c r="D368" s="5" t="s">
        <v>19</v>
      </c>
      <c r="E368" s="5" t="s">
        <v>56</v>
      </c>
      <c r="F368" s="9">
        <v>90</v>
      </c>
      <c r="G368" s="9">
        <v>1056</v>
      </c>
      <c r="H368" s="5" t="s">
        <v>21</v>
      </c>
      <c r="I368" s="5" t="s">
        <v>1010</v>
      </c>
      <c r="J368" s="12" t="str">
        <f>HYPERLINK("https://www.boe.es/gazeta/dias/1800/11/07/pdfs/GMD-1800-90.pdf#page=10","Abrir facsímil")</f>
        <v>Abrir facsímil</v>
      </c>
      <c r="K368" s="15" t="s">
        <v>23</v>
      </c>
    </row>
    <row r="369" spans="1:11" ht="42" customHeight="1">
      <c r="A369" s="4" t="s">
        <v>1011</v>
      </c>
      <c r="B369" s="5" t="s">
        <v>1011</v>
      </c>
      <c r="C369" s="5" t="s">
        <v>18</v>
      </c>
      <c r="D369" s="5" t="s">
        <v>19</v>
      </c>
      <c r="E369" s="5" t="s">
        <v>422</v>
      </c>
      <c r="F369" s="9">
        <v>85</v>
      </c>
      <c r="G369" s="9">
        <v>985</v>
      </c>
      <c r="H369" s="5" t="s">
        <v>21</v>
      </c>
      <c r="I369" s="5" t="s">
        <v>1012</v>
      </c>
      <c r="J369" s="12" t="str">
        <f>HYPERLINK("https://www.boe.es/gazeta/dias/1800/10/21/pdfs/GMD-1800-85.pdf#page=7","Abrir facsímil")</f>
        <v>Abrir facsímil</v>
      </c>
      <c r="K369" s="15" t="s">
        <v>23</v>
      </c>
    </row>
    <row r="370" spans="1:11" ht="42" customHeight="1">
      <c r="A370" s="4" t="s">
        <v>1013</v>
      </c>
      <c r="B370" s="5" t="s">
        <v>1013</v>
      </c>
      <c r="C370" s="5" t="s">
        <v>18</v>
      </c>
      <c r="D370" s="5" t="s">
        <v>19</v>
      </c>
      <c r="E370" s="5" t="s">
        <v>60</v>
      </c>
      <c r="F370" s="9">
        <v>105</v>
      </c>
      <c r="G370" s="9">
        <v>1226</v>
      </c>
      <c r="H370" s="5" t="s">
        <v>21</v>
      </c>
      <c r="I370" s="5" t="s">
        <v>1014</v>
      </c>
      <c r="J370" s="12" t="str">
        <f>HYPERLINK("https://www.boe.es/gazeta/dias/1800/12/30/pdfs/GMD-1800-105.pdf#page=10","Abrir facsímil")</f>
        <v>Abrir facsímil</v>
      </c>
      <c r="K370" s="15" t="s">
        <v>23</v>
      </c>
    </row>
    <row r="371" spans="1:11" ht="42" customHeight="1">
      <c r="A371" s="4" t="s">
        <v>1015</v>
      </c>
      <c r="B371" s="5" t="s">
        <v>1015</v>
      </c>
      <c r="C371" s="5" t="s">
        <v>18</v>
      </c>
      <c r="D371" s="5" t="s">
        <v>19</v>
      </c>
      <c r="E371" s="5" t="s">
        <v>190</v>
      </c>
      <c r="F371" s="9">
        <v>93</v>
      </c>
      <c r="G371" s="9">
        <v>1066</v>
      </c>
      <c r="H371" s="5" t="s">
        <v>21</v>
      </c>
      <c r="I371" s="5" t="s">
        <v>1016</v>
      </c>
      <c r="J371" s="12" t="str">
        <f>HYPERLINK("https://www.boe.es/gazeta/dias/1800/11/18/pdfs/GMD-1800-93.pdf#page=12","Abrir facsímil")</f>
        <v>Abrir facsímil</v>
      </c>
      <c r="K371" s="15" t="s">
        <v>23</v>
      </c>
    </row>
    <row r="372" spans="1:11" ht="42" customHeight="1">
      <c r="A372" s="4" t="s">
        <v>1017</v>
      </c>
      <c r="B372" s="5" t="s">
        <v>1017</v>
      </c>
      <c r="C372" s="5" t="s">
        <v>25</v>
      </c>
      <c r="D372" s="5" t="s">
        <v>26</v>
      </c>
      <c r="E372" s="5" t="s">
        <v>45</v>
      </c>
      <c r="F372" s="9">
        <v>47</v>
      </c>
      <c r="G372" s="9">
        <v>502</v>
      </c>
      <c r="H372" s="5" t="s">
        <v>21</v>
      </c>
      <c r="I372" s="5" t="s">
        <v>1018</v>
      </c>
      <c r="J372" s="12" t="str">
        <f>HYPERLINK("https://www.boe.es/gazeta/dias/1800/06/13/pdfs/GMD-1800-47.pdf#page=10","Abrir facsímil")</f>
        <v>Abrir facsímil</v>
      </c>
      <c r="K372" s="15" t="s">
        <v>23</v>
      </c>
    </row>
    <row r="373" spans="1:11" ht="42" customHeight="1">
      <c r="A373" s="4" t="s">
        <v>1019</v>
      </c>
      <c r="B373" s="5" t="s">
        <v>1019</v>
      </c>
      <c r="C373" s="5" t="s">
        <v>25</v>
      </c>
      <c r="D373" s="5" t="s">
        <v>26</v>
      </c>
      <c r="E373" s="5" t="s">
        <v>101</v>
      </c>
      <c r="F373" s="9">
        <v>37</v>
      </c>
      <c r="G373" s="9">
        <v>377</v>
      </c>
      <c r="H373" s="5" t="s">
        <v>21</v>
      </c>
      <c r="I373" s="5" t="s">
        <v>1020</v>
      </c>
      <c r="J373" s="12" t="str">
        <f>HYPERLINK("https://www.boe.es/gazeta/dias/1800/05/09/pdfs/GMD-1800-37.pdf#page=9","Abrir facsímil")</f>
        <v>Abrir facsímil</v>
      </c>
      <c r="K373" s="15" t="s">
        <v>23</v>
      </c>
    </row>
    <row r="374" spans="1:11" ht="42" customHeight="1">
      <c r="A374" s="4" t="s">
        <v>1021</v>
      </c>
      <c r="B374" s="5" t="s">
        <v>1021</v>
      </c>
      <c r="C374" s="5" t="s">
        <v>18</v>
      </c>
      <c r="D374" s="5" t="s">
        <v>19</v>
      </c>
      <c r="E374" s="5" t="s">
        <v>48</v>
      </c>
      <c r="F374" s="9">
        <v>66</v>
      </c>
      <c r="G374" s="9">
        <v>746</v>
      </c>
      <c r="H374" s="5" t="s">
        <v>21</v>
      </c>
      <c r="I374" s="5" t="s">
        <v>1022</v>
      </c>
      <c r="J374" s="12" t="str">
        <f>HYPERLINK("https://www.boe.es/gazeta/dias/1800/08/19/pdfs/GMD-1800-66.pdf#page=10","Abrir facsímil")</f>
        <v>Abrir facsímil</v>
      </c>
      <c r="K374" s="15" t="s">
        <v>23</v>
      </c>
    </row>
    <row r="375" spans="1:11" ht="42" customHeight="1">
      <c r="A375" s="4" t="s">
        <v>1023</v>
      </c>
      <c r="B375" s="5" t="s">
        <v>1023</v>
      </c>
      <c r="C375" s="5" t="s">
        <v>18</v>
      </c>
      <c r="D375" s="5" t="s">
        <v>19</v>
      </c>
      <c r="E375" s="5" t="s">
        <v>356</v>
      </c>
      <c r="F375" s="9">
        <v>31</v>
      </c>
      <c r="G375" s="9">
        <v>314</v>
      </c>
      <c r="H375" s="5" t="s">
        <v>21</v>
      </c>
      <c r="I375" s="5" t="s">
        <v>1024</v>
      </c>
      <c r="J375" s="12" t="str">
        <f>HYPERLINK("https://www.boe.es/gazeta/dias/1800/04/18/pdfs/GMD-1800-31.pdf#page=6","Abrir facsímil")</f>
        <v>Abrir facsímil</v>
      </c>
      <c r="K375" s="15" t="s">
        <v>23</v>
      </c>
    </row>
    <row r="376" spans="1:11" ht="42" customHeight="1">
      <c r="A376" s="4" t="s">
        <v>1025</v>
      </c>
      <c r="B376" s="5" t="s">
        <v>1025</v>
      </c>
      <c r="C376" s="5" t="s">
        <v>25</v>
      </c>
      <c r="D376" s="5" t="s">
        <v>26</v>
      </c>
      <c r="E376" s="5" t="s">
        <v>410</v>
      </c>
      <c r="F376" s="9">
        <v>87</v>
      </c>
      <c r="G376" s="9">
        <v>1007</v>
      </c>
      <c r="H376" s="5" t="s">
        <v>21</v>
      </c>
      <c r="I376" s="5" t="s">
        <v>1026</v>
      </c>
      <c r="J376" s="12" t="str">
        <f>HYPERLINK("https://www.boe.es/gazeta/dias/1800/10/28/pdfs/GMD-1800-87.pdf#page=5","Abrir facsímil")</f>
        <v>Abrir facsímil</v>
      </c>
      <c r="K376" s="15" t="s">
        <v>23</v>
      </c>
    </row>
    <row r="377" spans="1:11" ht="42" customHeight="1">
      <c r="A377" s="4" t="s">
        <v>1025</v>
      </c>
      <c r="B377" s="5" t="s">
        <v>1025</v>
      </c>
      <c r="C377" s="5" t="s">
        <v>25</v>
      </c>
      <c r="D377" s="5" t="s">
        <v>26</v>
      </c>
      <c r="E377" s="5" t="s">
        <v>410</v>
      </c>
      <c r="F377" s="9">
        <v>87</v>
      </c>
      <c r="G377" s="9">
        <v>1008</v>
      </c>
      <c r="H377" s="5" t="s">
        <v>21</v>
      </c>
      <c r="I377" s="5" t="s">
        <v>1027</v>
      </c>
      <c r="J377" s="12" t="str">
        <f>HYPERLINK("https://www.boe.es/gazeta/dias/1800/10/28/pdfs/GMD-1800-87.pdf#page=6","Abrir facsímil")</f>
        <v>Abrir facsímil</v>
      </c>
      <c r="K377" s="15" t="s">
        <v>23</v>
      </c>
    </row>
    <row r="378" spans="1:11" ht="42" customHeight="1">
      <c r="A378" s="4" t="s">
        <v>1028</v>
      </c>
      <c r="B378" s="5" t="s">
        <v>1028</v>
      </c>
      <c r="C378" s="5" t="s">
        <v>25</v>
      </c>
      <c r="D378" s="5" t="s">
        <v>26</v>
      </c>
      <c r="E378" s="5" t="s">
        <v>248</v>
      </c>
      <c r="F378" s="9">
        <v>33</v>
      </c>
      <c r="G378" s="9">
        <v>333</v>
      </c>
      <c r="H378" s="5" t="s">
        <v>21</v>
      </c>
      <c r="I378" s="5" t="s">
        <v>1029</v>
      </c>
      <c r="J378" s="12" t="str">
        <f>HYPERLINK("https://www.boe.es/gazeta/dias/1800/04/25/pdfs/GMD-1800-33.pdf#page=9","Abrir facsímil")</f>
        <v>Abrir facsímil</v>
      </c>
      <c r="K378" s="15" t="s">
        <v>23</v>
      </c>
    </row>
    <row r="379" spans="1:11" ht="42" customHeight="1">
      <c r="A379" s="4" t="s">
        <v>1028</v>
      </c>
      <c r="B379" s="5" t="s">
        <v>1028</v>
      </c>
      <c r="C379" s="5" t="s">
        <v>18</v>
      </c>
      <c r="D379" s="5" t="s">
        <v>19</v>
      </c>
      <c r="E379" s="5" t="s">
        <v>68</v>
      </c>
      <c r="F379" s="9">
        <v>67</v>
      </c>
      <c r="G379" s="9">
        <v>755</v>
      </c>
      <c r="H379" s="5" t="s">
        <v>21</v>
      </c>
      <c r="I379" s="5" t="s">
        <v>1030</v>
      </c>
      <c r="J379" s="12" t="str">
        <f>HYPERLINK("https://www.boe.es/gazeta/dias/1800/08/22/pdfs/GMD-1800-67.pdf#page=7","Abrir facsímil")</f>
        <v>Abrir facsímil</v>
      </c>
      <c r="K379" s="15" t="s">
        <v>23</v>
      </c>
    </row>
    <row r="380" spans="1:11" ht="42" customHeight="1">
      <c r="A380" s="4" t="s">
        <v>1028</v>
      </c>
      <c r="B380" s="5" t="s">
        <v>1028</v>
      </c>
      <c r="C380" s="5" t="s">
        <v>25</v>
      </c>
      <c r="D380" s="5" t="s">
        <v>26</v>
      </c>
      <c r="E380" s="5" t="s">
        <v>283</v>
      </c>
      <c r="F380" s="9">
        <v>68</v>
      </c>
      <c r="G380" s="9">
        <v>765</v>
      </c>
      <c r="H380" s="5" t="s">
        <v>21</v>
      </c>
      <c r="I380" s="5" t="s">
        <v>1031</v>
      </c>
      <c r="J380" s="12" t="str">
        <f>HYPERLINK("https://www.boe.es/gazeta/dias/1800/08/26/pdfs/GMD-1800-68.pdf#page=9","Abrir facsímil")</f>
        <v>Abrir facsímil</v>
      </c>
      <c r="K380" s="15" t="s">
        <v>23</v>
      </c>
    </row>
    <row r="381" spans="1:11" ht="42" customHeight="1">
      <c r="A381" s="4" t="s">
        <v>1032</v>
      </c>
      <c r="B381" s="5" t="s">
        <v>1032</v>
      </c>
      <c r="C381" s="5" t="s">
        <v>171</v>
      </c>
      <c r="D381" s="5" t="s">
        <v>172</v>
      </c>
      <c r="E381" s="5" t="s">
        <v>214</v>
      </c>
      <c r="F381" s="9">
        <v>41</v>
      </c>
      <c r="G381" s="9">
        <v>428</v>
      </c>
      <c r="H381" s="5" t="s">
        <v>21</v>
      </c>
      <c r="I381" s="5" t="s">
        <v>1033</v>
      </c>
      <c r="J381" s="12" t="str">
        <f>HYPERLINK("https://www.boe.es/gazeta/dias/1800/05/23/pdfs/GMD-C-1800-41.pdf#page=4","Abrir facsímil")</f>
        <v>Abrir facsímil</v>
      </c>
      <c r="K381" s="15" t="s">
        <v>23</v>
      </c>
    </row>
    <row r="382" spans="1:11" ht="42" customHeight="1">
      <c r="A382" s="4" t="s">
        <v>1034</v>
      </c>
      <c r="B382" s="5" t="s">
        <v>1034</v>
      </c>
      <c r="C382" s="5" t="s">
        <v>1035</v>
      </c>
      <c r="D382" s="5" t="s">
        <v>1036</v>
      </c>
      <c r="E382" s="5" t="s">
        <v>50</v>
      </c>
      <c r="F382" s="9">
        <v>81</v>
      </c>
      <c r="G382" s="9">
        <v>942</v>
      </c>
      <c r="H382" s="5" t="s">
        <v>21</v>
      </c>
      <c r="I382" s="5" t="s">
        <v>1037</v>
      </c>
      <c r="J382" s="12" t="str">
        <f>HYPERLINK("https://www.boe.es/gazeta/dias/1800/10/07/pdfs/GMD-C-1800-81.pdf#page=24","Abrir facsímil")</f>
        <v>Abrir facsímil</v>
      </c>
      <c r="K382" s="15" t="s">
        <v>23</v>
      </c>
    </row>
    <row r="383" spans="1:11" ht="42" customHeight="1">
      <c r="A383" s="4" t="s">
        <v>1038</v>
      </c>
      <c r="B383" s="5" t="s">
        <v>1038</v>
      </c>
      <c r="C383" s="5" t="s">
        <v>18</v>
      </c>
      <c r="D383" s="5" t="s">
        <v>19</v>
      </c>
      <c r="E383" s="5" t="s">
        <v>56</v>
      </c>
      <c r="F383" s="9">
        <v>90</v>
      </c>
      <c r="G383" s="9">
        <v>1056</v>
      </c>
      <c r="H383" s="5" t="s">
        <v>21</v>
      </c>
      <c r="I383" s="5" t="s">
        <v>1039</v>
      </c>
      <c r="J383" s="12" t="str">
        <f>HYPERLINK("https://www.boe.es/gazeta/dias/1800/11/07/pdfs/GMD-1800-90.pdf#page=10","Abrir facsímil")</f>
        <v>Abrir facsímil</v>
      </c>
      <c r="K383" s="15" t="s">
        <v>23</v>
      </c>
    </row>
    <row r="384" spans="1:11" ht="42" customHeight="1">
      <c r="A384" s="4" t="s">
        <v>1040</v>
      </c>
      <c r="B384" s="5" t="s">
        <v>1041</v>
      </c>
      <c r="C384" s="5" t="s">
        <v>25</v>
      </c>
      <c r="D384" s="5" t="s">
        <v>26</v>
      </c>
      <c r="E384" s="5" t="s">
        <v>20</v>
      </c>
      <c r="F384" s="9">
        <v>104</v>
      </c>
      <c r="G384" s="9">
        <v>1210</v>
      </c>
      <c r="H384" s="5" t="s">
        <v>21</v>
      </c>
      <c r="I384" s="5" t="s">
        <v>1042</v>
      </c>
      <c r="J384" s="12" t="str">
        <f>HYPERLINK("https://www.boe.es/gazeta/dias/1800/12/26/pdfs/GMD-1800-104.pdf#page=10","Abrir facsímil")</f>
        <v>Abrir facsímil</v>
      </c>
      <c r="K384" s="15" t="s">
        <v>23</v>
      </c>
    </row>
    <row r="385" spans="1:11" ht="42" customHeight="1">
      <c r="A385" s="4" t="s">
        <v>1043</v>
      </c>
      <c r="B385" s="5" t="s">
        <v>1044</v>
      </c>
      <c r="C385" s="5" t="s">
        <v>207</v>
      </c>
      <c r="D385" s="5" t="s">
        <v>55</v>
      </c>
      <c r="E385" s="5" t="s">
        <v>576</v>
      </c>
      <c r="F385" s="9">
        <v>91</v>
      </c>
      <c r="G385" s="9">
        <v>1068</v>
      </c>
      <c r="H385" s="5" t="s">
        <v>21</v>
      </c>
      <c r="I385" s="5" t="s">
        <v>1045</v>
      </c>
      <c r="J385" s="12" t="str">
        <f>HYPERLINK("https://www.boe.es/gazeta/dias/1800/11/11/pdfs/GMD-1800-91.pdf#page=10","Abrir facsímil")</f>
        <v>Abrir facsímil</v>
      </c>
      <c r="K385" s="15" t="s">
        <v>23</v>
      </c>
    </row>
    <row r="386" spans="1:11" ht="42" customHeight="1">
      <c r="A386" s="4" t="s">
        <v>1046</v>
      </c>
      <c r="B386" s="5" t="s">
        <v>1047</v>
      </c>
      <c r="C386" s="5" t="s">
        <v>18</v>
      </c>
      <c r="D386" s="5" t="s">
        <v>19</v>
      </c>
      <c r="E386" s="5" t="s">
        <v>176</v>
      </c>
      <c r="F386" s="9">
        <v>88</v>
      </c>
      <c r="G386" s="9">
        <v>1031</v>
      </c>
      <c r="H386" s="5" t="s">
        <v>21</v>
      </c>
      <c r="I386" s="5" t="s">
        <v>1048</v>
      </c>
      <c r="J386" s="12" t="str">
        <f>HYPERLINK("https://www.boe.es/gazeta/dias/1800/10/31/pdfs/GMD-1800-88.pdf#page=13","Abrir facsímil")</f>
        <v>Abrir facsímil</v>
      </c>
      <c r="K386" s="15" t="s">
        <v>23</v>
      </c>
    </row>
    <row r="387" spans="1:11" ht="42" customHeight="1">
      <c r="A387" s="4" t="s">
        <v>1049</v>
      </c>
      <c r="B387" s="5" t="s">
        <v>1050</v>
      </c>
      <c r="C387" s="5" t="s">
        <v>41</v>
      </c>
      <c r="D387" s="5" t="s">
        <v>42</v>
      </c>
      <c r="E387" s="5" t="s">
        <v>567</v>
      </c>
      <c r="F387" s="9">
        <v>3</v>
      </c>
      <c r="G387" s="9">
        <v>24</v>
      </c>
      <c r="H387" s="5" t="s">
        <v>21</v>
      </c>
      <c r="I387" s="5" t="s">
        <v>1051</v>
      </c>
      <c r="J387" s="12" t="str">
        <f>HYPERLINK("https://www.boe.es/gazeta/dias/1800/01/10/pdfs/GMD-1800-3.pdf#page=4","Abrir facsímil")</f>
        <v>Abrir facsímil</v>
      </c>
      <c r="K387" s="15" t="s">
        <v>23</v>
      </c>
    </row>
    <row r="388" spans="1:11" ht="42" customHeight="1">
      <c r="A388" s="4" t="s">
        <v>1049</v>
      </c>
      <c r="B388" s="5" t="s">
        <v>1050</v>
      </c>
      <c r="C388" s="5" t="s">
        <v>41</v>
      </c>
      <c r="D388" s="5" t="s">
        <v>42</v>
      </c>
      <c r="E388" s="5" t="s">
        <v>244</v>
      </c>
      <c r="F388" s="9">
        <v>9</v>
      </c>
      <c r="G388" s="9">
        <v>81</v>
      </c>
      <c r="H388" s="5" t="s">
        <v>21</v>
      </c>
      <c r="I388" s="5" t="s">
        <v>1052</v>
      </c>
      <c r="J388" s="12" t="str">
        <f>HYPERLINK("https://www.boe.es/gazeta/dias/1800/01/31/pdfs/GMD-1800-9.pdf#page=5","Abrir facsímil")</f>
        <v>Abrir facsímil</v>
      </c>
      <c r="K388" s="15" t="s">
        <v>23</v>
      </c>
    </row>
    <row r="389" spans="1:11" ht="42" customHeight="1">
      <c r="A389" s="4" t="s">
        <v>1049</v>
      </c>
      <c r="B389" s="5" t="s">
        <v>1050</v>
      </c>
      <c r="C389" s="5" t="s">
        <v>84</v>
      </c>
      <c r="D389" s="5" t="s">
        <v>85</v>
      </c>
      <c r="E389" s="5" t="s">
        <v>530</v>
      </c>
      <c r="F389" s="9">
        <v>55</v>
      </c>
      <c r="G389" s="9">
        <v>618</v>
      </c>
      <c r="H389" s="5" t="s">
        <v>21</v>
      </c>
      <c r="I389" s="5" t="s">
        <v>1053</v>
      </c>
      <c r="J389" s="12" t="str">
        <f>HYPERLINK("https://www.boe.es/gazeta/dias/1800/07/11/pdfs/GMD-1800-55.pdf#page=6","Abrir facsímil")</f>
        <v>Abrir facsímil</v>
      </c>
      <c r="K389" s="15" t="s">
        <v>23</v>
      </c>
    </row>
    <row r="390" spans="1:11" ht="42" customHeight="1">
      <c r="A390" s="4" t="s">
        <v>1054</v>
      </c>
      <c r="B390" s="5" t="s">
        <v>1055</v>
      </c>
      <c r="C390" s="5" t="s">
        <v>41</v>
      </c>
      <c r="D390" s="5" t="s">
        <v>42</v>
      </c>
      <c r="E390" s="5" t="s">
        <v>124</v>
      </c>
      <c r="F390" s="9">
        <v>16</v>
      </c>
      <c r="G390" s="9">
        <v>145</v>
      </c>
      <c r="H390" s="5" t="s">
        <v>21</v>
      </c>
      <c r="I390" s="5" t="s">
        <v>1056</v>
      </c>
      <c r="J390" s="12" t="str">
        <f>HYPERLINK("https://www.boe.es/gazeta/dias/1800/02/25/pdfs/GMD-1800-16.pdf#page=1","Abrir facsímil")</f>
        <v>Abrir facsímil</v>
      </c>
      <c r="K390" s="15" t="s">
        <v>23</v>
      </c>
    </row>
    <row r="391" spans="1:11" ht="42" customHeight="1">
      <c r="A391" s="4" t="s">
        <v>1057</v>
      </c>
      <c r="B391" s="5" t="s">
        <v>1058</v>
      </c>
      <c r="C391" s="5" t="s">
        <v>54</v>
      </c>
      <c r="D391" s="5" t="s">
        <v>55</v>
      </c>
      <c r="E391" s="5" t="s">
        <v>410</v>
      </c>
      <c r="F391" s="9">
        <v>87</v>
      </c>
      <c r="G391" s="9">
        <v>1003</v>
      </c>
      <c r="H391" s="5" t="s">
        <v>21</v>
      </c>
      <c r="I391" s="5" t="s">
        <v>1059</v>
      </c>
      <c r="J391" s="12" t="str">
        <f>HYPERLINK("https://www.boe.es/gazeta/dias/1800/10/28/pdfs/GMD-1800-87.pdf#page=1","Abrir facsímil")</f>
        <v>Abrir facsímil</v>
      </c>
      <c r="K391" s="15" t="s">
        <v>23</v>
      </c>
    </row>
    <row r="392" spans="1:11" ht="42" customHeight="1">
      <c r="A392" s="4" t="s">
        <v>1060</v>
      </c>
      <c r="B392" s="5" t="s">
        <v>1061</v>
      </c>
      <c r="C392" s="5" t="s">
        <v>171</v>
      </c>
      <c r="D392" s="5" t="s">
        <v>172</v>
      </c>
      <c r="E392" s="5" t="s">
        <v>465</v>
      </c>
      <c r="F392" s="9">
        <v>49</v>
      </c>
      <c r="G392" s="9">
        <v>535</v>
      </c>
      <c r="H392" s="5" t="s">
        <v>21</v>
      </c>
      <c r="I392" s="5" t="s">
        <v>1062</v>
      </c>
      <c r="J392" s="12" t="str">
        <f>HYPERLINK("https://www.boe.es/gazeta/dias/1800/06/20/pdfs/GMD-C-1800-49.pdf#page=3","Abrir facsímil")</f>
        <v>Abrir facsímil</v>
      </c>
      <c r="K392" s="15" t="s">
        <v>23</v>
      </c>
    </row>
    <row r="393" spans="1:11" ht="42" customHeight="1">
      <c r="A393" s="4" t="s">
        <v>1063</v>
      </c>
      <c r="B393" s="5" t="s">
        <v>1064</v>
      </c>
      <c r="C393" s="5" t="s">
        <v>41</v>
      </c>
      <c r="D393" s="5" t="s">
        <v>42</v>
      </c>
      <c r="E393" s="5" t="s">
        <v>319</v>
      </c>
      <c r="F393" s="9">
        <v>62</v>
      </c>
      <c r="G393" s="9">
        <v>706</v>
      </c>
      <c r="H393" s="5" t="s">
        <v>21</v>
      </c>
      <c r="I393" s="5" t="s">
        <v>1065</v>
      </c>
      <c r="J393" s="12" t="str">
        <f>HYPERLINK("https://www.boe.es/gazeta/dias/1800/08/05/pdfs/GMD-1800-62.pdf#page=6","Abrir facsímil")</f>
        <v>Abrir facsímil</v>
      </c>
      <c r="K393" s="15" t="s">
        <v>23</v>
      </c>
    </row>
    <row r="394" spans="1:11" ht="42" customHeight="1">
      <c r="A394" s="4" t="s">
        <v>1066</v>
      </c>
      <c r="B394" s="5" t="s">
        <v>1067</v>
      </c>
      <c r="C394" s="5" t="s">
        <v>18</v>
      </c>
      <c r="D394" s="5" t="s">
        <v>19</v>
      </c>
      <c r="E394" s="5" t="s">
        <v>20</v>
      </c>
      <c r="F394" s="9">
        <v>104</v>
      </c>
      <c r="G394" s="9">
        <v>1211</v>
      </c>
      <c r="H394" s="5" t="s">
        <v>21</v>
      </c>
      <c r="I394" s="5" t="s">
        <v>1068</v>
      </c>
      <c r="J394" s="12" t="str">
        <f>HYPERLINK("https://www.boe.es/gazeta/dias/1800/12/26/pdfs/GMD-1800-104.pdf#page=11","Abrir facsímil")</f>
        <v>Abrir facsímil</v>
      </c>
      <c r="K394" s="15" t="s">
        <v>23</v>
      </c>
    </row>
    <row r="395" spans="1:11" ht="42" customHeight="1">
      <c r="A395" s="4" t="s">
        <v>1069</v>
      </c>
      <c r="B395" s="5" t="s">
        <v>1070</v>
      </c>
      <c r="C395" s="5" t="s">
        <v>18</v>
      </c>
      <c r="D395" s="5" t="s">
        <v>19</v>
      </c>
      <c r="E395" s="5" t="s">
        <v>618</v>
      </c>
      <c r="F395" s="9">
        <v>1</v>
      </c>
      <c r="G395" s="9">
        <v>6</v>
      </c>
      <c r="H395" s="5" t="s">
        <v>21</v>
      </c>
      <c r="I395" s="5" t="s">
        <v>1071</v>
      </c>
      <c r="J395" s="12" t="str">
        <f>HYPERLINK("https://www.boe.es/gazeta/dias/1800/01/03/pdfs/GMD-1800-1.pdf#page=6","Abrir facsímil")</f>
        <v>Abrir facsímil</v>
      </c>
      <c r="K395" s="15" t="s">
        <v>23</v>
      </c>
    </row>
    <row r="396" spans="1:11" ht="42" customHeight="1">
      <c r="A396" s="4" t="s">
        <v>1072</v>
      </c>
      <c r="B396" s="5" t="s">
        <v>1073</v>
      </c>
      <c r="C396" s="5" t="s">
        <v>41</v>
      </c>
      <c r="D396" s="5" t="s">
        <v>42</v>
      </c>
      <c r="E396" s="5" t="s">
        <v>422</v>
      </c>
      <c r="F396" s="9">
        <v>85</v>
      </c>
      <c r="G396" s="9">
        <v>982</v>
      </c>
      <c r="H396" s="5" t="s">
        <v>21</v>
      </c>
      <c r="I396" s="5" t="s">
        <v>1074</v>
      </c>
      <c r="J396" s="12" t="str">
        <f>HYPERLINK("https://www.boe.es/gazeta/dias/1800/10/21/pdfs/GMD-1800-85.pdf#page=4","Abrir facsímil")</f>
        <v>Abrir facsímil</v>
      </c>
      <c r="K396" s="15" t="s">
        <v>23</v>
      </c>
    </row>
    <row r="397" spans="1:11" ht="42" customHeight="1">
      <c r="A397" s="4" t="s">
        <v>1075</v>
      </c>
      <c r="B397" s="5" t="s">
        <v>1076</v>
      </c>
      <c r="C397" s="5" t="s">
        <v>41</v>
      </c>
      <c r="D397" s="5" t="s">
        <v>42</v>
      </c>
      <c r="E397" s="5" t="s">
        <v>214</v>
      </c>
      <c r="F397" s="9">
        <v>41</v>
      </c>
      <c r="G397" s="9">
        <v>419</v>
      </c>
      <c r="H397" s="5" t="s">
        <v>21</v>
      </c>
      <c r="I397" s="5" t="s">
        <v>1077</v>
      </c>
      <c r="J397" s="12" t="str">
        <f>HYPERLINK("https://www.boe.es/gazeta/dias/1800/05/23/pdfs/GMD-1800-41.pdf#page=3","Abrir facsímil")</f>
        <v>Abrir facsímil</v>
      </c>
      <c r="K397" s="15" t="s">
        <v>23</v>
      </c>
    </row>
    <row r="398" spans="1:11" ht="42" customHeight="1">
      <c r="A398" s="4" t="s">
        <v>1078</v>
      </c>
      <c r="B398" s="5" t="s">
        <v>1079</v>
      </c>
      <c r="C398" s="5" t="s">
        <v>84</v>
      </c>
      <c r="D398" s="5" t="s">
        <v>85</v>
      </c>
      <c r="E398" s="5" t="s">
        <v>530</v>
      </c>
      <c r="F398" s="9">
        <v>55</v>
      </c>
      <c r="G398" s="9">
        <v>624</v>
      </c>
      <c r="H398" s="5" t="s">
        <v>21</v>
      </c>
      <c r="I398" s="5" t="s">
        <v>1080</v>
      </c>
      <c r="J398" s="12" t="str">
        <f>HYPERLINK("https://www.boe.es/gazeta/dias/1800/07/11/pdfs/GMD-1800-55.pdf#page=12","Abrir facsímil")</f>
        <v>Abrir facsímil</v>
      </c>
      <c r="K398" s="15" t="s">
        <v>23</v>
      </c>
    </row>
    <row r="399" spans="1:11" ht="42" customHeight="1">
      <c r="A399" s="4" t="s">
        <v>1081</v>
      </c>
      <c r="B399" s="5" t="s">
        <v>1082</v>
      </c>
      <c r="C399" s="5" t="s">
        <v>18</v>
      </c>
      <c r="D399" s="5" t="s">
        <v>19</v>
      </c>
      <c r="E399" s="5" t="s">
        <v>158</v>
      </c>
      <c r="F399" s="9">
        <v>25</v>
      </c>
      <c r="G399" s="9">
        <v>258</v>
      </c>
      <c r="H399" s="5" t="s">
        <v>21</v>
      </c>
      <c r="I399" s="5" t="s">
        <v>1083</v>
      </c>
      <c r="J399" s="12" t="str">
        <f>HYPERLINK("https://www.boe.es/gazeta/dias/1800/03/28/pdfs/GMD-1800-25.pdf#page=10","Abrir facsímil")</f>
        <v>Abrir facsímil</v>
      </c>
      <c r="K399" s="15" t="s">
        <v>23</v>
      </c>
    </row>
    <row r="400" spans="1:11" ht="42" customHeight="1">
      <c r="A400" s="4" t="s">
        <v>1084</v>
      </c>
      <c r="B400" s="5" t="s">
        <v>1085</v>
      </c>
      <c r="C400" s="5" t="s">
        <v>207</v>
      </c>
      <c r="D400" s="5" t="s">
        <v>55</v>
      </c>
      <c r="E400" s="5" t="s">
        <v>329</v>
      </c>
      <c r="F400" s="9">
        <v>99</v>
      </c>
      <c r="G400" s="9">
        <v>1138</v>
      </c>
      <c r="H400" s="5" t="s">
        <v>21</v>
      </c>
      <c r="I400" s="5" t="s">
        <v>1086</v>
      </c>
      <c r="J400" s="12" t="str">
        <f>HYPERLINK("https://www.boe.es/gazeta/dias/1800/12/09/pdfs/GMD-1800-99.pdf#page=6","Abrir facsímil")</f>
        <v>Abrir facsímil</v>
      </c>
      <c r="K400" s="15" t="s">
        <v>23</v>
      </c>
    </row>
    <row r="401" spans="1:11" ht="42" customHeight="1">
      <c r="A401" s="4" t="s">
        <v>1087</v>
      </c>
      <c r="B401" s="5" t="s">
        <v>1088</v>
      </c>
      <c r="C401" s="5" t="s">
        <v>18</v>
      </c>
      <c r="D401" s="5" t="s">
        <v>19</v>
      </c>
      <c r="E401" s="5" t="s">
        <v>214</v>
      </c>
      <c r="F401" s="9">
        <v>41</v>
      </c>
      <c r="G401" s="9">
        <v>423</v>
      </c>
      <c r="H401" s="5" t="s">
        <v>21</v>
      </c>
      <c r="I401" s="5" t="s">
        <v>1089</v>
      </c>
      <c r="J401" s="12" t="str">
        <f>HYPERLINK("https://www.boe.es/gazeta/dias/1800/05/23/pdfs/GMD-1800-41.pdf#page=7","Abrir facsímil")</f>
        <v>Abrir facsímil</v>
      </c>
      <c r="K401" s="15" t="s">
        <v>23</v>
      </c>
    </row>
    <row r="402" spans="1:11" ht="42" customHeight="1">
      <c r="A402" s="4" t="s">
        <v>1090</v>
      </c>
      <c r="B402" s="5" t="s">
        <v>1091</v>
      </c>
      <c r="C402" s="5" t="s">
        <v>84</v>
      </c>
      <c r="D402" s="5" t="s">
        <v>85</v>
      </c>
      <c r="E402" s="5" t="s">
        <v>255</v>
      </c>
      <c r="F402" s="9">
        <v>75</v>
      </c>
      <c r="G402" s="9">
        <v>856</v>
      </c>
      <c r="H402" s="5" t="s">
        <v>21</v>
      </c>
      <c r="I402" s="5" t="s">
        <v>1092</v>
      </c>
      <c r="J402" s="12" t="str">
        <f>HYPERLINK("https://www.boe.es/gazeta/dias/1800/09/16/pdfs/GMD-1800-75.pdf#page=10","Abrir facsímil")</f>
        <v>Abrir facsímil</v>
      </c>
      <c r="K402" s="15" t="s">
        <v>23</v>
      </c>
    </row>
    <row r="403" spans="1:11" ht="42" customHeight="1">
      <c r="A403" s="4" t="s">
        <v>1093</v>
      </c>
      <c r="B403" s="5" t="s">
        <v>1094</v>
      </c>
      <c r="C403" s="5" t="s">
        <v>18</v>
      </c>
      <c r="D403" s="5" t="s">
        <v>19</v>
      </c>
      <c r="E403" s="5" t="s">
        <v>836</v>
      </c>
      <c r="F403" s="9">
        <v>71</v>
      </c>
      <c r="G403" s="9">
        <v>789</v>
      </c>
      <c r="H403" s="5" t="s">
        <v>21</v>
      </c>
      <c r="I403" s="5" t="s">
        <v>1095</v>
      </c>
      <c r="J403" s="12" t="str">
        <f>HYPERLINK("https://www.boe.es/gazeta/dias/1800/09/02/pdfs/GMD-1800-71.pdf#page=7","Abrir facsímil")</f>
        <v>Abrir facsímil</v>
      </c>
      <c r="K403" s="15" t="s">
        <v>23</v>
      </c>
    </row>
    <row r="404" spans="1:11" ht="42" customHeight="1">
      <c r="A404" s="4" t="s">
        <v>1096</v>
      </c>
      <c r="B404" s="5" t="s">
        <v>1097</v>
      </c>
      <c r="C404" s="5" t="s">
        <v>25</v>
      </c>
      <c r="D404" s="5" t="s">
        <v>26</v>
      </c>
      <c r="E404" s="5" t="s">
        <v>283</v>
      </c>
      <c r="F404" s="9">
        <v>68</v>
      </c>
      <c r="G404" s="9">
        <v>764</v>
      </c>
      <c r="H404" s="5" t="s">
        <v>21</v>
      </c>
      <c r="I404" s="5" t="s">
        <v>1098</v>
      </c>
      <c r="J404" s="12" t="str">
        <f>HYPERLINK("https://www.boe.es/gazeta/dias/1800/08/26/pdfs/GMD-1800-68.pdf#page=8","Abrir facsímil")</f>
        <v>Abrir facsímil</v>
      </c>
      <c r="K404" s="15" t="s">
        <v>23</v>
      </c>
    </row>
    <row r="405" spans="1:11" ht="42" customHeight="1">
      <c r="A405" s="4" t="s">
        <v>1096</v>
      </c>
      <c r="B405" s="5" t="s">
        <v>1097</v>
      </c>
      <c r="C405" s="5" t="s">
        <v>18</v>
      </c>
      <c r="D405" s="5" t="s">
        <v>19</v>
      </c>
      <c r="E405" s="5" t="s">
        <v>60</v>
      </c>
      <c r="F405" s="9">
        <v>105</v>
      </c>
      <c r="G405" s="9">
        <v>1225</v>
      </c>
      <c r="H405" s="5" t="s">
        <v>21</v>
      </c>
      <c r="I405" s="5" t="s">
        <v>1099</v>
      </c>
      <c r="J405" s="12" t="str">
        <f>HYPERLINK("https://www.boe.es/gazeta/dias/1800/12/30/pdfs/GMD-1800-105.pdf#page=9","Abrir facsímil")</f>
        <v>Abrir facsímil</v>
      </c>
      <c r="K405" s="15" t="s">
        <v>23</v>
      </c>
    </row>
    <row r="406" spans="1:11" ht="42" customHeight="1">
      <c r="A406" s="4" t="s">
        <v>1100</v>
      </c>
      <c r="B406" s="5" t="s">
        <v>1101</v>
      </c>
      <c r="C406" s="5" t="s">
        <v>84</v>
      </c>
      <c r="D406" s="5" t="s">
        <v>85</v>
      </c>
      <c r="E406" s="5" t="s">
        <v>530</v>
      </c>
      <c r="F406" s="9">
        <v>55</v>
      </c>
      <c r="G406" s="9">
        <v>623</v>
      </c>
      <c r="H406" s="5" t="s">
        <v>21</v>
      </c>
      <c r="I406" s="5" t="s">
        <v>1102</v>
      </c>
      <c r="J406" s="12" t="str">
        <f>HYPERLINK("https://www.boe.es/gazeta/dias/1800/07/11/pdfs/GMD-1800-55.pdf#page=11","Abrir facsímil")</f>
        <v>Abrir facsímil</v>
      </c>
      <c r="K406" s="15" t="s">
        <v>23</v>
      </c>
    </row>
    <row r="407" spans="1:11" ht="42" customHeight="1">
      <c r="A407" s="4" t="s">
        <v>1103</v>
      </c>
      <c r="B407" s="5" t="s">
        <v>1104</v>
      </c>
      <c r="C407" s="5" t="s">
        <v>54</v>
      </c>
      <c r="D407" s="5" t="s">
        <v>55</v>
      </c>
      <c r="E407" s="5" t="s">
        <v>600</v>
      </c>
      <c r="F407" s="9">
        <v>45</v>
      </c>
      <c r="G407" s="9">
        <v>471</v>
      </c>
      <c r="H407" s="5" t="s">
        <v>21</v>
      </c>
      <c r="I407" s="5" t="s">
        <v>1105</v>
      </c>
      <c r="J407" s="12" t="str">
        <f>HYPERLINK("https://www.boe.es/gazeta/dias/1800/06/06/pdfs/GMD-1800-45.pdf#page=7","Abrir facsímil")</f>
        <v>Abrir facsímil</v>
      </c>
      <c r="K407" s="15" t="s">
        <v>23</v>
      </c>
    </row>
    <row r="408" spans="1:11" ht="42" customHeight="1">
      <c r="A408" s="4" t="s">
        <v>1106</v>
      </c>
      <c r="B408" s="5" t="s">
        <v>1107</v>
      </c>
      <c r="C408" s="5" t="s">
        <v>54</v>
      </c>
      <c r="D408" s="5" t="s">
        <v>55</v>
      </c>
      <c r="E408" s="5" t="s">
        <v>1108</v>
      </c>
      <c r="F408" s="9">
        <v>30</v>
      </c>
      <c r="G408" s="9">
        <v>302</v>
      </c>
      <c r="H408" s="5" t="s">
        <v>21</v>
      </c>
      <c r="I408" s="5" t="s">
        <v>1109</v>
      </c>
      <c r="J408" s="12" t="str">
        <f>HYPERLINK("https://www.boe.es/gazeta/dias/1800/04/15/pdfs/GMD-1800-30.pdf#page=2","Abrir facsímil")</f>
        <v>Abrir facsímil</v>
      </c>
      <c r="K408" s="15" t="s">
        <v>23</v>
      </c>
    </row>
    <row r="409" spans="1:11" ht="42" customHeight="1">
      <c r="A409" s="4" t="s">
        <v>1106</v>
      </c>
      <c r="B409" s="5" t="s">
        <v>1107</v>
      </c>
      <c r="C409" s="5" t="s">
        <v>18</v>
      </c>
      <c r="D409" s="5" t="s">
        <v>19</v>
      </c>
      <c r="E409" s="5" t="s">
        <v>319</v>
      </c>
      <c r="F409" s="9">
        <v>62</v>
      </c>
      <c r="G409" s="9">
        <v>702</v>
      </c>
      <c r="H409" s="5" t="s">
        <v>21</v>
      </c>
      <c r="I409" s="5" t="s">
        <v>1110</v>
      </c>
      <c r="J409" s="12" t="str">
        <f>HYPERLINK("https://www.boe.es/gazeta/dias/1800/08/05/pdfs/GMD-1800-62.pdf#page=2","Abrir facsímil")</f>
        <v>Abrir facsímil</v>
      </c>
      <c r="K409" s="15" t="s">
        <v>23</v>
      </c>
    </row>
    <row r="410" spans="1:11" ht="42" customHeight="1">
      <c r="A410" s="4" t="s">
        <v>1106</v>
      </c>
      <c r="B410" s="5" t="s">
        <v>1107</v>
      </c>
      <c r="C410" s="5" t="s">
        <v>41</v>
      </c>
      <c r="D410" s="5" t="s">
        <v>42</v>
      </c>
      <c r="E410" s="5" t="s">
        <v>48</v>
      </c>
      <c r="F410" s="9">
        <v>66</v>
      </c>
      <c r="G410" s="9">
        <v>738</v>
      </c>
      <c r="H410" s="5" t="s">
        <v>21</v>
      </c>
      <c r="I410" s="5" t="s">
        <v>1111</v>
      </c>
      <c r="J410" s="12" t="str">
        <f>HYPERLINK("https://www.boe.es/gazeta/dias/1800/08/19/pdfs/GMD-1800-66.pdf#page=2","Abrir facsímil")</f>
        <v>Abrir facsímil</v>
      </c>
      <c r="K410" s="15" t="s">
        <v>23</v>
      </c>
    </row>
    <row r="411" spans="1:11" ht="42" customHeight="1">
      <c r="A411" s="4" t="s">
        <v>1106</v>
      </c>
      <c r="B411" s="5" t="s">
        <v>1107</v>
      </c>
      <c r="C411" s="5" t="s">
        <v>41</v>
      </c>
      <c r="D411" s="5" t="s">
        <v>42</v>
      </c>
      <c r="E411" s="5" t="s">
        <v>52</v>
      </c>
      <c r="F411" s="9">
        <v>83</v>
      </c>
      <c r="G411" s="9">
        <v>956</v>
      </c>
      <c r="H411" s="5" t="s">
        <v>21</v>
      </c>
      <c r="I411" s="5" t="s">
        <v>1112</v>
      </c>
      <c r="J411" s="12" t="str">
        <f>HYPERLINK("https://www.boe.es/gazeta/dias/1800/10/14/pdfs/GMD-1800-83.pdf#page=2","Abrir facsímil")</f>
        <v>Abrir facsímil</v>
      </c>
      <c r="K411" s="15" t="s">
        <v>23</v>
      </c>
    </row>
    <row r="412" spans="1:11" ht="42" customHeight="1">
      <c r="A412" s="4" t="s">
        <v>1113</v>
      </c>
      <c r="B412" s="5" t="s">
        <v>1114</v>
      </c>
      <c r="C412" s="5" t="s">
        <v>54</v>
      </c>
      <c r="D412" s="5" t="s">
        <v>55</v>
      </c>
      <c r="E412" s="5" t="s">
        <v>600</v>
      </c>
      <c r="F412" s="9">
        <v>45</v>
      </c>
      <c r="G412" s="9">
        <v>471</v>
      </c>
      <c r="H412" s="5" t="s">
        <v>21</v>
      </c>
      <c r="I412" s="5" t="s">
        <v>1115</v>
      </c>
      <c r="J412" s="12" t="str">
        <f>HYPERLINK("https://www.boe.es/gazeta/dias/1800/06/06/pdfs/GMD-1800-45.pdf#page=7","Abrir facsímil")</f>
        <v>Abrir facsímil</v>
      </c>
      <c r="K412" s="15" t="s">
        <v>23</v>
      </c>
    </row>
    <row r="413" spans="1:11" ht="42" customHeight="1">
      <c r="A413" s="4" t="s">
        <v>1116</v>
      </c>
      <c r="B413" s="5" t="s">
        <v>1117</v>
      </c>
      <c r="C413" s="5" t="s">
        <v>41</v>
      </c>
      <c r="D413" s="5" t="s">
        <v>42</v>
      </c>
      <c r="E413" s="5" t="s">
        <v>184</v>
      </c>
      <c r="F413" s="9">
        <v>82</v>
      </c>
      <c r="G413" s="9">
        <v>944</v>
      </c>
      <c r="H413" s="5" t="s">
        <v>21</v>
      </c>
      <c r="I413" s="5" t="s">
        <v>1118</v>
      </c>
      <c r="J413" s="12" t="str">
        <f>HYPERLINK("https://www.boe.es/gazeta/dias/1800/10/10/pdfs/GMD-1800-82.pdf#page=2","Abrir facsímil")</f>
        <v>Abrir facsímil</v>
      </c>
      <c r="K413" s="15" t="s">
        <v>23</v>
      </c>
    </row>
    <row r="414" spans="1:11" ht="42" customHeight="1">
      <c r="A414" s="4" t="s">
        <v>1119</v>
      </c>
      <c r="B414" s="5" t="s">
        <v>1120</v>
      </c>
      <c r="C414" s="5" t="s">
        <v>41</v>
      </c>
      <c r="D414" s="5" t="s">
        <v>42</v>
      </c>
      <c r="E414" s="5" t="s">
        <v>27</v>
      </c>
      <c r="F414" s="9">
        <v>65</v>
      </c>
      <c r="G414" s="9">
        <v>731</v>
      </c>
      <c r="H414" s="5" t="s">
        <v>21</v>
      </c>
      <c r="I414" s="5" t="s">
        <v>1121</v>
      </c>
      <c r="J414" s="12" t="str">
        <f>HYPERLINK("https://www.boe.es/gazeta/dias/1800/08/15/pdfs/GMD-1800-65.pdf#page=7","Abrir facsímil")</f>
        <v>Abrir facsímil</v>
      </c>
      <c r="K414" s="15" t="s">
        <v>23</v>
      </c>
    </row>
    <row r="415" spans="1:11" ht="42" customHeight="1">
      <c r="A415" s="4" t="s">
        <v>1122</v>
      </c>
      <c r="B415" s="5" t="s">
        <v>1123</v>
      </c>
      <c r="C415" s="5" t="s">
        <v>41</v>
      </c>
      <c r="D415" s="5" t="s">
        <v>42</v>
      </c>
      <c r="E415" s="5" t="s">
        <v>86</v>
      </c>
      <c r="F415" s="9">
        <v>17</v>
      </c>
      <c r="G415" s="9">
        <v>155</v>
      </c>
      <c r="H415" s="5" t="s">
        <v>21</v>
      </c>
      <c r="I415" s="5" t="s">
        <v>1124</v>
      </c>
      <c r="J415" s="12" t="str">
        <f>HYPERLINK("https://www.boe.es/gazeta/dias/1800/02/28/pdfs/GMD-1800-17.pdf#page=3","Abrir facsímil")</f>
        <v>Abrir facsímil</v>
      </c>
      <c r="K415" s="15" t="s">
        <v>23</v>
      </c>
    </row>
    <row r="416" spans="1:11" ht="42" customHeight="1">
      <c r="A416" s="4" t="s">
        <v>1125</v>
      </c>
      <c r="B416" s="5" t="s">
        <v>1126</v>
      </c>
      <c r="C416" s="5" t="s">
        <v>41</v>
      </c>
      <c r="D416" s="5" t="s">
        <v>42</v>
      </c>
      <c r="E416" s="5" t="s">
        <v>1127</v>
      </c>
      <c r="F416" s="9">
        <v>11</v>
      </c>
      <c r="G416" s="9">
        <v>101</v>
      </c>
      <c r="H416" s="5" t="s">
        <v>21</v>
      </c>
      <c r="I416" s="5" t="s">
        <v>1128</v>
      </c>
      <c r="J416" s="12" t="str">
        <f>HYPERLINK("https://www.boe.es/gazeta/dias/1800/02/07/pdfs/GMD-1800-11.pdf#page=1","Abrir facsímil")</f>
        <v>Abrir facsímil</v>
      </c>
      <c r="K416" s="15" t="s">
        <v>23</v>
      </c>
    </row>
    <row r="417" spans="1:11" ht="42" customHeight="1">
      <c r="A417" s="4" t="s">
        <v>1129</v>
      </c>
      <c r="B417" s="5" t="s">
        <v>1130</v>
      </c>
      <c r="C417" s="5" t="s">
        <v>18</v>
      </c>
      <c r="D417" s="5" t="s">
        <v>19</v>
      </c>
      <c r="E417" s="5" t="s">
        <v>120</v>
      </c>
      <c r="F417" s="9">
        <v>52</v>
      </c>
      <c r="G417" s="9">
        <v>572</v>
      </c>
      <c r="H417" s="5" t="s">
        <v>21</v>
      </c>
      <c r="I417" s="5" t="s">
        <v>1131</v>
      </c>
      <c r="J417" s="12" t="str">
        <f>HYPERLINK("https://www.boe.es/gazeta/dias/1800/07/01/pdfs/GMD-1800-52.pdf#page=8","Abrir facsímil")</f>
        <v>Abrir facsímil</v>
      </c>
      <c r="K417" s="15" t="s">
        <v>23</v>
      </c>
    </row>
    <row r="418" spans="1:11" ht="42" customHeight="1">
      <c r="A418" s="4" t="s">
        <v>1132</v>
      </c>
      <c r="B418" s="5" t="s">
        <v>1133</v>
      </c>
      <c r="C418" s="5" t="s">
        <v>207</v>
      </c>
      <c r="D418" s="5" t="s">
        <v>55</v>
      </c>
      <c r="E418" s="5" t="s">
        <v>31</v>
      </c>
      <c r="F418" s="9">
        <v>20</v>
      </c>
      <c r="G418" s="9">
        <v>191</v>
      </c>
      <c r="H418" s="5" t="s">
        <v>21</v>
      </c>
      <c r="I418" s="5" t="s">
        <v>1134</v>
      </c>
      <c r="J418" s="12" t="str">
        <f>HYPERLINK("https://www.boe.es/gazeta/dias/1800/03/11/pdfs/GMD-1800-20.pdf#page=7","Abrir facsímil")</f>
        <v>Abrir facsímil</v>
      </c>
      <c r="K418" s="15" t="s">
        <v>23</v>
      </c>
    </row>
    <row r="419" spans="1:11" ht="42" customHeight="1">
      <c r="A419" s="4" t="s">
        <v>1135</v>
      </c>
      <c r="B419" s="5" t="s">
        <v>1136</v>
      </c>
      <c r="C419" s="5" t="s">
        <v>207</v>
      </c>
      <c r="D419" s="5" t="s">
        <v>55</v>
      </c>
      <c r="E419" s="5" t="s">
        <v>306</v>
      </c>
      <c r="F419" s="9">
        <v>79</v>
      </c>
      <c r="G419" s="9">
        <v>899</v>
      </c>
      <c r="H419" s="5" t="s">
        <v>21</v>
      </c>
      <c r="I419" s="5" t="s">
        <v>1137</v>
      </c>
      <c r="J419" s="12" t="str">
        <f>HYPERLINK("https://www.boe.es/gazeta/dias/1800/09/30/pdfs/GMD-1800-79.pdf#page=9","Abrir facsímil")</f>
        <v>Abrir facsímil</v>
      </c>
      <c r="K419" s="15" t="s">
        <v>23</v>
      </c>
    </row>
    <row r="420" spans="1:11" ht="42" customHeight="1">
      <c r="A420" s="4" t="s">
        <v>1138</v>
      </c>
      <c r="B420" s="5" t="s">
        <v>1138</v>
      </c>
      <c r="C420" s="5" t="s">
        <v>41</v>
      </c>
      <c r="D420" s="5" t="s">
        <v>42</v>
      </c>
      <c r="E420" s="5" t="s">
        <v>545</v>
      </c>
      <c r="F420" s="9">
        <v>14</v>
      </c>
      <c r="G420" s="9">
        <v>131</v>
      </c>
      <c r="H420" s="5" t="s">
        <v>21</v>
      </c>
      <c r="I420" s="5" t="s">
        <v>1139</v>
      </c>
      <c r="J420" s="12" t="str">
        <f>HYPERLINK("https://www.boe.es/gazeta/dias/1800/02/18/pdfs/GMD-1800-14.pdf#page=3","Abrir facsímil")</f>
        <v>Abrir facsímil</v>
      </c>
      <c r="K420" s="15" t="s">
        <v>23</v>
      </c>
    </row>
    <row r="421" spans="1:11" ht="42" customHeight="1">
      <c r="A421" s="4" t="s">
        <v>1140</v>
      </c>
      <c r="B421" s="5" t="s">
        <v>1141</v>
      </c>
      <c r="C421" s="5" t="s">
        <v>207</v>
      </c>
      <c r="D421" s="5" t="s">
        <v>55</v>
      </c>
      <c r="E421" s="5" t="s">
        <v>283</v>
      </c>
      <c r="F421" s="9">
        <v>68</v>
      </c>
      <c r="G421" s="9">
        <v>764</v>
      </c>
      <c r="H421" s="5" t="s">
        <v>21</v>
      </c>
      <c r="I421" s="5" t="s">
        <v>1142</v>
      </c>
      <c r="J421" s="12" t="str">
        <f>HYPERLINK("https://www.boe.es/gazeta/dias/1800/08/26/pdfs/GMD-1800-68.pdf#page=8","Abrir facsímil")</f>
        <v>Abrir facsímil</v>
      </c>
      <c r="K421" s="15" t="s">
        <v>23</v>
      </c>
    </row>
    <row r="422" spans="1:11" ht="42" customHeight="1">
      <c r="A422" s="4" t="s">
        <v>1143</v>
      </c>
      <c r="B422" s="5" t="s">
        <v>1144</v>
      </c>
      <c r="C422" s="5" t="s">
        <v>25</v>
      </c>
      <c r="D422" s="5" t="s">
        <v>26</v>
      </c>
      <c r="E422" s="5" t="s">
        <v>58</v>
      </c>
      <c r="F422" s="9">
        <v>92</v>
      </c>
      <c r="G422" s="9">
        <v>1053</v>
      </c>
      <c r="H422" s="5" t="s">
        <v>21</v>
      </c>
      <c r="I422" s="5" t="s">
        <v>1145</v>
      </c>
      <c r="J422" s="12" t="str">
        <f>HYPERLINK("https://www.boe.es/gazeta/dias/1800/11/14/pdfs/GMD-1800-92.pdf#page=7","Abrir facsímil")</f>
        <v>Abrir facsímil</v>
      </c>
      <c r="K422" s="15" t="s">
        <v>23</v>
      </c>
    </row>
    <row r="423" spans="1:11" ht="42" customHeight="1">
      <c r="A423" s="4" t="s">
        <v>1146</v>
      </c>
      <c r="B423" s="5" t="s">
        <v>1147</v>
      </c>
      <c r="C423" s="5" t="s">
        <v>18</v>
      </c>
      <c r="D423" s="5" t="s">
        <v>19</v>
      </c>
      <c r="E423" s="5" t="s">
        <v>314</v>
      </c>
      <c r="F423" s="9">
        <v>74</v>
      </c>
      <c r="G423" s="9">
        <v>833</v>
      </c>
      <c r="H423" s="5" t="s">
        <v>21</v>
      </c>
      <c r="I423" s="5" t="s">
        <v>1148</v>
      </c>
      <c r="J423" s="12" t="str">
        <f>HYPERLINK("https://www.boe.es/gazeta/dias/1800/09/12/pdfs/GMD-1800-74.pdf#page=11","Abrir facsímil")</f>
        <v>Abrir facsímil</v>
      </c>
      <c r="K423" s="15" t="s">
        <v>23</v>
      </c>
    </row>
    <row r="424" spans="1:11" ht="42" customHeight="1">
      <c r="A424" s="4" t="s">
        <v>1149</v>
      </c>
      <c r="B424" s="5" t="s">
        <v>1150</v>
      </c>
      <c r="C424" s="5" t="s">
        <v>207</v>
      </c>
      <c r="D424" s="5" t="s">
        <v>55</v>
      </c>
      <c r="E424" s="5" t="s">
        <v>845</v>
      </c>
      <c r="F424" s="9">
        <v>80</v>
      </c>
      <c r="G424" s="9">
        <v>905</v>
      </c>
      <c r="H424" s="5" t="s">
        <v>21</v>
      </c>
      <c r="I424" s="5" t="s">
        <v>1151</v>
      </c>
      <c r="J424" s="12" t="str">
        <f>HYPERLINK("https://www.boe.es/gazeta/dias/1800/10/03/pdfs/GMD-1800-80.pdf#page=3","Abrir facsímil")</f>
        <v>Abrir facsímil</v>
      </c>
      <c r="K424" s="15" t="s">
        <v>23</v>
      </c>
    </row>
    <row r="425" spans="1:11" ht="42" customHeight="1">
      <c r="A425" s="4" t="s">
        <v>1152</v>
      </c>
      <c r="B425" s="5" t="s">
        <v>1153</v>
      </c>
      <c r="C425" s="5" t="s">
        <v>25</v>
      </c>
      <c r="D425" s="5" t="s">
        <v>26</v>
      </c>
      <c r="E425" s="5" t="s">
        <v>101</v>
      </c>
      <c r="F425" s="9">
        <v>37</v>
      </c>
      <c r="G425" s="9">
        <v>377</v>
      </c>
      <c r="H425" s="5" t="s">
        <v>21</v>
      </c>
      <c r="I425" s="5" t="s">
        <v>1154</v>
      </c>
      <c r="J425" s="12" t="str">
        <f>HYPERLINK("https://www.boe.es/gazeta/dias/1800/05/09/pdfs/GMD-1800-37.pdf#page=9","Abrir facsímil")</f>
        <v>Abrir facsímil</v>
      </c>
      <c r="K425" s="15" t="s">
        <v>23</v>
      </c>
    </row>
    <row r="426" spans="1:11" ht="42" customHeight="1">
      <c r="A426" s="4" t="s">
        <v>1155</v>
      </c>
      <c r="B426" s="5" t="s">
        <v>1156</v>
      </c>
      <c r="C426" s="5" t="s">
        <v>41</v>
      </c>
      <c r="D426" s="5" t="s">
        <v>42</v>
      </c>
      <c r="E426" s="5" t="s">
        <v>101</v>
      </c>
      <c r="F426" s="9">
        <v>37</v>
      </c>
      <c r="G426" s="9">
        <v>376</v>
      </c>
      <c r="H426" s="5" t="s">
        <v>21</v>
      </c>
      <c r="I426" s="5" t="s">
        <v>1157</v>
      </c>
      <c r="J426" s="12" t="str">
        <f>HYPERLINK("https://www.boe.es/gazeta/dias/1800/05/09/pdfs/GMD-1800-37.pdf#page=8","Abrir facsímil")</f>
        <v>Abrir facsímil</v>
      </c>
      <c r="K426" s="15" t="s">
        <v>23</v>
      </c>
    </row>
    <row r="427" spans="1:11" ht="42" customHeight="1">
      <c r="A427" s="4" t="s">
        <v>1158</v>
      </c>
      <c r="B427" s="5" t="s">
        <v>1159</v>
      </c>
      <c r="C427" s="5" t="s">
        <v>18</v>
      </c>
      <c r="D427" s="5" t="s">
        <v>19</v>
      </c>
      <c r="E427" s="5" t="s">
        <v>35</v>
      </c>
      <c r="F427" s="9">
        <v>21</v>
      </c>
      <c r="G427" s="9">
        <v>206</v>
      </c>
      <c r="H427" s="5" t="s">
        <v>21</v>
      </c>
      <c r="I427" s="5" t="s">
        <v>1160</v>
      </c>
      <c r="J427" s="12" t="str">
        <f>HYPERLINK("https://www.boe.es/gazeta/dias/1800/03/14/pdfs/GMD-1800-21.pdf#page=10","Abrir facsímil")</f>
        <v>Abrir facsímil</v>
      </c>
      <c r="K427" s="15" t="s">
        <v>23</v>
      </c>
    </row>
    <row r="428" spans="1:11" ht="42" customHeight="1">
      <c r="A428" s="4" t="s">
        <v>1161</v>
      </c>
      <c r="B428" s="5" t="s">
        <v>1162</v>
      </c>
      <c r="C428" s="5" t="s">
        <v>41</v>
      </c>
      <c r="D428" s="5" t="s">
        <v>42</v>
      </c>
      <c r="E428" s="5" t="s">
        <v>88</v>
      </c>
      <c r="F428" s="9">
        <v>23</v>
      </c>
      <c r="G428" s="9">
        <v>226</v>
      </c>
      <c r="H428" s="5" t="s">
        <v>21</v>
      </c>
      <c r="I428" s="5" t="s">
        <v>1163</v>
      </c>
      <c r="J428" s="12" t="str">
        <f>HYPERLINK("https://www.boe.es/gazeta/dias/1800/03/21/pdfs/GMD-1800-23.pdf#page=2","Abrir facsímil")</f>
        <v>Abrir facsímil</v>
      </c>
      <c r="K428" s="15" t="s">
        <v>23</v>
      </c>
    </row>
    <row r="429" spans="1:11" ht="42" customHeight="1">
      <c r="A429" s="4" t="s">
        <v>1164</v>
      </c>
      <c r="B429" s="5" t="s">
        <v>1165</v>
      </c>
      <c r="C429" s="5" t="s">
        <v>41</v>
      </c>
      <c r="D429" s="5" t="s">
        <v>42</v>
      </c>
      <c r="E429" s="5" t="s">
        <v>244</v>
      </c>
      <c r="F429" s="9">
        <v>9</v>
      </c>
      <c r="G429" s="9">
        <v>80</v>
      </c>
      <c r="H429" s="5" t="s">
        <v>21</v>
      </c>
      <c r="I429" s="5" t="s">
        <v>1166</v>
      </c>
      <c r="J429" s="12" t="str">
        <f>HYPERLINK("https://www.boe.es/gazeta/dias/1800/01/31/pdfs/GMD-1800-9.pdf#page=4","Abrir facsímil")</f>
        <v>Abrir facsímil</v>
      </c>
      <c r="K429" s="15" t="s">
        <v>23</v>
      </c>
    </row>
    <row r="430" spans="1:11" ht="42" customHeight="1">
      <c r="A430" s="4" t="s">
        <v>1167</v>
      </c>
      <c r="B430" s="5" t="s">
        <v>1168</v>
      </c>
      <c r="C430" s="5" t="s">
        <v>18</v>
      </c>
      <c r="D430" s="5" t="s">
        <v>19</v>
      </c>
      <c r="E430" s="5" t="s">
        <v>60</v>
      </c>
      <c r="F430" s="9">
        <v>105</v>
      </c>
      <c r="G430" s="9">
        <v>1226</v>
      </c>
      <c r="H430" s="5" t="s">
        <v>21</v>
      </c>
      <c r="I430" s="5" t="s">
        <v>1169</v>
      </c>
      <c r="J430" s="12" t="str">
        <f>HYPERLINK("https://www.boe.es/gazeta/dias/1800/12/30/pdfs/GMD-1800-105.pdf#page=10","Abrir facsímil")</f>
        <v>Abrir facsímil</v>
      </c>
      <c r="K430" s="15" t="s">
        <v>23</v>
      </c>
    </row>
    <row r="431" spans="1:11" ht="42" customHeight="1">
      <c r="A431" s="4" t="s">
        <v>1170</v>
      </c>
      <c r="B431" s="5" t="s">
        <v>1170</v>
      </c>
      <c r="C431" s="5" t="s">
        <v>41</v>
      </c>
      <c r="D431" s="5" t="s">
        <v>42</v>
      </c>
      <c r="E431" s="5" t="s">
        <v>461</v>
      </c>
      <c r="F431" s="9">
        <v>18</v>
      </c>
      <c r="G431" s="9">
        <v>167</v>
      </c>
      <c r="H431" s="5" t="s">
        <v>21</v>
      </c>
      <c r="I431" s="5" t="s">
        <v>1171</v>
      </c>
      <c r="J431" s="12" t="str">
        <f>HYPERLINK("https://www.boe.es/datos/pdfs/BOE//1800/018/C00173-00176.pdf#page=3","Abrir facsímil")</f>
        <v>Abrir facsímil</v>
      </c>
      <c r="K431" s="15" t="s">
        <v>23</v>
      </c>
    </row>
    <row r="432" spans="1:11" ht="42" customHeight="1">
      <c r="A432" s="4" t="s">
        <v>1172</v>
      </c>
      <c r="B432" s="5" t="s">
        <v>1172</v>
      </c>
      <c r="C432" s="5" t="s">
        <v>18</v>
      </c>
      <c r="D432" s="5" t="s">
        <v>19</v>
      </c>
      <c r="E432" s="5" t="s">
        <v>35</v>
      </c>
      <c r="F432" s="9">
        <v>21</v>
      </c>
      <c r="G432" s="9">
        <v>202</v>
      </c>
      <c r="H432" s="5" t="s">
        <v>21</v>
      </c>
      <c r="I432" s="5" t="s">
        <v>1173</v>
      </c>
      <c r="J432" s="12" t="str">
        <f>HYPERLINK("https://www.boe.es/gazeta/dias/1800/03/14/pdfs/GMD-1800-21.pdf#page=6","Abrir facsímil")</f>
        <v>Abrir facsímil</v>
      </c>
      <c r="K432" s="15" t="s">
        <v>23</v>
      </c>
    </row>
    <row r="433" spans="1:11" ht="42" customHeight="1">
      <c r="A433" s="4" t="s">
        <v>1174</v>
      </c>
      <c r="B433" s="5" t="s">
        <v>1175</v>
      </c>
      <c r="C433" s="5" t="s">
        <v>18</v>
      </c>
      <c r="D433" s="5" t="s">
        <v>19</v>
      </c>
      <c r="E433" s="5" t="s">
        <v>530</v>
      </c>
      <c r="F433" s="9">
        <v>55</v>
      </c>
      <c r="G433" s="9">
        <v>622</v>
      </c>
      <c r="H433" s="5" t="s">
        <v>21</v>
      </c>
      <c r="I433" s="5" t="s">
        <v>1176</v>
      </c>
      <c r="J433" s="12" t="str">
        <f>HYPERLINK("https://www.boe.es/gazeta/dias/1800/07/11/pdfs/GMD-1800-55.pdf#page=10","Abrir facsímil")</f>
        <v>Abrir facsímil</v>
      </c>
      <c r="K433" s="15" t="s">
        <v>23</v>
      </c>
    </row>
    <row r="434" spans="1:11" ht="42" customHeight="1">
      <c r="A434" s="4" t="s">
        <v>1177</v>
      </c>
      <c r="B434" s="5" t="s">
        <v>1178</v>
      </c>
      <c r="C434" s="5" t="s">
        <v>1179</v>
      </c>
      <c r="D434" s="5" t="s">
        <v>1180</v>
      </c>
      <c r="E434" s="5" t="s">
        <v>314</v>
      </c>
      <c r="F434" s="9">
        <v>74</v>
      </c>
      <c r="G434" s="9">
        <v>844</v>
      </c>
      <c r="H434" s="5" t="s">
        <v>21</v>
      </c>
      <c r="I434" s="5" t="s">
        <v>1181</v>
      </c>
      <c r="J434" s="12" t="str">
        <f>HYPERLINK("https://www.boe.es/gazeta/dias/1800/09/12/pdfs/GMD-C-1800-74.pdf#page=6","Abrir facsímil")</f>
        <v>Abrir facsímil</v>
      </c>
      <c r="K434" s="15" t="s">
        <v>23</v>
      </c>
    </row>
    <row r="435" spans="1:11" ht="42" customHeight="1">
      <c r="A435" s="4" t="s">
        <v>1182</v>
      </c>
      <c r="B435" s="5" t="s">
        <v>1182</v>
      </c>
      <c r="C435" s="5" t="s">
        <v>18</v>
      </c>
      <c r="D435" s="5" t="s">
        <v>19</v>
      </c>
      <c r="E435" s="5" t="s">
        <v>139</v>
      </c>
      <c r="F435" s="9">
        <v>2</v>
      </c>
      <c r="G435" s="9">
        <v>18</v>
      </c>
      <c r="H435" s="5" t="s">
        <v>21</v>
      </c>
      <c r="I435" s="5" t="s">
        <v>1183</v>
      </c>
      <c r="J435" s="12" t="str">
        <f>HYPERLINK("https://www.boe.es/gazeta/dias/1800/01/07/pdfs/GMD-1800-2.pdf#page=10","Abrir facsímil")</f>
        <v>Abrir facsímil</v>
      </c>
      <c r="K435" s="15" t="s">
        <v>23</v>
      </c>
    </row>
    <row r="436" spans="1:11" ht="42" customHeight="1">
      <c r="A436" s="4" t="s">
        <v>1184</v>
      </c>
      <c r="B436" s="5" t="s">
        <v>1185</v>
      </c>
      <c r="C436" s="5" t="s">
        <v>18</v>
      </c>
      <c r="D436" s="5" t="s">
        <v>19</v>
      </c>
      <c r="E436" s="5" t="s">
        <v>75</v>
      </c>
      <c r="F436" s="9">
        <v>64</v>
      </c>
      <c r="G436" s="9">
        <v>734</v>
      </c>
      <c r="H436" s="5" t="s">
        <v>21</v>
      </c>
      <c r="I436" s="5" t="s">
        <v>1186</v>
      </c>
      <c r="J436" s="12" t="str">
        <f>HYPERLINK("https://www.boe.es/gazeta/dias/1800/08/12/pdfs/GMD-1800-64.pdf#page=10","Abrir facsímil")</f>
        <v>Abrir facsímil</v>
      </c>
      <c r="K436" s="15" t="s">
        <v>23</v>
      </c>
    </row>
    <row r="437" spans="1:11" ht="42" customHeight="1">
      <c r="A437" s="4" t="s">
        <v>1187</v>
      </c>
      <c r="B437" s="5" t="s">
        <v>1188</v>
      </c>
      <c r="C437" s="5" t="s">
        <v>41</v>
      </c>
      <c r="D437" s="5" t="s">
        <v>42</v>
      </c>
      <c r="E437" s="5" t="s">
        <v>244</v>
      </c>
      <c r="F437" s="9">
        <v>9</v>
      </c>
      <c r="G437" s="9">
        <v>81</v>
      </c>
      <c r="H437" s="5" t="s">
        <v>21</v>
      </c>
      <c r="I437" s="5" t="s">
        <v>1189</v>
      </c>
      <c r="J437" s="12" t="str">
        <f>HYPERLINK("https://www.boe.es/gazeta/dias/1800/01/31/pdfs/GMD-1800-9.pdf#page=5","Abrir facsímil")</f>
        <v>Abrir facsímil</v>
      </c>
      <c r="K437" s="15" t="s">
        <v>23</v>
      </c>
    </row>
    <row r="438" spans="1:11" ht="42" customHeight="1">
      <c r="A438" s="4" t="s">
        <v>1190</v>
      </c>
      <c r="B438" s="5" t="s">
        <v>1191</v>
      </c>
      <c r="C438" s="5" t="s">
        <v>54</v>
      </c>
      <c r="D438" s="5" t="s">
        <v>55</v>
      </c>
      <c r="E438" s="5" t="s">
        <v>618</v>
      </c>
      <c r="F438" s="9">
        <v>1</v>
      </c>
      <c r="G438" s="9">
        <v>8</v>
      </c>
      <c r="H438" s="5" t="s">
        <v>21</v>
      </c>
      <c r="I438" s="5" t="s">
        <v>1192</v>
      </c>
      <c r="J438" s="12" t="str">
        <f>HYPERLINK("https://www.boe.es/gazeta/dias/1800/01/03/pdfs/GMD-1800-1.pdf#page=8","Abrir facsímil")</f>
        <v>Abrir facsímil</v>
      </c>
      <c r="K438" s="15" t="s">
        <v>23</v>
      </c>
    </row>
    <row r="439" spans="1:11" ht="42" customHeight="1">
      <c r="A439" s="4" t="s">
        <v>1193</v>
      </c>
      <c r="B439" s="5" t="s">
        <v>1194</v>
      </c>
      <c r="C439" s="5" t="s">
        <v>41</v>
      </c>
      <c r="D439" s="5" t="s">
        <v>42</v>
      </c>
      <c r="E439" s="5" t="s">
        <v>406</v>
      </c>
      <c r="F439" s="9">
        <v>44</v>
      </c>
      <c r="G439" s="9">
        <v>459</v>
      </c>
      <c r="H439" s="5" t="s">
        <v>21</v>
      </c>
      <c r="I439" s="5" t="s">
        <v>1195</v>
      </c>
      <c r="J439" s="12" t="str">
        <f>HYPERLINK("https://www.boe.es/gazeta/dias/1800/06/03/pdfs/GMD-1800-44.pdf#page=7","Abrir facsímil")</f>
        <v>Abrir facsímil</v>
      </c>
      <c r="K439" s="15" t="s">
        <v>23</v>
      </c>
    </row>
    <row r="440" spans="1:11" ht="42" customHeight="1">
      <c r="A440" s="4" t="s">
        <v>1196</v>
      </c>
      <c r="B440" s="5" t="s">
        <v>1197</v>
      </c>
      <c r="C440" s="5" t="s">
        <v>1035</v>
      </c>
      <c r="D440" s="5" t="s">
        <v>1036</v>
      </c>
      <c r="E440" s="5" t="s">
        <v>50</v>
      </c>
      <c r="F440" s="9">
        <v>81</v>
      </c>
      <c r="G440" s="9">
        <v>942</v>
      </c>
      <c r="H440" s="5" t="s">
        <v>21</v>
      </c>
      <c r="I440" s="5" t="s">
        <v>1198</v>
      </c>
      <c r="J440" s="12" t="str">
        <f>HYPERLINK("https://www.boe.es/gazeta/dias/1800/10/07/pdfs/GMD-C-1800-81.pdf#page=24","Abrir facsímil")</f>
        <v>Abrir facsímil</v>
      </c>
      <c r="K440" s="15" t="s">
        <v>23</v>
      </c>
    </row>
    <row r="441" spans="1:11" ht="42" customHeight="1">
      <c r="A441" s="4" t="s">
        <v>1199</v>
      </c>
      <c r="B441" s="5" t="s">
        <v>1200</v>
      </c>
      <c r="C441" s="5" t="s">
        <v>18</v>
      </c>
      <c r="D441" s="5" t="s">
        <v>19</v>
      </c>
      <c r="E441" s="5" t="s">
        <v>154</v>
      </c>
      <c r="F441" s="9">
        <v>61</v>
      </c>
      <c r="G441" s="9">
        <v>690</v>
      </c>
      <c r="H441" s="5" t="s">
        <v>21</v>
      </c>
      <c r="I441" s="5" t="s">
        <v>1201</v>
      </c>
      <c r="J441" s="12" t="str">
        <f>HYPERLINK("https://www.boe.es/gazeta/dias/1800/08/01/pdfs/GMD-1800-61.pdf#page=2","Abrir facsímil")</f>
        <v>Abrir facsímil</v>
      </c>
      <c r="K441" s="15" t="s">
        <v>23</v>
      </c>
    </row>
    <row r="442" spans="1:11" ht="42" customHeight="1">
      <c r="A442" s="4" t="s">
        <v>1202</v>
      </c>
      <c r="B442" s="5" t="s">
        <v>1202</v>
      </c>
      <c r="C442" s="5" t="s">
        <v>84</v>
      </c>
      <c r="D442" s="5" t="s">
        <v>85</v>
      </c>
      <c r="E442" s="5" t="s">
        <v>454</v>
      </c>
      <c r="F442" s="9">
        <v>63</v>
      </c>
      <c r="G442" s="9">
        <v>724</v>
      </c>
      <c r="H442" s="5" t="s">
        <v>21</v>
      </c>
      <c r="I442" s="5" t="s">
        <v>1203</v>
      </c>
      <c r="J442" s="12" t="str">
        <f>HYPERLINK("https://www.boe.es/gazeta/dias/1800/08/08/pdfs/GMD-1800-63.pdf#page=12","Abrir facsímil")</f>
        <v>Abrir facsímil</v>
      </c>
      <c r="K442" s="15" t="s">
        <v>23</v>
      </c>
    </row>
    <row r="443" spans="1:11" ht="42" customHeight="1">
      <c r="A443" s="4" t="s">
        <v>1204</v>
      </c>
      <c r="B443" s="5" t="s">
        <v>1205</v>
      </c>
      <c r="C443" s="5" t="s">
        <v>41</v>
      </c>
      <c r="D443" s="5" t="s">
        <v>42</v>
      </c>
      <c r="E443" s="5" t="s">
        <v>583</v>
      </c>
      <c r="F443" s="9">
        <v>77</v>
      </c>
      <c r="G443" s="9">
        <v>872</v>
      </c>
      <c r="H443" s="5" t="s">
        <v>21</v>
      </c>
      <c r="I443" s="5" t="s">
        <v>1206</v>
      </c>
      <c r="J443" s="12" t="str">
        <f>HYPERLINK("https://www.boe.es/gazeta/dias/1800/09/23/pdfs/GMD-1800-77.pdf#page=2","Abrir facsímil")</f>
        <v>Abrir facsímil</v>
      </c>
      <c r="K443" s="15" t="s">
        <v>23</v>
      </c>
    </row>
    <row r="444" spans="1:11" ht="42" customHeight="1">
      <c r="A444" s="4" t="s">
        <v>1204</v>
      </c>
      <c r="B444" s="5" t="s">
        <v>1205</v>
      </c>
      <c r="C444" s="5" t="s">
        <v>41</v>
      </c>
      <c r="D444" s="5" t="s">
        <v>42</v>
      </c>
      <c r="E444" s="5" t="s">
        <v>116</v>
      </c>
      <c r="F444" s="9">
        <v>86</v>
      </c>
      <c r="G444" s="9">
        <v>995</v>
      </c>
      <c r="H444" s="5" t="s">
        <v>21</v>
      </c>
      <c r="I444" s="5" t="s">
        <v>1207</v>
      </c>
      <c r="J444" s="12" t="str">
        <f>HYPERLINK("https://www.boe.es/gazeta/dias/1800/10/24/pdfs/GMD-1800-86.pdf#page=5","Abrir facsímil")</f>
        <v>Abrir facsímil</v>
      </c>
      <c r="K444" s="15" t="s">
        <v>23</v>
      </c>
    </row>
    <row r="445" spans="1:11" ht="42" customHeight="1">
      <c r="A445" s="4" t="s">
        <v>1204</v>
      </c>
      <c r="B445" s="5" t="s">
        <v>1205</v>
      </c>
      <c r="C445" s="5" t="s">
        <v>41</v>
      </c>
      <c r="D445" s="5" t="s">
        <v>42</v>
      </c>
      <c r="E445" s="5" t="s">
        <v>58</v>
      </c>
      <c r="F445" s="9">
        <v>92</v>
      </c>
      <c r="G445" s="9">
        <v>1051</v>
      </c>
      <c r="H445" s="5" t="s">
        <v>21</v>
      </c>
      <c r="I445" s="5" t="s">
        <v>1208</v>
      </c>
      <c r="J445" s="12" t="str">
        <f>HYPERLINK("https://www.boe.es/gazeta/dias/1800/11/14/pdfs/GMD-1800-92.pdf#page=5","Abrir facsímil")</f>
        <v>Abrir facsímil</v>
      </c>
      <c r="K445" s="15" t="s">
        <v>23</v>
      </c>
    </row>
    <row r="446" spans="1:11" ht="42" customHeight="1">
      <c r="A446" s="4" t="s">
        <v>1209</v>
      </c>
      <c r="B446" s="5" t="s">
        <v>1209</v>
      </c>
      <c r="C446" s="5" t="s">
        <v>41</v>
      </c>
      <c r="D446" s="5" t="s">
        <v>42</v>
      </c>
      <c r="E446" s="5" t="s">
        <v>572</v>
      </c>
      <c r="F446" s="9">
        <v>76</v>
      </c>
      <c r="G446" s="9">
        <v>865</v>
      </c>
      <c r="H446" s="5" t="s">
        <v>21</v>
      </c>
      <c r="I446" s="5" t="s">
        <v>1210</v>
      </c>
      <c r="J446" s="12" t="str">
        <f>HYPERLINK("https://www.boe.es/gazeta/dias/1800/09/19/pdfs/GMD-1800-76.pdf#page=7","Abrir facsímil")</f>
        <v>Abrir facsímil</v>
      </c>
      <c r="K446" s="15" t="s">
        <v>23</v>
      </c>
    </row>
    <row r="447" spans="1:11" ht="42" customHeight="1">
      <c r="A447" s="4" t="s">
        <v>1211</v>
      </c>
      <c r="B447" s="5" t="s">
        <v>1212</v>
      </c>
      <c r="C447" s="5" t="s">
        <v>18</v>
      </c>
      <c r="D447" s="5" t="s">
        <v>19</v>
      </c>
      <c r="E447" s="5" t="s">
        <v>1213</v>
      </c>
      <c r="F447" s="9">
        <v>4</v>
      </c>
      <c r="G447" s="9">
        <v>31</v>
      </c>
      <c r="H447" s="5" t="s">
        <v>21</v>
      </c>
      <c r="I447" s="5" t="s">
        <v>1214</v>
      </c>
      <c r="J447" s="12" t="str">
        <f>HYPERLINK("https://www.boe.es/gazeta/dias/1800/01/14/pdfs/GMD-1800-4.pdf#page=3","Abrir facsímil")</f>
        <v>Abrir facsímil</v>
      </c>
      <c r="K447" s="15" t="s">
        <v>23</v>
      </c>
    </row>
    <row r="448" spans="1:11" ht="42" customHeight="1">
      <c r="A448" s="4" t="s">
        <v>1211</v>
      </c>
      <c r="B448" s="5" t="s">
        <v>1212</v>
      </c>
      <c r="C448" s="5" t="s">
        <v>41</v>
      </c>
      <c r="D448" s="5" t="s">
        <v>42</v>
      </c>
      <c r="E448" s="5" t="s">
        <v>131</v>
      </c>
      <c r="F448" s="9">
        <v>8</v>
      </c>
      <c r="G448" s="9">
        <v>70</v>
      </c>
      <c r="H448" s="5" t="s">
        <v>21</v>
      </c>
      <c r="I448" s="5" t="s">
        <v>1215</v>
      </c>
      <c r="J448" s="12" t="str">
        <f>HYPERLINK("https://www.boe.es/gazeta/dias/1800/01/28/pdfs/GMD-1800-8.pdf#page=2","Abrir facsímil")</f>
        <v>Abrir facsímil</v>
      </c>
      <c r="K448" s="15" t="s">
        <v>23</v>
      </c>
    </row>
    <row r="449" spans="1:11" ht="42" customHeight="1">
      <c r="A449" s="4" t="s">
        <v>1216</v>
      </c>
      <c r="B449" s="5" t="s">
        <v>1217</v>
      </c>
      <c r="C449" s="5" t="s">
        <v>171</v>
      </c>
      <c r="D449" s="5" t="s">
        <v>172</v>
      </c>
      <c r="E449" s="5" t="s">
        <v>90</v>
      </c>
      <c r="F449" s="9">
        <v>58</v>
      </c>
      <c r="G449" s="9">
        <v>668</v>
      </c>
      <c r="H449" s="5" t="s">
        <v>21</v>
      </c>
      <c r="I449" s="5" t="s">
        <v>1218</v>
      </c>
      <c r="J449" s="12" t="str">
        <f>HYPERLINK("https://www.boe.es/gazeta/dias/1800/07/22/pdfs/GMD-C-1800-58.pdf#page=4","Abrir facsímil")</f>
        <v>Abrir facsímil</v>
      </c>
      <c r="K449" s="15" t="s">
        <v>23</v>
      </c>
    </row>
    <row r="450" spans="1:11" ht="42" customHeight="1">
      <c r="A450" s="4" t="s">
        <v>1219</v>
      </c>
      <c r="B450" s="5" t="s">
        <v>1219</v>
      </c>
      <c r="C450" s="5" t="s">
        <v>84</v>
      </c>
      <c r="D450" s="5" t="s">
        <v>85</v>
      </c>
      <c r="E450" s="5" t="s">
        <v>116</v>
      </c>
      <c r="F450" s="9">
        <v>86</v>
      </c>
      <c r="G450" s="9">
        <v>998</v>
      </c>
      <c r="H450" s="5" t="s">
        <v>21</v>
      </c>
      <c r="I450" s="5" t="s">
        <v>1220</v>
      </c>
      <c r="J450" s="12" t="str">
        <f>HYPERLINK("https://www.boe.es/gazeta/dias/1800/10/24/pdfs/GMD-1800-86.pdf#page=8","Abrir facsímil")</f>
        <v>Abrir facsímil</v>
      </c>
      <c r="K450" s="15" t="s">
        <v>23</v>
      </c>
    </row>
    <row r="451" spans="1:11" ht="42" customHeight="1">
      <c r="A451" s="4" t="s">
        <v>1221</v>
      </c>
      <c r="B451" s="5" t="s">
        <v>1222</v>
      </c>
      <c r="C451" s="5" t="s">
        <v>18</v>
      </c>
      <c r="D451" s="5" t="s">
        <v>19</v>
      </c>
      <c r="E451" s="5" t="s">
        <v>583</v>
      </c>
      <c r="F451" s="9">
        <v>77</v>
      </c>
      <c r="G451" s="9">
        <v>882</v>
      </c>
      <c r="H451" s="5" t="s">
        <v>21</v>
      </c>
      <c r="I451" s="5" t="s">
        <v>1223</v>
      </c>
      <c r="J451" s="12" t="str">
        <f>HYPERLINK("https://www.boe.es/gazeta/dias/1800/09/23/pdfs/GMD-1800-77.pdf#page=12","Abrir facsímil")</f>
        <v>Abrir facsímil</v>
      </c>
      <c r="K451" s="15" t="s">
        <v>23</v>
      </c>
    </row>
    <row r="452" spans="1:11" ht="42" customHeight="1">
      <c r="A452" s="4" t="s">
        <v>1224</v>
      </c>
      <c r="B452" s="5" t="s">
        <v>1224</v>
      </c>
      <c r="C452" s="5" t="s">
        <v>41</v>
      </c>
      <c r="D452" s="5" t="s">
        <v>42</v>
      </c>
      <c r="E452" s="5" t="s">
        <v>534</v>
      </c>
      <c r="F452" s="9">
        <v>100</v>
      </c>
      <c r="G452" s="9">
        <v>1157</v>
      </c>
      <c r="H452" s="5" t="s">
        <v>21</v>
      </c>
      <c r="I452" s="5" t="s">
        <v>1225</v>
      </c>
      <c r="J452" s="12" t="str">
        <f>HYPERLINK("https://www.boe.es/gazeta/dias/1800/12/12/pdfs/GMD-1800-100.pdf#page=9","Abrir facsímil")</f>
        <v>Abrir facsímil</v>
      </c>
      <c r="K452" s="15" t="s">
        <v>23</v>
      </c>
    </row>
    <row r="453" spans="1:11" ht="42" customHeight="1">
      <c r="A453" s="4" t="s">
        <v>1226</v>
      </c>
      <c r="B453" s="5" t="s">
        <v>1227</v>
      </c>
      <c r="C453" s="5" t="s">
        <v>41</v>
      </c>
      <c r="D453" s="5" t="s">
        <v>42</v>
      </c>
      <c r="E453" s="5" t="s">
        <v>244</v>
      </c>
      <c r="F453" s="9">
        <v>9</v>
      </c>
      <c r="G453" s="9">
        <v>83</v>
      </c>
      <c r="H453" s="5" t="s">
        <v>21</v>
      </c>
      <c r="I453" s="5" t="s">
        <v>1228</v>
      </c>
      <c r="J453" s="12" t="str">
        <f>HYPERLINK("https://www.boe.es/gazeta/dias/1800/01/31/pdfs/GMD-1800-9.pdf#page=7","Abrir facsímil")</f>
        <v>Abrir facsímil</v>
      </c>
      <c r="K453" s="15" t="s">
        <v>23</v>
      </c>
    </row>
    <row r="454" spans="1:11" ht="42" customHeight="1">
      <c r="A454" s="4" t="s">
        <v>1226</v>
      </c>
      <c r="B454" s="5" t="s">
        <v>1227</v>
      </c>
      <c r="C454" s="5" t="s">
        <v>41</v>
      </c>
      <c r="D454" s="5" t="s">
        <v>42</v>
      </c>
      <c r="E454" s="5" t="s">
        <v>162</v>
      </c>
      <c r="F454" s="9">
        <v>15</v>
      </c>
      <c r="G454" s="9">
        <v>137</v>
      </c>
      <c r="H454" s="5" t="s">
        <v>21</v>
      </c>
      <c r="I454" s="5" t="s">
        <v>1229</v>
      </c>
      <c r="J454" s="12" t="str">
        <f>HYPERLINK("https://www.boe.es/gazeta/dias/1800/02/21/pdfs/GMD-1800-15.pdf#page=1","Abrir facsímil")</f>
        <v>Abrir facsímil</v>
      </c>
      <c r="K454" s="15" t="s">
        <v>23</v>
      </c>
    </row>
    <row r="455" spans="1:11" ht="42" customHeight="1">
      <c r="A455" s="4" t="s">
        <v>1226</v>
      </c>
      <c r="B455" s="5" t="s">
        <v>1227</v>
      </c>
      <c r="C455" s="5" t="s">
        <v>41</v>
      </c>
      <c r="D455" s="5" t="s">
        <v>42</v>
      </c>
      <c r="E455" s="5" t="s">
        <v>240</v>
      </c>
      <c r="F455" s="9">
        <v>26</v>
      </c>
      <c r="G455" s="9">
        <v>261</v>
      </c>
      <c r="H455" s="5" t="s">
        <v>21</v>
      </c>
      <c r="I455" s="5" t="s">
        <v>1230</v>
      </c>
      <c r="J455" s="12" t="str">
        <f>HYPERLINK("https://www.boe.es/gazeta/dias/1800/04/01/pdfs/GMD-1800-26.pdf#page=1","Abrir facsímil")</f>
        <v>Abrir facsímil</v>
      </c>
      <c r="K455" s="15" t="s">
        <v>23</v>
      </c>
    </row>
    <row r="456" spans="1:11" ht="42" customHeight="1">
      <c r="A456" s="4" t="s">
        <v>1226</v>
      </c>
      <c r="B456" s="5" t="s">
        <v>1227</v>
      </c>
      <c r="C456" s="5" t="s">
        <v>41</v>
      </c>
      <c r="D456" s="5" t="s">
        <v>42</v>
      </c>
      <c r="E456" s="5" t="s">
        <v>1231</v>
      </c>
      <c r="F456" s="9">
        <v>36</v>
      </c>
      <c r="G456" s="9">
        <v>357</v>
      </c>
      <c r="H456" s="5" t="s">
        <v>21</v>
      </c>
      <c r="I456" s="5" t="s">
        <v>1232</v>
      </c>
      <c r="J456" s="12" t="str">
        <f>HYPERLINK("https://www.boe.es/gazeta/dias/1800/05/06/pdfs/GMD-1800-36.pdf#page=1","Abrir facsímil")</f>
        <v>Abrir facsímil</v>
      </c>
      <c r="K456" s="15" t="s">
        <v>23</v>
      </c>
    </row>
    <row r="457" spans="1:11" ht="42" customHeight="1">
      <c r="A457" s="4" t="s">
        <v>1226</v>
      </c>
      <c r="B457" s="5" t="s">
        <v>1227</v>
      </c>
      <c r="C457" s="5" t="s">
        <v>41</v>
      </c>
      <c r="D457" s="5" t="s">
        <v>42</v>
      </c>
      <c r="E457" s="5" t="s">
        <v>101</v>
      </c>
      <c r="F457" s="9">
        <v>37</v>
      </c>
      <c r="G457" s="9">
        <v>369</v>
      </c>
      <c r="H457" s="5" t="s">
        <v>21</v>
      </c>
      <c r="I457" s="5" t="s">
        <v>1233</v>
      </c>
      <c r="J457" s="12" t="str">
        <f>HYPERLINK("https://www.boe.es/gazeta/dias/1800/05/09/pdfs/GMD-1800-37.pdf#page=1","Abrir facsímil")</f>
        <v>Abrir facsímil</v>
      </c>
      <c r="K457" s="15" t="s">
        <v>23</v>
      </c>
    </row>
    <row r="458" spans="1:11" ht="42" customHeight="1">
      <c r="A458" s="4" t="s">
        <v>1226</v>
      </c>
      <c r="B458" s="5" t="s">
        <v>1227</v>
      </c>
      <c r="C458" s="5" t="s">
        <v>54</v>
      </c>
      <c r="D458" s="5" t="s">
        <v>55</v>
      </c>
      <c r="E458" s="5" t="s">
        <v>299</v>
      </c>
      <c r="F458" s="9">
        <v>40</v>
      </c>
      <c r="G458" s="9">
        <v>405</v>
      </c>
      <c r="H458" s="5" t="s">
        <v>21</v>
      </c>
      <c r="I458" s="5" t="s">
        <v>1234</v>
      </c>
      <c r="J458" s="12" t="str">
        <f>HYPERLINK("https://www.boe.es/gazeta/dias/1800/05/20/pdfs/GMD-1800-40.pdf#page=1","Abrir facsímil")</f>
        <v>Abrir facsímil</v>
      </c>
      <c r="K458" s="15" t="s">
        <v>23</v>
      </c>
    </row>
    <row r="459" spans="1:11" ht="42" customHeight="1">
      <c r="A459" s="4" t="s">
        <v>1235</v>
      </c>
      <c r="B459" s="5" t="s">
        <v>1236</v>
      </c>
      <c r="C459" s="5" t="s">
        <v>18</v>
      </c>
      <c r="D459" s="5" t="s">
        <v>19</v>
      </c>
      <c r="E459" s="5" t="s">
        <v>20</v>
      </c>
      <c r="F459" s="9">
        <v>104</v>
      </c>
      <c r="G459" s="9">
        <v>1210</v>
      </c>
      <c r="H459" s="5" t="s">
        <v>21</v>
      </c>
      <c r="I459" s="5" t="s">
        <v>1237</v>
      </c>
      <c r="J459" s="12" t="str">
        <f>HYPERLINK("https://www.boe.es/gazeta/dias/1800/12/26/pdfs/GMD-1800-104.pdf#page=10","Abrir facsímil")</f>
        <v>Abrir facsímil</v>
      </c>
      <c r="K459" s="15" t="s">
        <v>23</v>
      </c>
    </row>
    <row r="460" spans="1:11" ht="42" customHeight="1">
      <c r="A460" s="4" t="s">
        <v>1238</v>
      </c>
      <c r="B460" s="5" t="s">
        <v>1239</v>
      </c>
      <c r="C460" s="5" t="s">
        <v>84</v>
      </c>
      <c r="D460" s="5" t="s">
        <v>85</v>
      </c>
      <c r="E460" s="5" t="s">
        <v>346</v>
      </c>
      <c r="F460" s="9">
        <v>24</v>
      </c>
      <c r="G460" s="9">
        <v>248</v>
      </c>
      <c r="H460" s="5" t="s">
        <v>21</v>
      </c>
      <c r="I460" s="5" t="s">
        <v>1240</v>
      </c>
      <c r="J460" s="12" t="str">
        <f>HYPERLINK("https://www.boe.es/gazeta/dias/1800/03/25/pdfs/GMD-1800-24.pdf#page=12","Abrir facsímil")</f>
        <v>Abrir facsímil</v>
      </c>
      <c r="K460" s="15" t="s">
        <v>23</v>
      </c>
    </row>
    <row r="461" spans="1:11" ht="42" customHeight="1">
      <c r="A461" s="4" t="s">
        <v>1241</v>
      </c>
      <c r="B461" s="5" t="s">
        <v>1242</v>
      </c>
      <c r="C461" s="5" t="s">
        <v>25</v>
      </c>
      <c r="D461" s="5" t="s">
        <v>26</v>
      </c>
      <c r="E461" s="5" t="s">
        <v>45</v>
      </c>
      <c r="F461" s="9">
        <v>47</v>
      </c>
      <c r="G461" s="9">
        <v>502</v>
      </c>
      <c r="H461" s="5" t="s">
        <v>21</v>
      </c>
      <c r="I461" s="5" t="s">
        <v>1243</v>
      </c>
      <c r="J461" s="12" t="str">
        <f>HYPERLINK("https://www.boe.es/gazeta/dias/1800/06/13/pdfs/GMD-1800-47.pdf#page=10","Abrir facsímil")</f>
        <v>Abrir facsímil</v>
      </c>
      <c r="K461" s="15" t="s">
        <v>23</v>
      </c>
    </row>
    <row r="462" spans="1:11" ht="42" customHeight="1">
      <c r="A462" s="4" t="s">
        <v>1244</v>
      </c>
      <c r="B462" s="5" t="s">
        <v>1245</v>
      </c>
      <c r="C462" s="5" t="s">
        <v>18</v>
      </c>
      <c r="D462" s="5" t="s">
        <v>19</v>
      </c>
      <c r="E462" s="5" t="s">
        <v>79</v>
      </c>
      <c r="F462" s="9">
        <v>7</v>
      </c>
      <c r="G462" s="9">
        <v>66</v>
      </c>
      <c r="H462" s="5" t="s">
        <v>21</v>
      </c>
      <c r="I462" s="5" t="s">
        <v>1246</v>
      </c>
      <c r="J462" s="12" t="str">
        <f>HYPERLINK("https://www.boe.es/gazeta/dias/1800/01/24/pdfs/GMD-1800-7.pdf#page=6","Abrir facsímil")</f>
        <v>Abrir facsímil</v>
      </c>
      <c r="K462" s="15" t="s">
        <v>23</v>
      </c>
    </row>
    <row r="463" spans="1:11" ht="42" customHeight="1">
      <c r="A463" s="4" t="s">
        <v>1247</v>
      </c>
      <c r="B463" s="5" t="s">
        <v>1248</v>
      </c>
      <c r="C463" s="5" t="s">
        <v>18</v>
      </c>
      <c r="D463" s="5" t="s">
        <v>19</v>
      </c>
      <c r="E463" s="5" t="s">
        <v>79</v>
      </c>
      <c r="F463" s="9">
        <v>7</v>
      </c>
      <c r="G463" s="9">
        <v>66</v>
      </c>
      <c r="H463" s="5" t="s">
        <v>21</v>
      </c>
      <c r="I463" s="5" t="s">
        <v>1249</v>
      </c>
      <c r="J463" s="12" t="str">
        <f>HYPERLINK("https://www.boe.es/gazeta/dias/1800/01/24/pdfs/GMD-1800-7.pdf#page=6","Abrir facsímil")</f>
        <v>Abrir facsímil</v>
      </c>
      <c r="K463" s="15" t="s">
        <v>23</v>
      </c>
    </row>
    <row r="464" spans="1:11" ht="42" customHeight="1">
      <c r="A464" s="4" t="s">
        <v>1250</v>
      </c>
      <c r="B464" s="5" t="s">
        <v>1251</v>
      </c>
      <c r="C464" s="5" t="s">
        <v>18</v>
      </c>
      <c r="D464" s="5" t="s">
        <v>19</v>
      </c>
      <c r="E464" s="5" t="s">
        <v>478</v>
      </c>
      <c r="F464" s="9">
        <v>34</v>
      </c>
      <c r="G464" s="9">
        <v>346</v>
      </c>
      <c r="H464" s="5" t="s">
        <v>21</v>
      </c>
      <c r="I464" s="5" t="s">
        <v>1252</v>
      </c>
      <c r="J464" s="12" t="str">
        <f>HYPERLINK("https://www.boe.es/gazeta/dias/1800/04/29/pdfs/GMD-1800-34.pdf#page=10","Abrir facsímil")</f>
        <v>Abrir facsímil</v>
      </c>
      <c r="K464" s="15" t="s">
        <v>23</v>
      </c>
    </row>
    <row r="465" spans="1:11" ht="42" customHeight="1">
      <c r="A465" s="4" t="s">
        <v>1253</v>
      </c>
      <c r="B465" s="5" t="s">
        <v>1254</v>
      </c>
      <c r="C465" s="5" t="s">
        <v>41</v>
      </c>
      <c r="D465" s="5" t="s">
        <v>42</v>
      </c>
      <c r="E465" s="5" t="s">
        <v>196</v>
      </c>
      <c r="F465" s="9">
        <v>97</v>
      </c>
      <c r="G465" s="9">
        <v>1115</v>
      </c>
      <c r="H465" s="5" t="s">
        <v>21</v>
      </c>
      <c r="I465" s="5" t="s">
        <v>1255</v>
      </c>
      <c r="J465" s="12" t="str">
        <f>HYPERLINK("https://www.boe.es/gazeta/dias/1800/12/02/pdfs/GMD-1800-97.pdf#page=7","Abrir facsímil")</f>
        <v>Abrir facsímil</v>
      </c>
      <c r="K465" s="15" t="s">
        <v>23</v>
      </c>
    </row>
    <row r="466" spans="1:11" ht="42" customHeight="1">
      <c r="A466" s="4" t="s">
        <v>1256</v>
      </c>
      <c r="B466" s="5" t="s">
        <v>1256</v>
      </c>
      <c r="C466" s="5" t="s">
        <v>54</v>
      </c>
      <c r="D466" s="5" t="s">
        <v>55</v>
      </c>
      <c r="E466" s="5" t="s">
        <v>105</v>
      </c>
      <c r="F466" s="9">
        <v>28</v>
      </c>
      <c r="G466" s="9">
        <v>289</v>
      </c>
      <c r="H466" s="5" t="s">
        <v>21</v>
      </c>
      <c r="I466" s="5" t="s">
        <v>1257</v>
      </c>
      <c r="J466" s="12" t="str">
        <f>HYPERLINK("https://www.boe.es/gazeta/dias/1800/04/08/pdfs/GMD-1800-28.pdf#page=5","Abrir facsímil")</f>
        <v>Abrir facsímil</v>
      </c>
      <c r="K466" s="15" t="s">
        <v>23</v>
      </c>
    </row>
    <row r="467" spans="1:11" ht="42" customHeight="1">
      <c r="A467" s="4" t="s">
        <v>1258</v>
      </c>
      <c r="B467" s="5" t="s">
        <v>1259</v>
      </c>
      <c r="C467" s="5" t="s">
        <v>41</v>
      </c>
      <c r="D467" s="5" t="s">
        <v>42</v>
      </c>
      <c r="E467" s="5" t="s">
        <v>190</v>
      </c>
      <c r="F467" s="9">
        <v>93</v>
      </c>
      <c r="G467" s="9">
        <v>1055</v>
      </c>
      <c r="H467" s="5" t="s">
        <v>21</v>
      </c>
      <c r="I467" s="5" t="s">
        <v>1260</v>
      </c>
      <c r="J467" s="12" t="str">
        <f>HYPERLINK("https://www.boe.es/gazeta/dias/1800/11/18/pdfs/GMD-1800-93.pdf#page=1","Abrir facsímil")</f>
        <v>Abrir facsímil</v>
      </c>
      <c r="K467" s="15" t="s">
        <v>23</v>
      </c>
    </row>
    <row r="468" spans="1:11" ht="42" customHeight="1">
      <c r="A468" s="4" t="s">
        <v>1261</v>
      </c>
      <c r="B468" s="5" t="s">
        <v>1262</v>
      </c>
      <c r="C468" s="5" t="s">
        <v>54</v>
      </c>
      <c r="D468" s="5" t="s">
        <v>55</v>
      </c>
      <c r="E468" s="5" t="s">
        <v>275</v>
      </c>
      <c r="F468" s="9">
        <v>60</v>
      </c>
      <c r="G468" s="9">
        <v>684</v>
      </c>
      <c r="H468" s="5" t="s">
        <v>21</v>
      </c>
      <c r="I468" s="5" t="s">
        <v>1263</v>
      </c>
      <c r="J468" s="12" t="str">
        <f>HYPERLINK("https://www.boe.es/gazeta/dias/1800/07/29/pdfs/GMD-1800-60.pdf#page=4","Abrir facsímil")</f>
        <v>Abrir facsímil</v>
      </c>
      <c r="K468" s="15" t="s">
        <v>23</v>
      </c>
    </row>
    <row r="469" spans="1:11" ht="42" customHeight="1">
      <c r="A469" s="4" t="s">
        <v>1264</v>
      </c>
      <c r="B469" s="5" t="s">
        <v>1265</v>
      </c>
      <c r="C469" s="5" t="s">
        <v>18</v>
      </c>
      <c r="D469" s="5" t="s">
        <v>19</v>
      </c>
      <c r="E469" s="5" t="s">
        <v>240</v>
      </c>
      <c r="F469" s="9">
        <v>26</v>
      </c>
      <c r="G469" s="9">
        <v>269</v>
      </c>
      <c r="H469" s="5" t="s">
        <v>21</v>
      </c>
      <c r="I469" s="5" t="s">
        <v>1266</v>
      </c>
      <c r="J469" s="12" t="str">
        <f>HYPERLINK("https://www.boe.es/gazeta/dias/1800/04/01/pdfs/GMD-1800-26.pdf#page=9","Abrir facsímil")</f>
        <v>Abrir facsímil</v>
      </c>
      <c r="K469" s="15" t="s">
        <v>23</v>
      </c>
    </row>
    <row r="470" spans="1:11" ht="42" customHeight="1">
      <c r="A470" s="4" t="s">
        <v>1267</v>
      </c>
      <c r="B470" s="5" t="s">
        <v>1268</v>
      </c>
      <c r="C470" s="5" t="s">
        <v>18</v>
      </c>
      <c r="D470" s="5" t="s">
        <v>19</v>
      </c>
      <c r="E470" s="5" t="s">
        <v>176</v>
      </c>
      <c r="F470" s="9">
        <v>88</v>
      </c>
      <c r="G470" s="9">
        <v>1031</v>
      </c>
      <c r="H470" s="5" t="s">
        <v>21</v>
      </c>
      <c r="I470" s="5" t="s">
        <v>1269</v>
      </c>
      <c r="J470" s="12" t="str">
        <f>HYPERLINK("https://www.boe.es/gazeta/dias/1800/10/31/pdfs/GMD-1800-88.pdf#page=13","Abrir facsímil")</f>
        <v>Abrir facsímil</v>
      </c>
      <c r="K470" s="15" t="s">
        <v>23</v>
      </c>
    </row>
    <row r="471" spans="1:11" ht="42" customHeight="1">
      <c r="A471" s="4" t="s">
        <v>1270</v>
      </c>
      <c r="B471" s="5" t="s">
        <v>1270</v>
      </c>
      <c r="C471" s="5" t="s">
        <v>41</v>
      </c>
      <c r="D471" s="5" t="s">
        <v>42</v>
      </c>
      <c r="E471" s="5" t="s">
        <v>82</v>
      </c>
      <c r="F471" s="9">
        <v>10</v>
      </c>
      <c r="G471" s="9">
        <v>93</v>
      </c>
      <c r="H471" s="5" t="s">
        <v>21</v>
      </c>
      <c r="I471" s="5" t="s">
        <v>1271</v>
      </c>
      <c r="J471" s="12" t="str">
        <f>HYPERLINK("https://www.boe.es/gazeta/dias/1800/02/04/pdfs/GMD-1800-10.pdf#page=5","Abrir facsímil")</f>
        <v>Abrir facsímil</v>
      </c>
      <c r="K471" s="15" t="s">
        <v>23</v>
      </c>
    </row>
    <row r="472" spans="1:11" ht="42" customHeight="1">
      <c r="A472" s="4" t="s">
        <v>1272</v>
      </c>
      <c r="B472" s="5" t="s">
        <v>1273</v>
      </c>
      <c r="C472" s="5" t="s">
        <v>18</v>
      </c>
      <c r="D472" s="5" t="s">
        <v>19</v>
      </c>
      <c r="E472" s="5" t="s">
        <v>39</v>
      </c>
      <c r="F472" s="9">
        <v>43</v>
      </c>
      <c r="G472" s="9">
        <v>450</v>
      </c>
      <c r="H472" s="5" t="s">
        <v>21</v>
      </c>
      <c r="I472" s="5" t="s">
        <v>1274</v>
      </c>
      <c r="J472" s="12" t="str">
        <f>HYPERLINK("https://www.boe.es/gazeta/dias/1800/05/30/pdfs/GMD-1800-43.pdf#page=10","Abrir facsímil")</f>
        <v>Abrir facsímil</v>
      </c>
      <c r="K472" s="15" t="s">
        <v>23</v>
      </c>
    </row>
    <row r="473" spans="1:11" ht="42" customHeight="1">
      <c r="A473" s="4" t="s">
        <v>1275</v>
      </c>
      <c r="B473" s="5" t="s">
        <v>1275</v>
      </c>
      <c r="C473" s="5" t="s">
        <v>41</v>
      </c>
      <c r="D473" s="5" t="s">
        <v>42</v>
      </c>
      <c r="E473" s="5" t="s">
        <v>176</v>
      </c>
      <c r="F473" s="9">
        <v>88</v>
      </c>
      <c r="G473" s="9">
        <v>1029</v>
      </c>
      <c r="H473" s="5" t="s">
        <v>21</v>
      </c>
      <c r="I473" s="5" t="s">
        <v>1276</v>
      </c>
      <c r="J473" s="12" t="str">
        <f>HYPERLINK("https://www.boe.es/gazeta/dias/1800/10/31/pdfs/GMD-1800-88.pdf#page=11","Abrir facsímil")</f>
        <v>Abrir facsímil</v>
      </c>
      <c r="K473" s="15" t="s">
        <v>23</v>
      </c>
    </row>
    <row r="474" spans="1:11" ht="42" customHeight="1">
      <c r="A474" s="4" t="s">
        <v>1277</v>
      </c>
      <c r="B474" s="5" t="s">
        <v>1277</v>
      </c>
      <c r="C474" s="5" t="s">
        <v>18</v>
      </c>
      <c r="D474" s="5" t="s">
        <v>19</v>
      </c>
      <c r="E474" s="5" t="s">
        <v>445</v>
      </c>
      <c r="F474" s="9">
        <v>96</v>
      </c>
      <c r="G474" s="9">
        <v>1098</v>
      </c>
      <c r="H474" s="5" t="s">
        <v>21</v>
      </c>
      <c r="I474" s="5" t="s">
        <v>1278</v>
      </c>
      <c r="J474" s="12" t="str">
        <f>HYPERLINK("https://www.boe.es/gazeta/dias/1800/11/28/pdfs/GMD-1800-96.pdf#page=2","Abrir facsímil")</f>
        <v>Abrir facsímil</v>
      </c>
      <c r="K474" s="15" t="s">
        <v>23</v>
      </c>
    </row>
    <row r="475" spans="1:11" ht="42" customHeight="1">
      <c r="A475" s="4" t="s">
        <v>1279</v>
      </c>
      <c r="B475" s="5" t="s">
        <v>1280</v>
      </c>
      <c r="C475" s="5" t="s">
        <v>18</v>
      </c>
      <c r="D475" s="5" t="s">
        <v>19</v>
      </c>
      <c r="E475" s="5" t="s">
        <v>598</v>
      </c>
      <c r="F475" s="9">
        <v>32</v>
      </c>
      <c r="G475" s="9">
        <v>322</v>
      </c>
      <c r="H475" s="5" t="s">
        <v>21</v>
      </c>
      <c r="I475" s="5" t="s">
        <v>1281</v>
      </c>
      <c r="J475" s="12" t="str">
        <f>HYPERLINK("https://www.boe.es/gazeta/dias/1800/04/22/pdfs/GMD-1800-32.pdf#page=6","Abrir facsímil")</f>
        <v>Abrir facsímil</v>
      </c>
      <c r="K475" s="15" t="s">
        <v>23</v>
      </c>
    </row>
    <row r="476" spans="1:11" ht="42" customHeight="1">
      <c r="A476" s="4" t="s">
        <v>1282</v>
      </c>
      <c r="B476" s="5" t="s">
        <v>1283</v>
      </c>
      <c r="C476" s="5" t="s">
        <v>41</v>
      </c>
      <c r="D476" s="5" t="s">
        <v>42</v>
      </c>
      <c r="E476" s="5" t="s">
        <v>620</v>
      </c>
      <c r="F476" s="9">
        <v>19</v>
      </c>
      <c r="G476" s="9">
        <v>178</v>
      </c>
      <c r="H476" s="5" t="s">
        <v>21</v>
      </c>
      <c r="I476" s="5" t="s">
        <v>1284</v>
      </c>
      <c r="J476" s="12" t="str">
        <f>HYPERLINK("https://www.boe.es/gazeta/dias/1800/03/07/pdfs/GMD-1800-19.pdf#page=2","Abrir facsímil")</f>
        <v>Abrir facsímil</v>
      </c>
      <c r="K476" s="15" t="s">
        <v>23</v>
      </c>
    </row>
    <row r="477" spans="1:11" ht="42" customHeight="1">
      <c r="A477" s="4" t="s">
        <v>1285</v>
      </c>
      <c r="B477" s="5" t="s">
        <v>1285</v>
      </c>
      <c r="C477" s="5" t="s">
        <v>41</v>
      </c>
      <c r="D477" s="5" t="s">
        <v>42</v>
      </c>
      <c r="E477" s="5" t="s">
        <v>1108</v>
      </c>
      <c r="F477" s="9">
        <v>30</v>
      </c>
      <c r="G477" s="9">
        <v>301</v>
      </c>
      <c r="H477" s="5" t="s">
        <v>21</v>
      </c>
      <c r="I477" s="5" t="s">
        <v>1286</v>
      </c>
      <c r="J477" s="12" t="str">
        <f>HYPERLINK("https://www.boe.es/gazeta/dias/1800/04/15/pdfs/GMD-1800-30.pdf#page=1","Abrir facsímil")</f>
        <v>Abrir facsímil</v>
      </c>
      <c r="K477" s="15" t="s">
        <v>23</v>
      </c>
    </row>
    <row r="478" spans="1:11" ht="42" customHeight="1">
      <c r="A478" s="4" t="s">
        <v>1285</v>
      </c>
      <c r="B478" s="5" t="s">
        <v>1285</v>
      </c>
      <c r="C478" s="5" t="s">
        <v>41</v>
      </c>
      <c r="D478" s="5" t="s">
        <v>42</v>
      </c>
      <c r="E478" s="5" t="s">
        <v>1287</v>
      </c>
      <c r="F478" s="9">
        <v>57</v>
      </c>
      <c r="G478" s="9">
        <v>641</v>
      </c>
      <c r="H478" s="5" t="s">
        <v>21</v>
      </c>
      <c r="I478" s="5" t="s">
        <v>1288</v>
      </c>
      <c r="J478" s="12" t="str">
        <f>HYPERLINK("https://www.boe.es/gazeta/dias/1800/07/18/pdfs/GMD-1800-57.pdf#page=5","Abrir facsímil")</f>
        <v>Abrir facsímil</v>
      </c>
      <c r="K478" s="15" t="s">
        <v>23</v>
      </c>
    </row>
    <row r="479" spans="1:11" ht="42" customHeight="1">
      <c r="A479" s="4" t="s">
        <v>1289</v>
      </c>
      <c r="B479" s="5" t="s">
        <v>1290</v>
      </c>
      <c r="C479" s="5" t="s">
        <v>18</v>
      </c>
      <c r="D479" s="5" t="s">
        <v>19</v>
      </c>
      <c r="E479" s="5" t="s">
        <v>1213</v>
      </c>
      <c r="F479" s="9">
        <v>4</v>
      </c>
      <c r="G479" s="9">
        <v>34</v>
      </c>
      <c r="H479" s="5" t="s">
        <v>21</v>
      </c>
      <c r="I479" s="5" t="s">
        <v>1291</v>
      </c>
      <c r="J479" s="12" t="str">
        <f>HYPERLINK("https://www.boe.es/gazeta/dias/1800/01/14/pdfs/GMD-1800-4.pdf#page=6","Abrir facsímil")</f>
        <v>Abrir facsímil</v>
      </c>
      <c r="K479" s="15" t="s">
        <v>23</v>
      </c>
    </row>
    <row r="480" spans="1:11" ht="42" customHeight="1">
      <c r="A480" s="4" t="s">
        <v>1289</v>
      </c>
      <c r="B480" s="5" t="s">
        <v>1290</v>
      </c>
      <c r="C480" s="5" t="s">
        <v>41</v>
      </c>
      <c r="D480" s="5" t="s">
        <v>42</v>
      </c>
      <c r="E480" s="5" t="s">
        <v>35</v>
      </c>
      <c r="F480" s="9">
        <v>21</v>
      </c>
      <c r="G480" s="9">
        <v>198</v>
      </c>
      <c r="H480" s="5" t="s">
        <v>21</v>
      </c>
      <c r="I480" s="5" t="s">
        <v>1292</v>
      </c>
      <c r="J480" s="12" t="str">
        <f>HYPERLINK("https://www.boe.es/gazeta/dias/1800/03/14/pdfs/GMD-1800-21.pdf#page=2","Abrir facsímil")</f>
        <v>Abrir facsímil</v>
      </c>
      <c r="K480" s="15" t="s">
        <v>23</v>
      </c>
    </row>
    <row r="481" spans="1:11" ht="42" customHeight="1">
      <c r="A481" s="4" t="s">
        <v>1289</v>
      </c>
      <c r="B481" s="5" t="s">
        <v>1290</v>
      </c>
      <c r="C481" s="5" t="s">
        <v>41</v>
      </c>
      <c r="D481" s="5" t="s">
        <v>42</v>
      </c>
      <c r="E481" s="5" t="s">
        <v>346</v>
      </c>
      <c r="F481" s="9">
        <v>24</v>
      </c>
      <c r="G481" s="9">
        <v>238</v>
      </c>
      <c r="H481" s="5" t="s">
        <v>21</v>
      </c>
      <c r="I481" s="5" t="s">
        <v>1293</v>
      </c>
      <c r="J481" s="12" t="str">
        <f>HYPERLINK("https://www.boe.es/gazeta/dias/1800/03/25/pdfs/GMD-1800-24.pdf#page=2","Abrir facsímil")</f>
        <v>Abrir facsímil</v>
      </c>
      <c r="K481" s="15" t="s">
        <v>23</v>
      </c>
    </row>
    <row r="482" spans="1:11" ht="42" customHeight="1">
      <c r="A482" s="4" t="s">
        <v>1289</v>
      </c>
      <c r="B482" s="5" t="s">
        <v>1290</v>
      </c>
      <c r="C482" s="5" t="s">
        <v>41</v>
      </c>
      <c r="D482" s="5" t="s">
        <v>42</v>
      </c>
      <c r="E482" s="5" t="s">
        <v>1294</v>
      </c>
      <c r="F482" s="9">
        <v>59</v>
      </c>
      <c r="G482" s="9">
        <v>670</v>
      </c>
      <c r="H482" s="5" t="s">
        <v>21</v>
      </c>
      <c r="I482" s="5" t="s">
        <v>1295</v>
      </c>
      <c r="J482" s="12" t="str">
        <f>HYPERLINK("https://www.boe.es/gazeta/dias/1800/07/25/pdfs/GMD-1800-59.pdf#page=2","Abrir facsímil")</f>
        <v>Abrir facsímil</v>
      </c>
      <c r="K482" s="15" t="s">
        <v>23</v>
      </c>
    </row>
    <row r="483" spans="1:11" ht="42" customHeight="1">
      <c r="A483" s="4" t="s">
        <v>1289</v>
      </c>
      <c r="B483" s="5" t="s">
        <v>1290</v>
      </c>
      <c r="C483" s="5" t="s">
        <v>41</v>
      </c>
      <c r="D483" s="5" t="s">
        <v>42</v>
      </c>
      <c r="E483" s="5" t="s">
        <v>52</v>
      </c>
      <c r="F483" s="9">
        <v>83</v>
      </c>
      <c r="G483" s="9">
        <v>957</v>
      </c>
      <c r="H483" s="5" t="s">
        <v>21</v>
      </c>
      <c r="I483" s="5" t="s">
        <v>1296</v>
      </c>
      <c r="J483" s="12" t="str">
        <f>HYPERLINK("https://www.boe.es/gazeta/dias/1800/10/14/pdfs/GMD-1800-83.pdf#page=3","Abrir facsímil")</f>
        <v>Abrir facsímil</v>
      </c>
      <c r="K483" s="15" t="s">
        <v>23</v>
      </c>
    </row>
    <row r="484" spans="1:11" ht="42" customHeight="1">
      <c r="A484" s="4" t="s">
        <v>1289</v>
      </c>
      <c r="B484" s="5" t="s">
        <v>1290</v>
      </c>
      <c r="C484" s="5" t="s">
        <v>41</v>
      </c>
      <c r="D484" s="5" t="s">
        <v>42</v>
      </c>
      <c r="E484" s="5" t="s">
        <v>111</v>
      </c>
      <c r="F484" s="9">
        <v>98</v>
      </c>
      <c r="G484" s="9">
        <v>1122</v>
      </c>
      <c r="H484" s="5" t="s">
        <v>21</v>
      </c>
      <c r="I484" s="5" t="s">
        <v>1297</v>
      </c>
      <c r="J484" s="12" t="str">
        <f>HYPERLINK("https://www.boe.es/gazeta/dias/1800/12/05/pdfs/GMD-1800-98.pdf#page=2","Abrir facsímil")</f>
        <v>Abrir facsímil</v>
      </c>
      <c r="K484" s="15" t="s">
        <v>23</v>
      </c>
    </row>
    <row r="485" spans="1:11" ht="42" customHeight="1">
      <c r="A485" s="4" t="s">
        <v>1298</v>
      </c>
      <c r="B485" s="5" t="s">
        <v>1299</v>
      </c>
      <c r="C485" s="5" t="s">
        <v>18</v>
      </c>
      <c r="D485" s="5" t="s">
        <v>19</v>
      </c>
      <c r="E485" s="5" t="s">
        <v>111</v>
      </c>
      <c r="F485" s="9">
        <v>98</v>
      </c>
      <c r="G485" s="9">
        <v>1127</v>
      </c>
      <c r="H485" s="5" t="s">
        <v>21</v>
      </c>
      <c r="I485" s="5" t="s">
        <v>1300</v>
      </c>
      <c r="J485" s="12" t="str">
        <f>HYPERLINK("https://www.boe.es/gazeta/dias/1800/12/05/pdfs/GMD-1800-98.pdf#page=7","Abrir facsímil")</f>
        <v>Abrir facsímil</v>
      </c>
      <c r="K485" s="15" t="s">
        <v>23</v>
      </c>
    </row>
    <row r="486" spans="1:11" ht="42" customHeight="1">
      <c r="A486" s="4" t="s">
        <v>1301</v>
      </c>
      <c r="B486" s="5" t="s">
        <v>1302</v>
      </c>
      <c r="C486" s="5" t="s">
        <v>18</v>
      </c>
      <c r="D486" s="5" t="s">
        <v>19</v>
      </c>
      <c r="E486" s="5" t="s">
        <v>356</v>
      </c>
      <c r="F486" s="9">
        <v>31</v>
      </c>
      <c r="G486" s="9">
        <v>315</v>
      </c>
      <c r="H486" s="5" t="s">
        <v>21</v>
      </c>
      <c r="I486" s="5" t="s">
        <v>1303</v>
      </c>
      <c r="J486" s="12" t="str">
        <f>HYPERLINK("https://www.boe.es/gazeta/dias/1800/04/18/pdfs/GMD-1800-31.pdf#page=7","Abrir facsímil")</f>
        <v>Abrir facsímil</v>
      </c>
      <c r="K486" s="15" t="s">
        <v>23</v>
      </c>
    </row>
    <row r="487" spans="1:11" ht="42" customHeight="1">
      <c r="A487" s="4" t="s">
        <v>1304</v>
      </c>
      <c r="B487" s="5" t="s">
        <v>1305</v>
      </c>
      <c r="C487" s="5" t="s">
        <v>25</v>
      </c>
      <c r="D487" s="5" t="s">
        <v>26</v>
      </c>
      <c r="E487" s="5" t="s">
        <v>545</v>
      </c>
      <c r="F487" s="9">
        <v>14</v>
      </c>
      <c r="G487" s="9">
        <v>134</v>
      </c>
      <c r="H487" s="5" t="s">
        <v>21</v>
      </c>
      <c r="I487" s="5" t="s">
        <v>1306</v>
      </c>
      <c r="J487" s="12" t="str">
        <f>HYPERLINK("https://www.boe.es/gazeta/dias/1800/02/18/pdfs/GMD-1800-14.pdf#page=6","Abrir facsímil")</f>
        <v>Abrir facsímil</v>
      </c>
      <c r="K487" s="15" t="s">
        <v>23</v>
      </c>
    </row>
    <row r="488" spans="1:11" ht="42" customHeight="1">
      <c r="A488" s="4" t="s">
        <v>1307</v>
      </c>
      <c r="B488" s="5" t="s">
        <v>1308</v>
      </c>
      <c r="C488" s="5" t="s">
        <v>18</v>
      </c>
      <c r="D488" s="5" t="s">
        <v>19</v>
      </c>
      <c r="E488" s="5" t="s">
        <v>240</v>
      </c>
      <c r="F488" s="9">
        <v>26</v>
      </c>
      <c r="G488" s="9">
        <v>269</v>
      </c>
      <c r="H488" s="5" t="s">
        <v>21</v>
      </c>
      <c r="I488" s="5" t="s">
        <v>1309</v>
      </c>
      <c r="J488" s="12" t="str">
        <f>HYPERLINK("https://www.boe.es/gazeta/dias/1800/04/01/pdfs/GMD-1800-26.pdf#page=9","Abrir facsímil")</f>
        <v>Abrir facsímil</v>
      </c>
      <c r="K488" s="15" t="s">
        <v>23</v>
      </c>
    </row>
    <row r="489" spans="1:11" ht="42" customHeight="1">
      <c r="A489" s="4" t="s">
        <v>1310</v>
      </c>
      <c r="B489" s="5" t="s">
        <v>1311</v>
      </c>
      <c r="C489" s="5" t="s">
        <v>18</v>
      </c>
      <c r="D489" s="5" t="s">
        <v>19</v>
      </c>
      <c r="E489" s="5" t="s">
        <v>262</v>
      </c>
      <c r="F489" s="9">
        <v>39</v>
      </c>
      <c r="G489" s="9">
        <v>400</v>
      </c>
      <c r="H489" s="5" t="s">
        <v>21</v>
      </c>
      <c r="I489" s="5" t="s">
        <v>1312</v>
      </c>
      <c r="J489" s="12" t="str">
        <f>HYPERLINK("https://www.boe.es/gazeta/dias/1800/05/16/pdfs/GMD-1800-39.pdf#page=8","Abrir facsímil")</f>
        <v>Abrir facsímil</v>
      </c>
      <c r="K489" s="15" t="s">
        <v>23</v>
      </c>
    </row>
    <row r="490" spans="1:11" ht="42" customHeight="1">
      <c r="A490" s="4" t="s">
        <v>1313</v>
      </c>
      <c r="B490" s="5" t="s">
        <v>1314</v>
      </c>
      <c r="C490" s="5" t="s">
        <v>18</v>
      </c>
      <c r="D490" s="5" t="s">
        <v>19</v>
      </c>
      <c r="E490" s="5" t="s">
        <v>445</v>
      </c>
      <c r="F490" s="9">
        <v>96</v>
      </c>
      <c r="G490" s="9">
        <v>1098</v>
      </c>
      <c r="H490" s="5" t="s">
        <v>21</v>
      </c>
      <c r="I490" s="5" t="s">
        <v>1315</v>
      </c>
      <c r="J490" s="12" t="str">
        <f>HYPERLINK("https://www.boe.es/gazeta/dias/1800/11/28/pdfs/GMD-1800-96.pdf#page=2","Abrir facsímil")</f>
        <v>Abrir facsímil</v>
      </c>
      <c r="K490" s="15" t="s">
        <v>23</v>
      </c>
    </row>
    <row r="491" spans="1:11" ht="42" customHeight="1">
      <c r="A491" s="4" t="s">
        <v>1316</v>
      </c>
      <c r="B491" s="5" t="s">
        <v>1317</v>
      </c>
      <c r="C491" s="5" t="s">
        <v>41</v>
      </c>
      <c r="D491" s="5" t="s">
        <v>42</v>
      </c>
      <c r="E491" s="5" t="s">
        <v>445</v>
      </c>
      <c r="F491" s="9">
        <v>96</v>
      </c>
      <c r="G491" s="9">
        <v>1097</v>
      </c>
      <c r="H491" s="5" t="s">
        <v>21</v>
      </c>
      <c r="I491" s="5" t="s">
        <v>1318</v>
      </c>
      <c r="J491" s="12" t="str">
        <f>HYPERLINK("https://www.boe.es/gazeta/dias/1800/11/28/pdfs/GMD-1800-96.pdf#page=1","Abrir facsímil")</f>
        <v>Abrir facsímil</v>
      </c>
      <c r="K491" s="15" t="s">
        <v>23</v>
      </c>
    </row>
    <row r="492" spans="1:11" ht="42" customHeight="1">
      <c r="A492" s="4" t="s">
        <v>1319</v>
      </c>
      <c r="B492" s="5" t="s">
        <v>1320</v>
      </c>
      <c r="C492" s="5" t="s">
        <v>41</v>
      </c>
      <c r="D492" s="5" t="s">
        <v>42</v>
      </c>
      <c r="E492" s="5" t="s">
        <v>48</v>
      </c>
      <c r="F492" s="9">
        <v>66</v>
      </c>
      <c r="G492" s="9">
        <v>745</v>
      </c>
      <c r="H492" s="5" t="s">
        <v>21</v>
      </c>
      <c r="I492" s="5" t="s">
        <v>1321</v>
      </c>
      <c r="J492" s="12" t="str">
        <f>HYPERLINK("https://www.boe.es/gazeta/dias/1800/08/19/pdfs/GMD-1800-66.pdf#page=9","Abrir facsímil")</f>
        <v>Abrir facsímil</v>
      </c>
      <c r="K492" s="15" t="s">
        <v>23</v>
      </c>
    </row>
    <row r="493" spans="1:11" ht="42" customHeight="1">
      <c r="A493" s="4" t="s">
        <v>1322</v>
      </c>
      <c r="B493" s="5" t="s">
        <v>1323</v>
      </c>
      <c r="C493" s="5" t="s">
        <v>25</v>
      </c>
      <c r="D493" s="5" t="s">
        <v>26</v>
      </c>
      <c r="E493" s="5" t="s">
        <v>45</v>
      </c>
      <c r="F493" s="9">
        <v>47</v>
      </c>
      <c r="G493" s="9">
        <v>503</v>
      </c>
      <c r="H493" s="5" t="s">
        <v>21</v>
      </c>
      <c r="I493" s="5" t="s">
        <v>1324</v>
      </c>
      <c r="J493" s="12" t="str">
        <f>HYPERLINK("https://www.boe.es/gazeta/dias/1800/06/13/pdfs/GMD-1800-47.pdf#page=11","Abrir facsímil")</f>
        <v>Abrir facsímil</v>
      </c>
      <c r="K493" s="15" t="s">
        <v>23</v>
      </c>
    </row>
    <row r="494" spans="1:11" ht="42" customHeight="1">
      <c r="A494" s="4" t="s">
        <v>1325</v>
      </c>
      <c r="B494" s="5" t="s">
        <v>1326</v>
      </c>
      <c r="C494" s="5" t="s">
        <v>18</v>
      </c>
      <c r="D494" s="5" t="s">
        <v>19</v>
      </c>
      <c r="E494" s="5" t="s">
        <v>135</v>
      </c>
      <c r="F494" s="9">
        <v>73</v>
      </c>
      <c r="G494" s="9">
        <v>816</v>
      </c>
      <c r="H494" s="5" t="s">
        <v>21</v>
      </c>
      <c r="I494" s="5" t="s">
        <v>1327</v>
      </c>
      <c r="J494" s="12" t="str">
        <f>HYPERLINK("https://www.boe.es/gazeta/dias/1800/09/09/pdfs/GMD-1800-73.pdf#page=10","Abrir facsímil")</f>
        <v>Abrir facsímil</v>
      </c>
      <c r="K494" s="15" t="s">
        <v>23</v>
      </c>
    </row>
    <row r="495" spans="1:11" ht="42" customHeight="1">
      <c r="A495" s="4" t="s">
        <v>1328</v>
      </c>
      <c r="B495" s="5" t="s">
        <v>1329</v>
      </c>
      <c r="C495" s="5" t="s">
        <v>18</v>
      </c>
      <c r="D495" s="5" t="s">
        <v>19</v>
      </c>
      <c r="E495" s="5" t="s">
        <v>422</v>
      </c>
      <c r="F495" s="9">
        <v>85</v>
      </c>
      <c r="G495" s="9">
        <v>985</v>
      </c>
      <c r="H495" s="5" t="s">
        <v>21</v>
      </c>
      <c r="I495" s="5" t="s">
        <v>1330</v>
      </c>
      <c r="J495" s="12" t="str">
        <f>HYPERLINK("https://www.boe.es/gazeta/dias/1800/10/21/pdfs/GMD-1800-85.pdf#page=7","Abrir facsímil")</f>
        <v>Abrir facsímil</v>
      </c>
      <c r="K495" s="15" t="s">
        <v>23</v>
      </c>
    </row>
    <row r="496" spans="1:11" ht="42" customHeight="1">
      <c r="A496" s="4" t="s">
        <v>1331</v>
      </c>
      <c r="B496" s="5" t="s">
        <v>1332</v>
      </c>
      <c r="C496" s="5" t="s">
        <v>18</v>
      </c>
      <c r="D496" s="5" t="s">
        <v>19</v>
      </c>
      <c r="E496" s="5" t="s">
        <v>823</v>
      </c>
      <c r="F496" s="9">
        <v>50</v>
      </c>
      <c r="G496" s="9">
        <v>545</v>
      </c>
      <c r="H496" s="5" t="s">
        <v>21</v>
      </c>
      <c r="I496" s="5" t="s">
        <v>1333</v>
      </c>
      <c r="J496" s="12" t="str">
        <f>HYPERLINK("https://www.boe.es/gazeta/dias/1800/06/24/pdfs/GMD-1800-50.pdf#page=9","Abrir facsímil")</f>
        <v>Abrir facsímil</v>
      </c>
      <c r="K496" s="15" t="s">
        <v>23</v>
      </c>
    </row>
    <row r="497" spans="1:11" ht="42" customHeight="1">
      <c r="A497" s="4" t="s">
        <v>1331</v>
      </c>
      <c r="B497" s="5" t="s">
        <v>1332</v>
      </c>
      <c r="C497" s="5" t="s">
        <v>18</v>
      </c>
      <c r="D497" s="5" t="s">
        <v>19</v>
      </c>
      <c r="E497" s="5" t="s">
        <v>329</v>
      </c>
      <c r="F497" s="9">
        <v>99</v>
      </c>
      <c r="G497" s="9">
        <v>1138</v>
      </c>
      <c r="H497" s="5" t="s">
        <v>21</v>
      </c>
      <c r="I497" s="5" t="s">
        <v>1334</v>
      </c>
      <c r="J497" s="12" t="str">
        <f>HYPERLINK("https://www.boe.es/gazeta/dias/1800/12/09/pdfs/GMD-1800-99.pdf#page=6","Abrir facsímil")</f>
        <v>Abrir facsímil</v>
      </c>
      <c r="K497" s="15" t="s">
        <v>23</v>
      </c>
    </row>
    <row r="498" spans="1:11" ht="42" customHeight="1">
      <c r="A498" s="4" t="s">
        <v>1335</v>
      </c>
      <c r="B498" s="5" t="s">
        <v>1336</v>
      </c>
      <c r="C498" s="5" t="s">
        <v>25</v>
      </c>
      <c r="D498" s="5" t="s">
        <v>26</v>
      </c>
      <c r="E498" s="5" t="s">
        <v>283</v>
      </c>
      <c r="F498" s="9">
        <v>68</v>
      </c>
      <c r="G498" s="9">
        <v>766</v>
      </c>
      <c r="H498" s="5" t="s">
        <v>21</v>
      </c>
      <c r="I498" s="5" t="s">
        <v>1337</v>
      </c>
      <c r="J498" s="12" t="str">
        <f>HYPERLINK("https://www.boe.es/gazeta/dias/1800/08/26/pdfs/GMD-1800-68.pdf#page=10","Abrir facsímil")</f>
        <v>Abrir facsímil</v>
      </c>
      <c r="K498" s="15" t="s">
        <v>23</v>
      </c>
    </row>
    <row r="499" spans="1:11" ht="42" customHeight="1">
      <c r="A499" s="4" t="s">
        <v>1338</v>
      </c>
      <c r="B499" s="5" t="s">
        <v>1339</v>
      </c>
      <c r="C499" s="5" t="s">
        <v>41</v>
      </c>
      <c r="D499" s="5" t="s">
        <v>42</v>
      </c>
      <c r="E499" s="5" t="s">
        <v>79</v>
      </c>
      <c r="F499" s="9">
        <v>7</v>
      </c>
      <c r="G499" s="9">
        <v>62</v>
      </c>
      <c r="H499" s="5" t="s">
        <v>21</v>
      </c>
      <c r="I499" s="5" t="s">
        <v>1340</v>
      </c>
      <c r="J499" s="12" t="str">
        <f>HYPERLINK("https://www.boe.es/gazeta/dias/1800/01/24/pdfs/GMD-1800-7.pdf#page=2","Abrir facsímil")</f>
        <v>Abrir facsímil</v>
      </c>
      <c r="K499" s="15" t="s">
        <v>23</v>
      </c>
    </row>
    <row r="500" spans="1:11" ht="42" customHeight="1">
      <c r="A500" s="4" t="s">
        <v>1341</v>
      </c>
      <c r="B500" s="5" t="s">
        <v>1342</v>
      </c>
      <c r="C500" s="5" t="s">
        <v>25</v>
      </c>
      <c r="D500" s="5" t="s">
        <v>26</v>
      </c>
      <c r="E500" s="5" t="s">
        <v>244</v>
      </c>
      <c r="F500" s="9">
        <v>9</v>
      </c>
      <c r="G500" s="9">
        <v>86</v>
      </c>
      <c r="H500" s="5" t="s">
        <v>21</v>
      </c>
      <c r="I500" s="5" t="s">
        <v>1343</v>
      </c>
      <c r="J500" s="12" t="str">
        <f>HYPERLINK("https://www.boe.es/gazeta/dias/1800/01/31/pdfs/GMD-1800-9.pdf#page=10","Abrir facsímil")</f>
        <v>Abrir facsímil</v>
      </c>
      <c r="K500" s="15" t="s">
        <v>23</v>
      </c>
    </row>
    <row r="501" spans="1:11" ht="42" customHeight="1">
      <c r="A501" s="4" t="s">
        <v>1344</v>
      </c>
      <c r="B501" s="5" t="s">
        <v>1344</v>
      </c>
      <c r="C501" s="5" t="s">
        <v>25</v>
      </c>
      <c r="D501" s="5" t="s">
        <v>26</v>
      </c>
      <c r="E501" s="5" t="s">
        <v>1213</v>
      </c>
      <c r="F501" s="9">
        <v>4</v>
      </c>
      <c r="G501" s="9">
        <v>40</v>
      </c>
      <c r="H501" s="5" t="s">
        <v>21</v>
      </c>
      <c r="I501" s="5" t="s">
        <v>1345</v>
      </c>
      <c r="J501" s="12" t="str">
        <f>HYPERLINK("https://www.boe.es/gazeta/dias/1800/01/14/pdfs/GMD-1800-4.pdf#page=12","Abrir facsímil")</f>
        <v>Abrir facsímil</v>
      </c>
      <c r="K501" s="15" t="s">
        <v>1346</v>
      </c>
    </row>
    <row r="502" spans="1:11" ht="42" customHeight="1">
      <c r="A502" s="4" t="s">
        <v>1344</v>
      </c>
      <c r="B502" s="5" t="s">
        <v>1344</v>
      </c>
      <c r="C502" s="5" t="s">
        <v>84</v>
      </c>
      <c r="D502" s="5" t="s">
        <v>85</v>
      </c>
      <c r="E502" s="5" t="s">
        <v>86</v>
      </c>
      <c r="F502" s="9">
        <v>17</v>
      </c>
      <c r="G502" s="9">
        <v>163</v>
      </c>
      <c r="H502" s="5" t="s">
        <v>21</v>
      </c>
      <c r="I502" s="5" t="s">
        <v>1347</v>
      </c>
      <c r="J502" s="12" t="str">
        <f>HYPERLINK("https://www.boe.es/gazeta/dias/1800/02/28/pdfs/GMD-1800-17.pdf#page=11","Abrir facsímil")</f>
        <v>Abrir facsímil</v>
      </c>
      <c r="K502" s="15" t="s">
        <v>1346</v>
      </c>
    </row>
    <row r="503" spans="1:11" ht="42" customHeight="1">
      <c r="A503" s="4" t="s">
        <v>1344</v>
      </c>
      <c r="B503" s="5" t="s">
        <v>1344</v>
      </c>
      <c r="C503" s="5" t="s">
        <v>84</v>
      </c>
      <c r="D503" s="5" t="s">
        <v>85</v>
      </c>
      <c r="E503" s="5" t="s">
        <v>461</v>
      </c>
      <c r="F503" s="9">
        <v>18</v>
      </c>
      <c r="G503" s="9">
        <v>172</v>
      </c>
      <c r="H503" s="5" t="s">
        <v>21</v>
      </c>
      <c r="I503" s="5" t="s">
        <v>1348</v>
      </c>
      <c r="J503" s="12" t="str">
        <f>HYPERLINK("https://www.boe.es/datos/pdfs/BOE//1800/018/C00173-00176.pdf#page=8","Abrir facsímil")</f>
        <v>Abrir facsímil</v>
      </c>
      <c r="K503" s="15" t="s">
        <v>1346</v>
      </c>
    </row>
    <row r="504" spans="1:11" ht="42" customHeight="1">
      <c r="A504" s="4" t="s">
        <v>1344</v>
      </c>
      <c r="B504" s="5" t="s">
        <v>1344</v>
      </c>
      <c r="C504" s="5" t="s">
        <v>25</v>
      </c>
      <c r="D504" s="5" t="s">
        <v>26</v>
      </c>
      <c r="E504" s="5" t="s">
        <v>226</v>
      </c>
      <c r="F504" s="9">
        <v>27</v>
      </c>
      <c r="G504" s="9">
        <v>284</v>
      </c>
      <c r="H504" s="5" t="s">
        <v>21</v>
      </c>
      <c r="I504" s="5" t="s">
        <v>1349</v>
      </c>
      <c r="J504" s="12" t="str">
        <f>HYPERLINK("https://www.boe.es/gazeta/dias/1800/04/04/pdfs/GMD-1800-27.pdf#page=12","Abrir facsímil")</f>
        <v>Abrir facsímil</v>
      </c>
      <c r="K504" s="15" t="s">
        <v>1346</v>
      </c>
    </row>
    <row r="505" spans="1:11" ht="42" customHeight="1">
      <c r="A505" s="4" t="s">
        <v>1344</v>
      </c>
      <c r="B505" s="5" t="s">
        <v>1344</v>
      </c>
      <c r="C505" s="5" t="s">
        <v>25</v>
      </c>
      <c r="D505" s="5" t="s">
        <v>26</v>
      </c>
      <c r="E505" s="5" t="s">
        <v>43</v>
      </c>
      <c r="F505" s="9">
        <v>46</v>
      </c>
      <c r="G505" s="9">
        <v>492</v>
      </c>
      <c r="H505" s="5" t="s">
        <v>21</v>
      </c>
      <c r="I505" s="5" t="s">
        <v>1350</v>
      </c>
      <c r="J505" s="12" t="str">
        <f>HYPERLINK("https://www.boe.es/gazeta/dias/1800/06/10/pdfs/GMD-1800-46.pdf#page=16","Abrir facsímil")</f>
        <v>Abrir facsímil</v>
      </c>
      <c r="K505" s="15" t="s">
        <v>1346</v>
      </c>
    </row>
    <row r="506" spans="1:11" ht="42" customHeight="1">
      <c r="A506" s="4" t="s">
        <v>1344</v>
      </c>
      <c r="B506" s="5" t="s">
        <v>1344</v>
      </c>
      <c r="C506" s="5" t="s">
        <v>25</v>
      </c>
      <c r="D506" s="5" t="s">
        <v>26</v>
      </c>
      <c r="E506" s="5" t="s">
        <v>75</v>
      </c>
      <c r="F506" s="9">
        <v>64</v>
      </c>
      <c r="G506" s="9">
        <v>736</v>
      </c>
      <c r="H506" s="5" t="s">
        <v>21</v>
      </c>
      <c r="I506" s="5" t="s">
        <v>1351</v>
      </c>
      <c r="J506" s="12" t="str">
        <f>HYPERLINK("https://www.boe.es/gazeta/dias/1800/08/12/pdfs/GMD-1800-64.pdf#page=12","Abrir facsímil")</f>
        <v>Abrir facsímil</v>
      </c>
      <c r="K506" s="15" t="s">
        <v>1346</v>
      </c>
    </row>
    <row r="507" spans="1:11" ht="42" customHeight="1">
      <c r="A507" s="4" t="s">
        <v>1344</v>
      </c>
      <c r="B507" s="5" t="s">
        <v>1344</v>
      </c>
      <c r="C507" s="5" t="s">
        <v>25</v>
      </c>
      <c r="D507" s="5" t="s">
        <v>26</v>
      </c>
      <c r="E507" s="5" t="s">
        <v>583</v>
      </c>
      <c r="F507" s="9">
        <v>77</v>
      </c>
      <c r="G507" s="9">
        <v>881</v>
      </c>
      <c r="H507" s="5" t="s">
        <v>21</v>
      </c>
      <c r="I507" s="5" t="s">
        <v>1352</v>
      </c>
      <c r="J507" s="12" t="str">
        <f>HYPERLINK("https://www.boe.es/gazeta/dias/1800/09/23/pdfs/GMD-1800-77.pdf#page=11","Abrir facsímil")</f>
        <v>Abrir facsímil</v>
      </c>
      <c r="K507" s="15" t="s">
        <v>1346</v>
      </c>
    </row>
    <row r="508" spans="1:11" ht="42" customHeight="1">
      <c r="A508" s="4" t="s">
        <v>1344</v>
      </c>
      <c r="B508" s="5" t="s">
        <v>1344</v>
      </c>
      <c r="C508" s="5" t="s">
        <v>84</v>
      </c>
      <c r="D508" s="5" t="s">
        <v>85</v>
      </c>
      <c r="E508" s="5" t="s">
        <v>445</v>
      </c>
      <c r="F508" s="9">
        <v>96</v>
      </c>
      <c r="G508" s="9">
        <v>1108</v>
      </c>
      <c r="H508" s="5" t="s">
        <v>21</v>
      </c>
      <c r="I508" s="5" t="s">
        <v>1353</v>
      </c>
      <c r="J508" s="12" t="str">
        <f>HYPERLINK("https://www.boe.es/gazeta/dias/1800/11/28/pdfs/GMD-1800-96.pdf#page=12","Abrir facsímil")</f>
        <v>Abrir facsímil</v>
      </c>
      <c r="K508" s="15" t="s">
        <v>1346</v>
      </c>
    </row>
    <row r="509" spans="1:11" ht="42" customHeight="1">
      <c r="A509" s="4" t="s">
        <v>1354</v>
      </c>
      <c r="B509" s="5" t="s">
        <v>1355</v>
      </c>
      <c r="C509" s="5" t="s">
        <v>18</v>
      </c>
      <c r="D509" s="5" t="s">
        <v>19</v>
      </c>
      <c r="E509" s="5" t="s">
        <v>75</v>
      </c>
      <c r="F509" s="9">
        <v>64</v>
      </c>
      <c r="G509" s="9">
        <v>733</v>
      </c>
      <c r="H509" s="5" t="s">
        <v>21</v>
      </c>
      <c r="I509" s="5" t="s">
        <v>1356</v>
      </c>
      <c r="J509" s="12" t="str">
        <f>HYPERLINK("https://www.boe.es/gazeta/dias/1800/08/12/pdfs/GMD-1800-64.pdf#page=9","Abrir facsímil")</f>
        <v>Abrir facsímil</v>
      </c>
      <c r="K509" s="15" t="s">
        <v>23</v>
      </c>
    </row>
    <row r="510" spans="1:11" ht="42" customHeight="1">
      <c r="A510" s="4" t="s">
        <v>1357</v>
      </c>
      <c r="B510" s="5" t="s">
        <v>1357</v>
      </c>
      <c r="C510" s="5" t="s">
        <v>41</v>
      </c>
      <c r="D510" s="5" t="s">
        <v>42</v>
      </c>
      <c r="E510" s="5" t="s">
        <v>88</v>
      </c>
      <c r="F510" s="9">
        <v>23</v>
      </c>
      <c r="G510" s="9">
        <v>230</v>
      </c>
      <c r="H510" s="5" t="s">
        <v>21</v>
      </c>
      <c r="I510" s="5" t="s">
        <v>1358</v>
      </c>
      <c r="J510" s="12" t="str">
        <f>HYPERLINK("https://www.boe.es/gazeta/dias/1800/03/21/pdfs/GMD-1800-23.pdf#page=6","Abrir facsímil")</f>
        <v>Abrir facsímil</v>
      </c>
      <c r="K510" s="15" t="s">
        <v>23</v>
      </c>
    </row>
    <row r="511" spans="1:11" ht="42" customHeight="1">
      <c r="A511" s="4" t="s">
        <v>1359</v>
      </c>
      <c r="B511" s="5" t="s">
        <v>1360</v>
      </c>
      <c r="C511" s="5" t="s">
        <v>54</v>
      </c>
      <c r="D511" s="5" t="s">
        <v>55</v>
      </c>
      <c r="E511" s="5" t="s">
        <v>406</v>
      </c>
      <c r="F511" s="9">
        <v>44</v>
      </c>
      <c r="G511" s="9">
        <v>463</v>
      </c>
      <c r="H511" s="5" t="s">
        <v>21</v>
      </c>
      <c r="I511" s="5" t="s">
        <v>1361</v>
      </c>
      <c r="J511" s="12" t="str">
        <f>HYPERLINK("https://www.boe.es/gazeta/dias/1800/06/03/pdfs/GMD-1800-44.pdf#page=11","Abrir facsímil")</f>
        <v>Abrir facsímil</v>
      </c>
      <c r="K511" s="15" t="s">
        <v>23</v>
      </c>
    </row>
    <row r="512" spans="1:11" ht="42" customHeight="1">
      <c r="A512" s="4" t="s">
        <v>1362</v>
      </c>
      <c r="B512" s="5" t="s">
        <v>1363</v>
      </c>
      <c r="C512" s="5" t="s">
        <v>18</v>
      </c>
      <c r="D512" s="5" t="s">
        <v>19</v>
      </c>
      <c r="E512" s="5" t="s">
        <v>56</v>
      </c>
      <c r="F512" s="9">
        <v>90</v>
      </c>
      <c r="G512" s="9">
        <v>1055</v>
      </c>
      <c r="H512" s="5" t="s">
        <v>21</v>
      </c>
      <c r="I512" s="5" t="s">
        <v>1364</v>
      </c>
      <c r="J512" s="12" t="str">
        <f>HYPERLINK("https://www.boe.es/gazeta/dias/1800/11/07/pdfs/GMD-1800-90.pdf#page=9","Abrir facsímil")</f>
        <v>Abrir facsímil</v>
      </c>
      <c r="K512" s="15" t="s">
        <v>23</v>
      </c>
    </row>
    <row r="513" spans="1:11" ht="42" customHeight="1">
      <c r="A513" s="4" t="s">
        <v>1365</v>
      </c>
      <c r="B513" s="5" t="s">
        <v>1366</v>
      </c>
      <c r="C513" s="5" t="s">
        <v>18</v>
      </c>
      <c r="D513" s="5" t="s">
        <v>19</v>
      </c>
      <c r="E513" s="5" t="s">
        <v>20</v>
      </c>
      <c r="F513" s="9">
        <v>104</v>
      </c>
      <c r="G513" s="9">
        <v>1210</v>
      </c>
      <c r="H513" s="5" t="s">
        <v>21</v>
      </c>
      <c r="I513" s="5" t="s">
        <v>1367</v>
      </c>
      <c r="J513" s="12" t="str">
        <f>HYPERLINK("https://www.boe.es/gazeta/dias/1800/12/26/pdfs/GMD-1800-104.pdf#page=10","Abrir facsímil")</f>
        <v>Abrir facsímil</v>
      </c>
      <c r="K513" s="15" t="s">
        <v>23</v>
      </c>
    </row>
    <row r="514" spans="1:11" ht="42" customHeight="1">
      <c r="A514" s="4" t="s">
        <v>1368</v>
      </c>
      <c r="B514" s="5" t="s">
        <v>1369</v>
      </c>
      <c r="C514" s="5" t="s">
        <v>84</v>
      </c>
      <c r="D514" s="5" t="s">
        <v>85</v>
      </c>
      <c r="E514" s="5" t="s">
        <v>75</v>
      </c>
      <c r="F514" s="9">
        <v>64</v>
      </c>
      <c r="G514" s="9">
        <v>736</v>
      </c>
      <c r="H514" s="5" t="s">
        <v>21</v>
      </c>
      <c r="I514" s="5" t="s">
        <v>1370</v>
      </c>
      <c r="J514" s="12" t="str">
        <f>HYPERLINK("https://www.boe.es/gazeta/dias/1800/08/12/pdfs/GMD-1800-64.pdf#page=12","Abrir facsímil")</f>
        <v>Abrir facsímil</v>
      </c>
      <c r="K514" s="15" t="s">
        <v>23</v>
      </c>
    </row>
    <row r="515" spans="1:11" ht="42" customHeight="1">
      <c r="A515" s="4" t="s">
        <v>1371</v>
      </c>
      <c r="B515" s="5" t="s">
        <v>1372</v>
      </c>
      <c r="C515" s="5" t="s">
        <v>18</v>
      </c>
      <c r="D515" s="5" t="s">
        <v>19</v>
      </c>
      <c r="E515" s="5" t="s">
        <v>673</v>
      </c>
      <c r="F515" s="9">
        <v>89</v>
      </c>
      <c r="G515" s="9">
        <v>1043</v>
      </c>
      <c r="H515" s="5" t="s">
        <v>21</v>
      </c>
      <c r="I515" s="5" t="s">
        <v>1373</v>
      </c>
      <c r="J515" s="12" t="str">
        <f>HYPERLINK("https://www.boe.es/gazeta/dias/1800/11/04/pdfs/GMD-1800-89.pdf#page=9","Abrir facsímil")</f>
        <v>Abrir facsímil</v>
      </c>
      <c r="K515" s="15" t="s">
        <v>23</v>
      </c>
    </row>
    <row r="516" spans="1:11" ht="42" customHeight="1">
      <c r="A516" s="4" t="s">
        <v>1374</v>
      </c>
      <c r="B516" s="5" t="s">
        <v>1375</v>
      </c>
      <c r="C516" s="5" t="s">
        <v>18</v>
      </c>
      <c r="D516" s="5" t="s">
        <v>19</v>
      </c>
      <c r="E516" s="5" t="s">
        <v>56</v>
      </c>
      <c r="F516" s="9">
        <v>90</v>
      </c>
      <c r="G516" s="9">
        <v>1055</v>
      </c>
      <c r="H516" s="5" t="s">
        <v>21</v>
      </c>
      <c r="I516" s="5" t="s">
        <v>1376</v>
      </c>
      <c r="J516" s="12" t="str">
        <f>HYPERLINK("https://www.boe.es/gazeta/dias/1800/11/07/pdfs/GMD-1800-90.pdf#page=9","Abrir facsímil")</f>
        <v>Abrir facsímil</v>
      </c>
      <c r="K516" s="15" t="s">
        <v>23</v>
      </c>
    </row>
    <row r="517" spans="1:11" ht="42" customHeight="1">
      <c r="A517" s="4" t="s">
        <v>1377</v>
      </c>
      <c r="B517" s="5" t="s">
        <v>1378</v>
      </c>
      <c r="C517" s="5" t="s">
        <v>18</v>
      </c>
      <c r="D517" s="5" t="s">
        <v>19</v>
      </c>
      <c r="E517" s="5" t="s">
        <v>673</v>
      </c>
      <c r="F517" s="9">
        <v>89</v>
      </c>
      <c r="G517" s="9">
        <v>1043</v>
      </c>
      <c r="H517" s="5" t="s">
        <v>21</v>
      </c>
      <c r="I517" s="5" t="s">
        <v>1379</v>
      </c>
      <c r="J517" s="12" t="str">
        <f>HYPERLINK("https://www.boe.es/gazeta/dias/1800/11/04/pdfs/GMD-1800-89.pdf#page=9","Abrir facsímil")</f>
        <v>Abrir facsímil</v>
      </c>
      <c r="K517" s="15" t="s">
        <v>23</v>
      </c>
    </row>
    <row r="518" spans="1:11" ht="42" customHeight="1">
      <c r="A518" s="4" t="s">
        <v>1380</v>
      </c>
      <c r="B518" s="5" t="s">
        <v>1381</v>
      </c>
      <c r="C518" s="5" t="s">
        <v>54</v>
      </c>
      <c r="D518" s="5" t="s">
        <v>55</v>
      </c>
      <c r="E518" s="5" t="s">
        <v>230</v>
      </c>
      <c r="F518" s="9">
        <v>35</v>
      </c>
      <c r="G518" s="9">
        <v>355</v>
      </c>
      <c r="H518" s="5" t="s">
        <v>21</v>
      </c>
      <c r="I518" s="5" t="s">
        <v>1382</v>
      </c>
      <c r="J518" s="12" t="str">
        <f>HYPERLINK("https://www.boe.es/gazeta/dias/1800/05/02/pdfs/GMD-1800-35.pdf#page=7","Abrir facsímil")</f>
        <v>Abrir facsímil</v>
      </c>
      <c r="K518" s="15" t="s">
        <v>23</v>
      </c>
    </row>
    <row r="519" spans="1:11" ht="42" customHeight="1">
      <c r="A519" s="4" t="s">
        <v>1383</v>
      </c>
      <c r="B519" s="5" t="s">
        <v>1384</v>
      </c>
      <c r="C519" s="5" t="s">
        <v>207</v>
      </c>
      <c r="D519" s="5" t="s">
        <v>55</v>
      </c>
      <c r="E519" s="5" t="s">
        <v>90</v>
      </c>
      <c r="F519" s="9">
        <v>58</v>
      </c>
      <c r="G519" s="9">
        <v>663</v>
      </c>
      <c r="H519" s="5" t="s">
        <v>21</v>
      </c>
      <c r="I519" s="5" t="s">
        <v>1385</v>
      </c>
      <c r="J519" s="12" t="str">
        <f>HYPERLINK("https://www.boe.es/gazeta/dias/1800/07/22/pdfs/GMD-1800-58.pdf#page=11","Abrir facsímil")</f>
        <v>Abrir facsímil</v>
      </c>
      <c r="K519" s="15" t="s">
        <v>23</v>
      </c>
    </row>
    <row r="520" spans="1:11" ht="42" customHeight="1">
      <c r="A520" s="4" t="s">
        <v>1386</v>
      </c>
      <c r="B520" s="5" t="s">
        <v>1387</v>
      </c>
      <c r="C520" s="5" t="s">
        <v>114</v>
      </c>
      <c r="D520" s="5" t="s">
        <v>115</v>
      </c>
      <c r="E520" s="5" t="s">
        <v>116</v>
      </c>
      <c r="F520" s="9">
        <v>86</v>
      </c>
      <c r="G520" s="9" t="s">
        <v>991</v>
      </c>
      <c r="H520" s="5" t="s">
        <v>21</v>
      </c>
      <c r="I520" s="5" t="s">
        <v>1388</v>
      </c>
      <c r="J520" s="12" t="str">
        <f>HYPERLINK("https://www.boe.es/gazeta/dias/1800/10/24/pdfs/GMD-D-1800-86.pdf#page=4","Abrir facsímil")</f>
        <v>Abrir facsímil</v>
      </c>
      <c r="K520" s="15" t="s">
        <v>23</v>
      </c>
    </row>
    <row r="521" spans="1:11" ht="42" customHeight="1">
      <c r="A521" s="4" t="s">
        <v>1389</v>
      </c>
      <c r="B521" s="5" t="s">
        <v>1390</v>
      </c>
      <c r="C521" s="5" t="s">
        <v>18</v>
      </c>
      <c r="D521" s="5" t="s">
        <v>19</v>
      </c>
      <c r="E521" s="5" t="s">
        <v>255</v>
      </c>
      <c r="F521" s="9">
        <v>75</v>
      </c>
      <c r="G521" s="9">
        <v>856</v>
      </c>
      <c r="H521" s="5" t="s">
        <v>21</v>
      </c>
      <c r="I521" s="5" t="s">
        <v>1391</v>
      </c>
      <c r="J521" s="12" t="str">
        <f>HYPERLINK("https://www.boe.es/gazeta/dias/1800/09/16/pdfs/GMD-1800-75.pdf#page=10","Abrir facsímil")</f>
        <v>Abrir facsímil</v>
      </c>
      <c r="K521" s="15" t="s">
        <v>23</v>
      </c>
    </row>
    <row r="522" spans="1:11" ht="42" customHeight="1">
      <c r="A522" s="4" t="s">
        <v>1392</v>
      </c>
      <c r="B522" s="5" t="s">
        <v>1393</v>
      </c>
      <c r="C522" s="5" t="s">
        <v>18</v>
      </c>
      <c r="D522" s="5" t="s">
        <v>19</v>
      </c>
      <c r="E522" s="5" t="s">
        <v>111</v>
      </c>
      <c r="F522" s="9">
        <v>98</v>
      </c>
      <c r="G522" s="9">
        <v>1128</v>
      </c>
      <c r="H522" s="5" t="s">
        <v>21</v>
      </c>
      <c r="I522" s="5" t="s">
        <v>1394</v>
      </c>
      <c r="J522" s="12" t="str">
        <f>HYPERLINK("https://www.boe.es/gazeta/dias/1800/12/05/pdfs/GMD-1800-98.pdf#page=8","Abrir facsímil")</f>
        <v>Abrir facsímil</v>
      </c>
      <c r="K522" s="15" t="s">
        <v>23</v>
      </c>
    </row>
    <row r="523" spans="1:11" ht="42" customHeight="1">
      <c r="A523" s="4" t="s">
        <v>1395</v>
      </c>
      <c r="B523" s="5" t="s">
        <v>1396</v>
      </c>
      <c r="C523" s="5" t="s">
        <v>207</v>
      </c>
      <c r="D523" s="5" t="s">
        <v>55</v>
      </c>
      <c r="E523" s="5" t="s">
        <v>422</v>
      </c>
      <c r="F523" s="9">
        <v>85</v>
      </c>
      <c r="G523" s="9">
        <v>986</v>
      </c>
      <c r="H523" s="5" t="s">
        <v>21</v>
      </c>
      <c r="I523" s="5" t="s">
        <v>1397</v>
      </c>
      <c r="J523" s="12" t="str">
        <f>HYPERLINK("https://www.boe.es/gazeta/dias/1800/10/21/pdfs/GMD-1800-85.pdf#page=8","Abrir facsímil")</f>
        <v>Abrir facsímil</v>
      </c>
      <c r="K523" s="15" t="s">
        <v>23</v>
      </c>
    </row>
    <row r="524" spans="1:11" ht="42" customHeight="1">
      <c r="A524" s="4" t="s">
        <v>1398</v>
      </c>
      <c r="B524" s="5" t="s">
        <v>1399</v>
      </c>
      <c r="C524" s="5" t="s">
        <v>18</v>
      </c>
      <c r="D524" s="5" t="s">
        <v>19</v>
      </c>
      <c r="E524" s="5" t="s">
        <v>56</v>
      </c>
      <c r="F524" s="9">
        <v>90</v>
      </c>
      <c r="G524" s="9">
        <v>1054</v>
      </c>
      <c r="H524" s="5" t="s">
        <v>21</v>
      </c>
      <c r="I524" s="5" t="s">
        <v>1400</v>
      </c>
      <c r="J524" s="12" t="str">
        <f>HYPERLINK("https://www.boe.es/gazeta/dias/1800/11/07/pdfs/GMD-1800-90.pdf#page=8","Abrir facsímil")</f>
        <v>Abrir facsímil</v>
      </c>
      <c r="K524" s="15" t="s">
        <v>23</v>
      </c>
    </row>
    <row r="525" spans="1:11" ht="42" customHeight="1">
      <c r="A525" s="4" t="s">
        <v>1401</v>
      </c>
      <c r="B525" s="5" t="s">
        <v>1402</v>
      </c>
      <c r="C525" s="5" t="s">
        <v>207</v>
      </c>
      <c r="D525" s="5" t="s">
        <v>55</v>
      </c>
      <c r="E525" s="5" t="s">
        <v>176</v>
      </c>
      <c r="F525" s="9">
        <v>88</v>
      </c>
      <c r="G525" s="9">
        <v>1031</v>
      </c>
      <c r="H525" s="5" t="s">
        <v>21</v>
      </c>
      <c r="I525" s="5" t="s">
        <v>1403</v>
      </c>
      <c r="J525" s="12" t="str">
        <f>HYPERLINK("https://www.boe.es/gazeta/dias/1800/10/31/pdfs/GMD-1800-88.pdf#page=13","Abrir facsímil")</f>
        <v>Abrir facsímil</v>
      </c>
      <c r="K525" s="15" t="s">
        <v>23</v>
      </c>
    </row>
    <row r="526" spans="1:11" ht="42" customHeight="1">
      <c r="A526" s="4" t="s">
        <v>1404</v>
      </c>
      <c r="B526" s="5" t="s">
        <v>1405</v>
      </c>
      <c r="C526" s="5" t="s">
        <v>18</v>
      </c>
      <c r="D526" s="5" t="s">
        <v>19</v>
      </c>
      <c r="E526" s="5" t="s">
        <v>530</v>
      </c>
      <c r="F526" s="9">
        <v>55</v>
      </c>
      <c r="G526" s="9">
        <v>614</v>
      </c>
      <c r="H526" s="5" t="s">
        <v>21</v>
      </c>
      <c r="I526" s="5" t="s">
        <v>1406</v>
      </c>
      <c r="J526" s="12" t="str">
        <f>HYPERLINK("https://www.boe.es/gazeta/dias/1800/07/11/pdfs/GMD-1800-55.pdf#page=2","Abrir facsímil")</f>
        <v>Abrir facsímil</v>
      </c>
      <c r="K526" s="15" t="s">
        <v>23</v>
      </c>
    </row>
    <row r="527" spans="1:11" ht="42" customHeight="1">
      <c r="A527" s="4" t="s">
        <v>1404</v>
      </c>
      <c r="B527" s="5" t="s">
        <v>1405</v>
      </c>
      <c r="C527" s="5" t="s">
        <v>41</v>
      </c>
      <c r="D527" s="5" t="s">
        <v>42</v>
      </c>
      <c r="E527" s="5" t="s">
        <v>135</v>
      </c>
      <c r="F527" s="9">
        <v>73</v>
      </c>
      <c r="G527" s="9">
        <v>807</v>
      </c>
      <c r="H527" s="5" t="s">
        <v>21</v>
      </c>
      <c r="I527" s="5" t="s">
        <v>1407</v>
      </c>
      <c r="J527" s="12" t="str">
        <f>HYPERLINK("https://www.boe.es/gazeta/dias/1800/09/09/pdfs/GMD-1800-73.pdf#page=1","Abrir facsímil")</f>
        <v>Abrir facsímil</v>
      </c>
      <c r="K527" s="15" t="s">
        <v>23</v>
      </c>
    </row>
    <row r="528" spans="1:11" ht="42" customHeight="1">
      <c r="A528" s="4" t="s">
        <v>1408</v>
      </c>
      <c r="B528" s="5" t="s">
        <v>1409</v>
      </c>
      <c r="C528" s="5" t="s">
        <v>54</v>
      </c>
      <c r="D528" s="5" t="s">
        <v>55</v>
      </c>
      <c r="E528" s="5" t="s">
        <v>214</v>
      </c>
      <c r="F528" s="9">
        <v>41</v>
      </c>
      <c r="G528" s="9">
        <v>424</v>
      </c>
      <c r="H528" s="5" t="s">
        <v>21</v>
      </c>
      <c r="I528" s="5" t="s">
        <v>1410</v>
      </c>
      <c r="J528" s="12" t="str">
        <f>HYPERLINK("https://www.boe.es/gazeta/dias/1800/05/23/pdfs/GMD-1800-41.pdf#page=8","Abrir facsímil")</f>
        <v>Abrir facsímil</v>
      </c>
      <c r="K528" s="15" t="s">
        <v>23</v>
      </c>
    </row>
    <row r="529" spans="1:11" ht="42" customHeight="1">
      <c r="A529" s="4" t="s">
        <v>1411</v>
      </c>
      <c r="B529" s="5" t="s">
        <v>1412</v>
      </c>
      <c r="C529" s="5" t="s">
        <v>25</v>
      </c>
      <c r="D529" s="5" t="s">
        <v>26</v>
      </c>
      <c r="E529" s="5" t="s">
        <v>45</v>
      </c>
      <c r="F529" s="9">
        <v>47</v>
      </c>
      <c r="G529" s="9">
        <v>502</v>
      </c>
      <c r="H529" s="5" t="s">
        <v>21</v>
      </c>
      <c r="I529" s="5" t="s">
        <v>1413</v>
      </c>
      <c r="J529" s="12" t="str">
        <f>HYPERLINK("https://www.boe.es/gazeta/dias/1800/06/13/pdfs/GMD-1800-47.pdf#page=10","Abrir facsímil")</f>
        <v>Abrir facsímil</v>
      </c>
      <c r="K529" s="15" t="s">
        <v>23</v>
      </c>
    </row>
    <row r="530" spans="1:11" ht="42" customHeight="1">
      <c r="A530" s="4" t="s">
        <v>1414</v>
      </c>
      <c r="B530" s="5" t="s">
        <v>1415</v>
      </c>
      <c r="C530" s="5" t="s">
        <v>54</v>
      </c>
      <c r="D530" s="5" t="s">
        <v>55</v>
      </c>
      <c r="E530" s="5" t="s">
        <v>45</v>
      </c>
      <c r="F530" s="9">
        <v>47</v>
      </c>
      <c r="G530" s="9">
        <v>502</v>
      </c>
      <c r="H530" s="5" t="s">
        <v>21</v>
      </c>
      <c r="I530" s="5" t="s">
        <v>1416</v>
      </c>
      <c r="J530" s="12" t="str">
        <f>HYPERLINK("https://www.boe.es/gazeta/dias/1800/06/13/pdfs/GMD-1800-47.pdf#page=10","Abrir facsímil")</f>
        <v>Abrir facsímil</v>
      </c>
      <c r="K530" s="15" t="s">
        <v>23</v>
      </c>
    </row>
    <row r="531" spans="1:11" ht="42" customHeight="1">
      <c r="A531" s="4" t="s">
        <v>1417</v>
      </c>
      <c r="B531" s="5" t="s">
        <v>1418</v>
      </c>
      <c r="C531" s="5" t="s">
        <v>18</v>
      </c>
      <c r="D531" s="5" t="s">
        <v>19</v>
      </c>
      <c r="E531" s="5" t="s">
        <v>194</v>
      </c>
      <c r="F531" s="9">
        <v>48</v>
      </c>
      <c r="G531" s="9">
        <v>518</v>
      </c>
      <c r="H531" s="5" t="s">
        <v>21</v>
      </c>
      <c r="I531" s="5" t="s">
        <v>1419</v>
      </c>
      <c r="J531" s="12" t="str">
        <f>HYPERLINK("https://www.boe.es/gazeta/dias/1800/06/17/pdfs/GMD-1800-48.pdf#page=10","Abrir facsímil")</f>
        <v>Abrir facsímil</v>
      </c>
      <c r="K531" s="15" t="s">
        <v>23</v>
      </c>
    </row>
    <row r="532" spans="1:11" ht="42" customHeight="1">
      <c r="A532" s="4" t="s">
        <v>1417</v>
      </c>
      <c r="B532" s="5" t="s">
        <v>1418</v>
      </c>
      <c r="C532" s="5" t="s">
        <v>18</v>
      </c>
      <c r="D532" s="5" t="s">
        <v>19</v>
      </c>
      <c r="E532" s="5" t="s">
        <v>48</v>
      </c>
      <c r="F532" s="9">
        <v>66</v>
      </c>
      <c r="G532" s="9">
        <v>746</v>
      </c>
      <c r="H532" s="5" t="s">
        <v>21</v>
      </c>
      <c r="I532" s="5" t="s">
        <v>1420</v>
      </c>
      <c r="J532" s="12" t="str">
        <f>HYPERLINK("https://www.boe.es/gazeta/dias/1800/08/19/pdfs/GMD-1800-66.pdf#page=10","Abrir facsímil")</f>
        <v>Abrir facsímil</v>
      </c>
      <c r="K532" s="15" t="s">
        <v>23</v>
      </c>
    </row>
    <row r="533" spans="1:11" ht="42" customHeight="1">
      <c r="A533" s="4" t="s">
        <v>1421</v>
      </c>
      <c r="B533" s="5" t="s">
        <v>1422</v>
      </c>
      <c r="C533" s="5" t="s">
        <v>18</v>
      </c>
      <c r="D533" s="5" t="s">
        <v>19</v>
      </c>
      <c r="E533" s="5" t="s">
        <v>422</v>
      </c>
      <c r="F533" s="9">
        <v>85</v>
      </c>
      <c r="G533" s="9">
        <v>985</v>
      </c>
      <c r="H533" s="5" t="s">
        <v>21</v>
      </c>
      <c r="I533" s="5" t="s">
        <v>1423</v>
      </c>
      <c r="J533" s="12" t="str">
        <f>HYPERLINK("https://www.boe.es/gazeta/dias/1800/10/21/pdfs/GMD-1800-85.pdf#page=7","Abrir facsímil")</f>
        <v>Abrir facsímil</v>
      </c>
      <c r="K533" s="15" t="s">
        <v>23</v>
      </c>
    </row>
    <row r="534" spans="1:11" ht="42" customHeight="1">
      <c r="A534" s="4" t="s">
        <v>1424</v>
      </c>
      <c r="B534" s="5" t="s">
        <v>1425</v>
      </c>
      <c r="C534" s="5" t="s">
        <v>41</v>
      </c>
      <c r="D534" s="5" t="s">
        <v>42</v>
      </c>
      <c r="E534" s="5" t="s">
        <v>120</v>
      </c>
      <c r="F534" s="9">
        <v>52</v>
      </c>
      <c r="G534" s="9">
        <v>567</v>
      </c>
      <c r="H534" s="5" t="s">
        <v>21</v>
      </c>
      <c r="I534" s="5" t="s">
        <v>1426</v>
      </c>
      <c r="J534" s="12" t="str">
        <f>HYPERLINK("https://www.boe.es/gazeta/dias/1800/07/01/pdfs/GMD-1800-52.pdf#page=3","Abrir facsímil")</f>
        <v>Abrir facsímil</v>
      </c>
      <c r="K534" s="15" t="s">
        <v>23</v>
      </c>
    </row>
    <row r="535" spans="1:11" ht="42" customHeight="1">
      <c r="A535" s="4" t="s">
        <v>1427</v>
      </c>
      <c r="B535" s="5" t="s">
        <v>1428</v>
      </c>
      <c r="C535" s="5" t="s">
        <v>18</v>
      </c>
      <c r="D535" s="5" t="s">
        <v>19</v>
      </c>
      <c r="E535" s="5" t="s">
        <v>240</v>
      </c>
      <c r="F535" s="9">
        <v>26</v>
      </c>
      <c r="G535" s="9">
        <v>267</v>
      </c>
      <c r="H535" s="5" t="s">
        <v>21</v>
      </c>
      <c r="I535" s="5" t="s">
        <v>1429</v>
      </c>
      <c r="J535" s="12" t="str">
        <f>HYPERLINK("https://www.boe.es/gazeta/dias/1800/04/01/pdfs/GMD-1800-26.pdf#page=7","Abrir facsímil")</f>
        <v>Abrir facsímil</v>
      </c>
      <c r="K535" s="15" t="s">
        <v>23</v>
      </c>
    </row>
    <row r="536" spans="1:11" ht="42" customHeight="1">
      <c r="A536" s="4" t="s">
        <v>1430</v>
      </c>
      <c r="B536" s="5" t="s">
        <v>1430</v>
      </c>
      <c r="C536" s="5" t="s">
        <v>54</v>
      </c>
      <c r="D536" s="5" t="s">
        <v>55</v>
      </c>
      <c r="E536" s="5" t="s">
        <v>45</v>
      </c>
      <c r="F536" s="9">
        <v>47</v>
      </c>
      <c r="G536" s="9">
        <v>502</v>
      </c>
      <c r="H536" s="5" t="s">
        <v>21</v>
      </c>
      <c r="I536" s="5" t="s">
        <v>1431</v>
      </c>
      <c r="J536" s="12" t="str">
        <f>HYPERLINK("https://www.boe.es/gazeta/dias/1800/06/13/pdfs/GMD-1800-47.pdf#page=10","Abrir facsímil")</f>
        <v>Abrir facsímil</v>
      </c>
      <c r="K536" s="15" t="s">
        <v>23</v>
      </c>
    </row>
    <row r="537" spans="1:11" ht="42" customHeight="1">
      <c r="A537" s="4" t="s">
        <v>1432</v>
      </c>
      <c r="B537" s="5" t="s">
        <v>1432</v>
      </c>
      <c r="C537" s="5" t="s">
        <v>54</v>
      </c>
      <c r="D537" s="5" t="s">
        <v>55</v>
      </c>
      <c r="E537" s="5" t="s">
        <v>1433</v>
      </c>
      <c r="F537" s="9">
        <v>12</v>
      </c>
      <c r="G537" s="9">
        <v>115</v>
      </c>
      <c r="H537" s="5" t="s">
        <v>21</v>
      </c>
      <c r="I537" s="5" t="s">
        <v>1434</v>
      </c>
      <c r="J537" s="12" t="str">
        <f>HYPERLINK("https://www.boe.es/gazeta/dias/1800/02/11/pdfs/GMD-1800-12.pdf#page=7","Abrir facsímil")</f>
        <v>Abrir facsímil</v>
      </c>
      <c r="K537" s="15" t="s">
        <v>23</v>
      </c>
    </row>
    <row r="538" spans="1:11" ht="42" customHeight="1">
      <c r="A538" s="4" t="s">
        <v>1435</v>
      </c>
      <c r="B538" s="5" t="s">
        <v>1436</v>
      </c>
      <c r="C538" s="5" t="s">
        <v>18</v>
      </c>
      <c r="D538" s="5" t="s">
        <v>19</v>
      </c>
      <c r="E538" s="5" t="s">
        <v>314</v>
      </c>
      <c r="F538" s="9">
        <v>74</v>
      </c>
      <c r="G538" s="9">
        <v>832</v>
      </c>
      <c r="H538" s="5" t="s">
        <v>21</v>
      </c>
      <c r="I538" s="5" t="s">
        <v>1437</v>
      </c>
      <c r="J538" s="12" t="str">
        <f>HYPERLINK("https://www.boe.es/gazeta/dias/1800/09/12/pdfs/GMD-1800-74.pdf#page=10","Abrir facsímil")</f>
        <v>Abrir facsímil</v>
      </c>
      <c r="K538" s="15" t="s">
        <v>23</v>
      </c>
    </row>
    <row r="539" spans="1:11" ht="42" customHeight="1">
      <c r="A539" s="4" t="s">
        <v>1438</v>
      </c>
      <c r="B539" s="5" t="s">
        <v>1439</v>
      </c>
      <c r="C539" s="5" t="s">
        <v>25</v>
      </c>
      <c r="D539" s="5" t="s">
        <v>26</v>
      </c>
      <c r="E539" s="5" t="s">
        <v>346</v>
      </c>
      <c r="F539" s="9">
        <v>24</v>
      </c>
      <c r="G539" s="9">
        <v>244</v>
      </c>
      <c r="H539" s="5" t="s">
        <v>21</v>
      </c>
      <c r="I539" s="5" t="s">
        <v>1440</v>
      </c>
      <c r="J539" s="12" t="str">
        <f>HYPERLINK("https://www.boe.es/gazeta/dias/1800/03/25/pdfs/GMD-1800-24.pdf#page=8","Abrir facsímil")</f>
        <v>Abrir facsímil</v>
      </c>
      <c r="K539" s="15" t="s">
        <v>23</v>
      </c>
    </row>
    <row r="540" spans="1:11" ht="42" customHeight="1">
      <c r="A540" s="4" t="s">
        <v>1441</v>
      </c>
      <c r="B540" s="5" t="s">
        <v>1441</v>
      </c>
      <c r="C540" s="5" t="s">
        <v>18</v>
      </c>
      <c r="D540" s="5" t="s">
        <v>19</v>
      </c>
      <c r="E540" s="5" t="s">
        <v>262</v>
      </c>
      <c r="F540" s="9">
        <v>39</v>
      </c>
      <c r="G540" s="9">
        <v>397</v>
      </c>
      <c r="H540" s="5" t="s">
        <v>21</v>
      </c>
      <c r="I540" s="5" t="s">
        <v>1442</v>
      </c>
      <c r="J540" s="12" t="str">
        <f>HYPERLINK("https://www.boe.es/gazeta/dias/1800/05/16/pdfs/GMD-1800-39.pdf#page=5","Abrir facsímil")</f>
        <v>Abrir facsímil</v>
      </c>
      <c r="K540" s="15" t="s">
        <v>23</v>
      </c>
    </row>
    <row r="541" spans="1:11" ht="42" customHeight="1">
      <c r="A541" s="4" t="s">
        <v>1443</v>
      </c>
      <c r="B541" s="5" t="s">
        <v>1444</v>
      </c>
      <c r="C541" s="5" t="s">
        <v>18</v>
      </c>
      <c r="D541" s="5" t="s">
        <v>19</v>
      </c>
      <c r="E541" s="5" t="s">
        <v>124</v>
      </c>
      <c r="F541" s="9">
        <v>16</v>
      </c>
      <c r="G541" s="9">
        <v>148</v>
      </c>
      <c r="H541" s="5" t="s">
        <v>21</v>
      </c>
      <c r="I541" s="5" t="s">
        <v>1445</v>
      </c>
      <c r="J541" s="12" t="str">
        <f>HYPERLINK("https://www.boe.es/gazeta/dias/1800/02/25/pdfs/GMD-1800-16.pdf#page=4","Abrir facsímil")</f>
        <v>Abrir facsímil</v>
      </c>
      <c r="K541" s="15" t="s">
        <v>23</v>
      </c>
    </row>
    <row r="542" spans="1:11" ht="42" customHeight="1">
      <c r="A542" s="4" t="s">
        <v>1443</v>
      </c>
      <c r="B542" s="5" t="s">
        <v>1444</v>
      </c>
      <c r="C542" s="5" t="s">
        <v>41</v>
      </c>
      <c r="D542" s="5" t="s">
        <v>42</v>
      </c>
      <c r="E542" s="5" t="s">
        <v>214</v>
      </c>
      <c r="F542" s="9">
        <v>41</v>
      </c>
      <c r="G542" s="9">
        <v>421</v>
      </c>
      <c r="H542" s="5" t="s">
        <v>21</v>
      </c>
      <c r="I542" s="5" t="s">
        <v>1446</v>
      </c>
      <c r="J542" s="12" t="str">
        <f>HYPERLINK("https://www.boe.es/gazeta/dias/1800/05/23/pdfs/GMD-1800-41.pdf#page=5","Abrir facsímil")</f>
        <v>Abrir facsímil</v>
      </c>
      <c r="K542" s="15" t="s">
        <v>23</v>
      </c>
    </row>
    <row r="543" spans="1:11" ht="42" customHeight="1">
      <c r="A543" s="4" t="s">
        <v>1443</v>
      </c>
      <c r="B543" s="5" t="s">
        <v>1444</v>
      </c>
      <c r="C543" s="5" t="s">
        <v>41</v>
      </c>
      <c r="D543" s="5" t="s">
        <v>42</v>
      </c>
      <c r="E543" s="5" t="s">
        <v>45</v>
      </c>
      <c r="F543" s="9">
        <v>47</v>
      </c>
      <c r="G543" s="9">
        <v>500</v>
      </c>
      <c r="H543" s="5" t="s">
        <v>21</v>
      </c>
      <c r="I543" s="5" t="s">
        <v>1447</v>
      </c>
      <c r="J543" s="12" t="str">
        <f>HYPERLINK("https://www.boe.es/gazeta/dias/1800/06/13/pdfs/GMD-1800-47.pdf#page=8","Abrir facsímil")</f>
        <v>Abrir facsímil</v>
      </c>
      <c r="K543" s="15" t="s">
        <v>23</v>
      </c>
    </row>
    <row r="544" spans="1:11" ht="42" customHeight="1">
      <c r="A544" s="4" t="s">
        <v>1443</v>
      </c>
      <c r="B544" s="5" t="s">
        <v>1444</v>
      </c>
      <c r="C544" s="5" t="s">
        <v>41</v>
      </c>
      <c r="D544" s="5" t="s">
        <v>42</v>
      </c>
      <c r="E544" s="5" t="s">
        <v>825</v>
      </c>
      <c r="F544" s="9">
        <v>51</v>
      </c>
      <c r="G544" s="9">
        <v>559</v>
      </c>
      <c r="H544" s="5" t="s">
        <v>21</v>
      </c>
      <c r="I544" s="5" t="s">
        <v>1448</v>
      </c>
      <c r="J544" s="12" t="str">
        <f>HYPERLINK("https://www.boe.es/gazeta/dias/1800/06/27/pdfs/GMD-1800-51.pdf#page=11","Abrir facsímil")</f>
        <v>Abrir facsímil</v>
      </c>
      <c r="K544" s="15" t="s">
        <v>23</v>
      </c>
    </row>
    <row r="545" spans="1:11" ht="42" customHeight="1">
      <c r="A545" s="4" t="s">
        <v>1443</v>
      </c>
      <c r="B545" s="5" t="s">
        <v>1444</v>
      </c>
      <c r="C545" s="5" t="s">
        <v>41</v>
      </c>
      <c r="D545" s="5" t="s">
        <v>42</v>
      </c>
      <c r="E545" s="5" t="s">
        <v>828</v>
      </c>
      <c r="F545" s="9">
        <v>53</v>
      </c>
      <c r="G545" s="9">
        <v>585</v>
      </c>
      <c r="H545" s="5" t="s">
        <v>21</v>
      </c>
      <c r="I545" s="5" t="s">
        <v>1449</v>
      </c>
      <c r="J545" s="12" t="str">
        <f>HYPERLINK("https://www.boe.es/gazeta/dias/1800/07/04/pdfs/GMD-1800-53.pdf#page=5","Abrir facsímil")</f>
        <v>Abrir facsímil</v>
      </c>
      <c r="K545" s="15" t="s">
        <v>23</v>
      </c>
    </row>
    <row r="546" spans="1:11" ht="42" customHeight="1">
      <c r="A546" s="4" t="s">
        <v>1443</v>
      </c>
      <c r="B546" s="5" t="s">
        <v>1444</v>
      </c>
      <c r="C546" s="5" t="s">
        <v>41</v>
      </c>
      <c r="D546" s="5" t="s">
        <v>42</v>
      </c>
      <c r="E546" s="5" t="s">
        <v>572</v>
      </c>
      <c r="F546" s="9">
        <v>76</v>
      </c>
      <c r="G546" s="9">
        <v>864</v>
      </c>
      <c r="H546" s="5" t="s">
        <v>21</v>
      </c>
      <c r="I546" s="5" t="s">
        <v>1450</v>
      </c>
      <c r="J546" s="12" t="str">
        <f>HYPERLINK("https://www.boe.es/gazeta/dias/1800/09/19/pdfs/GMD-1800-76.pdf#page=6","Abrir facsímil")</f>
        <v>Abrir facsímil</v>
      </c>
      <c r="K546" s="15" t="s">
        <v>23</v>
      </c>
    </row>
    <row r="547" spans="1:11" ht="42" customHeight="1">
      <c r="A547" s="4" t="s">
        <v>1451</v>
      </c>
      <c r="B547" s="5" t="s">
        <v>1452</v>
      </c>
      <c r="C547" s="5" t="s">
        <v>18</v>
      </c>
      <c r="D547" s="5" t="s">
        <v>19</v>
      </c>
      <c r="E547" s="5" t="s">
        <v>576</v>
      </c>
      <c r="F547" s="9">
        <v>91</v>
      </c>
      <c r="G547" s="9">
        <v>1068</v>
      </c>
      <c r="H547" s="5" t="s">
        <v>21</v>
      </c>
      <c r="I547" s="5" t="s">
        <v>1453</v>
      </c>
      <c r="J547" s="12" t="str">
        <f>HYPERLINK("https://www.boe.es/gazeta/dias/1800/11/11/pdfs/GMD-1800-91.pdf#page=10","Abrir facsímil")</f>
        <v>Abrir facsímil</v>
      </c>
      <c r="K547" s="15" t="s">
        <v>23</v>
      </c>
    </row>
    <row r="548" spans="1:11" ht="42" customHeight="1">
      <c r="A548" s="4" t="s">
        <v>1454</v>
      </c>
      <c r="B548" s="5" t="s">
        <v>1455</v>
      </c>
      <c r="C548" s="5" t="s">
        <v>18</v>
      </c>
      <c r="D548" s="5" t="s">
        <v>19</v>
      </c>
      <c r="E548" s="5" t="s">
        <v>491</v>
      </c>
      <c r="F548" s="9">
        <v>29</v>
      </c>
      <c r="G548" s="9">
        <v>300</v>
      </c>
      <c r="H548" s="5" t="s">
        <v>21</v>
      </c>
      <c r="I548" s="5" t="s">
        <v>1456</v>
      </c>
      <c r="J548" s="12" t="str">
        <f>HYPERLINK("https://www.boe.es/gazeta/dias/1800/04/11/pdfs/GMD-1800-29.pdf#page=8","Abrir facsímil")</f>
        <v>Abrir facsímil</v>
      </c>
      <c r="K548" s="15" t="s">
        <v>23</v>
      </c>
    </row>
    <row r="549" spans="1:11" ht="42" customHeight="1">
      <c r="A549" s="4" t="s">
        <v>1457</v>
      </c>
      <c r="B549" s="5" t="s">
        <v>1457</v>
      </c>
      <c r="C549" s="5" t="s">
        <v>25</v>
      </c>
      <c r="D549" s="5" t="s">
        <v>26</v>
      </c>
      <c r="E549" s="5" t="s">
        <v>314</v>
      </c>
      <c r="F549" s="9">
        <v>74</v>
      </c>
      <c r="G549" s="9">
        <v>838</v>
      </c>
      <c r="H549" s="5" t="s">
        <v>21</v>
      </c>
      <c r="I549" s="5" t="s">
        <v>1458</v>
      </c>
      <c r="J549" s="12" t="str">
        <f>HYPERLINK("https://www.boe.es/gazeta/dias/1800/09/12/pdfs/GMD-1800-74.pdf#page=16","Abrir facsímil")</f>
        <v>Abrir facsímil</v>
      </c>
      <c r="K549" s="15" t="s">
        <v>23</v>
      </c>
    </row>
    <row r="550" spans="1:11" ht="42" customHeight="1">
      <c r="A550" s="4" t="s">
        <v>1459</v>
      </c>
      <c r="B550" s="5" t="s">
        <v>1459</v>
      </c>
      <c r="C550" s="5" t="s">
        <v>25</v>
      </c>
      <c r="D550" s="5" t="s">
        <v>26</v>
      </c>
      <c r="E550" s="5" t="s">
        <v>105</v>
      </c>
      <c r="F550" s="9">
        <v>28</v>
      </c>
      <c r="G550" s="9">
        <v>292</v>
      </c>
      <c r="H550" s="5" t="s">
        <v>21</v>
      </c>
      <c r="I550" s="5" t="s">
        <v>1460</v>
      </c>
      <c r="J550" s="12" t="str">
        <f>HYPERLINK("https://www.boe.es/gazeta/dias/1800/04/08/pdfs/GMD-1800-28.pdf#page=8","Abrir facsímil")</f>
        <v>Abrir facsímil</v>
      </c>
      <c r="K550" s="15" t="s">
        <v>23</v>
      </c>
    </row>
    <row r="551" spans="1:11" ht="42" customHeight="1">
      <c r="A551" s="4" t="s">
        <v>1461</v>
      </c>
      <c r="B551" s="5" t="s">
        <v>1461</v>
      </c>
      <c r="C551" s="5" t="s">
        <v>171</v>
      </c>
      <c r="D551" s="5" t="s">
        <v>172</v>
      </c>
      <c r="E551" s="5" t="s">
        <v>461</v>
      </c>
      <c r="F551" s="9">
        <v>18</v>
      </c>
      <c r="G551" s="9">
        <v>174</v>
      </c>
      <c r="H551" s="5" t="s">
        <v>21</v>
      </c>
      <c r="I551" s="5" t="s">
        <v>1462</v>
      </c>
      <c r="J551" s="12" t="str">
        <f>HYPERLINK("https://www.boe.es/datos/pdfs/BOE//1800/018/C00173-00176.pdf#page=2","Abrir facsímil")</f>
        <v>Abrir facsímil</v>
      </c>
      <c r="K551" s="15" t="s">
        <v>23</v>
      </c>
    </row>
    <row r="552" spans="1:11" ht="42" customHeight="1">
      <c r="A552" s="4" t="s">
        <v>1463</v>
      </c>
      <c r="B552" s="5" t="s">
        <v>1464</v>
      </c>
      <c r="C552" s="5" t="s">
        <v>18</v>
      </c>
      <c r="D552" s="5" t="s">
        <v>19</v>
      </c>
      <c r="E552" s="5" t="s">
        <v>135</v>
      </c>
      <c r="F552" s="9">
        <v>73</v>
      </c>
      <c r="G552" s="9">
        <v>816</v>
      </c>
      <c r="H552" s="5" t="s">
        <v>21</v>
      </c>
      <c r="I552" s="5" t="s">
        <v>1465</v>
      </c>
      <c r="J552" s="12" t="str">
        <f>HYPERLINK("https://www.boe.es/gazeta/dias/1800/09/09/pdfs/GMD-1800-73.pdf#page=10","Abrir facsímil")</f>
        <v>Abrir facsímil</v>
      </c>
      <c r="K552" s="15" t="s">
        <v>23</v>
      </c>
    </row>
    <row r="553" spans="1:11" ht="42" customHeight="1">
      <c r="A553" s="4" t="s">
        <v>1466</v>
      </c>
      <c r="B553" s="5" t="s">
        <v>1467</v>
      </c>
      <c r="C553" s="5" t="s">
        <v>41</v>
      </c>
      <c r="D553" s="5" t="s">
        <v>42</v>
      </c>
      <c r="E553" s="5" t="s">
        <v>310</v>
      </c>
      <c r="F553" s="9">
        <v>56</v>
      </c>
      <c r="G553" s="9">
        <v>628</v>
      </c>
      <c r="H553" s="5" t="s">
        <v>21</v>
      </c>
      <c r="I553" s="5" t="s">
        <v>1468</v>
      </c>
      <c r="J553" s="12" t="str">
        <f>HYPERLINK("https://www.boe.es/gazeta/dias/1800/07/15/pdfs/GMD-1800-56.pdf#page=4","Abrir facsímil")</f>
        <v>Abrir facsímil</v>
      </c>
      <c r="K553" s="15" t="s">
        <v>23</v>
      </c>
    </row>
    <row r="554" spans="1:11" ht="42" customHeight="1">
      <c r="A554" s="4" t="s">
        <v>1469</v>
      </c>
      <c r="B554" s="5" t="s">
        <v>1470</v>
      </c>
      <c r="C554" s="5" t="s">
        <v>41</v>
      </c>
      <c r="D554" s="5" t="s">
        <v>42</v>
      </c>
      <c r="E554" s="5" t="s">
        <v>45</v>
      </c>
      <c r="F554" s="9">
        <v>47</v>
      </c>
      <c r="G554" s="9">
        <v>498</v>
      </c>
      <c r="H554" s="5" t="s">
        <v>21</v>
      </c>
      <c r="I554" s="5" t="s">
        <v>1471</v>
      </c>
      <c r="J554" s="12" t="str">
        <f>HYPERLINK("https://www.boe.es/gazeta/dias/1800/06/13/pdfs/GMD-1800-47.pdf#page=6","Abrir facsímil")</f>
        <v>Abrir facsímil</v>
      </c>
      <c r="K554" s="15" t="s">
        <v>23</v>
      </c>
    </row>
    <row r="555" spans="1:11" ht="42" customHeight="1">
      <c r="A555" s="4" t="s">
        <v>1472</v>
      </c>
      <c r="B555" s="5" t="s">
        <v>1473</v>
      </c>
      <c r="C555" s="5" t="s">
        <v>18</v>
      </c>
      <c r="D555" s="5" t="s">
        <v>19</v>
      </c>
      <c r="E555" s="5" t="s">
        <v>248</v>
      </c>
      <c r="F555" s="9">
        <v>33</v>
      </c>
      <c r="G555" s="9">
        <v>331</v>
      </c>
      <c r="H555" s="5" t="s">
        <v>21</v>
      </c>
      <c r="I555" s="5" t="s">
        <v>1474</v>
      </c>
      <c r="J555" s="12" t="str">
        <f>HYPERLINK("https://www.boe.es/gazeta/dias/1800/04/25/pdfs/GMD-1800-33.pdf#page=7","Abrir facsímil")</f>
        <v>Abrir facsímil</v>
      </c>
      <c r="K555" s="15" t="s">
        <v>23</v>
      </c>
    </row>
    <row r="556" spans="1:11" ht="42" customHeight="1">
      <c r="A556" s="4" t="s">
        <v>1472</v>
      </c>
      <c r="B556" s="5" t="s">
        <v>1473</v>
      </c>
      <c r="C556" s="5" t="s">
        <v>41</v>
      </c>
      <c r="D556" s="5" t="s">
        <v>42</v>
      </c>
      <c r="E556" s="5" t="s">
        <v>230</v>
      </c>
      <c r="F556" s="9">
        <v>35</v>
      </c>
      <c r="G556" s="9">
        <v>353</v>
      </c>
      <c r="H556" s="5" t="s">
        <v>21</v>
      </c>
      <c r="I556" s="5" t="s">
        <v>1475</v>
      </c>
      <c r="J556" s="12" t="str">
        <f>HYPERLINK("https://www.boe.es/gazeta/dias/1800/05/02/pdfs/GMD-1800-35.pdf#page=5","Abrir facsímil")</f>
        <v>Abrir facsímil</v>
      </c>
      <c r="K556" s="15" t="s">
        <v>23</v>
      </c>
    </row>
    <row r="557" spans="1:11" ht="42" customHeight="1">
      <c r="A557" s="4" t="s">
        <v>1472</v>
      </c>
      <c r="B557" s="5" t="s">
        <v>1473</v>
      </c>
      <c r="C557" s="5" t="s">
        <v>18</v>
      </c>
      <c r="D557" s="5" t="s">
        <v>19</v>
      </c>
      <c r="E557" s="5" t="s">
        <v>262</v>
      </c>
      <c r="F557" s="9">
        <v>39</v>
      </c>
      <c r="G557" s="9">
        <v>397</v>
      </c>
      <c r="H557" s="5" t="s">
        <v>21</v>
      </c>
      <c r="I557" s="5" t="s">
        <v>1476</v>
      </c>
      <c r="J557" s="12" t="str">
        <f>HYPERLINK("https://www.boe.es/gazeta/dias/1800/05/16/pdfs/GMD-1800-39.pdf#page=5","Abrir facsímil")</f>
        <v>Abrir facsímil</v>
      </c>
      <c r="K557" s="15" t="s">
        <v>23</v>
      </c>
    </row>
    <row r="558" spans="1:11" ht="42" customHeight="1">
      <c r="A558" s="4" t="s">
        <v>1472</v>
      </c>
      <c r="B558" s="5" t="s">
        <v>1473</v>
      </c>
      <c r="C558" s="5" t="s">
        <v>41</v>
      </c>
      <c r="D558" s="5" t="s">
        <v>42</v>
      </c>
      <c r="E558" s="5" t="s">
        <v>262</v>
      </c>
      <c r="F558" s="9">
        <v>39</v>
      </c>
      <c r="G558" s="9">
        <v>398</v>
      </c>
      <c r="H558" s="5" t="s">
        <v>21</v>
      </c>
      <c r="I558" s="5" t="s">
        <v>1477</v>
      </c>
      <c r="J558" s="12" t="str">
        <f>HYPERLINK("https://www.boe.es/gazeta/dias/1800/05/16/pdfs/GMD-1800-39.pdf#page=6","Abrir facsímil")</f>
        <v>Abrir facsímil</v>
      </c>
      <c r="K558" s="15" t="s">
        <v>23</v>
      </c>
    </row>
    <row r="559" spans="1:11" ht="42" customHeight="1">
      <c r="A559" s="4" t="s">
        <v>1472</v>
      </c>
      <c r="B559" s="5" t="s">
        <v>1473</v>
      </c>
      <c r="C559" s="5" t="s">
        <v>41</v>
      </c>
      <c r="D559" s="5" t="s">
        <v>42</v>
      </c>
      <c r="E559" s="5" t="s">
        <v>406</v>
      </c>
      <c r="F559" s="9">
        <v>44</v>
      </c>
      <c r="G559" s="9">
        <v>456</v>
      </c>
      <c r="H559" s="5" t="s">
        <v>21</v>
      </c>
      <c r="I559" s="5" t="s">
        <v>1478</v>
      </c>
      <c r="J559" s="12" t="str">
        <f>HYPERLINK("https://www.boe.es/gazeta/dias/1800/06/03/pdfs/GMD-1800-44.pdf#page=4","Abrir facsímil")</f>
        <v>Abrir facsímil</v>
      </c>
      <c r="K559" s="15" t="s">
        <v>23</v>
      </c>
    </row>
    <row r="560" spans="1:11" ht="42" customHeight="1">
      <c r="A560" s="4" t="s">
        <v>1479</v>
      </c>
      <c r="B560" s="5" t="s">
        <v>1480</v>
      </c>
      <c r="C560" s="5" t="s">
        <v>41</v>
      </c>
      <c r="D560" s="5" t="s">
        <v>42</v>
      </c>
      <c r="E560" s="5" t="s">
        <v>600</v>
      </c>
      <c r="F560" s="9">
        <v>45</v>
      </c>
      <c r="G560" s="9">
        <v>468</v>
      </c>
      <c r="H560" s="5" t="s">
        <v>21</v>
      </c>
      <c r="I560" s="5" t="s">
        <v>1481</v>
      </c>
      <c r="J560" s="12" t="str">
        <f>HYPERLINK("https://www.boe.es/gazeta/dias/1800/06/06/pdfs/GMD-1800-45.pdf#page=4","Abrir facsímil")</f>
        <v>Abrir facsímil</v>
      </c>
      <c r="K560" s="15" t="s">
        <v>23</v>
      </c>
    </row>
    <row r="561" spans="1:11" ht="42" customHeight="1">
      <c r="A561" s="4" t="s">
        <v>1472</v>
      </c>
      <c r="B561" s="5" t="s">
        <v>1473</v>
      </c>
      <c r="C561" s="5" t="s">
        <v>41</v>
      </c>
      <c r="D561" s="5" t="s">
        <v>42</v>
      </c>
      <c r="E561" s="5" t="s">
        <v>45</v>
      </c>
      <c r="F561" s="9">
        <v>47</v>
      </c>
      <c r="G561" s="9">
        <v>498</v>
      </c>
      <c r="H561" s="5" t="s">
        <v>21</v>
      </c>
      <c r="I561" s="5" t="s">
        <v>1482</v>
      </c>
      <c r="J561" s="12" t="str">
        <f>HYPERLINK("https://www.boe.es/gazeta/dias/1800/06/13/pdfs/GMD-1800-47.pdf#page=6","Abrir facsímil")</f>
        <v>Abrir facsímil</v>
      </c>
      <c r="K561" s="15" t="s">
        <v>23</v>
      </c>
    </row>
    <row r="562" spans="1:11" ht="42" customHeight="1">
      <c r="A562" s="4" t="s">
        <v>1472</v>
      </c>
      <c r="B562" s="5" t="s">
        <v>1473</v>
      </c>
      <c r="C562" s="5" t="s">
        <v>41</v>
      </c>
      <c r="D562" s="5" t="s">
        <v>42</v>
      </c>
      <c r="E562" s="5" t="s">
        <v>194</v>
      </c>
      <c r="F562" s="9">
        <v>48</v>
      </c>
      <c r="G562" s="9">
        <v>514</v>
      </c>
      <c r="H562" s="5" t="s">
        <v>21</v>
      </c>
      <c r="I562" s="5" t="s">
        <v>1483</v>
      </c>
      <c r="J562" s="12" t="str">
        <f>HYPERLINK("https://www.boe.es/gazeta/dias/1800/06/17/pdfs/GMD-1800-48.pdf#page=6","Abrir facsímil")</f>
        <v>Abrir facsímil</v>
      </c>
      <c r="K562" s="15" t="s">
        <v>23</v>
      </c>
    </row>
    <row r="563" spans="1:11" ht="42" customHeight="1">
      <c r="A563" s="4" t="s">
        <v>1472</v>
      </c>
      <c r="B563" s="5" t="s">
        <v>1473</v>
      </c>
      <c r="C563" s="5" t="s">
        <v>54</v>
      </c>
      <c r="D563" s="5" t="s">
        <v>55</v>
      </c>
      <c r="E563" s="5" t="s">
        <v>825</v>
      </c>
      <c r="F563" s="9">
        <v>51</v>
      </c>
      <c r="G563" s="9">
        <v>556</v>
      </c>
      <c r="H563" s="5" t="s">
        <v>21</v>
      </c>
      <c r="I563" s="5" t="s">
        <v>1484</v>
      </c>
      <c r="J563" s="12" t="str">
        <f>HYPERLINK("https://www.boe.es/gazeta/dias/1800/06/27/pdfs/GMD-1800-51.pdf#page=8","Abrir facsímil")</f>
        <v>Abrir facsímil</v>
      </c>
      <c r="K563" s="15" t="s">
        <v>23</v>
      </c>
    </row>
    <row r="564" spans="1:11" ht="42" customHeight="1">
      <c r="A564" s="4" t="s">
        <v>1472</v>
      </c>
      <c r="B564" s="5" t="s">
        <v>1473</v>
      </c>
      <c r="C564" s="5" t="s">
        <v>18</v>
      </c>
      <c r="D564" s="5" t="s">
        <v>19</v>
      </c>
      <c r="E564" s="5" t="s">
        <v>120</v>
      </c>
      <c r="F564" s="9">
        <v>52</v>
      </c>
      <c r="G564" s="9">
        <v>569</v>
      </c>
      <c r="H564" s="5" t="s">
        <v>21</v>
      </c>
      <c r="I564" s="5" t="s">
        <v>1485</v>
      </c>
      <c r="J564" s="12" t="str">
        <f>HYPERLINK("https://www.boe.es/gazeta/dias/1800/07/01/pdfs/GMD-1800-52.pdf#page=5","Abrir facsímil")</f>
        <v>Abrir facsímil</v>
      </c>
      <c r="K564" s="15" t="s">
        <v>23</v>
      </c>
    </row>
    <row r="565" spans="1:11" ht="42" customHeight="1">
      <c r="A565" s="4" t="s">
        <v>1472</v>
      </c>
      <c r="B565" s="5" t="s">
        <v>1473</v>
      </c>
      <c r="C565" s="5" t="s">
        <v>25</v>
      </c>
      <c r="D565" s="5" t="s">
        <v>26</v>
      </c>
      <c r="E565" s="5" t="s">
        <v>120</v>
      </c>
      <c r="F565" s="9">
        <v>52</v>
      </c>
      <c r="G565" s="9">
        <v>574</v>
      </c>
      <c r="H565" s="5" t="s">
        <v>21</v>
      </c>
      <c r="I565" s="5" t="s">
        <v>1486</v>
      </c>
      <c r="J565" s="12" t="str">
        <f>HYPERLINK("https://www.boe.es/gazeta/dias/1800/07/01/pdfs/GMD-1800-52.pdf#page=10","Abrir facsímil")</f>
        <v>Abrir facsímil</v>
      </c>
      <c r="K565" s="15" t="s">
        <v>23</v>
      </c>
    </row>
    <row r="566" spans="1:11" ht="42" customHeight="1">
      <c r="A566" s="4" t="s">
        <v>1472</v>
      </c>
      <c r="B566" s="5" t="s">
        <v>1473</v>
      </c>
      <c r="C566" s="5" t="s">
        <v>41</v>
      </c>
      <c r="D566" s="5" t="s">
        <v>42</v>
      </c>
      <c r="E566" s="5" t="s">
        <v>828</v>
      </c>
      <c r="F566" s="9">
        <v>53</v>
      </c>
      <c r="G566" s="9">
        <v>587</v>
      </c>
      <c r="H566" s="5" t="s">
        <v>21</v>
      </c>
      <c r="I566" s="5" t="s">
        <v>1487</v>
      </c>
      <c r="J566" s="12" t="str">
        <f>HYPERLINK("https://www.boe.es/gazeta/dias/1800/07/04/pdfs/GMD-1800-53.pdf#page=7","Abrir facsímil")</f>
        <v>Abrir facsímil</v>
      </c>
      <c r="K566" s="15" t="s">
        <v>23</v>
      </c>
    </row>
    <row r="567" spans="1:11" ht="42" customHeight="1">
      <c r="A567" s="4" t="s">
        <v>1472</v>
      </c>
      <c r="B567" s="5" t="s">
        <v>1473</v>
      </c>
      <c r="C567" s="5" t="s">
        <v>84</v>
      </c>
      <c r="D567" s="5" t="s">
        <v>85</v>
      </c>
      <c r="E567" s="5" t="s">
        <v>64</v>
      </c>
      <c r="F567" s="9">
        <v>54</v>
      </c>
      <c r="G567" s="9">
        <v>602</v>
      </c>
      <c r="H567" s="5" t="s">
        <v>21</v>
      </c>
      <c r="I567" s="5" t="s">
        <v>1488</v>
      </c>
      <c r="J567" s="12" t="str">
        <f>HYPERLINK("https://www.boe.es/gazeta/dias/1800/07/08/pdfs/GMD-1800-54.pdf#page=6","Abrir facsímil")</f>
        <v>Abrir facsímil</v>
      </c>
      <c r="K567" s="15" t="s">
        <v>23</v>
      </c>
    </row>
    <row r="568" spans="1:11" ht="42" customHeight="1">
      <c r="A568" s="4" t="s">
        <v>1472</v>
      </c>
      <c r="B568" s="5" t="s">
        <v>1473</v>
      </c>
      <c r="C568" s="5" t="s">
        <v>41</v>
      </c>
      <c r="D568" s="5" t="s">
        <v>42</v>
      </c>
      <c r="E568" s="5" t="s">
        <v>310</v>
      </c>
      <c r="F568" s="9">
        <v>56</v>
      </c>
      <c r="G568" s="9">
        <v>628</v>
      </c>
      <c r="H568" s="5" t="s">
        <v>21</v>
      </c>
      <c r="I568" s="5" t="s">
        <v>1489</v>
      </c>
      <c r="J568" s="12" t="str">
        <f>HYPERLINK("https://www.boe.es/gazeta/dias/1800/07/15/pdfs/GMD-1800-56.pdf#page=4","Abrir facsímil")</f>
        <v>Abrir facsímil</v>
      </c>
      <c r="K568" s="15" t="s">
        <v>23</v>
      </c>
    </row>
    <row r="569" spans="1:11" ht="42" customHeight="1">
      <c r="A569" s="4" t="s">
        <v>1472</v>
      </c>
      <c r="B569" s="5" t="s">
        <v>1473</v>
      </c>
      <c r="C569" s="5" t="s">
        <v>18</v>
      </c>
      <c r="D569" s="5" t="s">
        <v>19</v>
      </c>
      <c r="E569" s="5" t="s">
        <v>1294</v>
      </c>
      <c r="F569" s="9">
        <v>59</v>
      </c>
      <c r="G569" s="9">
        <v>675</v>
      </c>
      <c r="H569" s="5" t="s">
        <v>21</v>
      </c>
      <c r="I569" s="5" t="s">
        <v>1490</v>
      </c>
      <c r="J569" s="12" t="str">
        <f>HYPERLINK("https://www.boe.es/gazeta/dias/1800/07/25/pdfs/GMD-1800-59.pdf#page=7","Abrir facsímil")</f>
        <v>Abrir facsímil</v>
      </c>
      <c r="K569" s="15" t="s">
        <v>23</v>
      </c>
    </row>
    <row r="570" spans="1:11" ht="42" customHeight="1">
      <c r="A570" s="4" t="s">
        <v>1472</v>
      </c>
      <c r="B570" s="5" t="s">
        <v>1473</v>
      </c>
      <c r="C570" s="5" t="s">
        <v>41</v>
      </c>
      <c r="D570" s="5" t="s">
        <v>42</v>
      </c>
      <c r="E570" s="5" t="s">
        <v>154</v>
      </c>
      <c r="F570" s="9">
        <v>61</v>
      </c>
      <c r="G570" s="9">
        <v>695</v>
      </c>
      <c r="H570" s="5" t="s">
        <v>21</v>
      </c>
      <c r="I570" s="5" t="s">
        <v>1491</v>
      </c>
      <c r="J570" s="12" t="str">
        <f>HYPERLINK("https://www.boe.es/gazeta/dias/1800/08/01/pdfs/GMD-1800-61.pdf#page=7","Abrir facsímil")</f>
        <v>Abrir facsímil</v>
      </c>
      <c r="K570" s="15" t="s">
        <v>23</v>
      </c>
    </row>
    <row r="571" spans="1:11" ht="42" customHeight="1">
      <c r="A571" s="4" t="s">
        <v>1472</v>
      </c>
      <c r="B571" s="5" t="s">
        <v>1473</v>
      </c>
      <c r="C571" s="5" t="s">
        <v>41</v>
      </c>
      <c r="D571" s="5" t="s">
        <v>42</v>
      </c>
      <c r="E571" s="5" t="s">
        <v>283</v>
      </c>
      <c r="F571" s="9">
        <v>68</v>
      </c>
      <c r="G571" s="9">
        <v>763</v>
      </c>
      <c r="H571" s="5" t="s">
        <v>21</v>
      </c>
      <c r="I571" s="5" t="s">
        <v>1492</v>
      </c>
      <c r="J571" s="12" t="str">
        <f>HYPERLINK("https://www.boe.es/gazeta/dias/1800/08/26/pdfs/GMD-1800-68.pdf#page=7","Abrir facsímil")</f>
        <v>Abrir facsímil</v>
      </c>
      <c r="K571" s="15" t="s">
        <v>23</v>
      </c>
    </row>
    <row r="572" spans="1:11" ht="42" customHeight="1">
      <c r="A572" s="4" t="s">
        <v>1472</v>
      </c>
      <c r="B572" s="5" t="s">
        <v>1473</v>
      </c>
      <c r="C572" s="5" t="s">
        <v>41</v>
      </c>
      <c r="D572" s="5" t="s">
        <v>42</v>
      </c>
      <c r="E572" s="5" t="s">
        <v>836</v>
      </c>
      <c r="F572" s="9">
        <v>71</v>
      </c>
      <c r="G572" s="9">
        <v>783</v>
      </c>
      <c r="H572" s="5" t="s">
        <v>21</v>
      </c>
      <c r="I572" s="5" t="s">
        <v>1493</v>
      </c>
      <c r="J572" s="12" t="str">
        <f>HYPERLINK("https://www.boe.es/gazeta/dias/1800/09/02/pdfs/GMD-1800-71.pdf#page=1","Abrir facsímil")</f>
        <v>Abrir facsímil</v>
      </c>
      <c r="K572" s="15" t="s">
        <v>23</v>
      </c>
    </row>
    <row r="573" spans="1:11" ht="42" customHeight="1">
      <c r="A573" s="4" t="s">
        <v>1472</v>
      </c>
      <c r="B573" s="5" t="s">
        <v>1473</v>
      </c>
      <c r="C573" s="5" t="s">
        <v>18</v>
      </c>
      <c r="D573" s="5" t="s">
        <v>19</v>
      </c>
      <c r="E573" s="5" t="s">
        <v>673</v>
      </c>
      <c r="F573" s="9">
        <v>89</v>
      </c>
      <c r="G573" s="9">
        <v>1041</v>
      </c>
      <c r="H573" s="5" t="s">
        <v>21</v>
      </c>
      <c r="I573" s="5" t="s">
        <v>1494</v>
      </c>
      <c r="J573" s="12" t="str">
        <f>HYPERLINK("https://www.boe.es/gazeta/dias/1800/11/04/pdfs/GMD-1800-89.pdf#page=7","Abrir facsímil")</f>
        <v>Abrir facsímil</v>
      </c>
      <c r="K573" s="15" t="s">
        <v>23</v>
      </c>
    </row>
    <row r="574" spans="1:11" ht="42" customHeight="1">
      <c r="A574" s="4" t="s">
        <v>1472</v>
      </c>
      <c r="B574" s="5" t="s">
        <v>1473</v>
      </c>
      <c r="C574" s="5" t="s">
        <v>18</v>
      </c>
      <c r="D574" s="5" t="s">
        <v>19</v>
      </c>
      <c r="E574" s="5" t="s">
        <v>329</v>
      </c>
      <c r="F574" s="9">
        <v>99</v>
      </c>
      <c r="G574" s="9">
        <v>1137</v>
      </c>
      <c r="H574" s="5" t="s">
        <v>21</v>
      </c>
      <c r="I574" s="5" t="s">
        <v>1495</v>
      </c>
      <c r="J574" s="12" t="str">
        <f>HYPERLINK("https://www.boe.es/gazeta/dias/1800/12/09/pdfs/GMD-1800-99.pdf#page=5","Abrir facsímil")</f>
        <v>Abrir facsímil</v>
      </c>
      <c r="K574" s="15" t="s">
        <v>23</v>
      </c>
    </row>
    <row r="575" spans="1:11" ht="42" customHeight="1">
      <c r="A575" s="4" t="s">
        <v>1496</v>
      </c>
      <c r="B575" s="5" t="s">
        <v>1497</v>
      </c>
      <c r="C575" s="5" t="s">
        <v>207</v>
      </c>
      <c r="D575" s="5" t="s">
        <v>55</v>
      </c>
      <c r="E575" s="5" t="s">
        <v>422</v>
      </c>
      <c r="F575" s="9">
        <v>85</v>
      </c>
      <c r="G575" s="9">
        <v>984</v>
      </c>
      <c r="H575" s="5" t="s">
        <v>21</v>
      </c>
      <c r="I575" s="5" t="s">
        <v>1498</v>
      </c>
      <c r="J575" s="12" t="str">
        <f>HYPERLINK("https://www.boe.es/gazeta/dias/1800/10/21/pdfs/GMD-1800-85.pdf#page=6","Abrir facsímil")</f>
        <v>Abrir facsímil</v>
      </c>
      <c r="K575" s="15" t="s">
        <v>23</v>
      </c>
    </row>
    <row r="576" spans="1:11" ht="42" customHeight="1">
      <c r="A576" s="4" t="s">
        <v>1499</v>
      </c>
      <c r="B576" s="5" t="s">
        <v>1500</v>
      </c>
      <c r="C576" s="5" t="s">
        <v>114</v>
      </c>
      <c r="D576" s="5" t="s">
        <v>115</v>
      </c>
      <c r="E576" s="5" t="s">
        <v>116</v>
      </c>
      <c r="F576" s="9">
        <v>86</v>
      </c>
      <c r="G576" s="9" t="s">
        <v>1501</v>
      </c>
      <c r="H576" s="5" t="s">
        <v>21</v>
      </c>
      <c r="I576" s="5" t="s">
        <v>1502</v>
      </c>
      <c r="J576" s="12" t="str">
        <f>HYPERLINK("https://www.boe.es/gazeta/dias/1800/10/24/pdfs/GMD-D-1800-86.pdf#page=2","Abrir facsímil")</f>
        <v>Abrir facsímil</v>
      </c>
      <c r="K576" s="15" t="s">
        <v>23</v>
      </c>
    </row>
    <row r="577" spans="1:11" ht="42" customHeight="1">
      <c r="A577" s="4" t="s">
        <v>1503</v>
      </c>
      <c r="B577" s="5" t="s">
        <v>1504</v>
      </c>
      <c r="C577" s="5" t="s">
        <v>41</v>
      </c>
      <c r="D577" s="5" t="s">
        <v>42</v>
      </c>
      <c r="E577" s="5" t="s">
        <v>101</v>
      </c>
      <c r="F577" s="9">
        <v>37</v>
      </c>
      <c r="G577" s="9">
        <v>376</v>
      </c>
      <c r="H577" s="5" t="s">
        <v>21</v>
      </c>
      <c r="I577" s="5" t="s">
        <v>1505</v>
      </c>
      <c r="J577" s="12" t="str">
        <f>HYPERLINK("https://www.boe.es/gazeta/dias/1800/05/09/pdfs/GMD-1800-37.pdf#page=8","Abrir facsímil")</f>
        <v>Abrir facsímil</v>
      </c>
      <c r="K577" s="15" t="s">
        <v>23</v>
      </c>
    </row>
    <row r="578" spans="1:11" ht="42" customHeight="1">
      <c r="A578" s="4" t="s">
        <v>1506</v>
      </c>
      <c r="B578" s="5" t="s">
        <v>1507</v>
      </c>
      <c r="C578" s="5" t="s">
        <v>18</v>
      </c>
      <c r="D578" s="5" t="s">
        <v>19</v>
      </c>
      <c r="E578" s="5" t="s">
        <v>111</v>
      </c>
      <c r="F578" s="9">
        <v>98</v>
      </c>
      <c r="G578" s="9">
        <v>1129</v>
      </c>
      <c r="H578" s="5" t="s">
        <v>21</v>
      </c>
      <c r="I578" s="5" t="s">
        <v>1508</v>
      </c>
      <c r="J578" s="12" t="str">
        <f>HYPERLINK("https://www.boe.es/gazeta/dias/1800/12/05/pdfs/GMD-1800-98.pdf#page=9","Abrir facsímil")</f>
        <v>Abrir facsímil</v>
      </c>
      <c r="K578" s="15" t="s">
        <v>23</v>
      </c>
    </row>
    <row r="579" spans="1:11" ht="42" customHeight="1">
      <c r="A579" s="4" t="s">
        <v>1509</v>
      </c>
      <c r="B579" s="5" t="s">
        <v>1509</v>
      </c>
      <c r="C579" s="5" t="s">
        <v>25</v>
      </c>
      <c r="D579" s="5" t="s">
        <v>26</v>
      </c>
      <c r="E579" s="5" t="s">
        <v>120</v>
      </c>
      <c r="F579" s="9">
        <v>52</v>
      </c>
      <c r="G579" s="9">
        <v>571</v>
      </c>
      <c r="H579" s="5" t="s">
        <v>21</v>
      </c>
      <c r="I579" s="5" t="s">
        <v>1510</v>
      </c>
      <c r="J579" s="12" t="str">
        <f>HYPERLINK("https://www.boe.es/gazeta/dias/1800/07/01/pdfs/GMD-1800-52.pdf#page=7","Abrir facsímil")</f>
        <v>Abrir facsímil</v>
      </c>
      <c r="K579" s="15" t="s">
        <v>23</v>
      </c>
    </row>
    <row r="580" spans="1:11" ht="42" customHeight="1">
      <c r="A580" s="4" t="s">
        <v>1511</v>
      </c>
      <c r="B580" s="5" t="s">
        <v>1512</v>
      </c>
      <c r="C580" s="5" t="s">
        <v>25</v>
      </c>
      <c r="D580" s="5" t="s">
        <v>26</v>
      </c>
      <c r="E580" s="5" t="s">
        <v>58</v>
      </c>
      <c r="F580" s="9">
        <v>92</v>
      </c>
      <c r="G580" s="9">
        <v>1052</v>
      </c>
      <c r="H580" s="5" t="s">
        <v>21</v>
      </c>
      <c r="I580" s="5" t="s">
        <v>1513</v>
      </c>
      <c r="J580" s="12" t="str">
        <f>HYPERLINK("https://www.boe.es/gazeta/dias/1800/11/14/pdfs/GMD-1800-92.pdf#page=6","Abrir facsímil")</f>
        <v>Abrir facsímil</v>
      </c>
      <c r="K580" s="15" t="s">
        <v>23</v>
      </c>
    </row>
    <row r="581" spans="1:11" ht="42" customHeight="1">
      <c r="A581" s="4" t="s">
        <v>1514</v>
      </c>
      <c r="B581" s="5" t="s">
        <v>1515</v>
      </c>
      <c r="C581" s="5" t="s">
        <v>41</v>
      </c>
      <c r="D581" s="5" t="s">
        <v>42</v>
      </c>
      <c r="E581" s="5" t="s">
        <v>176</v>
      </c>
      <c r="F581" s="9">
        <v>88</v>
      </c>
      <c r="G581" s="9">
        <v>1029</v>
      </c>
      <c r="H581" s="5" t="s">
        <v>21</v>
      </c>
      <c r="I581" s="5" t="s">
        <v>1516</v>
      </c>
      <c r="J581" s="12" t="str">
        <f>HYPERLINK("https://www.boe.es/gazeta/dias/1800/10/31/pdfs/GMD-1800-88.pdf#page=11","Abrir facsímil")</f>
        <v>Abrir facsímil</v>
      </c>
      <c r="K581" s="15" t="s">
        <v>23</v>
      </c>
    </row>
    <row r="582" spans="1:11" ht="42" customHeight="1">
      <c r="A582" s="4" t="s">
        <v>1517</v>
      </c>
      <c r="B582" s="5" t="s">
        <v>1518</v>
      </c>
      <c r="C582" s="5" t="s">
        <v>54</v>
      </c>
      <c r="D582" s="5" t="s">
        <v>55</v>
      </c>
      <c r="E582" s="5" t="s">
        <v>787</v>
      </c>
      <c r="F582" s="9">
        <v>6</v>
      </c>
      <c r="G582" s="9">
        <v>53</v>
      </c>
      <c r="H582" s="5" t="s">
        <v>21</v>
      </c>
      <c r="I582" s="5" t="s">
        <v>1519</v>
      </c>
      <c r="J582" s="12" t="str">
        <f>HYPERLINK("https://www.boe.es/gazeta/dias/1800/01/21/pdfs/GMD-1800-6.pdf#page=5","Abrir facsímil")</f>
        <v>Abrir facsímil</v>
      </c>
      <c r="K582" s="15" t="s">
        <v>23</v>
      </c>
    </row>
    <row r="583" spans="1:11" ht="42" customHeight="1">
      <c r="A583" s="4" t="s">
        <v>1517</v>
      </c>
      <c r="B583" s="5" t="s">
        <v>1518</v>
      </c>
      <c r="C583" s="5" t="s">
        <v>18</v>
      </c>
      <c r="D583" s="5" t="s">
        <v>19</v>
      </c>
      <c r="E583" s="5" t="s">
        <v>31</v>
      </c>
      <c r="F583" s="9">
        <v>20</v>
      </c>
      <c r="G583" s="9">
        <v>185</v>
      </c>
      <c r="H583" s="5" t="s">
        <v>21</v>
      </c>
      <c r="I583" s="5" t="s">
        <v>1520</v>
      </c>
      <c r="J583" s="12" t="str">
        <f>HYPERLINK("https://www.boe.es/gazeta/dias/1800/03/11/pdfs/GMD-1800-20.pdf#page=1","Abrir facsímil")</f>
        <v>Abrir facsímil</v>
      </c>
      <c r="K583" s="15" t="s">
        <v>23</v>
      </c>
    </row>
    <row r="584" spans="1:11" ht="42" customHeight="1">
      <c r="A584" s="4" t="s">
        <v>1517</v>
      </c>
      <c r="B584" s="5" t="s">
        <v>1518</v>
      </c>
      <c r="C584" s="5" t="s">
        <v>18</v>
      </c>
      <c r="D584" s="5" t="s">
        <v>19</v>
      </c>
      <c r="E584" s="5" t="s">
        <v>595</v>
      </c>
      <c r="F584" s="9">
        <v>72</v>
      </c>
      <c r="G584" s="9">
        <v>792</v>
      </c>
      <c r="H584" s="5" t="s">
        <v>21</v>
      </c>
      <c r="I584" s="5" t="s">
        <v>1521</v>
      </c>
      <c r="J584" s="12" t="str">
        <f>HYPERLINK("https://www.boe.es/gazeta/dias/1800/09/05/pdfs/GMD-1800-72.pdf#page=2","Abrir facsímil")</f>
        <v>Abrir facsímil</v>
      </c>
      <c r="K584" s="15" t="s">
        <v>23</v>
      </c>
    </row>
    <row r="585" spans="1:11" ht="42" customHeight="1">
      <c r="A585" s="4" t="s">
        <v>1522</v>
      </c>
      <c r="B585" s="5" t="s">
        <v>1523</v>
      </c>
      <c r="C585" s="5" t="s">
        <v>25</v>
      </c>
      <c r="D585" s="5" t="s">
        <v>26</v>
      </c>
      <c r="E585" s="5" t="s">
        <v>1127</v>
      </c>
      <c r="F585" s="9">
        <v>11</v>
      </c>
      <c r="G585" s="9">
        <v>108</v>
      </c>
      <c r="H585" s="5" t="s">
        <v>21</v>
      </c>
      <c r="I585" s="5" t="s">
        <v>1524</v>
      </c>
      <c r="J585" s="12" t="str">
        <f>HYPERLINK("https://www.boe.es/gazeta/dias/1800/02/07/pdfs/GMD-1800-11.pdf#page=8","Abrir facsímil")</f>
        <v>Abrir facsímil</v>
      </c>
      <c r="K585" s="15" t="s">
        <v>23</v>
      </c>
    </row>
    <row r="586" spans="1:11" ht="42" customHeight="1">
      <c r="A586" s="4" t="s">
        <v>1525</v>
      </c>
      <c r="B586" s="5" t="s">
        <v>1525</v>
      </c>
      <c r="C586" s="5" t="s">
        <v>84</v>
      </c>
      <c r="D586" s="5" t="s">
        <v>85</v>
      </c>
      <c r="E586" s="5" t="s">
        <v>135</v>
      </c>
      <c r="F586" s="9">
        <v>73</v>
      </c>
      <c r="G586" s="9">
        <v>818</v>
      </c>
      <c r="H586" s="5" t="s">
        <v>21</v>
      </c>
      <c r="I586" s="5" t="s">
        <v>1526</v>
      </c>
      <c r="J586" s="12" t="str">
        <f>HYPERLINK("https://www.boe.es/gazeta/dias/1800/09/09/pdfs/GMD-1800-73.pdf#page=12","Abrir facsímil")</f>
        <v>Abrir facsímil</v>
      </c>
      <c r="K586" s="15" t="s">
        <v>23</v>
      </c>
    </row>
    <row r="587" spans="1:11" ht="42" customHeight="1">
      <c r="A587" s="4" t="s">
        <v>1527</v>
      </c>
      <c r="B587" s="5" t="s">
        <v>1527</v>
      </c>
      <c r="C587" s="5" t="s">
        <v>41</v>
      </c>
      <c r="D587" s="5" t="s">
        <v>42</v>
      </c>
      <c r="E587" s="5" t="s">
        <v>56</v>
      </c>
      <c r="F587" s="9">
        <v>90</v>
      </c>
      <c r="G587" s="9">
        <v>1051</v>
      </c>
      <c r="H587" s="5" t="s">
        <v>21</v>
      </c>
      <c r="I587" s="5" t="s">
        <v>1528</v>
      </c>
      <c r="J587" s="12" t="str">
        <f>HYPERLINK("https://www.boe.es/gazeta/dias/1800/11/07/pdfs/GMD-1800-90.pdf#page=5","Abrir facsímil")</f>
        <v>Abrir facsímil</v>
      </c>
      <c r="K587" s="15" t="s">
        <v>23</v>
      </c>
    </row>
    <row r="588" spans="1:11" ht="42" customHeight="1">
      <c r="A588" s="4" t="s">
        <v>1527</v>
      </c>
      <c r="B588" s="5" t="s">
        <v>1527</v>
      </c>
      <c r="C588" s="5" t="s">
        <v>41</v>
      </c>
      <c r="D588" s="5" t="s">
        <v>42</v>
      </c>
      <c r="E588" s="5" t="s">
        <v>111</v>
      </c>
      <c r="F588" s="9">
        <v>98</v>
      </c>
      <c r="G588" s="9">
        <v>1126</v>
      </c>
      <c r="H588" s="5" t="s">
        <v>21</v>
      </c>
      <c r="I588" s="5" t="s">
        <v>1529</v>
      </c>
      <c r="J588" s="12" t="str">
        <f>HYPERLINK("https://www.boe.es/gazeta/dias/1800/12/05/pdfs/GMD-1800-98.pdf#page=6","Abrir facsímil")</f>
        <v>Abrir facsímil</v>
      </c>
      <c r="K588" s="15" t="s">
        <v>23</v>
      </c>
    </row>
    <row r="589" spans="1:11" ht="42" customHeight="1">
      <c r="A589" s="4" t="s">
        <v>1530</v>
      </c>
      <c r="B589" s="5" t="s">
        <v>1530</v>
      </c>
      <c r="C589" s="5" t="s">
        <v>54</v>
      </c>
      <c r="D589" s="5" t="s">
        <v>55</v>
      </c>
      <c r="E589" s="5" t="s">
        <v>314</v>
      </c>
      <c r="F589" s="9">
        <v>74</v>
      </c>
      <c r="G589" s="9">
        <v>828</v>
      </c>
      <c r="H589" s="5" t="s">
        <v>21</v>
      </c>
      <c r="I589" s="5" t="s">
        <v>1531</v>
      </c>
      <c r="J589" s="12" t="str">
        <f>HYPERLINK("https://www.boe.es/gazeta/dias/1800/09/12/pdfs/GMD-1800-74.pdf#page=6","Abrir facsímil")</f>
        <v>Abrir facsímil</v>
      </c>
      <c r="K589" s="15" t="s">
        <v>23</v>
      </c>
    </row>
    <row r="590" spans="1:11" ht="42" customHeight="1">
      <c r="A590" s="4" t="s">
        <v>1532</v>
      </c>
      <c r="B590" s="5" t="s">
        <v>1533</v>
      </c>
      <c r="C590" s="5" t="s">
        <v>18</v>
      </c>
      <c r="D590" s="5" t="s">
        <v>19</v>
      </c>
      <c r="E590" s="5" t="s">
        <v>60</v>
      </c>
      <c r="F590" s="9">
        <v>105</v>
      </c>
      <c r="G590" s="9">
        <v>1227</v>
      </c>
      <c r="H590" s="5" t="s">
        <v>21</v>
      </c>
      <c r="I590" s="5" t="s">
        <v>1534</v>
      </c>
      <c r="J590" s="12" t="str">
        <f>HYPERLINK("https://www.boe.es/gazeta/dias/1800/12/30/pdfs/GMD-1800-105.pdf#page=11","Abrir facsímil")</f>
        <v>Abrir facsímil</v>
      </c>
      <c r="K590" s="15" t="s">
        <v>23</v>
      </c>
    </row>
    <row r="591" spans="1:11" ht="42" customHeight="1">
      <c r="A591" s="4" t="s">
        <v>1535</v>
      </c>
      <c r="B591" s="5" t="s">
        <v>1536</v>
      </c>
      <c r="C591" s="5" t="s">
        <v>54</v>
      </c>
      <c r="D591" s="5" t="s">
        <v>55</v>
      </c>
      <c r="E591" s="5" t="s">
        <v>27</v>
      </c>
      <c r="F591" s="9">
        <v>65</v>
      </c>
      <c r="G591" s="9">
        <v>733</v>
      </c>
      <c r="H591" s="5" t="s">
        <v>21</v>
      </c>
      <c r="I591" s="5" t="s">
        <v>1537</v>
      </c>
      <c r="J591" s="12" t="str">
        <f>HYPERLINK("https://www.boe.es/gazeta/dias/1800/08/15/pdfs/GMD-1800-65.pdf#page=9","Abrir facsímil")</f>
        <v>Abrir facsímil</v>
      </c>
      <c r="K591" s="15" t="s">
        <v>23</v>
      </c>
    </row>
    <row r="592" spans="1:11" ht="42" customHeight="1">
      <c r="A592" s="4" t="s">
        <v>1538</v>
      </c>
      <c r="B592" s="5" t="s">
        <v>1539</v>
      </c>
      <c r="C592" s="5" t="s">
        <v>84</v>
      </c>
      <c r="D592" s="5" t="s">
        <v>85</v>
      </c>
      <c r="E592" s="5" t="s">
        <v>306</v>
      </c>
      <c r="F592" s="9">
        <v>79</v>
      </c>
      <c r="G592" s="9">
        <v>900</v>
      </c>
      <c r="H592" s="5" t="s">
        <v>21</v>
      </c>
      <c r="I592" s="5" t="s">
        <v>1540</v>
      </c>
      <c r="J592" s="12" t="str">
        <f>HYPERLINK("https://www.boe.es/gazeta/dias/1800/09/30/pdfs/GMD-1800-79.pdf#page=10","Abrir facsímil")</f>
        <v>Abrir facsímil</v>
      </c>
      <c r="K592" s="15" t="s">
        <v>23</v>
      </c>
    </row>
    <row r="593" spans="1:11" ht="42" customHeight="1">
      <c r="A593" s="4" t="s">
        <v>1541</v>
      </c>
      <c r="B593" s="5" t="s">
        <v>1541</v>
      </c>
      <c r="C593" s="5" t="s">
        <v>18</v>
      </c>
      <c r="D593" s="5" t="s">
        <v>19</v>
      </c>
      <c r="E593" s="5" t="s">
        <v>58</v>
      </c>
      <c r="F593" s="9">
        <v>92</v>
      </c>
      <c r="G593" s="9">
        <v>1047</v>
      </c>
      <c r="H593" s="5" t="s">
        <v>21</v>
      </c>
      <c r="I593" s="5" t="s">
        <v>1542</v>
      </c>
      <c r="J593" s="12" t="str">
        <f>HYPERLINK("https://www.boe.es/gazeta/dias/1800/11/14/pdfs/GMD-1800-92.pdf#page=1","Abrir facsímil")</f>
        <v>Abrir facsímil</v>
      </c>
      <c r="K593" s="15" t="s">
        <v>23</v>
      </c>
    </row>
    <row r="594" spans="1:11" ht="42" customHeight="1">
      <c r="A594" s="4" t="s">
        <v>1543</v>
      </c>
      <c r="B594" s="5" t="s">
        <v>1544</v>
      </c>
      <c r="C594" s="5" t="s">
        <v>18</v>
      </c>
      <c r="D594" s="5" t="s">
        <v>19</v>
      </c>
      <c r="E594" s="5" t="s">
        <v>147</v>
      </c>
      <c r="F594" s="9">
        <v>84</v>
      </c>
      <c r="G594" s="9">
        <v>973</v>
      </c>
      <c r="H594" s="5" t="s">
        <v>21</v>
      </c>
      <c r="I594" s="5" t="s">
        <v>1545</v>
      </c>
      <c r="J594" s="12" t="str">
        <f>HYPERLINK("https://www.boe.es/gazeta/dias/1800/10/17/pdfs/GMD-1800-84.pdf#page=7","Abrir facsímil")</f>
        <v>Abrir facsímil</v>
      </c>
      <c r="K594" s="15" t="s">
        <v>23</v>
      </c>
    </row>
    <row r="595" spans="1:11" ht="42" customHeight="1">
      <c r="A595" s="4" t="s">
        <v>1546</v>
      </c>
      <c r="B595" s="5" t="s">
        <v>1547</v>
      </c>
      <c r="C595" s="5" t="s">
        <v>41</v>
      </c>
      <c r="D595" s="5" t="s">
        <v>42</v>
      </c>
      <c r="E595" s="5" t="s">
        <v>283</v>
      </c>
      <c r="F595" s="9">
        <v>68</v>
      </c>
      <c r="G595" s="9">
        <v>757</v>
      </c>
      <c r="H595" s="5" t="s">
        <v>21</v>
      </c>
      <c r="I595" s="5" t="s">
        <v>1548</v>
      </c>
      <c r="J595" s="12" t="str">
        <f>HYPERLINK("https://www.boe.es/gazeta/dias/1800/08/26/pdfs/GMD-1800-68.pdf#page=1","Abrir facsímil")</f>
        <v>Abrir facsímil</v>
      </c>
      <c r="K595" s="15" t="s">
        <v>23</v>
      </c>
    </row>
    <row r="596" spans="1:11" ht="42" customHeight="1">
      <c r="A596" s="4" t="s">
        <v>1549</v>
      </c>
      <c r="B596" s="5" t="s">
        <v>1550</v>
      </c>
      <c r="C596" s="5" t="s">
        <v>54</v>
      </c>
      <c r="D596" s="5" t="s">
        <v>55</v>
      </c>
      <c r="E596" s="5" t="s">
        <v>105</v>
      </c>
      <c r="F596" s="9">
        <v>28</v>
      </c>
      <c r="G596" s="9">
        <v>291</v>
      </c>
      <c r="H596" s="5" t="s">
        <v>21</v>
      </c>
      <c r="I596" s="5" t="s">
        <v>1551</v>
      </c>
      <c r="J596" s="12" t="str">
        <f>HYPERLINK("https://www.boe.es/gazeta/dias/1800/04/08/pdfs/GMD-1800-28.pdf#page=7","Abrir facsímil")</f>
        <v>Abrir facsímil</v>
      </c>
      <c r="K596" s="15" t="s">
        <v>23</v>
      </c>
    </row>
    <row r="597" spans="1:11" ht="42" customHeight="1">
      <c r="A597" s="4" t="s">
        <v>1552</v>
      </c>
      <c r="B597" s="5" t="s">
        <v>1553</v>
      </c>
      <c r="C597" s="5" t="s">
        <v>54</v>
      </c>
      <c r="D597" s="5" t="s">
        <v>55</v>
      </c>
      <c r="E597" s="5" t="s">
        <v>461</v>
      </c>
      <c r="F597" s="9">
        <v>18</v>
      </c>
      <c r="G597" s="9">
        <v>171</v>
      </c>
      <c r="H597" s="5" t="s">
        <v>21</v>
      </c>
      <c r="I597" s="5" t="s">
        <v>1554</v>
      </c>
      <c r="J597" s="12" t="str">
        <f>HYPERLINK("https://www.boe.es/datos/pdfs/BOE//1800/018/C00173-00176.pdf#page=7","Abrir facsímil")</f>
        <v>Abrir facsímil</v>
      </c>
      <c r="K597" s="15" t="s">
        <v>23</v>
      </c>
    </row>
    <row r="598" spans="1:11" ht="42" customHeight="1">
      <c r="A598" s="4" t="s">
        <v>1555</v>
      </c>
      <c r="B598" s="5" t="s">
        <v>1556</v>
      </c>
      <c r="C598" s="5" t="s">
        <v>18</v>
      </c>
      <c r="D598" s="5" t="s">
        <v>19</v>
      </c>
      <c r="E598" s="5" t="s">
        <v>111</v>
      </c>
      <c r="F598" s="9">
        <v>98</v>
      </c>
      <c r="G598" s="9">
        <v>1128</v>
      </c>
      <c r="H598" s="5" t="s">
        <v>21</v>
      </c>
      <c r="I598" s="5" t="s">
        <v>1557</v>
      </c>
      <c r="J598" s="12" t="str">
        <f>HYPERLINK("https://www.boe.es/gazeta/dias/1800/12/05/pdfs/GMD-1800-98.pdf#page=8","Abrir facsímil")</f>
        <v>Abrir facsímil</v>
      </c>
      <c r="K598" s="15" t="s">
        <v>23</v>
      </c>
    </row>
    <row r="599" spans="1:11" ht="42" customHeight="1">
      <c r="A599" s="4" t="s">
        <v>1558</v>
      </c>
      <c r="B599" s="5" t="s">
        <v>1559</v>
      </c>
      <c r="C599" s="5" t="s">
        <v>18</v>
      </c>
      <c r="D599" s="5" t="s">
        <v>19</v>
      </c>
      <c r="E599" s="5" t="s">
        <v>184</v>
      </c>
      <c r="F599" s="9">
        <v>82</v>
      </c>
      <c r="G599" s="9">
        <v>951</v>
      </c>
      <c r="H599" s="5" t="s">
        <v>21</v>
      </c>
      <c r="I599" s="5" t="s">
        <v>1560</v>
      </c>
      <c r="J599" s="12" t="str">
        <f>HYPERLINK("https://www.boe.es/gazeta/dias/1800/10/10/pdfs/GMD-1800-82.pdf#page=9","Abrir facsímil")</f>
        <v>Abrir facsímil</v>
      </c>
      <c r="K599" s="15" t="s">
        <v>23</v>
      </c>
    </row>
    <row r="600" spans="1:11" ht="42" customHeight="1">
      <c r="A600" s="4" t="s">
        <v>1561</v>
      </c>
      <c r="B600" s="5" t="s">
        <v>1561</v>
      </c>
      <c r="C600" s="5" t="s">
        <v>41</v>
      </c>
      <c r="D600" s="5" t="s">
        <v>42</v>
      </c>
      <c r="E600" s="5" t="s">
        <v>465</v>
      </c>
      <c r="F600" s="9">
        <v>49</v>
      </c>
      <c r="G600" s="9">
        <v>529</v>
      </c>
      <c r="H600" s="5" t="s">
        <v>21</v>
      </c>
      <c r="I600" s="5" t="s">
        <v>1562</v>
      </c>
      <c r="J600" s="12" t="str">
        <f>HYPERLINK("https://www.boe.es/gazeta/dias/1800/06/20/pdfs/GMD-1800-49.pdf#page=5","Abrir facsímil")</f>
        <v>Abrir facsímil</v>
      </c>
      <c r="K600" s="15" t="s">
        <v>23</v>
      </c>
    </row>
    <row r="601" spans="1:11" ht="42" customHeight="1">
      <c r="A601" s="4" t="s">
        <v>1563</v>
      </c>
      <c r="B601" s="5" t="s">
        <v>1563</v>
      </c>
      <c r="C601" s="5" t="s">
        <v>18</v>
      </c>
      <c r="D601" s="5" t="s">
        <v>19</v>
      </c>
      <c r="E601" s="5" t="s">
        <v>154</v>
      </c>
      <c r="F601" s="9">
        <v>61</v>
      </c>
      <c r="G601" s="9">
        <v>694</v>
      </c>
      <c r="H601" s="5" t="s">
        <v>21</v>
      </c>
      <c r="I601" s="5" t="s">
        <v>1564</v>
      </c>
      <c r="J601" s="12" t="str">
        <f>HYPERLINK("https://www.boe.es/gazeta/dias/1800/08/01/pdfs/GMD-1800-61.pdf#page=6","Abrir facsímil")</f>
        <v>Abrir facsímil</v>
      </c>
      <c r="K601" s="15" t="s">
        <v>23</v>
      </c>
    </row>
    <row r="602" spans="1:11" ht="42" customHeight="1">
      <c r="A602" s="4" t="s">
        <v>1565</v>
      </c>
      <c r="B602" s="5" t="s">
        <v>1566</v>
      </c>
      <c r="C602" s="5" t="s">
        <v>18</v>
      </c>
      <c r="D602" s="5" t="s">
        <v>19</v>
      </c>
      <c r="E602" s="5" t="s">
        <v>583</v>
      </c>
      <c r="F602" s="9">
        <v>77</v>
      </c>
      <c r="G602" s="9">
        <v>879</v>
      </c>
      <c r="H602" s="5" t="s">
        <v>21</v>
      </c>
      <c r="I602" s="5" t="s">
        <v>1567</v>
      </c>
      <c r="J602" s="12" t="str">
        <f>HYPERLINK("https://www.boe.es/gazeta/dias/1800/09/23/pdfs/GMD-1800-77.pdf#page=9","Abrir facsímil")</f>
        <v>Abrir facsímil</v>
      </c>
      <c r="K602" s="15" t="s">
        <v>23</v>
      </c>
    </row>
    <row r="603" spans="1:11" ht="42" customHeight="1">
      <c r="A603" s="4" t="s">
        <v>1568</v>
      </c>
      <c r="B603" s="5" t="s">
        <v>1569</v>
      </c>
      <c r="C603" s="5" t="s">
        <v>1179</v>
      </c>
      <c r="D603" s="5" t="s">
        <v>1180</v>
      </c>
      <c r="E603" s="5" t="s">
        <v>314</v>
      </c>
      <c r="F603" s="9">
        <v>74</v>
      </c>
      <c r="G603" s="9">
        <v>842</v>
      </c>
      <c r="H603" s="5" t="s">
        <v>21</v>
      </c>
      <c r="I603" s="5" t="s">
        <v>1570</v>
      </c>
      <c r="J603" s="12" t="str">
        <f>HYPERLINK("https://www.boe.es/gazeta/dias/1800/09/12/pdfs/GMD-C-1800-74.pdf#page=4","Abrir facsímil")</f>
        <v>Abrir facsímil</v>
      </c>
      <c r="K603" s="15" t="s">
        <v>23</v>
      </c>
    </row>
    <row r="604" spans="1:11" ht="42" customHeight="1">
      <c r="A604" s="4" t="s">
        <v>1571</v>
      </c>
      <c r="B604" s="5" t="s">
        <v>1572</v>
      </c>
      <c r="C604" s="5" t="s">
        <v>207</v>
      </c>
      <c r="D604" s="5" t="s">
        <v>55</v>
      </c>
      <c r="E604" s="5" t="s">
        <v>329</v>
      </c>
      <c r="F604" s="9">
        <v>99</v>
      </c>
      <c r="G604" s="9">
        <v>1138</v>
      </c>
      <c r="H604" s="5" t="s">
        <v>21</v>
      </c>
      <c r="I604" s="5" t="s">
        <v>1573</v>
      </c>
      <c r="J604" s="12" t="str">
        <f>HYPERLINK("https://www.boe.es/gazeta/dias/1800/12/09/pdfs/GMD-1800-99.pdf#page=6","Abrir facsímil")</f>
        <v>Abrir facsímil</v>
      </c>
      <c r="K604" s="15" t="s">
        <v>23</v>
      </c>
    </row>
    <row r="605" spans="1:11" ht="42" customHeight="1">
      <c r="A605" s="4" t="s">
        <v>1574</v>
      </c>
      <c r="B605" s="5" t="s">
        <v>1575</v>
      </c>
      <c r="C605" s="5" t="s">
        <v>41</v>
      </c>
      <c r="D605" s="5" t="s">
        <v>42</v>
      </c>
      <c r="E605" s="5" t="s">
        <v>478</v>
      </c>
      <c r="F605" s="9">
        <v>34</v>
      </c>
      <c r="G605" s="9">
        <v>342</v>
      </c>
      <c r="H605" s="5" t="s">
        <v>21</v>
      </c>
      <c r="I605" s="5" t="s">
        <v>1576</v>
      </c>
      <c r="J605" s="12" t="str">
        <f>HYPERLINK("https://www.boe.es/gazeta/dias/1800/04/29/pdfs/GMD-1800-34.pdf#page=6","Abrir facsímil")</f>
        <v>Abrir facsímil</v>
      </c>
      <c r="K605" s="15" t="s">
        <v>23</v>
      </c>
    </row>
    <row r="606" spans="1:11" ht="42" customHeight="1">
      <c r="A606" s="4" t="s">
        <v>1577</v>
      </c>
      <c r="B606" s="5" t="s">
        <v>1578</v>
      </c>
      <c r="C606" s="5" t="s">
        <v>18</v>
      </c>
      <c r="D606" s="5" t="s">
        <v>19</v>
      </c>
      <c r="E606" s="5" t="s">
        <v>56</v>
      </c>
      <c r="F606" s="9">
        <v>90</v>
      </c>
      <c r="G606" s="9">
        <v>1056</v>
      </c>
      <c r="H606" s="5" t="s">
        <v>21</v>
      </c>
      <c r="I606" s="5" t="s">
        <v>1579</v>
      </c>
      <c r="J606" s="12" t="str">
        <f>HYPERLINK("https://www.boe.es/gazeta/dias/1800/11/07/pdfs/GMD-1800-90.pdf#page=10","Abrir facsímil")</f>
        <v>Abrir facsímil</v>
      </c>
      <c r="K606" s="15" t="s">
        <v>23</v>
      </c>
    </row>
    <row r="607" spans="1:11" ht="42" customHeight="1">
      <c r="A607" s="4" t="s">
        <v>1580</v>
      </c>
      <c r="B607" s="5" t="s">
        <v>1581</v>
      </c>
      <c r="C607" s="5" t="s">
        <v>18</v>
      </c>
      <c r="D607" s="5" t="s">
        <v>19</v>
      </c>
      <c r="E607" s="5" t="s">
        <v>461</v>
      </c>
      <c r="F607" s="9">
        <v>18</v>
      </c>
      <c r="G607" s="9">
        <v>170</v>
      </c>
      <c r="H607" s="5" t="s">
        <v>21</v>
      </c>
      <c r="I607" s="5" t="s">
        <v>1582</v>
      </c>
      <c r="J607" s="12" t="str">
        <f>HYPERLINK("https://www.boe.es/datos/pdfs/BOE//1800/018/C00173-00176.pdf#page=6","Abrir facsímil")</f>
        <v>Abrir facsímil</v>
      </c>
      <c r="K607" s="15" t="s">
        <v>23</v>
      </c>
    </row>
    <row r="608" spans="1:11" ht="42" customHeight="1">
      <c r="A608" s="4" t="s">
        <v>1580</v>
      </c>
      <c r="B608" s="5" t="s">
        <v>1581</v>
      </c>
      <c r="C608" s="5" t="s">
        <v>207</v>
      </c>
      <c r="D608" s="5" t="s">
        <v>55</v>
      </c>
      <c r="E608" s="5" t="s">
        <v>64</v>
      </c>
      <c r="F608" s="9">
        <v>54</v>
      </c>
      <c r="G608" s="9">
        <v>607</v>
      </c>
      <c r="H608" s="5" t="s">
        <v>21</v>
      </c>
      <c r="I608" s="5" t="s">
        <v>1583</v>
      </c>
      <c r="J608" s="12" t="str">
        <f>HYPERLINK("https://www.boe.es/gazeta/dias/1800/07/08/pdfs/GMD-1800-54.pdf#page=11","Abrir facsímil")</f>
        <v>Abrir facsímil</v>
      </c>
      <c r="K608" s="15" t="s">
        <v>23</v>
      </c>
    </row>
    <row r="609" spans="1:11" ht="42" customHeight="1">
      <c r="A609" s="4" t="s">
        <v>1580</v>
      </c>
      <c r="B609" s="5" t="s">
        <v>1581</v>
      </c>
      <c r="C609" s="5" t="s">
        <v>18</v>
      </c>
      <c r="D609" s="5" t="s">
        <v>19</v>
      </c>
      <c r="E609" s="5" t="s">
        <v>310</v>
      </c>
      <c r="F609" s="9">
        <v>56</v>
      </c>
      <c r="G609" s="9">
        <v>633</v>
      </c>
      <c r="H609" s="5" t="s">
        <v>21</v>
      </c>
      <c r="I609" s="5" t="s">
        <v>1584</v>
      </c>
      <c r="J609" s="12" t="str">
        <f>HYPERLINK("https://www.boe.es/gazeta/dias/1800/07/15/pdfs/GMD-1800-56.pdf#page=9","Abrir facsímil")</f>
        <v>Abrir facsímil</v>
      </c>
      <c r="K609" s="15" t="s">
        <v>23</v>
      </c>
    </row>
    <row r="610" spans="1:11" ht="42" customHeight="1">
      <c r="A610" s="4" t="s">
        <v>1580</v>
      </c>
      <c r="B610" s="5" t="s">
        <v>1581</v>
      </c>
      <c r="C610" s="5" t="s">
        <v>18</v>
      </c>
      <c r="D610" s="5" t="s">
        <v>19</v>
      </c>
      <c r="E610" s="5" t="s">
        <v>314</v>
      </c>
      <c r="F610" s="9">
        <v>74</v>
      </c>
      <c r="G610" s="9">
        <v>833</v>
      </c>
      <c r="H610" s="5" t="s">
        <v>21</v>
      </c>
      <c r="I610" s="5" t="s">
        <v>1585</v>
      </c>
      <c r="J610" s="12" t="str">
        <f>HYPERLINK("https://www.boe.es/gazeta/dias/1800/09/12/pdfs/GMD-1800-74.pdf#page=11","Abrir facsímil")</f>
        <v>Abrir facsímil</v>
      </c>
      <c r="K610" s="15" t="s">
        <v>23</v>
      </c>
    </row>
    <row r="611" spans="1:11" ht="42" customHeight="1">
      <c r="A611" s="4" t="s">
        <v>1580</v>
      </c>
      <c r="B611" s="5" t="s">
        <v>1581</v>
      </c>
      <c r="C611" s="5" t="s">
        <v>18</v>
      </c>
      <c r="D611" s="5" t="s">
        <v>19</v>
      </c>
      <c r="E611" s="5" t="s">
        <v>534</v>
      </c>
      <c r="F611" s="9">
        <v>100</v>
      </c>
      <c r="G611" s="9">
        <v>1160</v>
      </c>
      <c r="H611" s="5" t="s">
        <v>21</v>
      </c>
      <c r="I611" s="5" t="s">
        <v>1586</v>
      </c>
      <c r="J611" s="12" t="str">
        <f>HYPERLINK("https://www.boe.es/gazeta/dias/1800/12/12/pdfs/GMD-1800-100.pdf#page=12","Abrir facsímil")</f>
        <v>Abrir facsímil</v>
      </c>
      <c r="K611" s="15" t="s">
        <v>23</v>
      </c>
    </row>
    <row r="612" spans="1:11" ht="42" customHeight="1">
      <c r="A612" s="4" t="s">
        <v>1587</v>
      </c>
      <c r="B612" s="5" t="s">
        <v>1588</v>
      </c>
      <c r="C612" s="5" t="s">
        <v>18</v>
      </c>
      <c r="D612" s="5" t="s">
        <v>19</v>
      </c>
      <c r="E612" s="5" t="s">
        <v>31</v>
      </c>
      <c r="F612" s="9">
        <v>20</v>
      </c>
      <c r="G612" s="9">
        <v>192</v>
      </c>
      <c r="H612" s="5" t="s">
        <v>21</v>
      </c>
      <c r="I612" s="5" t="s">
        <v>1589</v>
      </c>
      <c r="J612" s="12" t="str">
        <f>HYPERLINK("https://www.boe.es/gazeta/dias/1800/03/11/pdfs/GMD-1800-20.pdf#page=8","Abrir facsímil")</f>
        <v>Abrir facsímil</v>
      </c>
      <c r="K612" s="15" t="s">
        <v>23</v>
      </c>
    </row>
    <row r="613" spans="1:11" ht="42" customHeight="1">
      <c r="A613" s="4" t="s">
        <v>1590</v>
      </c>
      <c r="B613" s="5" t="s">
        <v>1591</v>
      </c>
      <c r="C613" s="5" t="s">
        <v>18</v>
      </c>
      <c r="D613" s="5" t="s">
        <v>19</v>
      </c>
      <c r="E613" s="5" t="s">
        <v>356</v>
      </c>
      <c r="F613" s="9">
        <v>31</v>
      </c>
      <c r="G613" s="9">
        <v>315</v>
      </c>
      <c r="H613" s="5" t="s">
        <v>21</v>
      </c>
      <c r="I613" s="5" t="s">
        <v>1592</v>
      </c>
      <c r="J613" s="12" t="str">
        <f>HYPERLINK("https://www.boe.es/gazeta/dias/1800/04/18/pdfs/GMD-1800-31.pdf#page=7","Abrir facsímil")</f>
        <v>Abrir facsímil</v>
      </c>
      <c r="K613" s="15" t="s">
        <v>23</v>
      </c>
    </row>
    <row r="614" spans="1:11" ht="42" customHeight="1">
      <c r="A614" s="4" t="s">
        <v>1590</v>
      </c>
      <c r="B614" s="5" t="s">
        <v>1591</v>
      </c>
      <c r="C614" s="5" t="s">
        <v>207</v>
      </c>
      <c r="D614" s="5" t="s">
        <v>55</v>
      </c>
      <c r="E614" s="5" t="s">
        <v>64</v>
      </c>
      <c r="F614" s="9">
        <v>54</v>
      </c>
      <c r="G614" s="9">
        <v>607</v>
      </c>
      <c r="H614" s="5" t="s">
        <v>21</v>
      </c>
      <c r="I614" s="5" t="s">
        <v>1593</v>
      </c>
      <c r="J614" s="12" t="str">
        <f>HYPERLINK("https://www.boe.es/gazeta/dias/1800/07/08/pdfs/GMD-1800-54.pdf#page=11","Abrir facsímil")</f>
        <v>Abrir facsímil</v>
      </c>
      <c r="K614" s="15" t="s">
        <v>23</v>
      </c>
    </row>
    <row r="615" spans="1:11" ht="42" customHeight="1">
      <c r="A615" s="4" t="s">
        <v>1594</v>
      </c>
      <c r="B615" s="5" t="s">
        <v>1595</v>
      </c>
      <c r="C615" s="5" t="s">
        <v>207</v>
      </c>
      <c r="D615" s="5" t="s">
        <v>55</v>
      </c>
      <c r="E615" s="5" t="s">
        <v>64</v>
      </c>
      <c r="F615" s="9">
        <v>54</v>
      </c>
      <c r="G615" s="9">
        <v>607</v>
      </c>
      <c r="H615" s="5" t="s">
        <v>21</v>
      </c>
      <c r="I615" s="5" t="s">
        <v>1596</v>
      </c>
      <c r="J615" s="12" t="str">
        <f>HYPERLINK("https://www.boe.es/gazeta/dias/1800/07/08/pdfs/GMD-1800-54.pdf#page=11","Abrir facsímil")</f>
        <v>Abrir facsímil</v>
      </c>
      <c r="K615" s="15" t="s">
        <v>23</v>
      </c>
    </row>
    <row r="616" spans="1:11" ht="42" customHeight="1">
      <c r="A616" s="4" t="s">
        <v>1597</v>
      </c>
      <c r="B616" s="5" t="s">
        <v>1598</v>
      </c>
      <c r="C616" s="5" t="s">
        <v>207</v>
      </c>
      <c r="D616" s="5" t="s">
        <v>55</v>
      </c>
      <c r="E616" s="5" t="s">
        <v>420</v>
      </c>
      <c r="F616" s="9">
        <v>38</v>
      </c>
      <c r="G616" s="9">
        <v>387</v>
      </c>
      <c r="H616" s="5" t="s">
        <v>21</v>
      </c>
      <c r="I616" s="5" t="s">
        <v>1599</v>
      </c>
      <c r="J616" s="12" t="str">
        <f>HYPERLINK("https://www.boe.es/gazeta/dias/1800/05/13/pdfs/GMD-1800-38.pdf#page=7","Abrir facsímil")</f>
        <v>Abrir facsímil</v>
      </c>
      <c r="K616" s="15" t="s">
        <v>23</v>
      </c>
    </row>
    <row r="617" spans="1:11" ht="42" customHeight="1">
      <c r="A617" s="4" t="s">
        <v>1597</v>
      </c>
      <c r="B617" s="5" t="s">
        <v>1598</v>
      </c>
      <c r="C617" s="5" t="s">
        <v>207</v>
      </c>
      <c r="D617" s="5" t="s">
        <v>55</v>
      </c>
      <c r="E617" s="5" t="s">
        <v>43</v>
      </c>
      <c r="F617" s="9">
        <v>46</v>
      </c>
      <c r="G617" s="9">
        <v>487</v>
      </c>
      <c r="H617" s="5" t="s">
        <v>21</v>
      </c>
      <c r="I617" s="5" t="s">
        <v>1600</v>
      </c>
      <c r="J617" s="12" t="str">
        <f>HYPERLINK("https://www.boe.es/gazeta/dias/1800/06/10/pdfs/GMD-1800-46.pdf#page=11","Abrir facsímil")</f>
        <v>Abrir facsímil</v>
      </c>
      <c r="K617" s="15" t="s">
        <v>23</v>
      </c>
    </row>
    <row r="618" spans="1:11" ht="42" customHeight="1">
      <c r="A618" s="4" t="s">
        <v>1601</v>
      </c>
      <c r="B618" s="5" t="s">
        <v>1602</v>
      </c>
      <c r="C618" s="5" t="s">
        <v>41</v>
      </c>
      <c r="D618" s="5" t="s">
        <v>42</v>
      </c>
      <c r="E618" s="5" t="s">
        <v>262</v>
      </c>
      <c r="F618" s="9">
        <v>39</v>
      </c>
      <c r="G618" s="9">
        <v>396</v>
      </c>
      <c r="H618" s="5" t="s">
        <v>21</v>
      </c>
      <c r="I618" s="5" t="s">
        <v>1603</v>
      </c>
      <c r="J618" s="12" t="str">
        <f>HYPERLINK("https://www.boe.es/gazeta/dias/1800/05/16/pdfs/GMD-1800-39.pdf#page=4","Abrir facsímil")</f>
        <v>Abrir facsímil</v>
      </c>
      <c r="K618" s="15" t="s">
        <v>23</v>
      </c>
    </row>
    <row r="619" spans="1:11" ht="42" customHeight="1">
      <c r="A619" s="4" t="s">
        <v>1604</v>
      </c>
      <c r="B619" s="5" t="s">
        <v>1605</v>
      </c>
      <c r="C619" s="5" t="s">
        <v>18</v>
      </c>
      <c r="D619" s="5" t="s">
        <v>19</v>
      </c>
      <c r="E619" s="5" t="s">
        <v>314</v>
      </c>
      <c r="F619" s="9">
        <v>74</v>
      </c>
      <c r="G619" s="9">
        <v>829</v>
      </c>
      <c r="H619" s="5" t="s">
        <v>21</v>
      </c>
      <c r="I619" s="5" t="s">
        <v>1606</v>
      </c>
      <c r="J619" s="12" t="str">
        <f>HYPERLINK("https://www.boe.es/gazeta/dias/1800/09/12/pdfs/GMD-1800-74.pdf#page=7","Abrir facsímil")</f>
        <v>Abrir facsímil</v>
      </c>
      <c r="K619" s="15" t="s">
        <v>23</v>
      </c>
    </row>
    <row r="620" spans="1:11" ht="42" customHeight="1">
      <c r="A620" s="4" t="s">
        <v>1607</v>
      </c>
      <c r="B620" s="5" t="s">
        <v>1607</v>
      </c>
      <c r="C620" s="5" t="s">
        <v>41</v>
      </c>
      <c r="D620" s="5" t="s">
        <v>42</v>
      </c>
      <c r="E620" s="5" t="s">
        <v>595</v>
      </c>
      <c r="F620" s="9">
        <v>72</v>
      </c>
      <c r="G620" s="9">
        <v>791</v>
      </c>
      <c r="H620" s="5" t="s">
        <v>21</v>
      </c>
      <c r="I620" s="5" t="s">
        <v>1608</v>
      </c>
      <c r="J620" s="12" t="str">
        <f>HYPERLINK("https://www.boe.es/gazeta/dias/1800/09/05/pdfs/GMD-1800-72.pdf#page=1","Abrir facsímil")</f>
        <v>Abrir facsímil</v>
      </c>
      <c r="K620" s="15" t="s">
        <v>23</v>
      </c>
    </row>
    <row r="621" spans="1:11" ht="42" customHeight="1">
      <c r="A621" s="4" t="s">
        <v>1609</v>
      </c>
      <c r="B621" s="5" t="s">
        <v>1610</v>
      </c>
      <c r="C621" s="5" t="s">
        <v>18</v>
      </c>
      <c r="D621" s="5" t="s">
        <v>19</v>
      </c>
      <c r="E621" s="5" t="s">
        <v>190</v>
      </c>
      <c r="F621" s="9">
        <v>93</v>
      </c>
      <c r="G621" s="9">
        <v>1058</v>
      </c>
      <c r="H621" s="5" t="s">
        <v>21</v>
      </c>
      <c r="I621" s="5" t="s">
        <v>1611</v>
      </c>
      <c r="J621" s="12" t="str">
        <f>HYPERLINK("https://www.boe.es/gazeta/dias/1800/11/18/pdfs/GMD-1800-93.pdf#page=4","Abrir facsímil")</f>
        <v>Abrir facsímil</v>
      </c>
      <c r="K621" s="15" t="s">
        <v>23</v>
      </c>
    </row>
    <row r="622" spans="1:11" ht="42" customHeight="1">
      <c r="A622" s="4" t="s">
        <v>1612</v>
      </c>
      <c r="B622" s="5" t="s">
        <v>1613</v>
      </c>
      <c r="C622" s="5" t="s">
        <v>207</v>
      </c>
      <c r="D622" s="5" t="s">
        <v>55</v>
      </c>
      <c r="E622" s="5" t="s">
        <v>306</v>
      </c>
      <c r="F622" s="9">
        <v>79</v>
      </c>
      <c r="G622" s="9">
        <v>899</v>
      </c>
      <c r="H622" s="5" t="s">
        <v>21</v>
      </c>
      <c r="I622" s="5" t="s">
        <v>1614</v>
      </c>
      <c r="J622" s="12" t="str">
        <f>HYPERLINK("https://www.boe.es/gazeta/dias/1800/09/30/pdfs/GMD-1800-79.pdf#page=9","Abrir facsímil")</f>
        <v>Abrir facsímil</v>
      </c>
      <c r="K622" s="15" t="s">
        <v>23</v>
      </c>
    </row>
    <row r="623" spans="1:11" ht="42" customHeight="1">
      <c r="A623" s="4" t="s">
        <v>1615</v>
      </c>
      <c r="B623" s="5" t="s">
        <v>1616</v>
      </c>
      <c r="C623" s="5" t="s">
        <v>25</v>
      </c>
      <c r="D623" s="5" t="s">
        <v>26</v>
      </c>
      <c r="E623" s="5" t="s">
        <v>31</v>
      </c>
      <c r="F623" s="9">
        <v>20</v>
      </c>
      <c r="G623" s="9">
        <v>194</v>
      </c>
      <c r="H623" s="5" t="s">
        <v>21</v>
      </c>
      <c r="I623" s="5" t="s">
        <v>1617</v>
      </c>
      <c r="J623" s="12" t="str">
        <f>HYPERLINK("https://www.boe.es/gazeta/dias/1800/03/11/pdfs/GMD-1800-20.pdf#page=10","Abrir facsímil")</f>
        <v>Abrir facsímil</v>
      </c>
      <c r="K623" s="15" t="s">
        <v>23</v>
      </c>
    </row>
    <row r="624" spans="1:11" ht="42" customHeight="1">
      <c r="A624" s="4" t="s">
        <v>1618</v>
      </c>
      <c r="B624" s="5" t="s">
        <v>1619</v>
      </c>
      <c r="C624" s="5" t="s">
        <v>18</v>
      </c>
      <c r="D624" s="5" t="s">
        <v>19</v>
      </c>
      <c r="E624" s="5" t="s">
        <v>35</v>
      </c>
      <c r="F624" s="9">
        <v>21</v>
      </c>
      <c r="G624" s="9">
        <v>206</v>
      </c>
      <c r="H624" s="5" t="s">
        <v>21</v>
      </c>
      <c r="I624" s="5" t="s">
        <v>1620</v>
      </c>
      <c r="J624" s="12" t="str">
        <f>HYPERLINK("https://www.boe.es/gazeta/dias/1800/03/14/pdfs/GMD-1800-21.pdf#page=10","Abrir facsímil")</f>
        <v>Abrir facsímil</v>
      </c>
      <c r="K624" s="15" t="s">
        <v>23</v>
      </c>
    </row>
    <row r="625" spans="1:11" ht="42" customHeight="1">
      <c r="A625" s="4" t="s">
        <v>1621</v>
      </c>
      <c r="B625" s="5" t="s">
        <v>1622</v>
      </c>
      <c r="C625" s="5" t="s">
        <v>18</v>
      </c>
      <c r="D625" s="5" t="s">
        <v>19</v>
      </c>
      <c r="E625" s="5" t="s">
        <v>240</v>
      </c>
      <c r="F625" s="9">
        <v>26</v>
      </c>
      <c r="G625" s="9">
        <v>269</v>
      </c>
      <c r="H625" s="5" t="s">
        <v>21</v>
      </c>
      <c r="I625" s="5" t="s">
        <v>1623</v>
      </c>
      <c r="J625" s="12" t="str">
        <f>HYPERLINK("https://www.boe.es/gazeta/dias/1800/04/01/pdfs/GMD-1800-26.pdf#page=9","Abrir facsímil")</f>
        <v>Abrir facsímil</v>
      </c>
      <c r="K625" s="15" t="s">
        <v>23</v>
      </c>
    </row>
    <row r="626" spans="1:11" ht="42" customHeight="1">
      <c r="A626" s="4" t="s">
        <v>1624</v>
      </c>
      <c r="B626" s="5" t="s">
        <v>1625</v>
      </c>
      <c r="C626" s="5" t="s">
        <v>207</v>
      </c>
      <c r="D626" s="5" t="s">
        <v>55</v>
      </c>
      <c r="E626" s="5" t="s">
        <v>176</v>
      </c>
      <c r="F626" s="9">
        <v>88</v>
      </c>
      <c r="G626" s="9">
        <v>1030</v>
      </c>
      <c r="H626" s="5" t="s">
        <v>21</v>
      </c>
      <c r="I626" s="5" t="s">
        <v>1626</v>
      </c>
      <c r="J626" s="12" t="str">
        <f>HYPERLINK("https://www.boe.es/gazeta/dias/1800/10/31/pdfs/GMD-1800-88.pdf#page=12","Abrir facsímil")</f>
        <v>Abrir facsímil</v>
      </c>
      <c r="K626" s="15" t="s">
        <v>23</v>
      </c>
    </row>
    <row r="627" spans="1:11" ht="42" customHeight="1">
      <c r="A627" s="4" t="s">
        <v>1627</v>
      </c>
      <c r="B627" s="5" t="s">
        <v>1627</v>
      </c>
      <c r="C627" s="5" t="s">
        <v>41</v>
      </c>
      <c r="D627" s="5" t="s">
        <v>42</v>
      </c>
      <c r="E627" s="5" t="s">
        <v>88</v>
      </c>
      <c r="F627" s="9">
        <v>23</v>
      </c>
      <c r="G627" s="9">
        <v>231</v>
      </c>
      <c r="H627" s="5" t="s">
        <v>21</v>
      </c>
      <c r="I627" s="5" t="s">
        <v>1628</v>
      </c>
      <c r="J627" s="12" t="str">
        <f>HYPERLINK("https://www.boe.es/gazeta/dias/1800/03/21/pdfs/GMD-1800-23.pdf#page=7","Abrir facsímil")</f>
        <v>Abrir facsímil</v>
      </c>
      <c r="K627" s="15" t="s">
        <v>23</v>
      </c>
    </row>
    <row r="628" spans="1:11" ht="42" customHeight="1">
      <c r="A628" s="4" t="s">
        <v>1629</v>
      </c>
      <c r="B628" s="5" t="s">
        <v>1629</v>
      </c>
      <c r="C628" s="5" t="s">
        <v>18</v>
      </c>
      <c r="D628" s="5" t="s">
        <v>19</v>
      </c>
      <c r="E628" s="5" t="s">
        <v>843</v>
      </c>
      <c r="F628" s="9">
        <v>78</v>
      </c>
      <c r="G628" s="9">
        <v>887</v>
      </c>
      <c r="H628" s="5" t="s">
        <v>21</v>
      </c>
      <c r="I628" s="5" t="s">
        <v>1630</v>
      </c>
      <c r="J628" s="12" t="str">
        <f>HYPERLINK("https://www.boe.es/gazeta/dias/1800/09/26/pdfs/GMD-1800-78.pdf#page=5","Abrir facsímil")</f>
        <v>Abrir facsímil</v>
      </c>
      <c r="K628" s="15" t="s">
        <v>23</v>
      </c>
    </row>
    <row r="629" spans="1:11" ht="42" customHeight="1">
      <c r="A629" s="4" t="s">
        <v>1629</v>
      </c>
      <c r="B629" s="5" t="s">
        <v>1629</v>
      </c>
      <c r="C629" s="5" t="s">
        <v>18</v>
      </c>
      <c r="D629" s="5" t="s">
        <v>19</v>
      </c>
      <c r="E629" s="5" t="s">
        <v>402</v>
      </c>
      <c r="F629" s="9">
        <v>101</v>
      </c>
      <c r="G629" s="9">
        <v>1169</v>
      </c>
      <c r="H629" s="5" t="s">
        <v>21</v>
      </c>
      <c r="I629" s="5" t="s">
        <v>1631</v>
      </c>
      <c r="J629" s="12" t="str">
        <f>HYPERLINK("https://www.boe.es/gazeta/dias/1800/12/16/pdfs/GMD-1800-101.pdf#page=5","Abrir facsímil")</f>
        <v>Abrir facsímil</v>
      </c>
      <c r="K629" s="15" t="s">
        <v>23</v>
      </c>
    </row>
    <row r="630" spans="1:11" ht="42" customHeight="1">
      <c r="A630" s="4" t="s">
        <v>1632</v>
      </c>
      <c r="B630" s="5" t="s">
        <v>1633</v>
      </c>
      <c r="C630" s="5" t="s">
        <v>114</v>
      </c>
      <c r="D630" s="5" t="s">
        <v>115</v>
      </c>
      <c r="E630" s="5" t="s">
        <v>116</v>
      </c>
      <c r="F630" s="9">
        <v>86</v>
      </c>
      <c r="G630" s="9" t="s">
        <v>1501</v>
      </c>
      <c r="H630" s="5" t="s">
        <v>21</v>
      </c>
      <c r="I630" s="5" t="s">
        <v>1634</v>
      </c>
      <c r="J630" s="12" t="str">
        <f>HYPERLINK("https://www.boe.es/gazeta/dias/1800/10/24/pdfs/GMD-D-1800-86.pdf#page=2","Abrir facsímil")</f>
        <v>Abrir facsímil</v>
      </c>
      <c r="K630" s="15" t="s">
        <v>23</v>
      </c>
    </row>
    <row r="631" spans="1:11" ht="42" customHeight="1">
      <c r="A631" s="4" t="s">
        <v>1635</v>
      </c>
      <c r="B631" s="5" t="s">
        <v>1636</v>
      </c>
      <c r="C631" s="5" t="s">
        <v>84</v>
      </c>
      <c r="D631" s="5" t="s">
        <v>85</v>
      </c>
      <c r="E631" s="5" t="s">
        <v>283</v>
      </c>
      <c r="F631" s="9">
        <v>68</v>
      </c>
      <c r="G631" s="9">
        <v>768</v>
      </c>
      <c r="H631" s="5" t="s">
        <v>21</v>
      </c>
      <c r="I631" s="5" t="s">
        <v>1637</v>
      </c>
      <c r="J631" s="12" t="str">
        <f>HYPERLINK("https://www.boe.es/gazeta/dias/1800/08/26/pdfs/GMD-1800-68.pdf#page=12","Abrir facsímil")</f>
        <v>Abrir facsímil</v>
      </c>
      <c r="K631" s="15" t="s">
        <v>23</v>
      </c>
    </row>
    <row r="632" spans="1:11" ht="42" customHeight="1">
      <c r="A632" s="4" t="s">
        <v>1638</v>
      </c>
      <c r="B632" s="5" t="s">
        <v>1639</v>
      </c>
      <c r="C632" s="5" t="s">
        <v>18</v>
      </c>
      <c r="D632" s="5" t="s">
        <v>19</v>
      </c>
      <c r="E632" s="5" t="s">
        <v>31</v>
      </c>
      <c r="F632" s="9">
        <v>20</v>
      </c>
      <c r="G632" s="9">
        <v>192</v>
      </c>
      <c r="H632" s="5" t="s">
        <v>21</v>
      </c>
      <c r="I632" s="5" t="s">
        <v>1640</v>
      </c>
      <c r="J632" s="12" t="str">
        <f>HYPERLINK("https://www.boe.es/gazeta/dias/1800/03/11/pdfs/GMD-1800-20.pdf#page=8","Abrir facsímil")</f>
        <v>Abrir facsímil</v>
      </c>
      <c r="K632" s="15" t="s">
        <v>23</v>
      </c>
    </row>
    <row r="633" spans="1:11" ht="42" customHeight="1">
      <c r="A633" s="4" t="s">
        <v>1641</v>
      </c>
      <c r="B633" s="5" t="s">
        <v>1642</v>
      </c>
      <c r="C633" s="5" t="s">
        <v>18</v>
      </c>
      <c r="D633" s="5" t="s">
        <v>19</v>
      </c>
      <c r="E633" s="5" t="s">
        <v>534</v>
      </c>
      <c r="F633" s="9">
        <v>100</v>
      </c>
      <c r="G633" s="9">
        <v>1160</v>
      </c>
      <c r="H633" s="5" t="s">
        <v>21</v>
      </c>
      <c r="I633" s="5" t="s">
        <v>1643</v>
      </c>
      <c r="J633" s="12" t="str">
        <f>HYPERLINK("https://www.boe.es/gazeta/dias/1800/12/12/pdfs/GMD-1800-100.pdf#page=12","Abrir facsímil")</f>
        <v>Abrir facsímil</v>
      </c>
      <c r="K633" s="15" t="s">
        <v>23</v>
      </c>
    </row>
    <row r="634" spans="1:11" ht="42" customHeight="1">
      <c r="A634" s="4" t="s">
        <v>1644</v>
      </c>
      <c r="B634" s="5" t="s">
        <v>1645</v>
      </c>
      <c r="C634" s="5" t="s">
        <v>18</v>
      </c>
      <c r="D634" s="5" t="s">
        <v>19</v>
      </c>
      <c r="E634" s="5" t="s">
        <v>48</v>
      </c>
      <c r="F634" s="9">
        <v>66</v>
      </c>
      <c r="G634" s="9">
        <v>737</v>
      </c>
      <c r="H634" s="5" t="s">
        <v>21</v>
      </c>
      <c r="I634" s="5" t="s">
        <v>1646</v>
      </c>
      <c r="J634" s="12" t="str">
        <f>HYPERLINK("https://www.boe.es/gazeta/dias/1800/08/19/pdfs/GMD-1800-66.pdf#page=1","Abrir facsímil")</f>
        <v>Abrir facsímil</v>
      </c>
      <c r="K634" s="15" t="s">
        <v>23</v>
      </c>
    </row>
    <row r="635" spans="1:11" ht="42" customHeight="1">
      <c r="A635" s="4" t="s">
        <v>1647</v>
      </c>
      <c r="B635" s="5" t="s">
        <v>1648</v>
      </c>
      <c r="C635" s="5" t="s">
        <v>41</v>
      </c>
      <c r="D635" s="5" t="s">
        <v>42</v>
      </c>
      <c r="E635" s="5" t="s">
        <v>120</v>
      </c>
      <c r="F635" s="9">
        <v>52</v>
      </c>
      <c r="G635" s="9">
        <v>568</v>
      </c>
      <c r="H635" s="5" t="s">
        <v>21</v>
      </c>
      <c r="I635" s="5" t="s">
        <v>1649</v>
      </c>
      <c r="J635" s="12" t="str">
        <f>HYPERLINK("https://www.boe.es/gazeta/dias/1800/07/01/pdfs/GMD-1800-52.pdf#page=4","Abrir facsímil")</f>
        <v>Abrir facsímil</v>
      </c>
      <c r="K635" s="15" t="s">
        <v>23</v>
      </c>
    </row>
    <row r="636" spans="1:11" ht="42" customHeight="1">
      <c r="A636" s="4" t="s">
        <v>1650</v>
      </c>
      <c r="B636" s="5" t="s">
        <v>1651</v>
      </c>
      <c r="C636" s="5" t="s">
        <v>114</v>
      </c>
      <c r="D636" s="5" t="s">
        <v>115</v>
      </c>
      <c r="E636" s="5" t="s">
        <v>116</v>
      </c>
      <c r="F636" s="9">
        <v>86</v>
      </c>
      <c r="G636" s="9" t="s">
        <v>725</v>
      </c>
      <c r="H636" s="5" t="s">
        <v>21</v>
      </c>
      <c r="I636" s="5" t="s">
        <v>1652</v>
      </c>
      <c r="J636" s="12" t="str">
        <f>HYPERLINK("https://www.boe.es/gazeta/dias/1800/10/24/pdfs/GMD-D-1800-86.pdf#page=1","Abrir facsímil")</f>
        <v>Abrir facsímil</v>
      </c>
      <c r="K636" s="15" t="s">
        <v>23</v>
      </c>
    </row>
    <row r="637" spans="1:11" ht="42" customHeight="1">
      <c r="A637" s="4" t="s">
        <v>1653</v>
      </c>
      <c r="B637" s="5" t="s">
        <v>1654</v>
      </c>
      <c r="C637" s="5" t="s">
        <v>114</v>
      </c>
      <c r="D637" s="5" t="s">
        <v>115</v>
      </c>
      <c r="E637" s="5" t="s">
        <v>116</v>
      </c>
      <c r="F637" s="9">
        <v>86</v>
      </c>
      <c r="G637" s="9" t="s">
        <v>991</v>
      </c>
      <c r="H637" s="5" t="s">
        <v>21</v>
      </c>
      <c r="I637" s="5" t="s">
        <v>1655</v>
      </c>
      <c r="J637" s="12" t="str">
        <f>HYPERLINK("https://www.boe.es/gazeta/dias/1800/10/24/pdfs/GMD-D-1800-86.pdf#page=4","Abrir facsímil")</f>
        <v>Abrir facsímil</v>
      </c>
      <c r="K637" s="15" t="s">
        <v>23</v>
      </c>
    </row>
    <row r="638" spans="1:11" ht="42" customHeight="1">
      <c r="A638" s="4" t="s">
        <v>1656</v>
      </c>
      <c r="B638" s="5" t="s">
        <v>1657</v>
      </c>
      <c r="C638" s="5" t="s">
        <v>18</v>
      </c>
      <c r="D638" s="5" t="s">
        <v>19</v>
      </c>
      <c r="E638" s="5" t="s">
        <v>306</v>
      </c>
      <c r="F638" s="9">
        <v>79</v>
      </c>
      <c r="G638" s="9">
        <v>899</v>
      </c>
      <c r="H638" s="5" t="s">
        <v>21</v>
      </c>
      <c r="I638" s="5" t="s">
        <v>1658</v>
      </c>
      <c r="J638" s="12" t="str">
        <f>HYPERLINK("https://www.boe.es/gazeta/dias/1800/09/30/pdfs/GMD-1800-79.pdf#page=9","Abrir facsímil")</f>
        <v>Abrir facsímil</v>
      </c>
      <c r="K638" s="15" t="s">
        <v>23</v>
      </c>
    </row>
    <row r="639" spans="1:11" ht="42" customHeight="1">
      <c r="A639" s="4" t="s">
        <v>1659</v>
      </c>
      <c r="B639" s="5" t="s">
        <v>1660</v>
      </c>
      <c r="C639" s="5" t="s">
        <v>84</v>
      </c>
      <c r="D639" s="5" t="s">
        <v>85</v>
      </c>
      <c r="E639" s="5" t="s">
        <v>406</v>
      </c>
      <c r="F639" s="9">
        <v>44</v>
      </c>
      <c r="G639" s="9">
        <v>464</v>
      </c>
      <c r="H639" s="5" t="s">
        <v>21</v>
      </c>
      <c r="I639" s="5" t="s">
        <v>1661</v>
      </c>
      <c r="J639" s="12" t="str">
        <f>HYPERLINK("https://www.boe.es/gazeta/dias/1800/06/03/pdfs/GMD-1800-44.pdf#page=12","Abrir facsímil")</f>
        <v>Abrir facsímil</v>
      </c>
      <c r="K639" s="15" t="s">
        <v>23</v>
      </c>
    </row>
    <row r="640" spans="1:11" ht="42" customHeight="1">
      <c r="A640" s="4" t="s">
        <v>1662</v>
      </c>
      <c r="B640" s="5" t="s">
        <v>1663</v>
      </c>
      <c r="C640" s="5" t="s">
        <v>84</v>
      </c>
      <c r="D640" s="5" t="s">
        <v>85</v>
      </c>
      <c r="E640" s="5" t="s">
        <v>255</v>
      </c>
      <c r="F640" s="9">
        <v>75</v>
      </c>
      <c r="G640" s="9">
        <v>857</v>
      </c>
      <c r="H640" s="5" t="s">
        <v>21</v>
      </c>
      <c r="I640" s="5" t="s">
        <v>1664</v>
      </c>
      <c r="J640" s="12" t="str">
        <f>HYPERLINK("https://www.boe.es/gazeta/dias/1800/09/16/pdfs/GMD-1800-75.pdf#page=11","Abrir facsímil")</f>
        <v>Abrir facsímil</v>
      </c>
      <c r="K640" s="15" t="s">
        <v>23</v>
      </c>
    </row>
    <row r="641" spans="1:11" ht="42" customHeight="1">
      <c r="A641" s="4" t="s">
        <v>1665</v>
      </c>
      <c r="B641" s="5" t="s">
        <v>1665</v>
      </c>
      <c r="C641" s="5" t="s">
        <v>41</v>
      </c>
      <c r="D641" s="5" t="s">
        <v>42</v>
      </c>
      <c r="E641" s="5" t="s">
        <v>1127</v>
      </c>
      <c r="F641" s="9">
        <v>11</v>
      </c>
      <c r="G641" s="9">
        <v>102</v>
      </c>
      <c r="H641" s="5" t="s">
        <v>21</v>
      </c>
      <c r="I641" s="5" t="s">
        <v>1666</v>
      </c>
      <c r="J641" s="12" t="str">
        <f>HYPERLINK("https://www.boe.es/gazeta/dias/1800/02/07/pdfs/GMD-1800-11.pdf#page=2","Abrir facsímil")</f>
        <v>Abrir facsímil</v>
      </c>
      <c r="K641" s="15" t="s">
        <v>23</v>
      </c>
    </row>
    <row r="642" spans="1:11" ht="42" customHeight="1">
      <c r="A642" s="4" t="s">
        <v>1667</v>
      </c>
      <c r="B642" s="5" t="s">
        <v>1667</v>
      </c>
      <c r="C642" s="5" t="s">
        <v>41</v>
      </c>
      <c r="D642" s="5" t="s">
        <v>42</v>
      </c>
      <c r="E642" s="5" t="s">
        <v>503</v>
      </c>
      <c r="F642" s="9">
        <v>13</v>
      </c>
      <c r="G642" s="9">
        <v>120</v>
      </c>
      <c r="H642" s="5" t="s">
        <v>21</v>
      </c>
      <c r="I642" s="5" t="s">
        <v>1668</v>
      </c>
      <c r="J642" s="12" t="str">
        <f>HYPERLINK("https://www.boe.es/gazeta/dias/1800/02/14/pdfs/GMD-1800-13.pdf#page=4","Abrir facsímil")</f>
        <v>Abrir facsímil</v>
      </c>
      <c r="K642" s="15" t="s">
        <v>23</v>
      </c>
    </row>
    <row r="643" spans="1:11" ht="42" customHeight="1">
      <c r="A643" s="4" t="s">
        <v>1667</v>
      </c>
      <c r="B643" s="5" t="s">
        <v>1667</v>
      </c>
      <c r="C643" s="5" t="s">
        <v>41</v>
      </c>
      <c r="D643" s="5" t="s">
        <v>42</v>
      </c>
      <c r="E643" s="5" t="s">
        <v>461</v>
      </c>
      <c r="F643" s="9">
        <v>18</v>
      </c>
      <c r="G643" s="9">
        <v>166</v>
      </c>
      <c r="H643" s="5" t="s">
        <v>21</v>
      </c>
      <c r="I643" s="5" t="s">
        <v>1669</v>
      </c>
      <c r="J643" s="12" t="str">
        <f>HYPERLINK("https://www.boe.es/datos/pdfs/BOE//1800/018/C00173-00176.pdf#page=2","Abrir facsímil")</f>
        <v>Abrir facsímil</v>
      </c>
      <c r="K643" s="15" t="s">
        <v>23</v>
      </c>
    </row>
    <row r="644" spans="1:11" ht="42" customHeight="1">
      <c r="A644" s="4" t="s">
        <v>1667</v>
      </c>
      <c r="B644" s="5" t="s">
        <v>1667</v>
      </c>
      <c r="C644" s="5" t="s">
        <v>41</v>
      </c>
      <c r="D644" s="5" t="s">
        <v>42</v>
      </c>
      <c r="E644" s="5" t="s">
        <v>346</v>
      </c>
      <c r="F644" s="9">
        <v>24</v>
      </c>
      <c r="G644" s="9">
        <v>241</v>
      </c>
      <c r="H644" s="5" t="s">
        <v>21</v>
      </c>
      <c r="I644" s="5" t="s">
        <v>1670</v>
      </c>
      <c r="J644" s="12" t="str">
        <f>HYPERLINK("https://www.boe.es/gazeta/dias/1800/03/25/pdfs/GMD-1800-24.pdf#page=5","Abrir facsímil")</f>
        <v>Abrir facsímil</v>
      </c>
      <c r="K644" s="15" t="s">
        <v>23</v>
      </c>
    </row>
    <row r="645" spans="1:11" ht="42" customHeight="1">
      <c r="A645" s="4" t="s">
        <v>1671</v>
      </c>
      <c r="B645" s="5" t="s">
        <v>1672</v>
      </c>
      <c r="C645" s="5" t="s">
        <v>41</v>
      </c>
      <c r="D645" s="5" t="s">
        <v>42</v>
      </c>
      <c r="E645" s="5" t="s">
        <v>1433</v>
      </c>
      <c r="F645" s="9">
        <v>12</v>
      </c>
      <c r="G645" s="9">
        <v>110</v>
      </c>
      <c r="H645" s="5" t="s">
        <v>21</v>
      </c>
      <c r="I645" s="5" t="s">
        <v>1673</v>
      </c>
      <c r="J645" s="12" t="str">
        <f>HYPERLINK("https://www.boe.es/gazeta/dias/1800/02/11/pdfs/GMD-1800-12.pdf#page=2","Abrir facsímil")</f>
        <v>Abrir facsímil</v>
      </c>
      <c r="K645" s="15" t="s">
        <v>23</v>
      </c>
    </row>
    <row r="646" spans="1:11" ht="42" customHeight="1">
      <c r="A646" s="4" t="s">
        <v>1671</v>
      </c>
      <c r="B646" s="5" t="s">
        <v>1672</v>
      </c>
      <c r="C646" s="5" t="s">
        <v>41</v>
      </c>
      <c r="D646" s="5" t="s">
        <v>42</v>
      </c>
      <c r="E646" s="5" t="s">
        <v>124</v>
      </c>
      <c r="F646" s="9">
        <v>16</v>
      </c>
      <c r="G646" s="9">
        <v>149</v>
      </c>
      <c r="H646" s="5" t="s">
        <v>21</v>
      </c>
      <c r="I646" s="5" t="s">
        <v>1674</v>
      </c>
      <c r="J646" s="12" t="str">
        <f>HYPERLINK("https://www.boe.es/gazeta/dias/1800/02/25/pdfs/GMD-1800-16.pdf#page=5","Abrir facsímil")</f>
        <v>Abrir facsímil</v>
      </c>
      <c r="K646" s="15" t="s">
        <v>23</v>
      </c>
    </row>
    <row r="647" spans="1:11" ht="42" customHeight="1">
      <c r="A647" s="4" t="s">
        <v>1671</v>
      </c>
      <c r="B647" s="5" t="s">
        <v>1672</v>
      </c>
      <c r="C647" s="5" t="s">
        <v>41</v>
      </c>
      <c r="D647" s="5" t="s">
        <v>42</v>
      </c>
      <c r="E647" s="5" t="s">
        <v>346</v>
      </c>
      <c r="F647" s="9">
        <v>24</v>
      </c>
      <c r="G647" s="9">
        <v>242</v>
      </c>
      <c r="H647" s="5" t="s">
        <v>21</v>
      </c>
      <c r="I647" s="5" t="s">
        <v>1675</v>
      </c>
      <c r="J647" s="12" t="str">
        <f>HYPERLINK("https://www.boe.es/gazeta/dias/1800/03/25/pdfs/GMD-1800-24.pdf#page=6","Abrir facsímil")</f>
        <v>Abrir facsímil</v>
      </c>
      <c r="K647" s="15" t="s">
        <v>23</v>
      </c>
    </row>
    <row r="648" spans="1:11" ht="42" customHeight="1">
      <c r="A648" s="4" t="s">
        <v>1671</v>
      </c>
      <c r="B648" s="5" t="s">
        <v>1672</v>
      </c>
      <c r="C648" s="5" t="s">
        <v>41</v>
      </c>
      <c r="D648" s="5" t="s">
        <v>42</v>
      </c>
      <c r="E648" s="5" t="s">
        <v>105</v>
      </c>
      <c r="F648" s="9">
        <v>28</v>
      </c>
      <c r="G648" s="9">
        <v>288</v>
      </c>
      <c r="H648" s="5" t="s">
        <v>21</v>
      </c>
      <c r="I648" s="5" t="s">
        <v>1676</v>
      </c>
      <c r="J648" s="12" t="str">
        <f>HYPERLINK("https://www.boe.es/gazeta/dias/1800/04/08/pdfs/GMD-1800-28.pdf#page=4","Abrir facsímil")</f>
        <v>Abrir facsímil</v>
      </c>
      <c r="K648" s="15" t="s">
        <v>23</v>
      </c>
    </row>
    <row r="649" spans="1:11" ht="42" customHeight="1">
      <c r="A649" s="4" t="s">
        <v>1671</v>
      </c>
      <c r="B649" s="5" t="s">
        <v>1672</v>
      </c>
      <c r="C649" s="5" t="s">
        <v>41</v>
      </c>
      <c r="D649" s="5" t="s">
        <v>42</v>
      </c>
      <c r="E649" s="5" t="s">
        <v>491</v>
      </c>
      <c r="F649" s="9">
        <v>29</v>
      </c>
      <c r="G649" s="9">
        <v>297</v>
      </c>
      <c r="H649" s="5" t="s">
        <v>21</v>
      </c>
      <c r="I649" s="5" t="s">
        <v>1677</v>
      </c>
      <c r="J649" s="12" t="str">
        <f>HYPERLINK("https://www.boe.es/gazeta/dias/1800/04/11/pdfs/GMD-1800-29.pdf#page=5","Abrir facsímil")</f>
        <v>Abrir facsímil</v>
      </c>
      <c r="K649" s="15" t="s">
        <v>23</v>
      </c>
    </row>
    <row r="650" spans="1:11" ht="42" customHeight="1">
      <c r="A650" s="4" t="s">
        <v>1671</v>
      </c>
      <c r="B650" s="5" t="s">
        <v>1672</v>
      </c>
      <c r="C650" s="5" t="s">
        <v>41</v>
      </c>
      <c r="D650" s="5" t="s">
        <v>42</v>
      </c>
      <c r="E650" s="5" t="s">
        <v>356</v>
      </c>
      <c r="F650" s="9">
        <v>31</v>
      </c>
      <c r="G650" s="9">
        <v>309</v>
      </c>
      <c r="H650" s="5" t="s">
        <v>21</v>
      </c>
      <c r="I650" s="5" t="s">
        <v>1678</v>
      </c>
      <c r="J650" s="12" t="str">
        <f>HYPERLINK("https://www.boe.es/gazeta/dias/1800/04/18/pdfs/GMD-1800-31.pdf#page=1","Abrir facsímil")</f>
        <v>Abrir facsímil</v>
      </c>
      <c r="K650" s="15" t="s">
        <v>23</v>
      </c>
    </row>
    <row r="651" spans="1:11" ht="42" customHeight="1">
      <c r="A651" s="4" t="s">
        <v>1671</v>
      </c>
      <c r="B651" s="5" t="s">
        <v>1672</v>
      </c>
      <c r="C651" s="5" t="s">
        <v>84</v>
      </c>
      <c r="D651" s="5" t="s">
        <v>85</v>
      </c>
      <c r="E651" s="5" t="s">
        <v>248</v>
      </c>
      <c r="F651" s="9">
        <v>33</v>
      </c>
      <c r="G651" s="9">
        <v>328</v>
      </c>
      <c r="H651" s="5" t="s">
        <v>21</v>
      </c>
      <c r="I651" s="5" t="s">
        <v>1679</v>
      </c>
      <c r="J651" s="12" t="str">
        <f>HYPERLINK("https://www.boe.es/gazeta/dias/1800/04/25/pdfs/GMD-1800-33.pdf#page=4","Abrir facsímil")</f>
        <v>Abrir facsímil</v>
      </c>
      <c r="K651" s="15" t="s">
        <v>23</v>
      </c>
    </row>
    <row r="652" spans="1:11" ht="42" customHeight="1">
      <c r="A652" s="4" t="s">
        <v>1671</v>
      </c>
      <c r="B652" s="5" t="s">
        <v>1672</v>
      </c>
      <c r="C652" s="5" t="s">
        <v>18</v>
      </c>
      <c r="D652" s="5" t="s">
        <v>19</v>
      </c>
      <c r="E652" s="5" t="s">
        <v>248</v>
      </c>
      <c r="F652" s="9">
        <v>33</v>
      </c>
      <c r="G652" s="9">
        <v>331</v>
      </c>
      <c r="H652" s="5" t="s">
        <v>21</v>
      </c>
      <c r="I652" s="5" t="s">
        <v>1680</v>
      </c>
      <c r="J652" s="12" t="str">
        <f>HYPERLINK("https://www.boe.es/gazeta/dias/1800/04/25/pdfs/GMD-1800-33.pdf#page=7","Abrir facsímil")</f>
        <v>Abrir facsímil</v>
      </c>
      <c r="K652" s="15" t="s">
        <v>23</v>
      </c>
    </row>
    <row r="653" spans="1:11" ht="42" customHeight="1">
      <c r="A653" s="4" t="s">
        <v>1671</v>
      </c>
      <c r="B653" s="5" t="s">
        <v>1672</v>
      </c>
      <c r="C653" s="5" t="s">
        <v>18</v>
      </c>
      <c r="D653" s="5" t="s">
        <v>19</v>
      </c>
      <c r="E653" s="5" t="s">
        <v>248</v>
      </c>
      <c r="F653" s="9">
        <v>33</v>
      </c>
      <c r="G653" s="9">
        <v>332</v>
      </c>
      <c r="H653" s="5" t="s">
        <v>21</v>
      </c>
      <c r="I653" s="5" t="s">
        <v>1681</v>
      </c>
      <c r="J653" s="12" t="str">
        <f>HYPERLINK("https://www.boe.es/gazeta/dias/1800/04/25/pdfs/GMD-1800-33.pdf#page=8","Abrir facsímil")</f>
        <v>Abrir facsímil</v>
      </c>
      <c r="K653" s="15" t="s">
        <v>23</v>
      </c>
    </row>
    <row r="654" spans="1:11" ht="42" customHeight="1">
      <c r="A654" s="4" t="s">
        <v>1671</v>
      </c>
      <c r="B654" s="5" t="s">
        <v>1672</v>
      </c>
      <c r="C654" s="5" t="s">
        <v>41</v>
      </c>
      <c r="D654" s="5" t="s">
        <v>42</v>
      </c>
      <c r="E654" s="5" t="s">
        <v>478</v>
      </c>
      <c r="F654" s="9">
        <v>34</v>
      </c>
      <c r="G654" s="9">
        <v>343</v>
      </c>
      <c r="H654" s="5" t="s">
        <v>21</v>
      </c>
      <c r="I654" s="5" t="s">
        <v>1682</v>
      </c>
      <c r="J654" s="12" t="str">
        <f>HYPERLINK("https://www.boe.es/gazeta/dias/1800/04/29/pdfs/GMD-1800-34.pdf#page=7","Abrir facsímil")</f>
        <v>Abrir facsímil</v>
      </c>
      <c r="K654" s="15" t="s">
        <v>23</v>
      </c>
    </row>
    <row r="655" spans="1:11" ht="42" customHeight="1">
      <c r="A655" s="4" t="s">
        <v>1671</v>
      </c>
      <c r="B655" s="5" t="s">
        <v>1672</v>
      </c>
      <c r="C655" s="5" t="s">
        <v>41</v>
      </c>
      <c r="D655" s="5" t="s">
        <v>42</v>
      </c>
      <c r="E655" s="5" t="s">
        <v>1231</v>
      </c>
      <c r="F655" s="9">
        <v>36</v>
      </c>
      <c r="G655" s="9">
        <v>361</v>
      </c>
      <c r="H655" s="5" t="s">
        <v>21</v>
      </c>
      <c r="I655" s="5" t="s">
        <v>1683</v>
      </c>
      <c r="J655" s="12" t="str">
        <f>HYPERLINK("https://www.boe.es/gazeta/dias/1800/05/06/pdfs/GMD-1800-36.pdf#page=5","Abrir facsímil")</f>
        <v>Abrir facsímil</v>
      </c>
      <c r="K655" s="15" t="s">
        <v>23</v>
      </c>
    </row>
    <row r="656" spans="1:11" ht="42" customHeight="1">
      <c r="A656" s="4" t="s">
        <v>1671</v>
      </c>
      <c r="B656" s="5" t="s">
        <v>1672</v>
      </c>
      <c r="C656" s="5" t="s">
        <v>41</v>
      </c>
      <c r="D656" s="5" t="s">
        <v>42</v>
      </c>
      <c r="E656" s="5" t="s">
        <v>1231</v>
      </c>
      <c r="F656" s="9">
        <v>36</v>
      </c>
      <c r="G656" s="9">
        <v>363</v>
      </c>
      <c r="H656" s="5" t="s">
        <v>21</v>
      </c>
      <c r="I656" s="5" t="s">
        <v>1684</v>
      </c>
      <c r="J656" s="12" t="str">
        <f>HYPERLINK("https://www.boe.es/gazeta/dias/1800/05/06/pdfs/GMD-1800-36.pdf#page=7","Abrir facsímil")</f>
        <v>Abrir facsímil</v>
      </c>
      <c r="K656" s="15" t="s">
        <v>23</v>
      </c>
    </row>
    <row r="657" spans="1:11" ht="42" customHeight="1">
      <c r="A657" s="4" t="s">
        <v>1671</v>
      </c>
      <c r="B657" s="5" t="s">
        <v>1672</v>
      </c>
      <c r="C657" s="5" t="s">
        <v>41</v>
      </c>
      <c r="D657" s="5" t="s">
        <v>42</v>
      </c>
      <c r="E657" s="5" t="s">
        <v>420</v>
      </c>
      <c r="F657" s="9">
        <v>38</v>
      </c>
      <c r="G657" s="9">
        <v>384</v>
      </c>
      <c r="H657" s="5" t="s">
        <v>21</v>
      </c>
      <c r="I657" s="5" t="s">
        <v>1685</v>
      </c>
      <c r="J657" s="12" t="str">
        <f>HYPERLINK("https://www.boe.es/gazeta/dias/1800/05/13/pdfs/GMD-1800-38.pdf#page=4","Abrir facsímil")</f>
        <v>Abrir facsímil</v>
      </c>
      <c r="K657" s="15" t="s">
        <v>23</v>
      </c>
    </row>
    <row r="658" spans="1:11" ht="42" customHeight="1">
      <c r="A658" s="4" t="s">
        <v>1671</v>
      </c>
      <c r="B658" s="5" t="s">
        <v>1672</v>
      </c>
      <c r="C658" s="5" t="s">
        <v>18</v>
      </c>
      <c r="D658" s="5" t="s">
        <v>19</v>
      </c>
      <c r="E658" s="5" t="s">
        <v>299</v>
      </c>
      <c r="F658" s="9">
        <v>40</v>
      </c>
      <c r="G658" s="9">
        <v>409</v>
      </c>
      <c r="H658" s="5" t="s">
        <v>21</v>
      </c>
      <c r="I658" s="5" t="s">
        <v>1686</v>
      </c>
      <c r="J658" s="12" t="str">
        <f>HYPERLINK("https://www.boe.es/gazeta/dias/1800/05/20/pdfs/GMD-1800-40.pdf#page=5","Abrir facsímil")</f>
        <v>Abrir facsímil</v>
      </c>
      <c r="K658" s="15" t="s">
        <v>23</v>
      </c>
    </row>
    <row r="659" spans="1:11" ht="42" customHeight="1">
      <c r="A659" s="4" t="s">
        <v>1671</v>
      </c>
      <c r="B659" s="5" t="s">
        <v>1672</v>
      </c>
      <c r="C659" s="5" t="s">
        <v>41</v>
      </c>
      <c r="D659" s="5" t="s">
        <v>42</v>
      </c>
      <c r="E659" s="5" t="s">
        <v>600</v>
      </c>
      <c r="F659" s="9">
        <v>45</v>
      </c>
      <c r="G659" s="9">
        <v>467</v>
      </c>
      <c r="H659" s="5" t="s">
        <v>21</v>
      </c>
      <c r="I659" s="5" t="s">
        <v>1687</v>
      </c>
      <c r="J659" s="12" t="str">
        <f>HYPERLINK("https://www.boe.es/gazeta/dias/1800/06/06/pdfs/GMD-1800-45.pdf#page=3","Abrir facsímil")</f>
        <v>Abrir facsímil</v>
      </c>
      <c r="K659" s="15" t="s">
        <v>23</v>
      </c>
    </row>
    <row r="660" spans="1:11" ht="42" customHeight="1">
      <c r="A660" s="4" t="s">
        <v>1671</v>
      </c>
      <c r="B660" s="5" t="s">
        <v>1672</v>
      </c>
      <c r="C660" s="5" t="s">
        <v>41</v>
      </c>
      <c r="D660" s="5" t="s">
        <v>42</v>
      </c>
      <c r="E660" s="5" t="s">
        <v>600</v>
      </c>
      <c r="F660" s="9">
        <v>45</v>
      </c>
      <c r="G660" s="9">
        <v>470</v>
      </c>
      <c r="H660" s="5" t="s">
        <v>21</v>
      </c>
      <c r="I660" s="5" t="s">
        <v>1688</v>
      </c>
      <c r="J660" s="12" t="str">
        <f>HYPERLINK("https://www.boe.es/gazeta/dias/1800/06/06/pdfs/GMD-1800-45.pdf#page=6","Abrir facsímil")</f>
        <v>Abrir facsímil</v>
      </c>
      <c r="K660" s="15" t="s">
        <v>23</v>
      </c>
    </row>
    <row r="661" spans="1:11" ht="42" customHeight="1">
      <c r="A661" s="4" t="s">
        <v>1671</v>
      </c>
      <c r="B661" s="5" t="s">
        <v>1672</v>
      </c>
      <c r="C661" s="5" t="s">
        <v>18</v>
      </c>
      <c r="D661" s="5" t="s">
        <v>19</v>
      </c>
      <c r="E661" s="5" t="s">
        <v>43</v>
      </c>
      <c r="F661" s="9">
        <v>46</v>
      </c>
      <c r="G661" s="9">
        <v>483</v>
      </c>
      <c r="H661" s="5" t="s">
        <v>21</v>
      </c>
      <c r="I661" s="5" t="s">
        <v>1689</v>
      </c>
      <c r="J661" s="12" t="str">
        <f>HYPERLINK("https://www.boe.es/gazeta/dias/1800/06/10/pdfs/GMD-1800-46.pdf#page=7","Abrir facsímil")</f>
        <v>Abrir facsímil</v>
      </c>
      <c r="K661" s="15" t="s">
        <v>23</v>
      </c>
    </row>
    <row r="662" spans="1:11" ht="42" customHeight="1">
      <c r="A662" s="4" t="s">
        <v>1671</v>
      </c>
      <c r="B662" s="5" t="s">
        <v>1672</v>
      </c>
      <c r="C662" s="5" t="s">
        <v>18</v>
      </c>
      <c r="D662" s="5" t="s">
        <v>19</v>
      </c>
      <c r="E662" s="5" t="s">
        <v>45</v>
      </c>
      <c r="F662" s="9">
        <v>47</v>
      </c>
      <c r="G662" s="9">
        <v>498</v>
      </c>
      <c r="H662" s="5" t="s">
        <v>21</v>
      </c>
      <c r="I662" s="5" t="s">
        <v>1690</v>
      </c>
      <c r="J662" s="12" t="str">
        <f>HYPERLINK("https://www.boe.es/gazeta/dias/1800/06/13/pdfs/GMD-1800-47.pdf#page=6","Abrir facsímil")</f>
        <v>Abrir facsímil</v>
      </c>
      <c r="K662" s="15" t="s">
        <v>23</v>
      </c>
    </row>
    <row r="663" spans="1:11" ht="42" customHeight="1">
      <c r="A663" s="4" t="s">
        <v>1671</v>
      </c>
      <c r="B663" s="5" t="s">
        <v>1672</v>
      </c>
      <c r="C663" s="5" t="s">
        <v>41</v>
      </c>
      <c r="D663" s="5" t="s">
        <v>42</v>
      </c>
      <c r="E663" s="5" t="s">
        <v>823</v>
      </c>
      <c r="F663" s="9">
        <v>50</v>
      </c>
      <c r="G663" s="9">
        <v>538</v>
      </c>
      <c r="H663" s="5" t="s">
        <v>21</v>
      </c>
      <c r="I663" s="5" t="s">
        <v>1691</v>
      </c>
      <c r="J663" s="12" t="str">
        <f>HYPERLINK("https://www.boe.es/gazeta/dias/1800/06/24/pdfs/GMD-1800-50.pdf#page=2","Abrir facsímil")</f>
        <v>Abrir facsímil</v>
      </c>
      <c r="K663" s="15" t="s">
        <v>23</v>
      </c>
    </row>
    <row r="664" spans="1:11" ht="42" customHeight="1">
      <c r="A664" s="4" t="s">
        <v>1671</v>
      </c>
      <c r="B664" s="5" t="s">
        <v>1672</v>
      </c>
      <c r="C664" s="5" t="s">
        <v>54</v>
      </c>
      <c r="D664" s="5" t="s">
        <v>55</v>
      </c>
      <c r="E664" s="5" t="s">
        <v>120</v>
      </c>
      <c r="F664" s="9">
        <v>52</v>
      </c>
      <c r="G664" s="9">
        <v>567</v>
      </c>
      <c r="H664" s="5" t="s">
        <v>21</v>
      </c>
      <c r="I664" s="5" t="s">
        <v>1692</v>
      </c>
      <c r="J664" s="12" t="str">
        <f>HYPERLINK("https://www.boe.es/gazeta/dias/1800/07/01/pdfs/GMD-1800-52.pdf#page=3","Abrir facsímil")</f>
        <v>Abrir facsímil</v>
      </c>
      <c r="K664" s="15" t="s">
        <v>23</v>
      </c>
    </row>
    <row r="665" spans="1:11" ht="42" customHeight="1">
      <c r="A665" s="4" t="s">
        <v>1671</v>
      </c>
      <c r="B665" s="5" t="s">
        <v>1672</v>
      </c>
      <c r="C665" s="5" t="s">
        <v>41</v>
      </c>
      <c r="D665" s="5" t="s">
        <v>42</v>
      </c>
      <c r="E665" s="5" t="s">
        <v>120</v>
      </c>
      <c r="F665" s="9">
        <v>52</v>
      </c>
      <c r="G665" s="9">
        <v>570</v>
      </c>
      <c r="H665" s="5" t="s">
        <v>21</v>
      </c>
      <c r="I665" s="5" t="s">
        <v>1693</v>
      </c>
      <c r="J665" s="12" t="str">
        <f>HYPERLINK("https://www.boe.es/gazeta/dias/1800/07/01/pdfs/GMD-1800-52.pdf#page=6","Abrir facsímil")</f>
        <v>Abrir facsímil</v>
      </c>
      <c r="K665" s="15" t="s">
        <v>23</v>
      </c>
    </row>
    <row r="666" spans="1:11" ht="42" customHeight="1">
      <c r="A666" s="4" t="s">
        <v>1671</v>
      </c>
      <c r="B666" s="5" t="s">
        <v>1672</v>
      </c>
      <c r="C666" s="5" t="s">
        <v>41</v>
      </c>
      <c r="D666" s="5" t="s">
        <v>42</v>
      </c>
      <c r="E666" s="5" t="s">
        <v>828</v>
      </c>
      <c r="F666" s="9">
        <v>53</v>
      </c>
      <c r="G666" s="9">
        <v>586</v>
      </c>
      <c r="H666" s="5" t="s">
        <v>21</v>
      </c>
      <c r="I666" s="5" t="s">
        <v>1694</v>
      </c>
      <c r="J666" s="12" t="str">
        <f>HYPERLINK("https://www.boe.es/gazeta/dias/1800/07/04/pdfs/GMD-1800-53.pdf#page=6","Abrir facsímil")</f>
        <v>Abrir facsímil</v>
      </c>
      <c r="K666" s="15" t="s">
        <v>23</v>
      </c>
    </row>
    <row r="667" spans="1:11" ht="42" customHeight="1">
      <c r="A667" s="4" t="s">
        <v>1671</v>
      </c>
      <c r="B667" s="5" t="s">
        <v>1672</v>
      </c>
      <c r="C667" s="5" t="s">
        <v>41</v>
      </c>
      <c r="D667" s="5" t="s">
        <v>42</v>
      </c>
      <c r="E667" s="5" t="s">
        <v>64</v>
      </c>
      <c r="F667" s="9">
        <v>54</v>
      </c>
      <c r="G667" s="9">
        <v>597</v>
      </c>
      <c r="H667" s="5" t="s">
        <v>21</v>
      </c>
      <c r="I667" s="5" t="s">
        <v>1695</v>
      </c>
      <c r="J667" s="12" t="str">
        <f>HYPERLINK("https://www.boe.es/gazeta/dias/1800/07/08/pdfs/GMD-1800-54.pdf#page=1","Abrir facsímil")</f>
        <v>Abrir facsímil</v>
      </c>
      <c r="K667" s="15" t="s">
        <v>23</v>
      </c>
    </row>
    <row r="668" spans="1:11" ht="42" customHeight="1">
      <c r="A668" s="4" t="s">
        <v>1671</v>
      </c>
      <c r="B668" s="5" t="s">
        <v>1672</v>
      </c>
      <c r="C668" s="5" t="s">
        <v>41</v>
      </c>
      <c r="D668" s="5" t="s">
        <v>42</v>
      </c>
      <c r="E668" s="5" t="s">
        <v>64</v>
      </c>
      <c r="F668" s="9">
        <v>54</v>
      </c>
      <c r="G668" s="9">
        <v>601</v>
      </c>
      <c r="H668" s="5" t="s">
        <v>21</v>
      </c>
      <c r="I668" s="5" t="s">
        <v>1696</v>
      </c>
      <c r="J668" s="12" t="str">
        <f>HYPERLINK("https://www.boe.es/gazeta/dias/1800/07/08/pdfs/GMD-1800-54.pdf#page=5","Abrir facsímil")</f>
        <v>Abrir facsímil</v>
      </c>
      <c r="K668" s="15" t="s">
        <v>23</v>
      </c>
    </row>
    <row r="669" spans="1:11" ht="42" customHeight="1">
      <c r="A669" s="4" t="s">
        <v>1671</v>
      </c>
      <c r="B669" s="5" t="s">
        <v>1672</v>
      </c>
      <c r="C669" s="5" t="s">
        <v>18</v>
      </c>
      <c r="D669" s="5" t="s">
        <v>19</v>
      </c>
      <c r="E669" s="5" t="s">
        <v>310</v>
      </c>
      <c r="F669" s="9">
        <v>56</v>
      </c>
      <c r="G669" s="9">
        <v>631</v>
      </c>
      <c r="H669" s="5" t="s">
        <v>21</v>
      </c>
      <c r="I669" s="5" t="s">
        <v>1697</v>
      </c>
      <c r="J669" s="12" t="str">
        <f>HYPERLINK("https://www.boe.es/gazeta/dias/1800/07/15/pdfs/GMD-1800-56.pdf#page=7","Abrir facsímil")</f>
        <v>Abrir facsímil</v>
      </c>
      <c r="K669" s="15" t="s">
        <v>23</v>
      </c>
    </row>
    <row r="670" spans="1:11" ht="42" customHeight="1">
      <c r="A670" s="4" t="s">
        <v>1671</v>
      </c>
      <c r="B670" s="5" t="s">
        <v>1672</v>
      </c>
      <c r="C670" s="5" t="s">
        <v>41</v>
      </c>
      <c r="D670" s="5" t="s">
        <v>42</v>
      </c>
      <c r="E670" s="5" t="s">
        <v>1287</v>
      </c>
      <c r="F670" s="9">
        <v>57</v>
      </c>
      <c r="G670" s="9">
        <v>645</v>
      </c>
      <c r="H670" s="5" t="s">
        <v>21</v>
      </c>
      <c r="I670" s="5" t="s">
        <v>1698</v>
      </c>
      <c r="J670" s="12" t="str">
        <f>HYPERLINK("https://www.boe.es/gazeta/dias/1800/07/18/pdfs/GMD-1800-57.pdf#page=9","Abrir facsímil")</f>
        <v>Abrir facsímil</v>
      </c>
      <c r="K670" s="15" t="s">
        <v>23</v>
      </c>
    </row>
    <row r="671" spans="1:11" ht="42" customHeight="1">
      <c r="A671" s="4" t="s">
        <v>1671</v>
      </c>
      <c r="B671" s="5" t="s">
        <v>1672</v>
      </c>
      <c r="C671" s="5" t="s">
        <v>41</v>
      </c>
      <c r="D671" s="5" t="s">
        <v>42</v>
      </c>
      <c r="E671" s="5" t="s">
        <v>1287</v>
      </c>
      <c r="F671" s="9">
        <v>57</v>
      </c>
      <c r="G671" s="9">
        <v>646</v>
      </c>
      <c r="H671" s="5" t="s">
        <v>21</v>
      </c>
      <c r="I671" s="5" t="s">
        <v>1699</v>
      </c>
      <c r="J671" s="12" t="str">
        <f>HYPERLINK("https://www.boe.es/gazeta/dias/1800/07/18/pdfs/GMD-1800-57.pdf#page=10","Abrir facsímil")</f>
        <v>Abrir facsímil</v>
      </c>
      <c r="K671" s="15" t="s">
        <v>23</v>
      </c>
    </row>
    <row r="672" spans="1:11" ht="42" customHeight="1">
      <c r="A672" s="4" t="s">
        <v>1671</v>
      </c>
      <c r="B672" s="5" t="s">
        <v>1672</v>
      </c>
      <c r="C672" s="5" t="s">
        <v>18</v>
      </c>
      <c r="D672" s="5" t="s">
        <v>19</v>
      </c>
      <c r="E672" s="5" t="s">
        <v>90</v>
      </c>
      <c r="F672" s="9">
        <v>58</v>
      </c>
      <c r="G672" s="9">
        <v>660</v>
      </c>
      <c r="H672" s="5" t="s">
        <v>21</v>
      </c>
      <c r="I672" s="5" t="s">
        <v>1700</v>
      </c>
      <c r="J672" s="12" t="str">
        <f>HYPERLINK("https://www.boe.es/gazeta/dias/1800/07/22/pdfs/GMD-1800-58.pdf#page=8","Abrir facsímil")</f>
        <v>Abrir facsímil</v>
      </c>
      <c r="K672" s="15" t="s">
        <v>23</v>
      </c>
    </row>
    <row r="673" spans="1:11" ht="42" customHeight="1">
      <c r="A673" s="4" t="s">
        <v>1671</v>
      </c>
      <c r="B673" s="5" t="s">
        <v>1672</v>
      </c>
      <c r="C673" s="5" t="s">
        <v>41</v>
      </c>
      <c r="D673" s="5" t="s">
        <v>42</v>
      </c>
      <c r="E673" s="5" t="s">
        <v>1294</v>
      </c>
      <c r="F673" s="9">
        <v>59</v>
      </c>
      <c r="G673" s="9">
        <v>674</v>
      </c>
      <c r="H673" s="5" t="s">
        <v>21</v>
      </c>
      <c r="I673" s="5" t="s">
        <v>1701</v>
      </c>
      <c r="J673" s="12" t="str">
        <f>HYPERLINK("https://www.boe.es/gazeta/dias/1800/07/25/pdfs/GMD-1800-59.pdf#page=6","Abrir facsímil")</f>
        <v>Abrir facsímil</v>
      </c>
      <c r="K673" s="15" t="s">
        <v>23</v>
      </c>
    </row>
    <row r="674" spans="1:11" ht="42" customHeight="1">
      <c r="A674" s="4" t="s">
        <v>1671</v>
      </c>
      <c r="B674" s="5" t="s">
        <v>1672</v>
      </c>
      <c r="C674" s="5" t="s">
        <v>41</v>
      </c>
      <c r="D674" s="5" t="s">
        <v>42</v>
      </c>
      <c r="E674" s="5" t="s">
        <v>1294</v>
      </c>
      <c r="F674" s="9">
        <v>59</v>
      </c>
      <c r="G674" s="9">
        <v>676</v>
      </c>
      <c r="H674" s="5" t="s">
        <v>21</v>
      </c>
      <c r="I674" s="5" t="s">
        <v>1702</v>
      </c>
      <c r="J674" s="12" t="str">
        <f>HYPERLINK("https://www.boe.es/gazeta/dias/1800/07/25/pdfs/GMD-1800-59.pdf#page=8","Abrir facsímil")</f>
        <v>Abrir facsímil</v>
      </c>
      <c r="K674" s="15" t="s">
        <v>23</v>
      </c>
    </row>
    <row r="675" spans="1:11" ht="42" customHeight="1">
      <c r="A675" s="4" t="s">
        <v>1671</v>
      </c>
      <c r="B675" s="5" t="s">
        <v>1672</v>
      </c>
      <c r="C675" s="5" t="s">
        <v>41</v>
      </c>
      <c r="D675" s="5" t="s">
        <v>42</v>
      </c>
      <c r="E675" s="5" t="s">
        <v>275</v>
      </c>
      <c r="F675" s="9">
        <v>60</v>
      </c>
      <c r="G675" s="9">
        <v>686</v>
      </c>
      <c r="H675" s="5" t="s">
        <v>21</v>
      </c>
      <c r="I675" s="5" t="s">
        <v>1703</v>
      </c>
      <c r="J675" s="12" t="str">
        <f>HYPERLINK("https://www.boe.es/gazeta/dias/1800/07/29/pdfs/GMD-1800-60.pdf#page=6","Abrir facsímil")</f>
        <v>Abrir facsímil</v>
      </c>
      <c r="K675" s="15" t="s">
        <v>23</v>
      </c>
    </row>
    <row r="676" spans="1:11" ht="42" customHeight="1">
      <c r="A676" s="4" t="s">
        <v>1671</v>
      </c>
      <c r="B676" s="5" t="s">
        <v>1672</v>
      </c>
      <c r="C676" s="5" t="s">
        <v>41</v>
      </c>
      <c r="D676" s="5" t="s">
        <v>42</v>
      </c>
      <c r="E676" s="5" t="s">
        <v>454</v>
      </c>
      <c r="F676" s="9">
        <v>63</v>
      </c>
      <c r="G676" s="9">
        <v>718</v>
      </c>
      <c r="H676" s="5" t="s">
        <v>21</v>
      </c>
      <c r="I676" s="5" t="s">
        <v>1704</v>
      </c>
      <c r="J676" s="12" t="str">
        <f>HYPERLINK("https://www.boe.es/gazeta/dias/1800/08/08/pdfs/GMD-1800-63.pdf#page=6","Abrir facsímil")</f>
        <v>Abrir facsímil</v>
      </c>
      <c r="K676" s="15" t="s">
        <v>23</v>
      </c>
    </row>
    <row r="677" spans="1:11" ht="42" customHeight="1">
      <c r="A677" s="4" t="s">
        <v>1671</v>
      </c>
      <c r="B677" s="5" t="s">
        <v>1672</v>
      </c>
      <c r="C677" s="5" t="s">
        <v>41</v>
      </c>
      <c r="D677" s="5" t="s">
        <v>42</v>
      </c>
      <c r="E677" s="5" t="s">
        <v>27</v>
      </c>
      <c r="F677" s="9">
        <v>65</v>
      </c>
      <c r="G677" s="9">
        <v>729</v>
      </c>
      <c r="H677" s="5" t="s">
        <v>21</v>
      </c>
      <c r="I677" s="5" t="s">
        <v>1705</v>
      </c>
      <c r="J677" s="12" t="str">
        <f>HYPERLINK("https://www.boe.es/gazeta/dias/1800/08/15/pdfs/GMD-1800-65.pdf#page=5","Abrir facsímil")</f>
        <v>Abrir facsímil</v>
      </c>
      <c r="K677" s="15" t="s">
        <v>23</v>
      </c>
    </row>
    <row r="678" spans="1:11" ht="42" customHeight="1">
      <c r="A678" s="4" t="s">
        <v>1671</v>
      </c>
      <c r="B678" s="5" t="s">
        <v>1672</v>
      </c>
      <c r="C678" s="5" t="s">
        <v>41</v>
      </c>
      <c r="D678" s="5" t="s">
        <v>42</v>
      </c>
      <c r="E678" s="5" t="s">
        <v>48</v>
      </c>
      <c r="F678" s="9">
        <v>66</v>
      </c>
      <c r="G678" s="9">
        <v>741</v>
      </c>
      <c r="H678" s="5" t="s">
        <v>21</v>
      </c>
      <c r="I678" s="5" t="s">
        <v>1706</v>
      </c>
      <c r="J678" s="12" t="str">
        <f>HYPERLINK("https://www.boe.es/gazeta/dias/1800/08/19/pdfs/GMD-1800-66.pdf#page=5","Abrir facsímil")</f>
        <v>Abrir facsímil</v>
      </c>
      <c r="K678" s="15" t="s">
        <v>23</v>
      </c>
    </row>
    <row r="679" spans="1:11" ht="42" customHeight="1">
      <c r="A679" s="4" t="s">
        <v>1671</v>
      </c>
      <c r="B679" s="5" t="s">
        <v>1672</v>
      </c>
      <c r="C679" s="5" t="s">
        <v>41</v>
      </c>
      <c r="D679" s="5" t="s">
        <v>42</v>
      </c>
      <c r="E679" s="5" t="s">
        <v>68</v>
      </c>
      <c r="F679" s="9">
        <v>67</v>
      </c>
      <c r="G679" s="9">
        <v>754</v>
      </c>
      <c r="H679" s="5" t="s">
        <v>21</v>
      </c>
      <c r="I679" s="5" t="s">
        <v>1707</v>
      </c>
      <c r="J679" s="12" t="str">
        <f>HYPERLINK("https://www.boe.es/gazeta/dias/1800/08/22/pdfs/GMD-1800-67.pdf#page=6","Abrir facsímil")</f>
        <v>Abrir facsímil</v>
      </c>
      <c r="K679" s="15" t="s">
        <v>23</v>
      </c>
    </row>
    <row r="680" spans="1:11" ht="42" customHeight="1">
      <c r="A680" s="4" t="s">
        <v>1671</v>
      </c>
      <c r="B680" s="5" t="s">
        <v>1672</v>
      </c>
      <c r="C680" s="5" t="s">
        <v>18</v>
      </c>
      <c r="D680" s="5" t="s">
        <v>19</v>
      </c>
      <c r="E680" s="5" t="s">
        <v>595</v>
      </c>
      <c r="F680" s="9">
        <v>72</v>
      </c>
      <c r="G680" s="9">
        <v>793</v>
      </c>
      <c r="H680" s="5" t="s">
        <v>21</v>
      </c>
      <c r="I680" s="5" t="s">
        <v>1708</v>
      </c>
      <c r="J680" s="12" t="str">
        <f>HYPERLINK("https://www.boe.es/gazeta/dias/1800/09/05/pdfs/GMD-1800-72.pdf#page=3","Abrir facsímil")</f>
        <v>Abrir facsímil</v>
      </c>
      <c r="K680" s="15" t="s">
        <v>23</v>
      </c>
    </row>
    <row r="681" spans="1:11" ht="42" customHeight="1">
      <c r="A681" s="4" t="s">
        <v>1671</v>
      </c>
      <c r="B681" s="5" t="s">
        <v>1672</v>
      </c>
      <c r="C681" s="5" t="s">
        <v>41</v>
      </c>
      <c r="D681" s="5" t="s">
        <v>42</v>
      </c>
      <c r="E681" s="5" t="s">
        <v>135</v>
      </c>
      <c r="F681" s="9">
        <v>73</v>
      </c>
      <c r="G681" s="9">
        <v>812</v>
      </c>
      <c r="H681" s="5" t="s">
        <v>21</v>
      </c>
      <c r="I681" s="5" t="s">
        <v>1709</v>
      </c>
      <c r="J681" s="12" t="str">
        <f>HYPERLINK("https://www.boe.es/gazeta/dias/1800/09/09/pdfs/GMD-1800-73.pdf#page=6","Abrir facsímil")</f>
        <v>Abrir facsímil</v>
      </c>
      <c r="K681" s="15" t="s">
        <v>23</v>
      </c>
    </row>
    <row r="682" spans="1:11" ht="42" customHeight="1">
      <c r="A682" s="4" t="s">
        <v>1671</v>
      </c>
      <c r="B682" s="5" t="s">
        <v>1672</v>
      </c>
      <c r="C682" s="5" t="s">
        <v>41</v>
      </c>
      <c r="D682" s="5" t="s">
        <v>42</v>
      </c>
      <c r="E682" s="5" t="s">
        <v>314</v>
      </c>
      <c r="F682" s="9">
        <v>74</v>
      </c>
      <c r="G682" s="9">
        <v>825</v>
      </c>
      <c r="H682" s="5" t="s">
        <v>21</v>
      </c>
      <c r="I682" s="5" t="s">
        <v>1710</v>
      </c>
      <c r="J682" s="12" t="str">
        <f>HYPERLINK("https://www.boe.es/gazeta/dias/1800/09/12/pdfs/GMD-1800-74.pdf#page=3","Abrir facsímil")</f>
        <v>Abrir facsímil</v>
      </c>
      <c r="K682" s="15" t="s">
        <v>23</v>
      </c>
    </row>
    <row r="683" spans="1:11" ht="42" customHeight="1">
      <c r="A683" s="4" t="s">
        <v>1671</v>
      </c>
      <c r="B683" s="5" t="s">
        <v>1672</v>
      </c>
      <c r="C683" s="5" t="s">
        <v>41</v>
      </c>
      <c r="D683" s="5" t="s">
        <v>42</v>
      </c>
      <c r="E683" s="5" t="s">
        <v>572</v>
      </c>
      <c r="F683" s="9">
        <v>76</v>
      </c>
      <c r="G683" s="9">
        <v>864</v>
      </c>
      <c r="H683" s="5" t="s">
        <v>21</v>
      </c>
      <c r="I683" s="5" t="s">
        <v>1711</v>
      </c>
      <c r="J683" s="12" t="str">
        <f>HYPERLINK("https://www.boe.es/gazeta/dias/1800/09/19/pdfs/GMD-1800-76.pdf#page=6","Abrir facsímil")</f>
        <v>Abrir facsímil</v>
      </c>
      <c r="K683" s="15" t="s">
        <v>23</v>
      </c>
    </row>
    <row r="684" spans="1:11" ht="42" customHeight="1">
      <c r="A684" s="4" t="s">
        <v>1671</v>
      </c>
      <c r="B684" s="5" t="s">
        <v>1672</v>
      </c>
      <c r="C684" s="5" t="s">
        <v>41</v>
      </c>
      <c r="D684" s="5" t="s">
        <v>42</v>
      </c>
      <c r="E684" s="5" t="s">
        <v>306</v>
      </c>
      <c r="F684" s="9">
        <v>79</v>
      </c>
      <c r="G684" s="9">
        <v>895</v>
      </c>
      <c r="H684" s="5" t="s">
        <v>21</v>
      </c>
      <c r="I684" s="5" t="s">
        <v>1712</v>
      </c>
      <c r="J684" s="12" t="str">
        <f>HYPERLINK("https://www.boe.es/gazeta/dias/1800/09/30/pdfs/GMD-1800-79.pdf#page=5","Abrir facsímil")</f>
        <v>Abrir facsímil</v>
      </c>
      <c r="K684" s="15" t="s">
        <v>23</v>
      </c>
    </row>
    <row r="685" spans="1:11" ht="42" customHeight="1">
      <c r="A685" s="4" t="s">
        <v>1671</v>
      </c>
      <c r="B685" s="5" t="s">
        <v>1672</v>
      </c>
      <c r="C685" s="5" t="s">
        <v>41</v>
      </c>
      <c r="D685" s="5" t="s">
        <v>42</v>
      </c>
      <c r="E685" s="5" t="s">
        <v>184</v>
      </c>
      <c r="F685" s="9">
        <v>82</v>
      </c>
      <c r="G685" s="9">
        <v>944</v>
      </c>
      <c r="H685" s="5" t="s">
        <v>21</v>
      </c>
      <c r="I685" s="5" t="s">
        <v>1713</v>
      </c>
      <c r="J685" s="12" t="str">
        <f>HYPERLINK("https://www.boe.es/gazeta/dias/1800/10/10/pdfs/GMD-1800-82.pdf#page=2","Abrir facsímil")</f>
        <v>Abrir facsímil</v>
      </c>
      <c r="K685" s="15" t="s">
        <v>23</v>
      </c>
    </row>
    <row r="686" spans="1:11" ht="42" customHeight="1">
      <c r="A686" s="4" t="s">
        <v>1671</v>
      </c>
      <c r="B686" s="5" t="s">
        <v>1672</v>
      </c>
      <c r="C686" s="5" t="s">
        <v>25</v>
      </c>
      <c r="D686" s="5" t="s">
        <v>26</v>
      </c>
      <c r="E686" s="5" t="s">
        <v>673</v>
      </c>
      <c r="F686" s="9">
        <v>89</v>
      </c>
      <c r="G686" s="9">
        <v>1042</v>
      </c>
      <c r="H686" s="5" t="s">
        <v>21</v>
      </c>
      <c r="I686" s="5" t="s">
        <v>1714</v>
      </c>
      <c r="J686" s="12" t="str">
        <f>HYPERLINK("https://www.boe.es/gazeta/dias/1800/11/04/pdfs/GMD-1800-89.pdf#page=8","Abrir facsímil")</f>
        <v>Abrir facsímil</v>
      </c>
      <c r="K686" s="15" t="s">
        <v>23</v>
      </c>
    </row>
    <row r="687" spans="1:11" ht="42" customHeight="1">
      <c r="A687" s="4" t="s">
        <v>1671</v>
      </c>
      <c r="B687" s="5" t="s">
        <v>1672</v>
      </c>
      <c r="C687" s="5" t="s">
        <v>41</v>
      </c>
      <c r="D687" s="5" t="s">
        <v>42</v>
      </c>
      <c r="E687" s="5" t="s">
        <v>56</v>
      </c>
      <c r="F687" s="9">
        <v>90</v>
      </c>
      <c r="G687" s="9">
        <v>1052</v>
      </c>
      <c r="H687" s="5" t="s">
        <v>21</v>
      </c>
      <c r="I687" s="5" t="s">
        <v>1715</v>
      </c>
      <c r="J687" s="12" t="str">
        <f>HYPERLINK("https://www.boe.es/gazeta/dias/1800/11/07/pdfs/GMD-1800-90.pdf#page=6","Abrir facsímil")</f>
        <v>Abrir facsímil</v>
      </c>
      <c r="K687" s="15" t="s">
        <v>23</v>
      </c>
    </row>
    <row r="688" spans="1:11" ht="42" customHeight="1">
      <c r="A688" s="4" t="s">
        <v>1671</v>
      </c>
      <c r="B688" s="5" t="s">
        <v>1672</v>
      </c>
      <c r="C688" s="5" t="s">
        <v>25</v>
      </c>
      <c r="D688" s="5" t="s">
        <v>26</v>
      </c>
      <c r="E688" s="5" t="s">
        <v>58</v>
      </c>
      <c r="F688" s="9">
        <v>92</v>
      </c>
      <c r="G688" s="9">
        <v>1052</v>
      </c>
      <c r="H688" s="5" t="s">
        <v>21</v>
      </c>
      <c r="I688" s="5" t="s">
        <v>1716</v>
      </c>
      <c r="J688" s="12" t="str">
        <f>HYPERLINK("https://www.boe.es/gazeta/dias/1800/11/14/pdfs/GMD-1800-92.pdf#page=6","Abrir facsímil")</f>
        <v>Abrir facsímil</v>
      </c>
      <c r="K688" s="15" t="s">
        <v>23</v>
      </c>
    </row>
    <row r="689" spans="1:11" ht="42" customHeight="1">
      <c r="A689" s="4" t="s">
        <v>1671</v>
      </c>
      <c r="B689" s="5" t="s">
        <v>1672</v>
      </c>
      <c r="C689" s="5" t="s">
        <v>18</v>
      </c>
      <c r="D689" s="5" t="s">
        <v>19</v>
      </c>
      <c r="E689" s="5" t="s">
        <v>196</v>
      </c>
      <c r="F689" s="9">
        <v>97</v>
      </c>
      <c r="G689" s="9">
        <v>1115</v>
      </c>
      <c r="H689" s="5" t="s">
        <v>21</v>
      </c>
      <c r="I689" s="5" t="s">
        <v>1717</v>
      </c>
      <c r="J689" s="12" t="str">
        <f>HYPERLINK("https://www.boe.es/gazeta/dias/1800/12/02/pdfs/GMD-1800-97.pdf#page=7","Abrir facsímil")</f>
        <v>Abrir facsímil</v>
      </c>
      <c r="K689" s="15" t="s">
        <v>23</v>
      </c>
    </row>
    <row r="690" spans="1:11" ht="42" customHeight="1">
      <c r="A690" s="4" t="s">
        <v>1718</v>
      </c>
      <c r="B690" s="5" t="s">
        <v>1719</v>
      </c>
      <c r="C690" s="5" t="s">
        <v>41</v>
      </c>
      <c r="D690" s="5" t="s">
        <v>42</v>
      </c>
      <c r="E690" s="5" t="s">
        <v>60</v>
      </c>
      <c r="F690" s="9">
        <v>105</v>
      </c>
      <c r="G690" s="9">
        <v>1224</v>
      </c>
      <c r="H690" s="5" t="s">
        <v>21</v>
      </c>
      <c r="I690" s="5" t="s">
        <v>1720</v>
      </c>
      <c r="J690" s="12" t="str">
        <f>HYPERLINK("https://www.boe.es/gazeta/dias/1800/12/30/pdfs/GMD-1800-105.pdf#page=8","Abrir facsímil")</f>
        <v>Abrir facsímil</v>
      </c>
      <c r="K690" s="15" t="s">
        <v>23</v>
      </c>
    </row>
    <row r="691" spans="1:11" ht="42" customHeight="1">
      <c r="A691" s="4" t="s">
        <v>1721</v>
      </c>
      <c r="B691" s="5" t="s">
        <v>1722</v>
      </c>
      <c r="C691" s="5" t="s">
        <v>41</v>
      </c>
      <c r="D691" s="5" t="s">
        <v>42</v>
      </c>
      <c r="E691" s="5" t="s">
        <v>226</v>
      </c>
      <c r="F691" s="9">
        <v>27</v>
      </c>
      <c r="G691" s="9">
        <v>278</v>
      </c>
      <c r="H691" s="5" t="s">
        <v>21</v>
      </c>
      <c r="I691" s="5" t="s">
        <v>1723</v>
      </c>
      <c r="J691" s="12" t="str">
        <f>HYPERLINK("https://www.boe.es/gazeta/dias/1800/04/04/pdfs/GMD-1800-27.pdf#page=6","Abrir facsímil")</f>
        <v>Abrir facsímil</v>
      </c>
      <c r="K691" s="15" t="s">
        <v>23</v>
      </c>
    </row>
    <row r="692" spans="1:11" ht="42" customHeight="1">
      <c r="A692" s="4" t="s">
        <v>1721</v>
      </c>
      <c r="B692" s="5" t="s">
        <v>1722</v>
      </c>
      <c r="C692" s="5" t="s">
        <v>18</v>
      </c>
      <c r="D692" s="5" t="s">
        <v>19</v>
      </c>
      <c r="E692" s="5" t="s">
        <v>673</v>
      </c>
      <c r="F692" s="9">
        <v>89</v>
      </c>
      <c r="G692" s="9">
        <v>1041</v>
      </c>
      <c r="H692" s="5" t="s">
        <v>21</v>
      </c>
      <c r="I692" s="5" t="s">
        <v>1724</v>
      </c>
      <c r="J692" s="12" t="str">
        <f>HYPERLINK("https://www.boe.es/gazeta/dias/1800/11/04/pdfs/GMD-1800-89.pdf#page=7","Abrir facsímil")</f>
        <v>Abrir facsímil</v>
      </c>
      <c r="K692" s="15" t="s">
        <v>23</v>
      </c>
    </row>
    <row r="693" spans="1:11" ht="42" customHeight="1">
      <c r="A693" s="4" t="s">
        <v>1721</v>
      </c>
      <c r="B693" s="5" t="s">
        <v>1722</v>
      </c>
      <c r="C693" s="5" t="s">
        <v>18</v>
      </c>
      <c r="D693" s="5" t="s">
        <v>19</v>
      </c>
      <c r="E693" s="5" t="s">
        <v>203</v>
      </c>
      <c r="F693" s="9">
        <v>94</v>
      </c>
      <c r="G693" s="9">
        <v>1076</v>
      </c>
      <c r="H693" s="5" t="s">
        <v>21</v>
      </c>
      <c r="I693" s="5" t="s">
        <v>1725</v>
      </c>
      <c r="J693" s="12" t="str">
        <f>HYPERLINK("https://www.boe.es/gazeta/dias/1800/11/21/pdfs/GMD-1800-94.pdf#page=6","Abrir facsímil")</f>
        <v>Abrir facsímil</v>
      </c>
      <c r="K693" s="15" t="s">
        <v>23</v>
      </c>
    </row>
    <row r="694" spans="1:11" ht="42" customHeight="1">
      <c r="A694" s="4" t="s">
        <v>1721</v>
      </c>
      <c r="B694" s="5" t="s">
        <v>1722</v>
      </c>
      <c r="C694" s="5" t="s">
        <v>41</v>
      </c>
      <c r="D694" s="5" t="s">
        <v>42</v>
      </c>
      <c r="E694" s="5" t="s">
        <v>445</v>
      </c>
      <c r="F694" s="9">
        <v>96</v>
      </c>
      <c r="G694" s="9">
        <v>1104</v>
      </c>
      <c r="H694" s="5" t="s">
        <v>21</v>
      </c>
      <c r="I694" s="5" t="s">
        <v>1726</v>
      </c>
      <c r="J694" s="12" t="str">
        <f>HYPERLINK("https://www.boe.es/gazeta/dias/1800/11/28/pdfs/GMD-1800-96.pdf#page=8","Abrir facsímil")</f>
        <v>Abrir facsímil</v>
      </c>
      <c r="K694" s="15" t="s">
        <v>23</v>
      </c>
    </row>
    <row r="695" spans="1:11" ht="42" customHeight="1">
      <c r="A695" s="4" t="s">
        <v>1727</v>
      </c>
      <c r="B695" s="5" t="s">
        <v>1728</v>
      </c>
      <c r="C695" s="5" t="s">
        <v>41</v>
      </c>
      <c r="D695" s="5" t="s">
        <v>42</v>
      </c>
      <c r="E695" s="5" t="s">
        <v>176</v>
      </c>
      <c r="F695" s="9">
        <v>88</v>
      </c>
      <c r="G695" s="9">
        <v>1029</v>
      </c>
      <c r="H695" s="5" t="s">
        <v>21</v>
      </c>
      <c r="I695" s="5" t="s">
        <v>1729</v>
      </c>
      <c r="J695" s="12" t="str">
        <f>HYPERLINK("https://www.boe.es/gazeta/dias/1800/10/31/pdfs/GMD-1800-88.pdf#page=11","Abrir facsímil")</f>
        <v>Abrir facsímil</v>
      </c>
      <c r="K695" s="15" t="s">
        <v>23</v>
      </c>
    </row>
    <row r="696" spans="1:11" ht="42" customHeight="1">
      <c r="A696" s="4" t="s">
        <v>1727</v>
      </c>
      <c r="B696" s="5" t="s">
        <v>1728</v>
      </c>
      <c r="C696" s="5" t="s">
        <v>41</v>
      </c>
      <c r="D696" s="5" t="s">
        <v>42</v>
      </c>
      <c r="E696" s="5" t="s">
        <v>615</v>
      </c>
      <c r="F696" s="9">
        <v>95</v>
      </c>
      <c r="G696" s="9">
        <v>1084</v>
      </c>
      <c r="H696" s="5" t="s">
        <v>21</v>
      </c>
      <c r="I696" s="5" t="s">
        <v>1730</v>
      </c>
      <c r="J696" s="12" t="str">
        <f>HYPERLINK("https://www.boe.es/gazeta/dias/1800/11/25/pdfs/GMD-1800-95.pdf#page=2","Abrir facsímil")</f>
        <v>Abrir facsímil</v>
      </c>
      <c r="K696" s="15" t="s">
        <v>23</v>
      </c>
    </row>
    <row r="697" spans="1:11" ht="42" customHeight="1">
      <c r="A697" s="4" t="s">
        <v>1727</v>
      </c>
      <c r="B697" s="5" t="s">
        <v>1728</v>
      </c>
      <c r="C697" s="5" t="s">
        <v>84</v>
      </c>
      <c r="D697" s="5" t="s">
        <v>85</v>
      </c>
      <c r="E697" s="5" t="s">
        <v>279</v>
      </c>
      <c r="F697" s="9">
        <v>103</v>
      </c>
      <c r="G697" s="9">
        <v>1190</v>
      </c>
      <c r="H697" s="5" t="s">
        <v>21</v>
      </c>
      <c r="I697" s="5" t="s">
        <v>1731</v>
      </c>
      <c r="J697" s="12" t="str">
        <f>HYPERLINK("https://www.boe.es/gazeta/dias/1800/12/23/pdfs/GMD-1800-103.pdf#page=2","Abrir facsímil")</f>
        <v>Abrir facsímil</v>
      </c>
      <c r="K697" s="15" t="s">
        <v>23</v>
      </c>
    </row>
    <row r="698" spans="1:11" ht="42" customHeight="1">
      <c r="A698" s="4" t="s">
        <v>1732</v>
      </c>
      <c r="B698" s="5" t="s">
        <v>1733</v>
      </c>
      <c r="C698" s="5" t="s">
        <v>41</v>
      </c>
      <c r="D698" s="5" t="s">
        <v>42</v>
      </c>
      <c r="E698" s="5" t="s">
        <v>576</v>
      </c>
      <c r="F698" s="9">
        <v>91</v>
      </c>
      <c r="G698" s="9">
        <v>1065</v>
      </c>
      <c r="H698" s="5" t="s">
        <v>21</v>
      </c>
      <c r="I698" s="5" t="s">
        <v>1734</v>
      </c>
      <c r="J698" s="12" t="str">
        <f>HYPERLINK("https://www.boe.es/gazeta/dias/1800/11/11/pdfs/GMD-1800-91.pdf#page=7","Abrir facsímil")</f>
        <v>Abrir facsímil</v>
      </c>
      <c r="K698" s="15" t="s">
        <v>23</v>
      </c>
    </row>
    <row r="699" spans="1:11" ht="42" customHeight="1">
      <c r="A699" s="4" t="s">
        <v>1735</v>
      </c>
      <c r="B699" s="5" t="s">
        <v>1735</v>
      </c>
      <c r="C699" s="5" t="s">
        <v>25</v>
      </c>
      <c r="D699" s="5" t="s">
        <v>26</v>
      </c>
      <c r="E699" s="5" t="s">
        <v>45</v>
      </c>
      <c r="F699" s="9">
        <v>47</v>
      </c>
      <c r="G699" s="9">
        <v>502</v>
      </c>
      <c r="H699" s="5" t="s">
        <v>21</v>
      </c>
      <c r="I699" s="5" t="s">
        <v>1736</v>
      </c>
      <c r="J699" s="12" t="str">
        <f>HYPERLINK("https://www.boe.es/gazeta/dias/1800/06/13/pdfs/GMD-1800-47.pdf#page=10","Abrir facsímil")</f>
        <v>Abrir facsímil</v>
      </c>
      <c r="K699" s="15" t="s">
        <v>23</v>
      </c>
    </row>
    <row r="700" spans="1:11" ht="42" customHeight="1">
      <c r="A700" s="4" t="s">
        <v>1737</v>
      </c>
      <c r="B700" s="5" t="s">
        <v>1737</v>
      </c>
      <c r="C700" s="5" t="s">
        <v>207</v>
      </c>
      <c r="D700" s="5" t="s">
        <v>55</v>
      </c>
      <c r="E700" s="5" t="s">
        <v>420</v>
      </c>
      <c r="F700" s="9">
        <v>38</v>
      </c>
      <c r="G700" s="9">
        <v>387</v>
      </c>
      <c r="H700" s="5" t="s">
        <v>21</v>
      </c>
      <c r="I700" s="5" t="s">
        <v>1738</v>
      </c>
      <c r="J700" s="12" t="str">
        <f>HYPERLINK("https://www.boe.es/gazeta/dias/1800/05/13/pdfs/GMD-1800-38.pdf#page=7","Abrir facsímil")</f>
        <v>Abrir facsímil</v>
      </c>
      <c r="K700" s="15" t="s">
        <v>23</v>
      </c>
    </row>
    <row r="701" spans="1:11" ht="42" customHeight="1">
      <c r="A701" s="4" t="s">
        <v>1739</v>
      </c>
      <c r="B701" s="5" t="s">
        <v>1739</v>
      </c>
      <c r="C701" s="5" t="s">
        <v>41</v>
      </c>
      <c r="D701" s="5" t="s">
        <v>42</v>
      </c>
      <c r="E701" s="5" t="s">
        <v>190</v>
      </c>
      <c r="F701" s="9">
        <v>93</v>
      </c>
      <c r="G701" s="9">
        <v>1056</v>
      </c>
      <c r="H701" s="5" t="s">
        <v>21</v>
      </c>
      <c r="I701" s="5" t="s">
        <v>1740</v>
      </c>
      <c r="J701" s="12" t="str">
        <f>HYPERLINK("https://www.boe.es/gazeta/dias/1800/11/18/pdfs/GMD-1800-93.pdf#page=2","Abrir facsímil")</f>
        <v>Abrir facsímil</v>
      </c>
      <c r="K701" s="15" t="s">
        <v>23</v>
      </c>
    </row>
    <row r="702" spans="1:11" ht="42" customHeight="1">
      <c r="A702" s="4" t="s">
        <v>1741</v>
      </c>
      <c r="B702" s="5" t="s">
        <v>1742</v>
      </c>
      <c r="C702" s="5" t="s">
        <v>41</v>
      </c>
      <c r="D702" s="5" t="s">
        <v>42</v>
      </c>
      <c r="E702" s="5" t="s">
        <v>828</v>
      </c>
      <c r="F702" s="9">
        <v>53</v>
      </c>
      <c r="G702" s="9">
        <v>588</v>
      </c>
      <c r="H702" s="5" t="s">
        <v>21</v>
      </c>
      <c r="I702" s="5" t="s">
        <v>1743</v>
      </c>
      <c r="J702" s="12" t="str">
        <f>HYPERLINK("https://www.boe.es/gazeta/dias/1800/07/04/pdfs/GMD-1800-53.pdf#page=8","Abrir facsímil")</f>
        <v>Abrir facsímil</v>
      </c>
      <c r="K702" s="15" t="s">
        <v>23</v>
      </c>
    </row>
    <row r="703" spans="1:11" ht="42" customHeight="1">
      <c r="A703" s="4" t="s">
        <v>1744</v>
      </c>
      <c r="B703" s="5" t="s">
        <v>1745</v>
      </c>
      <c r="C703" s="5" t="s">
        <v>41</v>
      </c>
      <c r="D703" s="5" t="s">
        <v>42</v>
      </c>
      <c r="E703" s="5" t="s">
        <v>600</v>
      </c>
      <c r="F703" s="9">
        <v>45</v>
      </c>
      <c r="G703" s="9">
        <v>469</v>
      </c>
      <c r="H703" s="5" t="s">
        <v>21</v>
      </c>
      <c r="I703" s="5" t="s">
        <v>1746</v>
      </c>
      <c r="J703" s="12" t="str">
        <f>HYPERLINK("https://www.boe.es/gazeta/dias/1800/06/06/pdfs/GMD-1800-45.pdf#page=5","Abrir facsímil")</f>
        <v>Abrir facsímil</v>
      </c>
      <c r="K703" s="15" t="s">
        <v>23</v>
      </c>
    </row>
    <row r="704" spans="1:11" ht="42" customHeight="1">
      <c r="A704" s="4" t="s">
        <v>1747</v>
      </c>
      <c r="B704" s="5" t="s">
        <v>1748</v>
      </c>
      <c r="C704" s="5" t="s">
        <v>41</v>
      </c>
      <c r="D704" s="5" t="s">
        <v>42</v>
      </c>
      <c r="E704" s="5" t="s">
        <v>530</v>
      </c>
      <c r="F704" s="9">
        <v>55</v>
      </c>
      <c r="G704" s="9">
        <v>619</v>
      </c>
      <c r="H704" s="5" t="s">
        <v>21</v>
      </c>
      <c r="I704" s="5" t="s">
        <v>1749</v>
      </c>
      <c r="J704" s="12" t="str">
        <f>HYPERLINK("https://www.boe.es/gazeta/dias/1800/07/11/pdfs/GMD-1800-55.pdf#page=7","Abrir facsímil")</f>
        <v>Abrir facsímil</v>
      </c>
      <c r="K704" s="15" t="s">
        <v>23</v>
      </c>
    </row>
    <row r="705" spans="1:11" ht="42" customHeight="1">
      <c r="A705" s="4" t="s">
        <v>1747</v>
      </c>
      <c r="B705" s="5" t="s">
        <v>1748</v>
      </c>
      <c r="C705" s="5" t="s">
        <v>41</v>
      </c>
      <c r="D705" s="5" t="s">
        <v>42</v>
      </c>
      <c r="E705" s="5" t="s">
        <v>50</v>
      </c>
      <c r="F705" s="9">
        <v>81</v>
      </c>
      <c r="G705" s="9">
        <v>912</v>
      </c>
      <c r="H705" s="5" t="s">
        <v>21</v>
      </c>
      <c r="I705" s="5" t="s">
        <v>1750</v>
      </c>
      <c r="J705" s="12" t="str">
        <f>HYPERLINK("https://www.boe.es/gazeta/dias/1800/10/07/pdfs/GMD-1800-81.pdf#page=2","Abrir facsímil")</f>
        <v>Abrir facsímil</v>
      </c>
      <c r="K705" s="15" t="s">
        <v>23</v>
      </c>
    </row>
    <row r="706" spans="1:11" ht="42" customHeight="1">
      <c r="A706" s="4" t="s">
        <v>1747</v>
      </c>
      <c r="B706" s="5" t="s">
        <v>1748</v>
      </c>
      <c r="C706" s="5" t="s">
        <v>41</v>
      </c>
      <c r="D706" s="5" t="s">
        <v>42</v>
      </c>
      <c r="E706" s="5" t="s">
        <v>116</v>
      </c>
      <c r="F706" s="9">
        <v>86</v>
      </c>
      <c r="G706" s="9">
        <v>995</v>
      </c>
      <c r="H706" s="5" t="s">
        <v>21</v>
      </c>
      <c r="I706" s="5" t="s">
        <v>1751</v>
      </c>
      <c r="J706" s="12" t="str">
        <f>HYPERLINK("https://www.boe.es/gazeta/dias/1800/10/24/pdfs/GMD-1800-86.pdf#page=5","Abrir facsímil")</f>
        <v>Abrir facsímil</v>
      </c>
      <c r="K706" s="15" t="s">
        <v>23</v>
      </c>
    </row>
    <row r="707" spans="1:11" ht="42" customHeight="1">
      <c r="A707" s="4" t="s">
        <v>1752</v>
      </c>
      <c r="B707" s="5" t="s">
        <v>1753</v>
      </c>
      <c r="C707" s="5" t="s">
        <v>207</v>
      </c>
      <c r="D707" s="5" t="s">
        <v>55</v>
      </c>
      <c r="E707" s="5" t="s">
        <v>445</v>
      </c>
      <c r="F707" s="9">
        <v>96</v>
      </c>
      <c r="G707" s="9">
        <v>1105</v>
      </c>
      <c r="H707" s="5" t="s">
        <v>21</v>
      </c>
      <c r="I707" s="5" t="s">
        <v>1754</v>
      </c>
      <c r="J707" s="12" t="str">
        <f>HYPERLINK("https://www.boe.es/gazeta/dias/1800/11/28/pdfs/GMD-1800-96.pdf#page=9","Abrir facsímil")</f>
        <v>Abrir facsímil</v>
      </c>
      <c r="K707" s="15" t="s">
        <v>23</v>
      </c>
    </row>
    <row r="708" spans="1:11" ht="42" customHeight="1">
      <c r="A708" s="4" t="s">
        <v>1755</v>
      </c>
      <c r="B708" s="5" t="s">
        <v>1756</v>
      </c>
      <c r="C708" s="5" t="s">
        <v>41</v>
      </c>
      <c r="D708" s="5" t="s">
        <v>42</v>
      </c>
      <c r="E708" s="5" t="s">
        <v>310</v>
      </c>
      <c r="F708" s="9">
        <v>56</v>
      </c>
      <c r="G708" s="9">
        <v>632</v>
      </c>
      <c r="H708" s="5" t="s">
        <v>21</v>
      </c>
      <c r="I708" s="5" t="s">
        <v>1757</v>
      </c>
      <c r="J708" s="12" t="str">
        <f>HYPERLINK("https://www.boe.es/gazeta/dias/1800/07/15/pdfs/GMD-1800-56.pdf#page=8","Abrir facsímil")</f>
        <v>Abrir facsímil</v>
      </c>
      <c r="K708" s="15" t="s">
        <v>23</v>
      </c>
    </row>
    <row r="709" spans="1:11" ht="42" customHeight="1">
      <c r="A709" s="4" t="s">
        <v>1758</v>
      </c>
      <c r="B709" s="5" t="s">
        <v>1759</v>
      </c>
      <c r="C709" s="5" t="s">
        <v>41</v>
      </c>
      <c r="D709" s="5" t="s">
        <v>42</v>
      </c>
      <c r="E709" s="5" t="s">
        <v>139</v>
      </c>
      <c r="F709" s="9">
        <v>2</v>
      </c>
      <c r="G709" s="9">
        <v>9</v>
      </c>
      <c r="H709" s="5" t="s">
        <v>21</v>
      </c>
      <c r="I709" s="5" t="s">
        <v>1760</v>
      </c>
      <c r="J709" s="12" t="str">
        <f>HYPERLINK("https://www.boe.es/gazeta/dias/1800/01/07/pdfs/GMD-1800-2.pdf#page=1","Abrir facsímil")</f>
        <v>Abrir facsímil</v>
      </c>
      <c r="K709" s="15" t="s">
        <v>23</v>
      </c>
    </row>
    <row r="710" spans="1:11" ht="42" customHeight="1">
      <c r="A710" s="4" t="s">
        <v>1761</v>
      </c>
      <c r="B710" s="5" t="s">
        <v>1762</v>
      </c>
      <c r="C710" s="5" t="s">
        <v>18</v>
      </c>
      <c r="D710" s="5" t="s">
        <v>19</v>
      </c>
      <c r="E710" s="5" t="s">
        <v>787</v>
      </c>
      <c r="F710" s="9">
        <v>6</v>
      </c>
      <c r="G710" s="9">
        <v>58</v>
      </c>
      <c r="H710" s="5" t="s">
        <v>21</v>
      </c>
      <c r="I710" s="5" t="s">
        <v>1763</v>
      </c>
      <c r="J710" s="12" t="str">
        <f>HYPERLINK("https://www.boe.es/gazeta/dias/1800/01/21/pdfs/GMD-1800-6.pdf#page=10","Abrir facsímil")</f>
        <v>Abrir facsímil</v>
      </c>
      <c r="K710" s="15" t="s">
        <v>23</v>
      </c>
    </row>
    <row r="711" spans="1:11" ht="42" customHeight="1">
      <c r="A711" s="4" t="s">
        <v>1764</v>
      </c>
      <c r="B711" s="5" t="s">
        <v>1765</v>
      </c>
      <c r="C711" s="5" t="s">
        <v>41</v>
      </c>
      <c r="D711" s="5" t="s">
        <v>42</v>
      </c>
      <c r="E711" s="5" t="s">
        <v>196</v>
      </c>
      <c r="F711" s="9">
        <v>97</v>
      </c>
      <c r="G711" s="9">
        <v>1115</v>
      </c>
      <c r="H711" s="5" t="s">
        <v>21</v>
      </c>
      <c r="I711" s="5" t="s">
        <v>1766</v>
      </c>
      <c r="J711" s="12" t="str">
        <f>HYPERLINK("https://www.boe.es/gazeta/dias/1800/12/02/pdfs/GMD-1800-97.pdf#page=7","Abrir facsímil")</f>
        <v>Abrir facsímil</v>
      </c>
      <c r="K711" s="15" t="s">
        <v>23</v>
      </c>
    </row>
    <row r="712" spans="1:11" ht="42" customHeight="1">
      <c r="A712" s="4" t="s">
        <v>1764</v>
      </c>
      <c r="B712" s="5" t="s">
        <v>1765</v>
      </c>
      <c r="C712" s="5" t="s">
        <v>84</v>
      </c>
      <c r="D712" s="5" t="s">
        <v>85</v>
      </c>
      <c r="E712" s="5" t="s">
        <v>196</v>
      </c>
      <c r="F712" s="9">
        <v>97</v>
      </c>
      <c r="G712" s="9">
        <v>1116</v>
      </c>
      <c r="H712" s="5" t="s">
        <v>21</v>
      </c>
      <c r="I712" s="5" t="s">
        <v>1767</v>
      </c>
      <c r="J712" s="12" t="str">
        <f>HYPERLINK("https://www.boe.es/gazeta/dias/1800/12/02/pdfs/GMD-1800-97.pdf#page=8","Abrir facsímil")</f>
        <v>Abrir facsímil</v>
      </c>
      <c r="K712" s="15" t="s">
        <v>23</v>
      </c>
    </row>
    <row r="713" spans="1:11" ht="42" customHeight="1">
      <c r="A713" s="4" t="s">
        <v>1768</v>
      </c>
      <c r="B713" s="5" t="s">
        <v>1768</v>
      </c>
      <c r="C713" s="5" t="s">
        <v>18</v>
      </c>
      <c r="D713" s="5" t="s">
        <v>19</v>
      </c>
      <c r="E713" s="5" t="s">
        <v>56</v>
      </c>
      <c r="F713" s="9">
        <v>90</v>
      </c>
      <c r="G713" s="9">
        <v>1051</v>
      </c>
      <c r="H713" s="5" t="s">
        <v>21</v>
      </c>
      <c r="I713" s="5" t="s">
        <v>1769</v>
      </c>
      <c r="J713" s="12" t="str">
        <f>HYPERLINK("https://www.boe.es/gazeta/dias/1800/11/07/pdfs/GMD-1800-90.pdf#page=5","Abrir facsímil")</f>
        <v>Abrir facsímil</v>
      </c>
      <c r="K713" s="15" t="s">
        <v>23</v>
      </c>
    </row>
    <row r="714" spans="1:11" ht="42" customHeight="1">
      <c r="A714" s="4" t="s">
        <v>1768</v>
      </c>
      <c r="B714" s="5" t="s">
        <v>1768</v>
      </c>
      <c r="C714" s="5" t="s">
        <v>18</v>
      </c>
      <c r="D714" s="5" t="s">
        <v>19</v>
      </c>
      <c r="E714" s="5" t="s">
        <v>56</v>
      </c>
      <c r="F714" s="9">
        <v>90</v>
      </c>
      <c r="G714" s="9">
        <v>1052</v>
      </c>
      <c r="H714" s="5" t="s">
        <v>21</v>
      </c>
      <c r="I714" s="5" t="s">
        <v>1770</v>
      </c>
      <c r="J714" s="12" t="str">
        <f>HYPERLINK("https://www.boe.es/gazeta/dias/1800/11/07/pdfs/GMD-1800-90.pdf#page=6","Abrir facsímil")</f>
        <v>Abrir facsímil</v>
      </c>
      <c r="K714" s="15" t="s">
        <v>23</v>
      </c>
    </row>
    <row r="715" spans="1:11" ht="42" customHeight="1">
      <c r="A715" s="4" t="s">
        <v>1771</v>
      </c>
      <c r="B715" s="5" t="s">
        <v>1771</v>
      </c>
      <c r="C715" s="5" t="s">
        <v>25</v>
      </c>
      <c r="D715" s="5" t="s">
        <v>26</v>
      </c>
      <c r="E715" s="5" t="s">
        <v>120</v>
      </c>
      <c r="F715" s="9">
        <v>52</v>
      </c>
      <c r="G715" s="9">
        <v>574</v>
      </c>
      <c r="H715" s="5" t="s">
        <v>21</v>
      </c>
      <c r="I715" s="5" t="s">
        <v>1772</v>
      </c>
      <c r="J715" s="12" t="str">
        <f>HYPERLINK("https://www.boe.es/gazeta/dias/1800/07/01/pdfs/GMD-1800-52.pdf#page=10","Abrir facsímil")</f>
        <v>Abrir facsímil</v>
      </c>
      <c r="K715" s="15" t="s">
        <v>23</v>
      </c>
    </row>
    <row r="716" spans="1:11" ht="42" customHeight="1">
      <c r="A716" s="4" t="s">
        <v>1773</v>
      </c>
      <c r="B716" s="5" t="s">
        <v>1773</v>
      </c>
      <c r="C716" s="5" t="s">
        <v>41</v>
      </c>
      <c r="D716" s="5" t="s">
        <v>42</v>
      </c>
      <c r="E716" s="5" t="s">
        <v>52</v>
      </c>
      <c r="F716" s="9">
        <v>83</v>
      </c>
      <c r="G716" s="9">
        <v>961</v>
      </c>
      <c r="H716" s="5" t="s">
        <v>21</v>
      </c>
      <c r="I716" s="5" t="s">
        <v>1774</v>
      </c>
      <c r="J716" s="12" t="str">
        <f>HYPERLINK("https://www.boe.es/gazeta/dias/1800/10/14/pdfs/GMD-1800-83.pdf#page=7","Abrir facsímil")</f>
        <v>Abrir facsímil</v>
      </c>
      <c r="K716" s="15" t="s">
        <v>23</v>
      </c>
    </row>
    <row r="717" spans="1:11" ht="42" customHeight="1">
      <c r="A717" s="4" t="s">
        <v>1775</v>
      </c>
      <c r="B717" s="5" t="s">
        <v>1776</v>
      </c>
      <c r="C717" s="5" t="s">
        <v>25</v>
      </c>
      <c r="D717" s="5" t="s">
        <v>26</v>
      </c>
      <c r="E717" s="5" t="s">
        <v>356</v>
      </c>
      <c r="F717" s="9">
        <v>31</v>
      </c>
      <c r="G717" s="9">
        <v>315</v>
      </c>
      <c r="H717" s="5" t="s">
        <v>21</v>
      </c>
      <c r="I717" s="5" t="s">
        <v>1777</v>
      </c>
      <c r="J717" s="12" t="str">
        <f>HYPERLINK("https://www.boe.es/gazeta/dias/1800/04/18/pdfs/GMD-1800-31.pdf#page=7","Abrir facsímil")</f>
        <v>Abrir facsímil</v>
      </c>
      <c r="K717" s="15" t="s">
        <v>23</v>
      </c>
    </row>
    <row r="718" spans="1:11" ht="42" customHeight="1">
      <c r="A718" s="4" t="s">
        <v>1778</v>
      </c>
      <c r="B718" s="5" t="s">
        <v>1779</v>
      </c>
      <c r="C718" s="5" t="s">
        <v>18</v>
      </c>
      <c r="D718" s="5" t="s">
        <v>19</v>
      </c>
      <c r="E718" s="5" t="s">
        <v>190</v>
      </c>
      <c r="F718" s="9">
        <v>93</v>
      </c>
      <c r="G718" s="9">
        <v>1061</v>
      </c>
      <c r="H718" s="5" t="s">
        <v>21</v>
      </c>
      <c r="I718" s="5" t="s">
        <v>1780</v>
      </c>
      <c r="J718" s="12" t="str">
        <f>HYPERLINK("https://www.boe.es/gazeta/dias/1800/11/18/pdfs/GMD-1800-93.pdf#page=7","Abrir facsímil")</f>
        <v>Abrir facsímil</v>
      </c>
      <c r="K718" s="15" t="s">
        <v>23</v>
      </c>
    </row>
    <row r="719" spans="1:11" ht="42" customHeight="1">
      <c r="A719" s="4" t="s">
        <v>1781</v>
      </c>
      <c r="B719" s="5" t="s">
        <v>1781</v>
      </c>
      <c r="C719" s="5" t="s">
        <v>41</v>
      </c>
      <c r="D719" s="5" t="s">
        <v>42</v>
      </c>
      <c r="E719" s="5" t="s">
        <v>154</v>
      </c>
      <c r="F719" s="9">
        <v>61</v>
      </c>
      <c r="G719" s="9">
        <v>694</v>
      </c>
      <c r="H719" s="5" t="s">
        <v>21</v>
      </c>
      <c r="I719" s="5" t="s">
        <v>1782</v>
      </c>
      <c r="J719" s="12" t="str">
        <f>HYPERLINK("https://www.boe.es/gazeta/dias/1800/08/01/pdfs/GMD-1800-61.pdf#page=6","Abrir facsímil")</f>
        <v>Abrir facsímil</v>
      </c>
      <c r="K719" s="15" t="s">
        <v>23</v>
      </c>
    </row>
    <row r="720" spans="1:11" ht="42" customHeight="1">
      <c r="A720" s="4" t="s">
        <v>1783</v>
      </c>
      <c r="B720" s="5" t="s">
        <v>1783</v>
      </c>
      <c r="C720" s="5" t="s">
        <v>18</v>
      </c>
      <c r="D720" s="5" t="s">
        <v>19</v>
      </c>
      <c r="E720" s="5" t="s">
        <v>90</v>
      </c>
      <c r="F720" s="9">
        <v>58</v>
      </c>
      <c r="G720" s="9">
        <v>656</v>
      </c>
      <c r="H720" s="5" t="s">
        <v>21</v>
      </c>
      <c r="I720" s="5" t="s">
        <v>1784</v>
      </c>
      <c r="J720" s="12" t="str">
        <f>HYPERLINK("https://www.boe.es/gazeta/dias/1800/07/22/pdfs/GMD-1800-58.pdf#page=4","Abrir facsímil")</f>
        <v>Abrir facsímil</v>
      </c>
      <c r="K720" s="15" t="s">
        <v>23</v>
      </c>
    </row>
    <row r="721" spans="1:11" ht="42" customHeight="1">
      <c r="A721" s="4" t="s">
        <v>1785</v>
      </c>
      <c r="B721" s="5" t="s">
        <v>1785</v>
      </c>
      <c r="C721" s="5" t="s">
        <v>41</v>
      </c>
      <c r="D721" s="5" t="s">
        <v>42</v>
      </c>
      <c r="E721" s="5" t="s">
        <v>262</v>
      </c>
      <c r="F721" s="9">
        <v>39</v>
      </c>
      <c r="G721" s="9">
        <v>394</v>
      </c>
      <c r="H721" s="5" t="s">
        <v>21</v>
      </c>
      <c r="I721" s="5" t="s">
        <v>1786</v>
      </c>
      <c r="J721" s="12" t="str">
        <f>HYPERLINK("https://www.boe.es/gazeta/dias/1800/05/16/pdfs/GMD-1800-39.pdf#page=2","Abrir facsímil")</f>
        <v>Abrir facsímil</v>
      </c>
      <c r="K721" s="15" t="s">
        <v>23</v>
      </c>
    </row>
    <row r="722" spans="1:11" ht="42" customHeight="1">
      <c r="A722" s="4" t="s">
        <v>1785</v>
      </c>
      <c r="B722" s="5" t="s">
        <v>1785</v>
      </c>
      <c r="C722" s="5" t="s">
        <v>41</v>
      </c>
      <c r="D722" s="5" t="s">
        <v>42</v>
      </c>
      <c r="E722" s="5" t="s">
        <v>50</v>
      </c>
      <c r="F722" s="9">
        <v>81</v>
      </c>
      <c r="G722" s="9">
        <v>912</v>
      </c>
      <c r="H722" s="5" t="s">
        <v>21</v>
      </c>
      <c r="I722" s="5" t="s">
        <v>1787</v>
      </c>
      <c r="J722" s="12" t="str">
        <f>HYPERLINK("https://www.boe.es/gazeta/dias/1800/10/07/pdfs/GMD-1800-81.pdf#page=2","Abrir facsímil")</f>
        <v>Abrir facsímil</v>
      </c>
      <c r="K722" s="15" t="s">
        <v>23</v>
      </c>
    </row>
    <row r="723" spans="1:11" ht="42" customHeight="1">
      <c r="A723" s="4" t="s">
        <v>1785</v>
      </c>
      <c r="B723" s="5" t="s">
        <v>1785</v>
      </c>
      <c r="C723" s="5" t="s">
        <v>18</v>
      </c>
      <c r="D723" s="5" t="s">
        <v>19</v>
      </c>
      <c r="E723" s="5" t="s">
        <v>176</v>
      </c>
      <c r="F723" s="9">
        <v>88</v>
      </c>
      <c r="G723" s="9">
        <v>1020</v>
      </c>
      <c r="H723" s="5" t="s">
        <v>21</v>
      </c>
      <c r="I723" s="5" t="s">
        <v>1788</v>
      </c>
      <c r="J723" s="12" t="str">
        <f>HYPERLINK("https://www.boe.es/gazeta/dias/1800/10/31/pdfs/GMD-1800-88.pdf#page=2","Abrir facsímil")</f>
        <v>Abrir facsímil</v>
      </c>
      <c r="K723" s="15" t="s">
        <v>23</v>
      </c>
    </row>
    <row r="724" spans="1:11" ht="42" customHeight="1">
      <c r="A724" s="4" t="s">
        <v>1789</v>
      </c>
      <c r="B724" s="5" t="s">
        <v>1789</v>
      </c>
      <c r="C724" s="5" t="s">
        <v>18</v>
      </c>
      <c r="D724" s="5" t="s">
        <v>19</v>
      </c>
      <c r="E724" s="5" t="s">
        <v>75</v>
      </c>
      <c r="F724" s="9">
        <v>64</v>
      </c>
      <c r="G724" s="9">
        <v>726</v>
      </c>
      <c r="H724" s="5" t="s">
        <v>21</v>
      </c>
      <c r="I724" s="5" t="s">
        <v>1790</v>
      </c>
      <c r="J724" s="12" t="str">
        <f>HYPERLINK("https://www.boe.es/gazeta/dias/1800/08/12/pdfs/GMD-1800-64.pdf#page=2","Abrir facsímil")</f>
        <v>Abrir facsímil</v>
      </c>
      <c r="K724" s="15" t="s">
        <v>23</v>
      </c>
    </row>
    <row r="725" spans="1:11" ht="42" customHeight="1">
      <c r="A725" s="4" t="s">
        <v>1791</v>
      </c>
      <c r="B725" s="5" t="s">
        <v>1791</v>
      </c>
      <c r="C725" s="5" t="s">
        <v>41</v>
      </c>
      <c r="D725" s="5" t="s">
        <v>42</v>
      </c>
      <c r="E725" s="5" t="s">
        <v>162</v>
      </c>
      <c r="F725" s="9">
        <v>15</v>
      </c>
      <c r="G725" s="9">
        <v>140</v>
      </c>
      <c r="H725" s="5" t="s">
        <v>21</v>
      </c>
      <c r="I725" s="5" t="s">
        <v>1792</v>
      </c>
      <c r="J725" s="12" t="str">
        <f>HYPERLINK("https://www.boe.es/gazeta/dias/1800/02/21/pdfs/GMD-1800-15.pdf#page=4","Abrir facsímil")</f>
        <v>Abrir facsímil</v>
      </c>
      <c r="K725" s="15" t="s">
        <v>23</v>
      </c>
    </row>
    <row r="726" spans="1:11" ht="42" customHeight="1">
      <c r="A726" s="4" t="s">
        <v>1791</v>
      </c>
      <c r="B726" s="5" t="s">
        <v>1791</v>
      </c>
      <c r="C726" s="5" t="s">
        <v>41</v>
      </c>
      <c r="D726" s="5" t="s">
        <v>42</v>
      </c>
      <c r="E726" s="5" t="s">
        <v>620</v>
      </c>
      <c r="F726" s="9">
        <v>19</v>
      </c>
      <c r="G726" s="9">
        <v>181</v>
      </c>
      <c r="H726" s="5" t="s">
        <v>21</v>
      </c>
      <c r="I726" s="5" t="s">
        <v>1793</v>
      </c>
      <c r="J726" s="12" t="str">
        <f>HYPERLINK("https://www.boe.es/gazeta/dias/1800/03/07/pdfs/GMD-1800-19.pdf#page=5","Abrir facsímil")</f>
        <v>Abrir facsímil</v>
      </c>
      <c r="K726" s="15" t="s">
        <v>23</v>
      </c>
    </row>
    <row r="727" spans="1:11" ht="42" customHeight="1">
      <c r="A727" s="4" t="s">
        <v>1791</v>
      </c>
      <c r="B727" s="5" t="s">
        <v>1791</v>
      </c>
      <c r="C727" s="5" t="s">
        <v>41</v>
      </c>
      <c r="D727" s="5" t="s">
        <v>42</v>
      </c>
      <c r="E727" s="5" t="s">
        <v>143</v>
      </c>
      <c r="F727" s="9">
        <v>22</v>
      </c>
      <c r="G727" s="9">
        <v>216</v>
      </c>
      <c r="H727" s="5" t="s">
        <v>21</v>
      </c>
      <c r="I727" s="5" t="s">
        <v>1794</v>
      </c>
      <c r="J727" s="12" t="str">
        <f>HYPERLINK("https://www.boe.es/gazeta/dias/1800/03/18/pdfs/GMD-1800-22.pdf#page=8","Abrir facsímil")</f>
        <v>Abrir facsímil</v>
      </c>
      <c r="K727" s="15" t="s">
        <v>23</v>
      </c>
    </row>
    <row r="728" spans="1:11" ht="42" customHeight="1">
      <c r="A728" s="4" t="s">
        <v>1795</v>
      </c>
      <c r="B728" s="5" t="s">
        <v>1795</v>
      </c>
      <c r="C728" s="5" t="s">
        <v>41</v>
      </c>
      <c r="D728" s="5" t="s">
        <v>42</v>
      </c>
      <c r="E728" s="5" t="s">
        <v>158</v>
      </c>
      <c r="F728" s="9">
        <v>25</v>
      </c>
      <c r="G728" s="9">
        <v>253</v>
      </c>
      <c r="H728" s="5" t="s">
        <v>21</v>
      </c>
      <c r="I728" s="5" t="s">
        <v>1796</v>
      </c>
      <c r="J728" s="12" t="str">
        <f>HYPERLINK("https://www.boe.es/gazeta/dias/1800/03/28/pdfs/GMD-1800-25.pdf#page=5","Abrir facsímil")</f>
        <v>Abrir facsímil</v>
      </c>
      <c r="K728" s="15" t="s">
        <v>23</v>
      </c>
    </row>
    <row r="729" spans="1:11" ht="42" customHeight="1">
      <c r="A729" s="4" t="s">
        <v>1797</v>
      </c>
      <c r="B729" s="5" t="s">
        <v>1797</v>
      </c>
      <c r="C729" s="5" t="s">
        <v>41</v>
      </c>
      <c r="D729" s="5" t="s">
        <v>42</v>
      </c>
      <c r="E729" s="5" t="s">
        <v>600</v>
      </c>
      <c r="F729" s="9">
        <v>45</v>
      </c>
      <c r="G729" s="9">
        <v>469</v>
      </c>
      <c r="H729" s="5" t="s">
        <v>21</v>
      </c>
      <c r="I729" s="5" t="s">
        <v>1798</v>
      </c>
      <c r="J729" s="12" t="str">
        <f>HYPERLINK("https://www.boe.es/gazeta/dias/1800/06/06/pdfs/GMD-1800-45.pdf#page=5","Abrir facsímil")</f>
        <v>Abrir facsímil</v>
      </c>
      <c r="K729" s="15" t="s">
        <v>23</v>
      </c>
    </row>
    <row r="730" spans="1:11" ht="42" customHeight="1">
      <c r="A730" s="4" t="s">
        <v>1799</v>
      </c>
      <c r="B730" s="5" t="s">
        <v>1799</v>
      </c>
      <c r="C730" s="5" t="s">
        <v>84</v>
      </c>
      <c r="D730" s="5" t="s">
        <v>85</v>
      </c>
      <c r="E730" s="5" t="s">
        <v>230</v>
      </c>
      <c r="F730" s="9">
        <v>35</v>
      </c>
      <c r="G730" s="9">
        <v>353</v>
      </c>
      <c r="H730" s="5" t="s">
        <v>21</v>
      </c>
      <c r="I730" s="5" t="s">
        <v>1800</v>
      </c>
      <c r="J730" s="12" t="str">
        <f>HYPERLINK("https://www.boe.es/gazeta/dias/1800/05/02/pdfs/GMD-1800-35.pdf#page=5","Abrir facsímil")</f>
        <v>Abrir facsímil</v>
      </c>
      <c r="K730" s="15" t="s">
        <v>23</v>
      </c>
    </row>
    <row r="731" spans="1:11" ht="42" customHeight="1">
      <c r="A731" s="4" t="s">
        <v>1801</v>
      </c>
      <c r="B731" s="5" t="s">
        <v>1801</v>
      </c>
      <c r="C731" s="5" t="s">
        <v>41</v>
      </c>
      <c r="D731" s="5" t="s">
        <v>42</v>
      </c>
      <c r="E731" s="5" t="s">
        <v>116</v>
      </c>
      <c r="F731" s="9">
        <v>86</v>
      </c>
      <c r="G731" s="9">
        <v>991</v>
      </c>
      <c r="H731" s="5" t="s">
        <v>21</v>
      </c>
      <c r="I731" s="5" t="s">
        <v>1802</v>
      </c>
      <c r="J731" s="12" t="str">
        <f>HYPERLINK("https://www.boe.es/gazeta/dias/1800/10/24/pdfs/GMD-1800-86.pdf#page=1","Abrir facsímil")</f>
        <v>Abrir facsímil</v>
      </c>
      <c r="K731" s="15" t="s">
        <v>23</v>
      </c>
    </row>
    <row r="732" spans="1:11" ht="42" customHeight="1">
      <c r="A732" s="4" t="s">
        <v>1803</v>
      </c>
      <c r="B732" s="5" t="s">
        <v>1803</v>
      </c>
      <c r="C732" s="5" t="s">
        <v>41</v>
      </c>
      <c r="D732" s="5" t="s">
        <v>42</v>
      </c>
      <c r="E732" s="5" t="s">
        <v>240</v>
      </c>
      <c r="F732" s="9">
        <v>26</v>
      </c>
      <c r="G732" s="9">
        <v>263</v>
      </c>
      <c r="H732" s="5" t="s">
        <v>21</v>
      </c>
      <c r="I732" s="5" t="s">
        <v>1804</v>
      </c>
      <c r="J732" s="12" t="str">
        <f>HYPERLINK("https://www.boe.es/gazeta/dias/1800/04/01/pdfs/GMD-1800-26.pdf#page=3","Abrir facsímil")</f>
        <v>Abrir facsímil</v>
      </c>
      <c r="K732" s="15" t="s">
        <v>23</v>
      </c>
    </row>
    <row r="733" spans="1:11" ht="42" customHeight="1">
      <c r="A733" s="4" t="s">
        <v>1805</v>
      </c>
      <c r="B733" s="5" t="s">
        <v>1806</v>
      </c>
      <c r="C733" s="5" t="s">
        <v>18</v>
      </c>
      <c r="D733" s="5" t="s">
        <v>19</v>
      </c>
      <c r="E733" s="5" t="s">
        <v>86</v>
      </c>
      <c r="F733" s="9">
        <v>17</v>
      </c>
      <c r="G733" s="9">
        <v>162</v>
      </c>
      <c r="H733" s="5" t="s">
        <v>21</v>
      </c>
      <c r="I733" s="5" t="s">
        <v>1807</v>
      </c>
      <c r="J733" s="12" t="str">
        <f>HYPERLINK("https://www.boe.es/gazeta/dias/1800/02/28/pdfs/GMD-1800-17.pdf#page=10","Abrir facsímil")</f>
        <v>Abrir facsímil</v>
      </c>
      <c r="K733" s="15" t="s">
        <v>23</v>
      </c>
    </row>
    <row r="734" spans="1:11" ht="42" customHeight="1">
      <c r="A734" s="4" t="s">
        <v>1808</v>
      </c>
      <c r="B734" s="5" t="s">
        <v>1808</v>
      </c>
      <c r="C734" s="5" t="s">
        <v>18</v>
      </c>
      <c r="D734" s="5" t="s">
        <v>19</v>
      </c>
      <c r="E734" s="5" t="s">
        <v>90</v>
      </c>
      <c r="F734" s="9">
        <v>58</v>
      </c>
      <c r="G734" s="9">
        <v>656</v>
      </c>
      <c r="H734" s="5" t="s">
        <v>21</v>
      </c>
      <c r="I734" s="5" t="s">
        <v>1809</v>
      </c>
      <c r="J734" s="12" t="str">
        <f>HYPERLINK("https://www.boe.es/gazeta/dias/1800/07/22/pdfs/GMD-1800-58.pdf#page=4","Abrir facsímil")</f>
        <v>Abrir facsímil</v>
      </c>
      <c r="K734" s="15" t="s">
        <v>23</v>
      </c>
    </row>
    <row r="735" spans="1:11" ht="42" customHeight="1">
      <c r="A735" s="4" t="s">
        <v>1810</v>
      </c>
      <c r="B735" s="5" t="s">
        <v>1811</v>
      </c>
      <c r="C735" s="5" t="s">
        <v>18</v>
      </c>
      <c r="D735" s="5" t="s">
        <v>19</v>
      </c>
      <c r="E735" s="5" t="s">
        <v>176</v>
      </c>
      <c r="F735" s="9">
        <v>88</v>
      </c>
      <c r="G735" s="9">
        <v>1031</v>
      </c>
      <c r="H735" s="5" t="s">
        <v>21</v>
      </c>
      <c r="I735" s="5" t="s">
        <v>1812</v>
      </c>
      <c r="J735" s="12" t="str">
        <f>HYPERLINK("https://www.boe.es/gazeta/dias/1800/10/31/pdfs/GMD-1800-88.pdf#page=13","Abrir facsímil")</f>
        <v>Abrir facsímil</v>
      </c>
      <c r="K735" s="15" t="s">
        <v>23</v>
      </c>
    </row>
    <row r="736" spans="1:11" ht="42" customHeight="1">
      <c r="A736" s="4" t="s">
        <v>1813</v>
      </c>
      <c r="B736" s="5" t="s">
        <v>1814</v>
      </c>
      <c r="C736" s="5" t="s">
        <v>18</v>
      </c>
      <c r="D736" s="5" t="s">
        <v>19</v>
      </c>
      <c r="E736" s="5" t="s">
        <v>595</v>
      </c>
      <c r="F736" s="9">
        <v>72</v>
      </c>
      <c r="G736" s="9">
        <v>797</v>
      </c>
      <c r="H736" s="5" t="s">
        <v>21</v>
      </c>
      <c r="I736" s="5" t="s">
        <v>1815</v>
      </c>
      <c r="J736" s="12" t="str">
        <f>HYPERLINK("https://www.boe.es/gazeta/dias/1800/09/05/pdfs/GMD-1800-72.pdf#page=7","Abrir facsímil")</f>
        <v>Abrir facsímil</v>
      </c>
      <c r="K736" s="15" t="s">
        <v>23</v>
      </c>
    </row>
    <row r="737" spans="1:11" ht="42" customHeight="1">
      <c r="A737" s="4" t="s">
        <v>1816</v>
      </c>
      <c r="B737" s="5" t="s">
        <v>1817</v>
      </c>
      <c r="C737" s="5" t="s">
        <v>18</v>
      </c>
      <c r="D737" s="5" t="s">
        <v>19</v>
      </c>
      <c r="E737" s="5" t="s">
        <v>52</v>
      </c>
      <c r="F737" s="9">
        <v>83</v>
      </c>
      <c r="G737" s="9">
        <v>963</v>
      </c>
      <c r="H737" s="5" t="s">
        <v>21</v>
      </c>
      <c r="I737" s="5" t="s">
        <v>1818</v>
      </c>
      <c r="J737" s="12" t="str">
        <f>HYPERLINK("https://www.boe.es/gazeta/dias/1800/10/14/pdfs/GMD-1800-83.pdf#page=9","Abrir facsímil")</f>
        <v>Abrir facsímil</v>
      </c>
      <c r="K737" s="15" t="s">
        <v>23</v>
      </c>
    </row>
    <row r="738" spans="1:11" ht="42" customHeight="1">
      <c r="A738" s="4" t="s">
        <v>1819</v>
      </c>
      <c r="B738" s="5" t="s">
        <v>1820</v>
      </c>
      <c r="C738" s="5" t="s">
        <v>207</v>
      </c>
      <c r="D738" s="5" t="s">
        <v>55</v>
      </c>
      <c r="E738" s="5" t="s">
        <v>445</v>
      </c>
      <c r="F738" s="9">
        <v>96</v>
      </c>
      <c r="G738" s="9">
        <v>1105</v>
      </c>
      <c r="H738" s="5" t="s">
        <v>21</v>
      </c>
      <c r="I738" s="5" t="s">
        <v>1821</v>
      </c>
      <c r="J738" s="12" t="str">
        <f>HYPERLINK("https://www.boe.es/gazeta/dias/1800/11/28/pdfs/GMD-1800-96.pdf#page=9","Abrir facsímil")</f>
        <v>Abrir facsímil</v>
      </c>
      <c r="K738" s="15" t="s">
        <v>23</v>
      </c>
    </row>
    <row r="739" spans="1:11" ht="42" customHeight="1">
      <c r="A739" s="4" t="s">
        <v>1822</v>
      </c>
      <c r="B739" s="5" t="s">
        <v>1823</v>
      </c>
      <c r="C739" s="5" t="s">
        <v>41</v>
      </c>
      <c r="D739" s="5" t="s">
        <v>42</v>
      </c>
      <c r="E739" s="5" t="s">
        <v>461</v>
      </c>
      <c r="F739" s="9">
        <v>18</v>
      </c>
      <c r="G739" s="9">
        <v>168</v>
      </c>
      <c r="H739" s="5" t="s">
        <v>21</v>
      </c>
      <c r="I739" s="5" t="s">
        <v>1824</v>
      </c>
      <c r="J739" s="12" t="str">
        <f>HYPERLINK("https://www.boe.es/datos/pdfs/BOE//1800/018/C00173-00176.pdf#page=4","Abrir facsímil")</f>
        <v>Abrir facsímil</v>
      </c>
      <c r="K739" s="15" t="s">
        <v>23</v>
      </c>
    </row>
    <row r="740" spans="1:11" ht="42" customHeight="1">
      <c r="A740" s="4" t="s">
        <v>1825</v>
      </c>
      <c r="B740" s="5" t="s">
        <v>1826</v>
      </c>
      <c r="C740" s="5" t="s">
        <v>41</v>
      </c>
      <c r="D740" s="5" t="s">
        <v>42</v>
      </c>
      <c r="E740" s="5" t="s">
        <v>598</v>
      </c>
      <c r="F740" s="9">
        <v>32</v>
      </c>
      <c r="G740" s="9">
        <v>320</v>
      </c>
      <c r="H740" s="5" t="s">
        <v>21</v>
      </c>
      <c r="I740" s="5" t="s">
        <v>1827</v>
      </c>
      <c r="J740" s="12" t="str">
        <f>HYPERLINK("https://www.boe.es/gazeta/dias/1800/04/22/pdfs/GMD-1800-32.pdf#page=4","Abrir facsímil")</f>
        <v>Abrir facsímil</v>
      </c>
      <c r="K740" s="15" t="s">
        <v>23</v>
      </c>
    </row>
    <row r="741" spans="1:11" ht="42" customHeight="1">
      <c r="A741" s="4" t="s">
        <v>1828</v>
      </c>
      <c r="B741" s="5" t="s">
        <v>1829</v>
      </c>
      <c r="C741" s="5" t="s">
        <v>41</v>
      </c>
      <c r="D741" s="5" t="s">
        <v>42</v>
      </c>
      <c r="E741" s="5" t="s">
        <v>218</v>
      </c>
      <c r="F741" s="9">
        <v>5</v>
      </c>
      <c r="G741" s="9">
        <v>43</v>
      </c>
      <c r="H741" s="5" t="s">
        <v>21</v>
      </c>
      <c r="I741" s="5" t="s">
        <v>1830</v>
      </c>
      <c r="J741" s="12" t="str">
        <f>HYPERLINK("https://www.boe.es/gazeta/dias/1800/01/17/pdfs/GMD-1800-5.pdf#page=3","Abrir facsímil")</f>
        <v>Abrir facsímil</v>
      </c>
      <c r="K741" s="15" t="s">
        <v>23</v>
      </c>
    </row>
    <row r="742" spans="1:11" ht="42" customHeight="1">
      <c r="A742" s="4" t="s">
        <v>1828</v>
      </c>
      <c r="B742" s="5" t="s">
        <v>1829</v>
      </c>
      <c r="C742" s="5" t="s">
        <v>41</v>
      </c>
      <c r="D742" s="5" t="s">
        <v>42</v>
      </c>
      <c r="E742" s="5" t="s">
        <v>503</v>
      </c>
      <c r="F742" s="9">
        <v>13</v>
      </c>
      <c r="G742" s="9">
        <v>120</v>
      </c>
      <c r="H742" s="5" t="s">
        <v>21</v>
      </c>
      <c r="I742" s="5" t="s">
        <v>1831</v>
      </c>
      <c r="J742" s="12" t="str">
        <f>HYPERLINK("https://www.boe.es/gazeta/dias/1800/02/14/pdfs/GMD-1800-13.pdf#page=4","Abrir facsímil")</f>
        <v>Abrir facsímil</v>
      </c>
      <c r="K742" s="15" t="s">
        <v>23</v>
      </c>
    </row>
    <row r="743" spans="1:11" ht="42" customHeight="1">
      <c r="A743" s="4" t="s">
        <v>1828</v>
      </c>
      <c r="B743" s="5" t="s">
        <v>1829</v>
      </c>
      <c r="C743" s="5" t="s">
        <v>41</v>
      </c>
      <c r="D743" s="5" t="s">
        <v>42</v>
      </c>
      <c r="E743" s="5" t="s">
        <v>491</v>
      </c>
      <c r="F743" s="9">
        <v>29</v>
      </c>
      <c r="G743" s="9">
        <v>295</v>
      </c>
      <c r="H743" s="5" t="s">
        <v>21</v>
      </c>
      <c r="I743" s="5" t="s">
        <v>1832</v>
      </c>
      <c r="J743" s="12" t="str">
        <f>HYPERLINK("https://www.boe.es/gazeta/dias/1800/04/11/pdfs/GMD-1800-29.pdf#page=3","Abrir facsímil")</f>
        <v>Abrir facsímil</v>
      </c>
      <c r="K743" s="15" t="s">
        <v>23</v>
      </c>
    </row>
    <row r="744" spans="1:11" ht="42" customHeight="1">
      <c r="A744" s="4" t="s">
        <v>1833</v>
      </c>
      <c r="B744" s="5" t="s">
        <v>1834</v>
      </c>
      <c r="C744" s="5" t="s">
        <v>41</v>
      </c>
      <c r="D744" s="5" t="s">
        <v>42</v>
      </c>
      <c r="E744" s="5" t="s">
        <v>139</v>
      </c>
      <c r="F744" s="9">
        <v>2</v>
      </c>
      <c r="G744" s="9">
        <v>12</v>
      </c>
      <c r="H744" s="5" t="s">
        <v>21</v>
      </c>
      <c r="I744" s="5" t="s">
        <v>1835</v>
      </c>
      <c r="J744" s="12" t="str">
        <f>HYPERLINK("https://www.boe.es/gazeta/dias/1800/01/07/pdfs/GMD-1800-2.pdf#page=4","Abrir facsímil")</f>
        <v>Abrir facsímil</v>
      </c>
      <c r="K744" s="15" t="s">
        <v>23</v>
      </c>
    </row>
    <row r="745" spans="1:11" ht="42" customHeight="1">
      <c r="A745" s="4" t="s">
        <v>1833</v>
      </c>
      <c r="B745" s="5" t="s">
        <v>1834</v>
      </c>
      <c r="C745" s="5" t="s">
        <v>54</v>
      </c>
      <c r="D745" s="5" t="s">
        <v>55</v>
      </c>
      <c r="E745" s="5" t="s">
        <v>1213</v>
      </c>
      <c r="F745" s="9">
        <v>4</v>
      </c>
      <c r="G745" s="9">
        <v>31</v>
      </c>
      <c r="H745" s="5" t="s">
        <v>21</v>
      </c>
      <c r="I745" s="5" t="s">
        <v>1836</v>
      </c>
      <c r="J745" s="12" t="str">
        <f>HYPERLINK("https://www.boe.es/gazeta/dias/1800/01/14/pdfs/GMD-1800-4.pdf#page=3","Abrir facsímil")</f>
        <v>Abrir facsímil</v>
      </c>
      <c r="K745" s="15" t="s">
        <v>23</v>
      </c>
    </row>
    <row r="746" spans="1:11" ht="42" customHeight="1">
      <c r="A746" s="4" t="s">
        <v>1833</v>
      </c>
      <c r="B746" s="5" t="s">
        <v>1834</v>
      </c>
      <c r="C746" s="5" t="s">
        <v>41</v>
      </c>
      <c r="D746" s="5" t="s">
        <v>42</v>
      </c>
      <c r="E746" s="5" t="s">
        <v>230</v>
      </c>
      <c r="F746" s="9">
        <v>35</v>
      </c>
      <c r="G746" s="9">
        <v>351</v>
      </c>
      <c r="H746" s="5" t="s">
        <v>21</v>
      </c>
      <c r="I746" s="5" t="s">
        <v>1837</v>
      </c>
      <c r="J746" s="12" t="str">
        <f>HYPERLINK("https://www.boe.es/gazeta/dias/1800/05/02/pdfs/GMD-1800-35.pdf#page=3","Abrir facsímil")</f>
        <v>Abrir facsímil</v>
      </c>
      <c r="K746" s="15" t="s">
        <v>23</v>
      </c>
    </row>
    <row r="747" spans="1:11" ht="42" customHeight="1">
      <c r="A747" s="4" t="s">
        <v>1833</v>
      </c>
      <c r="B747" s="5" t="s">
        <v>1834</v>
      </c>
      <c r="C747" s="5" t="s">
        <v>41</v>
      </c>
      <c r="D747" s="5" t="s">
        <v>42</v>
      </c>
      <c r="E747" s="5" t="s">
        <v>1231</v>
      </c>
      <c r="F747" s="9">
        <v>36</v>
      </c>
      <c r="G747" s="9">
        <v>359</v>
      </c>
      <c r="H747" s="5" t="s">
        <v>21</v>
      </c>
      <c r="I747" s="5" t="s">
        <v>1838</v>
      </c>
      <c r="J747" s="12" t="str">
        <f>HYPERLINK("https://www.boe.es/gazeta/dias/1800/05/06/pdfs/GMD-1800-36.pdf#page=3","Abrir facsímil")</f>
        <v>Abrir facsímil</v>
      </c>
      <c r="K747" s="15" t="s">
        <v>23</v>
      </c>
    </row>
    <row r="748" spans="1:11" ht="42" customHeight="1">
      <c r="A748" s="4" t="s">
        <v>1833</v>
      </c>
      <c r="B748" s="5" t="s">
        <v>1834</v>
      </c>
      <c r="C748" s="5" t="s">
        <v>41</v>
      </c>
      <c r="D748" s="5" t="s">
        <v>42</v>
      </c>
      <c r="E748" s="5" t="s">
        <v>299</v>
      </c>
      <c r="F748" s="9">
        <v>40</v>
      </c>
      <c r="G748" s="9">
        <v>408</v>
      </c>
      <c r="H748" s="5" t="s">
        <v>21</v>
      </c>
      <c r="I748" s="5" t="s">
        <v>1839</v>
      </c>
      <c r="J748" s="12" t="str">
        <f>HYPERLINK("https://www.boe.es/gazeta/dias/1800/05/20/pdfs/GMD-1800-40.pdf#page=4","Abrir facsímil")</f>
        <v>Abrir facsímil</v>
      </c>
      <c r="K748" s="15" t="s">
        <v>23</v>
      </c>
    </row>
    <row r="749" spans="1:11" ht="42" customHeight="1">
      <c r="A749" s="4" t="s">
        <v>1833</v>
      </c>
      <c r="B749" s="5" t="s">
        <v>1834</v>
      </c>
      <c r="C749" s="5" t="s">
        <v>18</v>
      </c>
      <c r="D749" s="5" t="s">
        <v>19</v>
      </c>
      <c r="E749" s="5" t="s">
        <v>214</v>
      </c>
      <c r="F749" s="9">
        <v>41</v>
      </c>
      <c r="G749" s="9">
        <v>418</v>
      </c>
      <c r="H749" s="5" t="s">
        <v>21</v>
      </c>
      <c r="I749" s="5" t="s">
        <v>1840</v>
      </c>
      <c r="J749" s="12" t="str">
        <f>HYPERLINK("https://www.boe.es/gazeta/dias/1800/05/23/pdfs/GMD-1800-41.pdf#page=2","Abrir facsímil")</f>
        <v>Abrir facsímil</v>
      </c>
      <c r="K749" s="15" t="s">
        <v>23</v>
      </c>
    </row>
    <row r="750" spans="1:11" ht="42" customHeight="1">
      <c r="A750" s="4" t="s">
        <v>1833</v>
      </c>
      <c r="B750" s="5" t="s">
        <v>1834</v>
      </c>
      <c r="C750" s="5" t="s">
        <v>18</v>
      </c>
      <c r="D750" s="5" t="s">
        <v>19</v>
      </c>
      <c r="E750" s="5" t="s">
        <v>845</v>
      </c>
      <c r="F750" s="9">
        <v>80</v>
      </c>
      <c r="G750" s="9">
        <v>905</v>
      </c>
      <c r="H750" s="5" t="s">
        <v>21</v>
      </c>
      <c r="I750" s="5" t="s">
        <v>1841</v>
      </c>
      <c r="J750" s="12" t="str">
        <f>HYPERLINK("https://www.boe.es/gazeta/dias/1800/10/03/pdfs/GMD-1800-80.pdf#page=3","Abrir facsímil")</f>
        <v>Abrir facsímil</v>
      </c>
      <c r="K750" s="15" t="s">
        <v>23</v>
      </c>
    </row>
    <row r="751" spans="1:11" ht="42" customHeight="1">
      <c r="A751" s="4" t="s">
        <v>1842</v>
      </c>
      <c r="B751" s="5" t="s">
        <v>1843</v>
      </c>
      <c r="C751" s="5" t="s">
        <v>207</v>
      </c>
      <c r="D751" s="5" t="s">
        <v>55</v>
      </c>
      <c r="E751" s="5" t="s">
        <v>845</v>
      </c>
      <c r="F751" s="9">
        <v>80</v>
      </c>
      <c r="G751" s="9">
        <v>905</v>
      </c>
      <c r="H751" s="5" t="s">
        <v>21</v>
      </c>
      <c r="I751" s="5" t="s">
        <v>1844</v>
      </c>
      <c r="J751" s="12" t="str">
        <f>HYPERLINK("https://www.boe.es/gazeta/dias/1800/10/03/pdfs/GMD-1800-80.pdf#page=3","Abrir facsímil")</f>
        <v>Abrir facsímil</v>
      </c>
      <c r="K751" s="15" t="s">
        <v>23</v>
      </c>
    </row>
    <row r="752" spans="1:11" ht="42" customHeight="1">
      <c r="A752" s="4" t="s">
        <v>1845</v>
      </c>
      <c r="B752" s="5" t="s">
        <v>1846</v>
      </c>
      <c r="C752" s="5" t="s">
        <v>207</v>
      </c>
      <c r="D752" s="5" t="s">
        <v>55</v>
      </c>
      <c r="E752" s="5" t="s">
        <v>101</v>
      </c>
      <c r="F752" s="9">
        <v>37</v>
      </c>
      <c r="G752" s="9">
        <v>380</v>
      </c>
      <c r="H752" s="5" t="s">
        <v>21</v>
      </c>
      <c r="I752" s="5" t="s">
        <v>1847</v>
      </c>
      <c r="J752" s="12" t="str">
        <f>HYPERLINK("https://www.boe.es/gazeta/dias/1800/05/09/pdfs/GMD-1800-37.pdf#page=12","Abrir facsímil")</f>
        <v>Abrir facsímil</v>
      </c>
      <c r="K752" s="15" t="s">
        <v>23</v>
      </c>
    </row>
    <row r="753" spans="1:11" ht="42" customHeight="1">
      <c r="A753" s="4" t="s">
        <v>1848</v>
      </c>
      <c r="B753" s="5" t="s">
        <v>1849</v>
      </c>
      <c r="C753" s="5" t="s">
        <v>25</v>
      </c>
      <c r="D753" s="5" t="s">
        <v>26</v>
      </c>
      <c r="E753" s="5" t="s">
        <v>314</v>
      </c>
      <c r="F753" s="9">
        <v>74</v>
      </c>
      <c r="G753" s="9">
        <v>830</v>
      </c>
      <c r="H753" s="5" t="s">
        <v>21</v>
      </c>
      <c r="I753" s="5" t="s">
        <v>1850</v>
      </c>
      <c r="J753" s="12" t="str">
        <f>HYPERLINK("https://www.boe.es/gazeta/dias/1800/09/12/pdfs/GMD-1800-74.pdf#page=8","Abrir facsímil")</f>
        <v>Abrir facsímil</v>
      </c>
      <c r="K753" s="15" t="s">
        <v>23</v>
      </c>
    </row>
    <row r="754" spans="1:11" ht="42" customHeight="1">
      <c r="A754" s="4" t="s">
        <v>1851</v>
      </c>
      <c r="B754" s="5" t="s">
        <v>1851</v>
      </c>
      <c r="C754" s="5" t="s">
        <v>41</v>
      </c>
      <c r="D754" s="5" t="s">
        <v>42</v>
      </c>
      <c r="E754" s="5" t="s">
        <v>162</v>
      </c>
      <c r="F754" s="9">
        <v>15</v>
      </c>
      <c r="G754" s="9">
        <v>137</v>
      </c>
      <c r="H754" s="5" t="s">
        <v>21</v>
      </c>
      <c r="I754" s="5" t="s">
        <v>1852</v>
      </c>
      <c r="J754" s="12" t="str">
        <f>HYPERLINK("https://www.boe.es/gazeta/dias/1800/02/21/pdfs/GMD-1800-15.pdf#page=1","Abrir facsímil")</f>
        <v>Abrir facsímil</v>
      </c>
      <c r="K754" s="15" t="s">
        <v>23</v>
      </c>
    </row>
    <row r="755" spans="1:11" ht="42" customHeight="1">
      <c r="A755" s="4" t="s">
        <v>1853</v>
      </c>
      <c r="B755" s="5" t="s">
        <v>1854</v>
      </c>
      <c r="C755" s="5" t="s">
        <v>18</v>
      </c>
      <c r="D755" s="5" t="s">
        <v>19</v>
      </c>
      <c r="E755" s="5" t="s">
        <v>299</v>
      </c>
      <c r="F755" s="9">
        <v>40</v>
      </c>
      <c r="G755" s="9">
        <v>413</v>
      </c>
      <c r="H755" s="5" t="s">
        <v>21</v>
      </c>
      <c r="I755" s="5" t="s">
        <v>1855</v>
      </c>
      <c r="J755" s="12" t="str">
        <f>HYPERLINK("https://www.boe.es/gazeta/dias/1800/05/20/pdfs/GMD-1800-40.pdf#page=9","Abrir facsímil")</f>
        <v>Abrir facsímil</v>
      </c>
      <c r="K755" s="15" t="s">
        <v>23</v>
      </c>
    </row>
    <row r="756" spans="1:11" ht="42" customHeight="1">
      <c r="A756" s="4" t="s">
        <v>1856</v>
      </c>
      <c r="B756" s="5" t="s">
        <v>1857</v>
      </c>
      <c r="C756" s="5" t="s">
        <v>54</v>
      </c>
      <c r="D756" s="5" t="s">
        <v>55</v>
      </c>
      <c r="E756" s="5" t="s">
        <v>88</v>
      </c>
      <c r="F756" s="9">
        <v>23</v>
      </c>
      <c r="G756" s="9">
        <v>232</v>
      </c>
      <c r="H756" s="5" t="s">
        <v>21</v>
      </c>
      <c r="I756" s="5" t="s">
        <v>1858</v>
      </c>
      <c r="J756" s="12" t="str">
        <f>HYPERLINK("https://www.boe.es/gazeta/dias/1800/03/21/pdfs/GMD-1800-23.pdf#page=8","Abrir facsímil")</f>
        <v>Abrir facsímil</v>
      </c>
      <c r="K756" s="15" t="s">
        <v>23</v>
      </c>
    </row>
    <row r="757" spans="1:11" ht="42" customHeight="1">
      <c r="A757" s="4" t="s">
        <v>1856</v>
      </c>
      <c r="B757" s="5" t="s">
        <v>1857</v>
      </c>
      <c r="C757" s="5" t="s">
        <v>25</v>
      </c>
      <c r="D757" s="5" t="s">
        <v>26</v>
      </c>
      <c r="E757" s="5" t="s">
        <v>346</v>
      </c>
      <c r="F757" s="9">
        <v>24</v>
      </c>
      <c r="G757" s="9">
        <v>244</v>
      </c>
      <c r="H757" s="5" t="s">
        <v>21</v>
      </c>
      <c r="I757" s="5" t="s">
        <v>1859</v>
      </c>
      <c r="J757" s="12" t="str">
        <f>HYPERLINK("https://www.boe.es/gazeta/dias/1800/03/25/pdfs/GMD-1800-24.pdf#page=8","Abrir facsímil")</f>
        <v>Abrir facsímil</v>
      </c>
      <c r="K757" s="15" t="s">
        <v>23</v>
      </c>
    </row>
    <row r="758" spans="1:11" ht="42" customHeight="1">
      <c r="A758" s="4" t="s">
        <v>1856</v>
      </c>
      <c r="B758" s="5" t="s">
        <v>1857</v>
      </c>
      <c r="C758" s="5" t="s">
        <v>54</v>
      </c>
      <c r="D758" s="5" t="s">
        <v>55</v>
      </c>
      <c r="E758" s="5" t="s">
        <v>158</v>
      </c>
      <c r="F758" s="9">
        <v>25</v>
      </c>
      <c r="G758" s="9">
        <v>257</v>
      </c>
      <c r="H758" s="5" t="s">
        <v>21</v>
      </c>
      <c r="I758" s="5" t="s">
        <v>1860</v>
      </c>
      <c r="J758" s="12" t="str">
        <f>HYPERLINK("https://www.boe.es/gazeta/dias/1800/03/28/pdfs/GMD-1800-25.pdf#page=9","Abrir facsímil")</f>
        <v>Abrir facsímil</v>
      </c>
      <c r="K758" s="15" t="s">
        <v>23</v>
      </c>
    </row>
    <row r="759" spans="1:11" ht="42" customHeight="1">
      <c r="A759" s="4" t="s">
        <v>1861</v>
      </c>
      <c r="B759" s="5" t="s">
        <v>1862</v>
      </c>
      <c r="C759" s="5" t="s">
        <v>18</v>
      </c>
      <c r="D759" s="5" t="s">
        <v>19</v>
      </c>
      <c r="E759" s="5" t="s">
        <v>583</v>
      </c>
      <c r="F759" s="9">
        <v>77</v>
      </c>
      <c r="G759" s="9">
        <v>878</v>
      </c>
      <c r="H759" s="5" t="s">
        <v>21</v>
      </c>
      <c r="I759" s="5" t="s">
        <v>1863</v>
      </c>
      <c r="J759" s="12" t="str">
        <f>HYPERLINK("https://www.boe.es/gazeta/dias/1800/09/23/pdfs/GMD-1800-77.pdf#page=8","Abrir facsímil")</f>
        <v>Abrir facsímil</v>
      </c>
      <c r="K759" s="15" t="s">
        <v>23</v>
      </c>
    </row>
    <row r="760" spans="1:11" ht="42" customHeight="1">
      <c r="A760" s="4" t="s">
        <v>1864</v>
      </c>
      <c r="B760" s="5" t="s">
        <v>1864</v>
      </c>
      <c r="C760" s="5" t="s">
        <v>41</v>
      </c>
      <c r="D760" s="5" t="s">
        <v>42</v>
      </c>
      <c r="E760" s="5" t="s">
        <v>88</v>
      </c>
      <c r="F760" s="9">
        <v>23</v>
      </c>
      <c r="G760" s="9">
        <v>226</v>
      </c>
      <c r="H760" s="5" t="s">
        <v>21</v>
      </c>
      <c r="I760" s="5" t="s">
        <v>1865</v>
      </c>
      <c r="J760" s="12" t="str">
        <f>HYPERLINK("https://www.boe.es/gazeta/dias/1800/03/21/pdfs/GMD-1800-23.pdf#page=2","Abrir facsímil")</f>
        <v>Abrir facsímil</v>
      </c>
      <c r="K760" s="15" t="s">
        <v>23</v>
      </c>
    </row>
    <row r="761" spans="1:11" ht="42" customHeight="1">
      <c r="A761" s="4" t="s">
        <v>1864</v>
      </c>
      <c r="B761" s="5" t="s">
        <v>1864</v>
      </c>
      <c r="C761" s="5" t="s">
        <v>41</v>
      </c>
      <c r="D761" s="5" t="s">
        <v>42</v>
      </c>
      <c r="E761" s="5" t="s">
        <v>88</v>
      </c>
      <c r="F761" s="9">
        <v>23</v>
      </c>
      <c r="G761" s="9">
        <v>227</v>
      </c>
      <c r="H761" s="5" t="s">
        <v>21</v>
      </c>
      <c r="I761" s="5" t="s">
        <v>1866</v>
      </c>
      <c r="J761" s="12" t="str">
        <f>HYPERLINK("https://www.boe.es/gazeta/dias/1800/03/21/pdfs/GMD-1800-23.pdf#page=3","Abrir facsímil")</f>
        <v>Abrir facsímil</v>
      </c>
      <c r="K761" s="15" t="s">
        <v>23</v>
      </c>
    </row>
    <row r="762" spans="1:11" ht="42" customHeight="1">
      <c r="A762" s="4" t="s">
        <v>1867</v>
      </c>
      <c r="B762" s="5" t="s">
        <v>1868</v>
      </c>
      <c r="C762" s="5" t="s">
        <v>18</v>
      </c>
      <c r="D762" s="5" t="s">
        <v>19</v>
      </c>
      <c r="E762" s="5" t="s">
        <v>20</v>
      </c>
      <c r="F762" s="9">
        <v>104</v>
      </c>
      <c r="G762" s="9">
        <v>1209</v>
      </c>
      <c r="H762" s="5" t="s">
        <v>21</v>
      </c>
      <c r="I762" s="5" t="s">
        <v>1869</v>
      </c>
      <c r="J762" s="12" t="str">
        <f>HYPERLINK("https://www.boe.es/gazeta/dias/1800/12/26/pdfs/GMD-1800-104.pdf#page=9","Abrir facsímil")</f>
        <v>Abrir facsímil</v>
      </c>
      <c r="K762" s="15" t="s">
        <v>23</v>
      </c>
    </row>
    <row r="763" spans="1:11" ht="42" customHeight="1">
      <c r="A763" s="4" t="s">
        <v>1870</v>
      </c>
      <c r="B763" s="5" t="s">
        <v>1871</v>
      </c>
      <c r="C763" s="5" t="s">
        <v>18</v>
      </c>
      <c r="D763" s="5" t="s">
        <v>19</v>
      </c>
      <c r="E763" s="5" t="s">
        <v>583</v>
      </c>
      <c r="F763" s="9">
        <v>77</v>
      </c>
      <c r="G763" s="9">
        <v>878</v>
      </c>
      <c r="H763" s="5" t="s">
        <v>21</v>
      </c>
      <c r="I763" s="5" t="s">
        <v>1872</v>
      </c>
      <c r="J763" s="12" t="str">
        <f>HYPERLINK("https://www.boe.es/gazeta/dias/1800/09/23/pdfs/GMD-1800-77.pdf#page=8","Abrir facsímil")</f>
        <v>Abrir facsímil</v>
      </c>
      <c r="K763" s="15" t="s">
        <v>23</v>
      </c>
    </row>
    <row r="764" spans="1:11" ht="42" customHeight="1">
      <c r="A764" s="4" t="s">
        <v>1873</v>
      </c>
      <c r="B764" s="5" t="s">
        <v>1874</v>
      </c>
      <c r="C764" s="5" t="s">
        <v>18</v>
      </c>
      <c r="D764" s="5" t="s">
        <v>19</v>
      </c>
      <c r="E764" s="5" t="s">
        <v>306</v>
      </c>
      <c r="F764" s="9">
        <v>79</v>
      </c>
      <c r="G764" s="9">
        <v>901</v>
      </c>
      <c r="H764" s="5" t="s">
        <v>21</v>
      </c>
      <c r="I764" s="5" t="s">
        <v>1875</v>
      </c>
      <c r="J764" s="12" t="str">
        <f>HYPERLINK("https://www.boe.es/gazeta/dias/1800/09/30/pdfs/GMD-1800-79.pdf#page=11","Abrir facsímil")</f>
        <v>Abrir facsímil</v>
      </c>
      <c r="K764" s="15" t="s">
        <v>23</v>
      </c>
    </row>
    <row r="765" spans="1:11" ht="42" customHeight="1">
      <c r="A765" s="4" t="s">
        <v>1876</v>
      </c>
      <c r="B765" s="5" t="s">
        <v>1877</v>
      </c>
      <c r="C765" s="5" t="s">
        <v>54</v>
      </c>
      <c r="D765" s="5" t="s">
        <v>55</v>
      </c>
      <c r="E765" s="5" t="s">
        <v>346</v>
      </c>
      <c r="F765" s="9">
        <v>24</v>
      </c>
      <c r="G765" s="9">
        <v>247</v>
      </c>
      <c r="H765" s="5" t="s">
        <v>21</v>
      </c>
      <c r="I765" s="5" t="s">
        <v>1878</v>
      </c>
      <c r="J765" s="12" t="str">
        <f>HYPERLINK("https://www.boe.es/gazeta/dias/1800/03/25/pdfs/GMD-1800-24.pdf#page=11","Abrir facsímil")</f>
        <v>Abrir facsímil</v>
      </c>
      <c r="K765" s="15" t="s">
        <v>23</v>
      </c>
    </row>
    <row r="766" spans="1:11" ht="42" customHeight="1">
      <c r="A766" s="4" t="s">
        <v>1879</v>
      </c>
      <c r="B766" s="5" t="s">
        <v>1880</v>
      </c>
      <c r="C766" s="5" t="s">
        <v>41</v>
      </c>
      <c r="D766" s="5" t="s">
        <v>42</v>
      </c>
      <c r="E766" s="5" t="s">
        <v>248</v>
      </c>
      <c r="F766" s="9">
        <v>33</v>
      </c>
      <c r="G766" s="9">
        <v>328</v>
      </c>
      <c r="H766" s="5" t="s">
        <v>21</v>
      </c>
      <c r="I766" s="5" t="s">
        <v>1881</v>
      </c>
      <c r="J766" s="12" t="str">
        <f>HYPERLINK("https://www.boe.es/gazeta/dias/1800/04/25/pdfs/GMD-1800-33.pdf#page=4","Abrir facsímil")</f>
        <v>Abrir facsímil</v>
      </c>
      <c r="K766" s="15" t="s">
        <v>23</v>
      </c>
    </row>
    <row r="767" spans="1:11" ht="42" customHeight="1">
      <c r="A767" s="4" t="s">
        <v>1882</v>
      </c>
      <c r="B767" s="5" t="s">
        <v>1883</v>
      </c>
      <c r="C767" s="5" t="s">
        <v>18</v>
      </c>
      <c r="D767" s="5" t="s">
        <v>19</v>
      </c>
      <c r="E767" s="5" t="s">
        <v>244</v>
      </c>
      <c r="F767" s="9">
        <v>9</v>
      </c>
      <c r="G767" s="9">
        <v>82</v>
      </c>
      <c r="H767" s="5" t="s">
        <v>21</v>
      </c>
      <c r="I767" s="5" t="s">
        <v>1884</v>
      </c>
      <c r="J767" s="12" t="str">
        <f>HYPERLINK("https://www.boe.es/gazeta/dias/1800/01/31/pdfs/GMD-1800-9.pdf#page=6","Abrir facsímil")</f>
        <v>Abrir facsímil</v>
      </c>
      <c r="K767" s="15" t="s">
        <v>23</v>
      </c>
    </row>
    <row r="768" spans="1:11" ht="42" customHeight="1">
      <c r="A768" s="4" t="s">
        <v>1882</v>
      </c>
      <c r="B768" s="5" t="s">
        <v>1883</v>
      </c>
      <c r="C768" s="5" t="s">
        <v>41</v>
      </c>
      <c r="D768" s="5" t="s">
        <v>42</v>
      </c>
      <c r="E768" s="5" t="s">
        <v>86</v>
      </c>
      <c r="F768" s="9">
        <v>17</v>
      </c>
      <c r="G768" s="9">
        <v>158</v>
      </c>
      <c r="H768" s="5" t="s">
        <v>21</v>
      </c>
      <c r="I768" s="5" t="s">
        <v>1885</v>
      </c>
      <c r="J768" s="12" t="str">
        <f>HYPERLINK("https://www.boe.es/gazeta/dias/1800/02/28/pdfs/GMD-1800-17.pdf#page=6","Abrir facsímil")</f>
        <v>Abrir facsímil</v>
      </c>
      <c r="K768" s="15" t="s">
        <v>23</v>
      </c>
    </row>
    <row r="769" spans="1:11" ht="42" customHeight="1">
      <c r="A769" s="4" t="s">
        <v>1886</v>
      </c>
      <c r="B769" s="5" t="s">
        <v>1886</v>
      </c>
      <c r="C769" s="5" t="s">
        <v>18</v>
      </c>
      <c r="D769" s="5" t="s">
        <v>19</v>
      </c>
      <c r="E769" s="5" t="s">
        <v>545</v>
      </c>
      <c r="F769" s="9">
        <v>14</v>
      </c>
      <c r="G769" s="9">
        <v>133</v>
      </c>
      <c r="H769" s="5" t="s">
        <v>21</v>
      </c>
      <c r="I769" s="5" t="s">
        <v>1887</v>
      </c>
      <c r="J769" s="12" t="str">
        <f>HYPERLINK("https://www.boe.es/gazeta/dias/1800/02/18/pdfs/GMD-1800-14.pdf#page=5","Abrir facsímil")</f>
        <v>Abrir facsímil</v>
      </c>
      <c r="K769" s="15" t="s">
        <v>23</v>
      </c>
    </row>
    <row r="770" spans="1:11" ht="42" customHeight="1">
      <c r="A770" s="4" t="s">
        <v>1886</v>
      </c>
      <c r="B770" s="5" t="s">
        <v>1886</v>
      </c>
      <c r="C770" s="5" t="s">
        <v>41</v>
      </c>
      <c r="D770" s="5" t="s">
        <v>42</v>
      </c>
      <c r="E770" s="5" t="s">
        <v>162</v>
      </c>
      <c r="F770" s="9">
        <v>15</v>
      </c>
      <c r="G770" s="9">
        <v>140</v>
      </c>
      <c r="H770" s="5" t="s">
        <v>21</v>
      </c>
      <c r="I770" s="5" t="s">
        <v>1888</v>
      </c>
      <c r="J770" s="12" t="str">
        <f>HYPERLINK("https://www.boe.es/gazeta/dias/1800/02/21/pdfs/GMD-1800-15.pdf#page=4","Abrir facsímil")</f>
        <v>Abrir facsímil</v>
      </c>
      <c r="K770" s="15" t="s">
        <v>23</v>
      </c>
    </row>
    <row r="771" spans="1:11" ht="42" customHeight="1">
      <c r="A771" s="4" t="s">
        <v>1886</v>
      </c>
      <c r="B771" s="5" t="s">
        <v>1886</v>
      </c>
      <c r="C771" s="5" t="s">
        <v>41</v>
      </c>
      <c r="D771" s="5" t="s">
        <v>42</v>
      </c>
      <c r="E771" s="5" t="s">
        <v>143</v>
      </c>
      <c r="F771" s="9">
        <v>22</v>
      </c>
      <c r="G771" s="9">
        <v>216</v>
      </c>
      <c r="H771" s="5" t="s">
        <v>21</v>
      </c>
      <c r="I771" s="5" t="s">
        <v>1889</v>
      </c>
      <c r="J771" s="12" t="str">
        <f>HYPERLINK("https://www.boe.es/gazeta/dias/1800/03/18/pdfs/GMD-1800-22.pdf#page=8","Abrir facsímil")</f>
        <v>Abrir facsímil</v>
      </c>
      <c r="K771" s="15" t="s">
        <v>23</v>
      </c>
    </row>
    <row r="772" spans="1:11" ht="42" customHeight="1">
      <c r="A772" s="4" t="s">
        <v>1886</v>
      </c>
      <c r="B772" s="5" t="s">
        <v>1886</v>
      </c>
      <c r="C772" s="5" t="s">
        <v>41</v>
      </c>
      <c r="D772" s="5" t="s">
        <v>42</v>
      </c>
      <c r="E772" s="5" t="s">
        <v>299</v>
      </c>
      <c r="F772" s="9">
        <v>40</v>
      </c>
      <c r="G772" s="9">
        <v>409</v>
      </c>
      <c r="H772" s="5" t="s">
        <v>21</v>
      </c>
      <c r="I772" s="5" t="s">
        <v>1890</v>
      </c>
      <c r="J772" s="12" t="str">
        <f>HYPERLINK("https://www.boe.es/gazeta/dias/1800/05/20/pdfs/GMD-1800-40.pdf#page=5","Abrir facsímil")</f>
        <v>Abrir facsímil</v>
      </c>
      <c r="K772" s="15" t="s">
        <v>23</v>
      </c>
    </row>
    <row r="773" spans="1:11" ht="42" customHeight="1">
      <c r="A773" s="4" t="s">
        <v>1891</v>
      </c>
      <c r="B773" s="5" t="s">
        <v>1892</v>
      </c>
      <c r="C773" s="5" t="s">
        <v>18</v>
      </c>
      <c r="D773" s="5" t="s">
        <v>19</v>
      </c>
      <c r="E773" s="5" t="s">
        <v>139</v>
      </c>
      <c r="F773" s="9">
        <v>2</v>
      </c>
      <c r="G773" s="9">
        <v>12</v>
      </c>
      <c r="H773" s="5" t="s">
        <v>21</v>
      </c>
      <c r="I773" s="5" t="s">
        <v>1893</v>
      </c>
      <c r="J773" s="12" t="str">
        <f>HYPERLINK("https://www.boe.es/gazeta/dias/1800/01/07/pdfs/GMD-1800-2.pdf#page=4","Abrir facsímil")</f>
        <v>Abrir facsímil</v>
      </c>
      <c r="K773" s="15" t="s">
        <v>23</v>
      </c>
    </row>
    <row r="774" spans="1:11" ht="42" customHeight="1">
      <c r="A774" s="4" t="s">
        <v>1891</v>
      </c>
      <c r="B774" s="5" t="s">
        <v>1892</v>
      </c>
      <c r="C774" s="5" t="s">
        <v>41</v>
      </c>
      <c r="D774" s="5" t="s">
        <v>42</v>
      </c>
      <c r="E774" s="5" t="s">
        <v>567</v>
      </c>
      <c r="F774" s="9">
        <v>3</v>
      </c>
      <c r="G774" s="9">
        <v>23</v>
      </c>
      <c r="H774" s="5" t="s">
        <v>21</v>
      </c>
      <c r="I774" s="5" t="s">
        <v>1894</v>
      </c>
      <c r="J774" s="12" t="str">
        <f>HYPERLINK("https://www.boe.es/gazeta/dias/1800/01/10/pdfs/GMD-1800-3.pdf#page=3","Abrir facsímil")</f>
        <v>Abrir facsímil</v>
      </c>
      <c r="K774" s="15" t="s">
        <v>23</v>
      </c>
    </row>
    <row r="775" spans="1:11" ht="42" customHeight="1">
      <c r="A775" s="4" t="s">
        <v>1891</v>
      </c>
      <c r="B775" s="5" t="s">
        <v>1892</v>
      </c>
      <c r="C775" s="5" t="s">
        <v>41</v>
      </c>
      <c r="D775" s="5" t="s">
        <v>42</v>
      </c>
      <c r="E775" s="5" t="s">
        <v>244</v>
      </c>
      <c r="F775" s="9">
        <v>9</v>
      </c>
      <c r="G775" s="9">
        <v>81</v>
      </c>
      <c r="H775" s="5" t="s">
        <v>21</v>
      </c>
      <c r="I775" s="5" t="s">
        <v>1895</v>
      </c>
      <c r="J775" s="12" t="str">
        <f>HYPERLINK("https://www.boe.es/gazeta/dias/1800/01/31/pdfs/GMD-1800-9.pdf#page=5","Abrir facsímil")</f>
        <v>Abrir facsímil</v>
      </c>
      <c r="K775" s="15" t="s">
        <v>23</v>
      </c>
    </row>
    <row r="776" spans="1:11" ht="42" customHeight="1">
      <c r="A776" s="4" t="s">
        <v>1891</v>
      </c>
      <c r="B776" s="5" t="s">
        <v>1892</v>
      </c>
      <c r="C776" s="5" t="s">
        <v>18</v>
      </c>
      <c r="D776" s="5" t="s">
        <v>19</v>
      </c>
      <c r="E776" s="5" t="s">
        <v>1433</v>
      </c>
      <c r="F776" s="9">
        <v>12</v>
      </c>
      <c r="G776" s="9">
        <v>113</v>
      </c>
      <c r="H776" s="5" t="s">
        <v>21</v>
      </c>
      <c r="I776" s="5" t="s">
        <v>1896</v>
      </c>
      <c r="J776" s="12" t="str">
        <f>HYPERLINK("https://www.boe.es/gazeta/dias/1800/02/11/pdfs/GMD-1800-12.pdf#page=5","Abrir facsímil")</f>
        <v>Abrir facsímil</v>
      </c>
      <c r="K776" s="15" t="s">
        <v>23</v>
      </c>
    </row>
    <row r="777" spans="1:11" ht="42" customHeight="1">
      <c r="A777" s="4" t="s">
        <v>1891</v>
      </c>
      <c r="B777" s="5" t="s">
        <v>1892</v>
      </c>
      <c r="C777" s="5" t="s">
        <v>41</v>
      </c>
      <c r="D777" s="5" t="s">
        <v>42</v>
      </c>
      <c r="E777" s="5" t="s">
        <v>162</v>
      </c>
      <c r="F777" s="9">
        <v>15</v>
      </c>
      <c r="G777" s="9">
        <v>140</v>
      </c>
      <c r="H777" s="5" t="s">
        <v>21</v>
      </c>
      <c r="I777" s="5" t="s">
        <v>1897</v>
      </c>
      <c r="J777" s="12" t="str">
        <f>HYPERLINK("https://www.boe.es/gazeta/dias/1800/02/21/pdfs/GMD-1800-15.pdf#page=4","Abrir facsímil")</f>
        <v>Abrir facsímil</v>
      </c>
      <c r="K777" s="15" t="s">
        <v>23</v>
      </c>
    </row>
    <row r="778" spans="1:11" ht="42" customHeight="1">
      <c r="A778" s="4" t="s">
        <v>1891</v>
      </c>
      <c r="B778" s="5" t="s">
        <v>1892</v>
      </c>
      <c r="C778" s="5" t="s">
        <v>41</v>
      </c>
      <c r="D778" s="5" t="s">
        <v>42</v>
      </c>
      <c r="E778" s="5" t="s">
        <v>461</v>
      </c>
      <c r="F778" s="9">
        <v>18</v>
      </c>
      <c r="G778" s="9">
        <v>167</v>
      </c>
      <c r="H778" s="5" t="s">
        <v>21</v>
      </c>
      <c r="I778" s="5" t="s">
        <v>1898</v>
      </c>
      <c r="J778" s="12" t="str">
        <f>HYPERLINK("https://www.boe.es/datos/pdfs/BOE//1800/018/C00173-00176.pdf#page=3","Abrir facsímil")</f>
        <v>Abrir facsímil</v>
      </c>
      <c r="K778" s="15" t="s">
        <v>23</v>
      </c>
    </row>
    <row r="779" spans="1:11" ht="42" customHeight="1">
      <c r="A779" s="4" t="s">
        <v>1891</v>
      </c>
      <c r="B779" s="5" t="s">
        <v>1892</v>
      </c>
      <c r="C779" s="5" t="s">
        <v>41</v>
      </c>
      <c r="D779" s="5" t="s">
        <v>42</v>
      </c>
      <c r="E779" s="5" t="s">
        <v>620</v>
      </c>
      <c r="F779" s="9">
        <v>19</v>
      </c>
      <c r="G779" s="9">
        <v>181</v>
      </c>
      <c r="H779" s="5" t="s">
        <v>21</v>
      </c>
      <c r="I779" s="5" t="s">
        <v>1899</v>
      </c>
      <c r="J779" s="12" t="str">
        <f>HYPERLINK("https://www.boe.es/gazeta/dias/1800/03/07/pdfs/GMD-1800-19.pdf#page=5","Abrir facsímil")</f>
        <v>Abrir facsímil</v>
      </c>
      <c r="K779" s="15" t="s">
        <v>23</v>
      </c>
    </row>
    <row r="780" spans="1:11" ht="42" customHeight="1">
      <c r="A780" s="4" t="s">
        <v>1891</v>
      </c>
      <c r="B780" s="5" t="s">
        <v>1892</v>
      </c>
      <c r="C780" s="5" t="s">
        <v>41</v>
      </c>
      <c r="D780" s="5" t="s">
        <v>42</v>
      </c>
      <c r="E780" s="5" t="s">
        <v>35</v>
      </c>
      <c r="F780" s="9">
        <v>21</v>
      </c>
      <c r="G780" s="9">
        <v>202</v>
      </c>
      <c r="H780" s="5" t="s">
        <v>21</v>
      </c>
      <c r="I780" s="5" t="s">
        <v>1900</v>
      </c>
      <c r="J780" s="12" t="str">
        <f>HYPERLINK("https://www.boe.es/gazeta/dias/1800/03/14/pdfs/GMD-1800-21.pdf#page=6","Abrir facsímil")</f>
        <v>Abrir facsímil</v>
      </c>
      <c r="K780" s="15" t="s">
        <v>23</v>
      </c>
    </row>
    <row r="781" spans="1:11" ht="42" customHeight="1">
      <c r="A781" s="4" t="s">
        <v>1891</v>
      </c>
      <c r="B781" s="5" t="s">
        <v>1892</v>
      </c>
      <c r="C781" s="5" t="s">
        <v>41</v>
      </c>
      <c r="D781" s="5" t="s">
        <v>42</v>
      </c>
      <c r="E781" s="5" t="s">
        <v>143</v>
      </c>
      <c r="F781" s="9">
        <v>22</v>
      </c>
      <c r="G781" s="9">
        <v>216</v>
      </c>
      <c r="H781" s="5" t="s">
        <v>21</v>
      </c>
      <c r="I781" s="5" t="s">
        <v>1901</v>
      </c>
      <c r="J781" s="12" t="str">
        <f>HYPERLINK("https://www.boe.es/gazeta/dias/1800/03/18/pdfs/GMD-1800-22.pdf#page=8","Abrir facsímil")</f>
        <v>Abrir facsímil</v>
      </c>
      <c r="K781" s="15" t="s">
        <v>23</v>
      </c>
    </row>
    <row r="782" spans="1:11" ht="42" customHeight="1">
      <c r="A782" s="4" t="s">
        <v>1891</v>
      </c>
      <c r="B782" s="5" t="s">
        <v>1892</v>
      </c>
      <c r="C782" s="5" t="s">
        <v>41</v>
      </c>
      <c r="D782" s="5" t="s">
        <v>42</v>
      </c>
      <c r="E782" s="5" t="s">
        <v>346</v>
      </c>
      <c r="F782" s="9">
        <v>24</v>
      </c>
      <c r="G782" s="9">
        <v>242</v>
      </c>
      <c r="H782" s="5" t="s">
        <v>21</v>
      </c>
      <c r="I782" s="5" t="s">
        <v>1902</v>
      </c>
      <c r="J782" s="12" t="str">
        <f>HYPERLINK("https://www.boe.es/gazeta/dias/1800/03/25/pdfs/GMD-1800-24.pdf#page=6","Abrir facsímil")</f>
        <v>Abrir facsímil</v>
      </c>
      <c r="K782" s="15" t="s">
        <v>23</v>
      </c>
    </row>
    <row r="783" spans="1:11" ht="42" customHeight="1">
      <c r="A783" s="4" t="s">
        <v>1891</v>
      </c>
      <c r="B783" s="5" t="s">
        <v>1892</v>
      </c>
      <c r="C783" s="5" t="s">
        <v>41</v>
      </c>
      <c r="D783" s="5" t="s">
        <v>42</v>
      </c>
      <c r="E783" s="5" t="s">
        <v>240</v>
      </c>
      <c r="F783" s="9">
        <v>26</v>
      </c>
      <c r="G783" s="9">
        <v>265</v>
      </c>
      <c r="H783" s="5" t="s">
        <v>21</v>
      </c>
      <c r="I783" s="5" t="s">
        <v>1903</v>
      </c>
      <c r="J783" s="12" t="str">
        <f>HYPERLINK("https://www.boe.es/gazeta/dias/1800/04/01/pdfs/GMD-1800-26.pdf#page=5","Abrir facsímil")</f>
        <v>Abrir facsímil</v>
      </c>
      <c r="K783" s="15" t="s">
        <v>23</v>
      </c>
    </row>
    <row r="784" spans="1:11" ht="42" customHeight="1">
      <c r="A784" s="4" t="s">
        <v>1891</v>
      </c>
      <c r="B784" s="5" t="s">
        <v>1892</v>
      </c>
      <c r="C784" s="5" t="s">
        <v>41</v>
      </c>
      <c r="D784" s="5" t="s">
        <v>42</v>
      </c>
      <c r="E784" s="5" t="s">
        <v>226</v>
      </c>
      <c r="F784" s="9">
        <v>27</v>
      </c>
      <c r="G784" s="9">
        <v>278</v>
      </c>
      <c r="H784" s="5" t="s">
        <v>21</v>
      </c>
      <c r="I784" s="5" t="s">
        <v>1904</v>
      </c>
      <c r="J784" s="12" t="str">
        <f>HYPERLINK("https://www.boe.es/gazeta/dias/1800/04/04/pdfs/GMD-1800-27.pdf#page=6","Abrir facsímil")</f>
        <v>Abrir facsímil</v>
      </c>
      <c r="K784" s="15" t="s">
        <v>23</v>
      </c>
    </row>
    <row r="785" spans="1:11" ht="42" customHeight="1">
      <c r="A785" s="4" t="s">
        <v>1891</v>
      </c>
      <c r="B785" s="5" t="s">
        <v>1892</v>
      </c>
      <c r="C785" s="5" t="s">
        <v>41</v>
      </c>
      <c r="D785" s="5" t="s">
        <v>42</v>
      </c>
      <c r="E785" s="5" t="s">
        <v>299</v>
      </c>
      <c r="F785" s="9">
        <v>40</v>
      </c>
      <c r="G785" s="9">
        <v>409</v>
      </c>
      <c r="H785" s="5" t="s">
        <v>21</v>
      </c>
      <c r="I785" s="5" t="s">
        <v>1905</v>
      </c>
      <c r="J785" s="12" t="str">
        <f>HYPERLINK("https://www.boe.es/gazeta/dias/1800/05/20/pdfs/GMD-1800-40.pdf#page=5","Abrir facsímil")</f>
        <v>Abrir facsímil</v>
      </c>
      <c r="K785" s="15" t="s">
        <v>23</v>
      </c>
    </row>
    <row r="786" spans="1:11" ht="42" customHeight="1">
      <c r="A786" s="4" t="s">
        <v>1891</v>
      </c>
      <c r="B786" s="5" t="s">
        <v>1892</v>
      </c>
      <c r="C786" s="5" t="s">
        <v>41</v>
      </c>
      <c r="D786" s="5" t="s">
        <v>42</v>
      </c>
      <c r="E786" s="5" t="s">
        <v>214</v>
      </c>
      <c r="F786" s="9">
        <v>41</v>
      </c>
      <c r="G786" s="9">
        <v>421</v>
      </c>
      <c r="H786" s="5" t="s">
        <v>21</v>
      </c>
      <c r="I786" s="5" t="s">
        <v>1906</v>
      </c>
      <c r="J786" s="12" t="str">
        <f>HYPERLINK("https://www.boe.es/gazeta/dias/1800/05/23/pdfs/GMD-1800-41.pdf#page=5","Abrir facsímil")</f>
        <v>Abrir facsímil</v>
      </c>
      <c r="K786" s="15" t="s">
        <v>23</v>
      </c>
    </row>
    <row r="787" spans="1:11" ht="42" customHeight="1">
      <c r="A787" s="4" t="s">
        <v>1891</v>
      </c>
      <c r="B787" s="5" t="s">
        <v>1892</v>
      </c>
      <c r="C787" s="5" t="s">
        <v>41</v>
      </c>
      <c r="D787" s="5" t="s">
        <v>42</v>
      </c>
      <c r="E787" s="5" t="s">
        <v>43</v>
      </c>
      <c r="F787" s="9">
        <v>46</v>
      </c>
      <c r="G787" s="9">
        <v>483</v>
      </c>
      <c r="H787" s="5" t="s">
        <v>21</v>
      </c>
      <c r="I787" s="5" t="s">
        <v>1907</v>
      </c>
      <c r="J787" s="12" t="str">
        <f>HYPERLINK("https://www.boe.es/gazeta/dias/1800/06/10/pdfs/GMD-1800-46.pdf#page=7","Abrir facsímil")</f>
        <v>Abrir facsímil</v>
      </c>
      <c r="K787" s="15" t="s">
        <v>23</v>
      </c>
    </row>
    <row r="788" spans="1:11" ht="42" customHeight="1">
      <c r="A788" s="4" t="s">
        <v>1891</v>
      </c>
      <c r="B788" s="5" t="s">
        <v>1892</v>
      </c>
      <c r="C788" s="5" t="s">
        <v>41</v>
      </c>
      <c r="D788" s="5" t="s">
        <v>42</v>
      </c>
      <c r="E788" s="5" t="s">
        <v>314</v>
      </c>
      <c r="F788" s="9">
        <v>74</v>
      </c>
      <c r="G788" s="9">
        <v>828</v>
      </c>
      <c r="H788" s="5" t="s">
        <v>21</v>
      </c>
      <c r="I788" s="5" t="s">
        <v>1908</v>
      </c>
      <c r="J788" s="12" t="str">
        <f>HYPERLINK("https://www.boe.es/gazeta/dias/1800/09/12/pdfs/GMD-1800-74.pdf#page=6","Abrir facsímil")</f>
        <v>Abrir facsímil</v>
      </c>
      <c r="K788" s="15" t="s">
        <v>23</v>
      </c>
    </row>
    <row r="789" spans="1:11" ht="42" customHeight="1">
      <c r="A789" s="4" t="s">
        <v>1891</v>
      </c>
      <c r="B789" s="5" t="s">
        <v>1892</v>
      </c>
      <c r="C789" s="5" t="s">
        <v>41</v>
      </c>
      <c r="D789" s="5" t="s">
        <v>42</v>
      </c>
      <c r="E789" s="5" t="s">
        <v>255</v>
      </c>
      <c r="F789" s="9">
        <v>75</v>
      </c>
      <c r="G789" s="9">
        <v>852</v>
      </c>
      <c r="H789" s="5" t="s">
        <v>21</v>
      </c>
      <c r="I789" s="5" t="s">
        <v>1909</v>
      </c>
      <c r="J789" s="12" t="str">
        <f>HYPERLINK("https://www.boe.es/gazeta/dias/1800/09/16/pdfs/GMD-1800-75.pdf#page=6","Abrir facsímil")</f>
        <v>Abrir facsímil</v>
      </c>
      <c r="K789" s="15" t="s">
        <v>23</v>
      </c>
    </row>
    <row r="790" spans="1:11" ht="42" customHeight="1">
      <c r="A790" s="4" t="s">
        <v>1891</v>
      </c>
      <c r="B790" s="5" t="s">
        <v>1892</v>
      </c>
      <c r="C790" s="5" t="s">
        <v>41</v>
      </c>
      <c r="D790" s="5" t="s">
        <v>42</v>
      </c>
      <c r="E790" s="5" t="s">
        <v>583</v>
      </c>
      <c r="F790" s="9">
        <v>77</v>
      </c>
      <c r="G790" s="9">
        <v>877</v>
      </c>
      <c r="H790" s="5" t="s">
        <v>21</v>
      </c>
      <c r="I790" s="5" t="s">
        <v>1910</v>
      </c>
      <c r="J790" s="12" t="str">
        <f>HYPERLINK("https://www.boe.es/gazeta/dias/1800/09/23/pdfs/GMD-1800-77.pdf#page=7","Abrir facsímil")</f>
        <v>Abrir facsímil</v>
      </c>
      <c r="K790" s="15" t="s">
        <v>23</v>
      </c>
    </row>
    <row r="791" spans="1:11" ht="42" customHeight="1">
      <c r="A791" s="4" t="s">
        <v>1891</v>
      </c>
      <c r="B791" s="5" t="s">
        <v>1892</v>
      </c>
      <c r="C791" s="5" t="s">
        <v>41</v>
      </c>
      <c r="D791" s="5" t="s">
        <v>42</v>
      </c>
      <c r="E791" s="5" t="s">
        <v>184</v>
      </c>
      <c r="F791" s="9">
        <v>82</v>
      </c>
      <c r="G791" s="9">
        <v>947</v>
      </c>
      <c r="H791" s="5" t="s">
        <v>21</v>
      </c>
      <c r="I791" s="5" t="s">
        <v>1911</v>
      </c>
      <c r="J791" s="12" t="str">
        <f>HYPERLINK("https://www.boe.es/gazeta/dias/1800/10/10/pdfs/GMD-1800-82.pdf#page=5","Abrir facsímil")</f>
        <v>Abrir facsímil</v>
      </c>
      <c r="K791" s="15" t="s">
        <v>23</v>
      </c>
    </row>
    <row r="792" spans="1:11" ht="42" customHeight="1">
      <c r="A792" s="4" t="s">
        <v>1891</v>
      </c>
      <c r="B792" s="5" t="s">
        <v>1892</v>
      </c>
      <c r="C792" s="5" t="s">
        <v>41</v>
      </c>
      <c r="D792" s="5" t="s">
        <v>42</v>
      </c>
      <c r="E792" s="5" t="s">
        <v>52</v>
      </c>
      <c r="F792" s="9">
        <v>83</v>
      </c>
      <c r="G792" s="9">
        <v>959</v>
      </c>
      <c r="H792" s="5" t="s">
        <v>21</v>
      </c>
      <c r="I792" s="5" t="s">
        <v>1912</v>
      </c>
      <c r="J792" s="12" t="str">
        <f>HYPERLINK("https://www.boe.es/gazeta/dias/1800/10/14/pdfs/GMD-1800-83.pdf#page=5","Abrir facsímil")</f>
        <v>Abrir facsímil</v>
      </c>
      <c r="K792" s="15" t="s">
        <v>23</v>
      </c>
    </row>
    <row r="793" spans="1:11" ht="42" customHeight="1">
      <c r="A793" s="4" t="s">
        <v>1891</v>
      </c>
      <c r="B793" s="5" t="s">
        <v>1892</v>
      </c>
      <c r="C793" s="5" t="s">
        <v>41</v>
      </c>
      <c r="D793" s="5" t="s">
        <v>42</v>
      </c>
      <c r="E793" s="5" t="s">
        <v>176</v>
      </c>
      <c r="F793" s="9">
        <v>88</v>
      </c>
      <c r="G793" s="9">
        <v>1028</v>
      </c>
      <c r="H793" s="5" t="s">
        <v>21</v>
      </c>
      <c r="I793" s="5" t="s">
        <v>1913</v>
      </c>
      <c r="J793" s="12" t="str">
        <f>HYPERLINK("https://www.boe.es/gazeta/dias/1800/10/31/pdfs/GMD-1800-88.pdf#page=10","Abrir facsímil")</f>
        <v>Abrir facsímil</v>
      </c>
      <c r="K793" s="15" t="s">
        <v>23</v>
      </c>
    </row>
    <row r="794" spans="1:11" ht="42" customHeight="1">
      <c r="A794" s="4" t="s">
        <v>1914</v>
      </c>
      <c r="B794" s="5" t="s">
        <v>1915</v>
      </c>
      <c r="C794" s="5" t="s">
        <v>84</v>
      </c>
      <c r="D794" s="5" t="s">
        <v>85</v>
      </c>
      <c r="E794" s="5" t="s">
        <v>673</v>
      </c>
      <c r="F794" s="9">
        <v>89</v>
      </c>
      <c r="G794" s="9">
        <v>1040</v>
      </c>
      <c r="H794" s="5" t="s">
        <v>21</v>
      </c>
      <c r="I794" s="5" t="s">
        <v>1916</v>
      </c>
      <c r="J794" s="12" t="str">
        <f>HYPERLINK("https://www.boe.es/gazeta/dias/1800/11/04/pdfs/GMD-1800-89.pdf#page=6","Abrir facsímil")</f>
        <v>Abrir facsímil</v>
      </c>
      <c r="K794" s="15" t="s">
        <v>23</v>
      </c>
    </row>
    <row r="795" spans="1:11" ht="42" customHeight="1">
      <c r="A795" s="4" t="s">
        <v>1891</v>
      </c>
      <c r="B795" s="5" t="s">
        <v>1892</v>
      </c>
      <c r="C795" s="5" t="s">
        <v>41</v>
      </c>
      <c r="D795" s="5" t="s">
        <v>42</v>
      </c>
      <c r="E795" s="5" t="s">
        <v>56</v>
      </c>
      <c r="F795" s="9">
        <v>90</v>
      </c>
      <c r="G795" s="9">
        <v>1051</v>
      </c>
      <c r="H795" s="5" t="s">
        <v>21</v>
      </c>
      <c r="I795" s="5" t="s">
        <v>1917</v>
      </c>
      <c r="J795" s="12" t="str">
        <f>HYPERLINK("https://www.boe.es/gazeta/dias/1800/11/07/pdfs/GMD-1800-90.pdf#page=5","Abrir facsímil")</f>
        <v>Abrir facsímil</v>
      </c>
      <c r="K795" s="15" t="s">
        <v>23</v>
      </c>
    </row>
    <row r="796" spans="1:11" ht="42" customHeight="1">
      <c r="A796" s="4" t="s">
        <v>1891</v>
      </c>
      <c r="B796" s="5" t="s">
        <v>1892</v>
      </c>
      <c r="C796" s="5" t="s">
        <v>41</v>
      </c>
      <c r="D796" s="5" t="s">
        <v>42</v>
      </c>
      <c r="E796" s="5" t="s">
        <v>56</v>
      </c>
      <c r="F796" s="9">
        <v>90</v>
      </c>
      <c r="G796" s="9">
        <v>1052</v>
      </c>
      <c r="H796" s="5" t="s">
        <v>21</v>
      </c>
      <c r="I796" s="5" t="s">
        <v>1918</v>
      </c>
      <c r="J796" s="12" t="str">
        <f>HYPERLINK("https://www.boe.es/gazeta/dias/1800/11/07/pdfs/GMD-1800-90.pdf#page=6","Abrir facsímil")</f>
        <v>Abrir facsímil</v>
      </c>
      <c r="K796" s="15" t="s">
        <v>23</v>
      </c>
    </row>
    <row r="797" spans="1:11" ht="42" customHeight="1">
      <c r="A797" s="4" t="s">
        <v>1891</v>
      </c>
      <c r="B797" s="5" t="s">
        <v>1892</v>
      </c>
      <c r="C797" s="5" t="s">
        <v>41</v>
      </c>
      <c r="D797" s="5" t="s">
        <v>42</v>
      </c>
      <c r="E797" s="5" t="s">
        <v>576</v>
      </c>
      <c r="F797" s="9">
        <v>91</v>
      </c>
      <c r="G797" s="9">
        <v>1064</v>
      </c>
      <c r="H797" s="5" t="s">
        <v>21</v>
      </c>
      <c r="I797" s="5" t="s">
        <v>1919</v>
      </c>
      <c r="J797" s="12" t="str">
        <f>HYPERLINK("https://www.boe.es/gazeta/dias/1800/11/11/pdfs/GMD-1800-91.pdf#page=6","Abrir facsímil")</f>
        <v>Abrir facsímil</v>
      </c>
      <c r="K797" s="15" t="s">
        <v>23</v>
      </c>
    </row>
    <row r="798" spans="1:11" ht="42" customHeight="1">
      <c r="A798" s="4" t="s">
        <v>1891</v>
      </c>
      <c r="B798" s="5" t="s">
        <v>1892</v>
      </c>
      <c r="C798" s="5" t="s">
        <v>18</v>
      </c>
      <c r="D798" s="5" t="s">
        <v>19</v>
      </c>
      <c r="E798" s="5" t="s">
        <v>576</v>
      </c>
      <c r="F798" s="9">
        <v>91</v>
      </c>
      <c r="G798" s="9">
        <v>1065</v>
      </c>
      <c r="H798" s="5" t="s">
        <v>21</v>
      </c>
      <c r="I798" s="5" t="s">
        <v>1920</v>
      </c>
      <c r="J798" s="12" t="str">
        <f>HYPERLINK("https://www.boe.es/gazeta/dias/1800/11/11/pdfs/GMD-1800-91.pdf#page=7","Abrir facsímil")</f>
        <v>Abrir facsímil</v>
      </c>
      <c r="K798" s="15" t="s">
        <v>23</v>
      </c>
    </row>
    <row r="799" spans="1:11" ht="42" customHeight="1">
      <c r="A799" s="4" t="s">
        <v>1891</v>
      </c>
      <c r="B799" s="5" t="s">
        <v>1892</v>
      </c>
      <c r="C799" s="5" t="s">
        <v>41</v>
      </c>
      <c r="D799" s="5" t="s">
        <v>42</v>
      </c>
      <c r="E799" s="5" t="s">
        <v>58</v>
      </c>
      <c r="F799" s="9">
        <v>92</v>
      </c>
      <c r="G799" s="9">
        <v>1050</v>
      </c>
      <c r="H799" s="5" t="s">
        <v>21</v>
      </c>
      <c r="I799" s="5" t="s">
        <v>1921</v>
      </c>
      <c r="J799" s="12" t="str">
        <f>HYPERLINK("https://www.boe.es/gazeta/dias/1800/11/14/pdfs/GMD-1800-92.pdf#page=4","Abrir facsímil")</f>
        <v>Abrir facsímil</v>
      </c>
      <c r="K799" s="15" t="s">
        <v>23</v>
      </c>
    </row>
    <row r="800" spans="1:11" ht="42" customHeight="1">
      <c r="A800" s="4" t="s">
        <v>1891</v>
      </c>
      <c r="B800" s="5" t="s">
        <v>1892</v>
      </c>
      <c r="C800" s="5" t="s">
        <v>41</v>
      </c>
      <c r="D800" s="5" t="s">
        <v>42</v>
      </c>
      <c r="E800" s="5" t="s">
        <v>58</v>
      </c>
      <c r="F800" s="9">
        <v>92</v>
      </c>
      <c r="G800" s="9">
        <v>1051</v>
      </c>
      <c r="H800" s="5" t="s">
        <v>21</v>
      </c>
      <c r="I800" s="5" t="s">
        <v>1922</v>
      </c>
      <c r="J800" s="12" t="str">
        <f>HYPERLINK("https://www.boe.es/gazeta/dias/1800/11/14/pdfs/GMD-1800-92.pdf#page=5","Abrir facsímil")</f>
        <v>Abrir facsímil</v>
      </c>
      <c r="K800" s="15" t="s">
        <v>23</v>
      </c>
    </row>
    <row r="801" spans="1:11" ht="42" customHeight="1">
      <c r="A801" s="4" t="s">
        <v>1891</v>
      </c>
      <c r="B801" s="5" t="s">
        <v>1892</v>
      </c>
      <c r="C801" s="5" t="s">
        <v>41</v>
      </c>
      <c r="D801" s="5" t="s">
        <v>42</v>
      </c>
      <c r="E801" s="5" t="s">
        <v>190</v>
      </c>
      <c r="F801" s="9">
        <v>93</v>
      </c>
      <c r="G801" s="9">
        <v>1063</v>
      </c>
      <c r="H801" s="5" t="s">
        <v>21</v>
      </c>
      <c r="I801" s="5" t="s">
        <v>1923</v>
      </c>
      <c r="J801" s="12" t="str">
        <f>HYPERLINK("https://www.boe.es/gazeta/dias/1800/11/18/pdfs/GMD-1800-93.pdf#page=9","Abrir facsímil")</f>
        <v>Abrir facsímil</v>
      </c>
      <c r="K801" s="15" t="s">
        <v>23</v>
      </c>
    </row>
    <row r="802" spans="1:11" ht="42" customHeight="1">
      <c r="A802" s="4" t="s">
        <v>1891</v>
      </c>
      <c r="B802" s="5" t="s">
        <v>1892</v>
      </c>
      <c r="C802" s="5" t="s">
        <v>41</v>
      </c>
      <c r="D802" s="5" t="s">
        <v>42</v>
      </c>
      <c r="E802" s="5" t="s">
        <v>203</v>
      </c>
      <c r="F802" s="9">
        <v>94</v>
      </c>
      <c r="G802" s="9">
        <v>1075</v>
      </c>
      <c r="H802" s="5" t="s">
        <v>21</v>
      </c>
      <c r="I802" s="5" t="s">
        <v>1924</v>
      </c>
      <c r="J802" s="12" t="str">
        <f>HYPERLINK("https://www.boe.es/gazeta/dias/1800/11/21/pdfs/GMD-1800-94.pdf#page=5","Abrir facsímil")</f>
        <v>Abrir facsímil</v>
      </c>
      <c r="K802" s="15" t="s">
        <v>23</v>
      </c>
    </row>
    <row r="803" spans="1:11" ht="42" customHeight="1">
      <c r="A803" s="4" t="s">
        <v>1891</v>
      </c>
      <c r="B803" s="5" t="s">
        <v>1892</v>
      </c>
      <c r="C803" s="5" t="s">
        <v>41</v>
      </c>
      <c r="D803" s="5" t="s">
        <v>42</v>
      </c>
      <c r="E803" s="5" t="s">
        <v>445</v>
      </c>
      <c r="F803" s="9">
        <v>96</v>
      </c>
      <c r="G803" s="9">
        <v>1103</v>
      </c>
      <c r="H803" s="5" t="s">
        <v>21</v>
      </c>
      <c r="I803" s="5" t="s">
        <v>1925</v>
      </c>
      <c r="J803" s="12" t="str">
        <f>HYPERLINK("https://www.boe.es/gazeta/dias/1800/11/28/pdfs/GMD-1800-96.pdf#page=7","Abrir facsímil")</f>
        <v>Abrir facsímil</v>
      </c>
      <c r="K803" s="15" t="s">
        <v>23</v>
      </c>
    </row>
    <row r="804" spans="1:11" ht="42" customHeight="1">
      <c r="A804" s="4" t="s">
        <v>1891</v>
      </c>
      <c r="B804" s="5" t="s">
        <v>1892</v>
      </c>
      <c r="C804" s="5" t="s">
        <v>41</v>
      </c>
      <c r="D804" s="5" t="s">
        <v>42</v>
      </c>
      <c r="E804" s="5" t="s">
        <v>196</v>
      </c>
      <c r="F804" s="9">
        <v>97</v>
      </c>
      <c r="G804" s="9">
        <v>1111</v>
      </c>
      <c r="H804" s="5" t="s">
        <v>21</v>
      </c>
      <c r="I804" s="5" t="s">
        <v>1926</v>
      </c>
      <c r="J804" s="12" t="str">
        <f>HYPERLINK("https://www.boe.es/gazeta/dias/1800/12/02/pdfs/GMD-1800-97.pdf#page=3","Abrir facsímil")</f>
        <v>Abrir facsímil</v>
      </c>
      <c r="K804" s="15" t="s">
        <v>23</v>
      </c>
    </row>
    <row r="805" spans="1:11" ht="42" customHeight="1">
      <c r="A805" s="4" t="s">
        <v>1891</v>
      </c>
      <c r="B805" s="5" t="s">
        <v>1892</v>
      </c>
      <c r="C805" s="5" t="s">
        <v>41</v>
      </c>
      <c r="D805" s="5" t="s">
        <v>42</v>
      </c>
      <c r="E805" s="5" t="s">
        <v>111</v>
      </c>
      <c r="F805" s="9">
        <v>98</v>
      </c>
      <c r="G805" s="9">
        <v>1127</v>
      </c>
      <c r="H805" s="5" t="s">
        <v>21</v>
      </c>
      <c r="I805" s="5" t="s">
        <v>1927</v>
      </c>
      <c r="J805" s="12" t="str">
        <f>HYPERLINK("https://www.boe.es/gazeta/dias/1800/12/05/pdfs/GMD-1800-98.pdf#page=7","Abrir facsímil")</f>
        <v>Abrir facsímil</v>
      </c>
      <c r="K805" s="15" t="s">
        <v>23</v>
      </c>
    </row>
    <row r="806" spans="1:11" ht="42" customHeight="1">
      <c r="A806" s="4" t="s">
        <v>1891</v>
      </c>
      <c r="B806" s="5" t="s">
        <v>1892</v>
      </c>
      <c r="C806" s="5" t="s">
        <v>41</v>
      </c>
      <c r="D806" s="5" t="s">
        <v>42</v>
      </c>
      <c r="E806" s="5" t="s">
        <v>329</v>
      </c>
      <c r="F806" s="9">
        <v>99</v>
      </c>
      <c r="G806" s="9">
        <v>1136</v>
      </c>
      <c r="H806" s="5" t="s">
        <v>21</v>
      </c>
      <c r="I806" s="5" t="s">
        <v>1928</v>
      </c>
      <c r="J806" s="12" t="str">
        <f>HYPERLINK("https://www.boe.es/gazeta/dias/1800/12/09/pdfs/GMD-1800-99.pdf#page=4","Abrir facsímil")</f>
        <v>Abrir facsímil</v>
      </c>
      <c r="K806" s="15" t="s">
        <v>23</v>
      </c>
    </row>
    <row r="807" spans="1:11" ht="42" customHeight="1">
      <c r="A807" s="4" t="s">
        <v>1891</v>
      </c>
      <c r="B807" s="5" t="s">
        <v>1892</v>
      </c>
      <c r="C807" s="5" t="s">
        <v>41</v>
      </c>
      <c r="D807" s="5" t="s">
        <v>42</v>
      </c>
      <c r="E807" s="5" t="s">
        <v>402</v>
      </c>
      <c r="F807" s="9">
        <v>101</v>
      </c>
      <c r="G807" s="9">
        <v>1170</v>
      </c>
      <c r="H807" s="5" t="s">
        <v>21</v>
      </c>
      <c r="I807" s="5" t="s">
        <v>1929</v>
      </c>
      <c r="J807" s="12" t="str">
        <f>HYPERLINK("https://www.boe.es/gazeta/dias/1800/12/16/pdfs/GMD-1800-101.pdf#page=6","Abrir facsímil")</f>
        <v>Abrir facsímil</v>
      </c>
      <c r="K807" s="15" t="s">
        <v>23</v>
      </c>
    </row>
    <row r="808" spans="1:11" ht="42" customHeight="1">
      <c r="A808" s="4" t="s">
        <v>1891</v>
      </c>
      <c r="B808" s="5" t="s">
        <v>1892</v>
      </c>
      <c r="C808" s="5" t="s">
        <v>41</v>
      </c>
      <c r="D808" s="5" t="s">
        <v>42</v>
      </c>
      <c r="E808" s="5" t="s">
        <v>60</v>
      </c>
      <c r="F808" s="9">
        <v>105</v>
      </c>
      <c r="G808" s="9">
        <v>1222</v>
      </c>
      <c r="H808" s="5" t="s">
        <v>21</v>
      </c>
      <c r="I808" s="5" t="s">
        <v>1930</v>
      </c>
      <c r="J808" s="12" t="str">
        <f>HYPERLINK("https://www.boe.es/gazeta/dias/1800/12/30/pdfs/GMD-1800-105.pdf#page=6","Abrir facsímil")</f>
        <v>Abrir facsímil</v>
      </c>
      <c r="K808" s="15" t="s">
        <v>23</v>
      </c>
    </row>
    <row r="809" spans="1:11" ht="42" customHeight="1">
      <c r="A809" s="4" t="s">
        <v>1891</v>
      </c>
      <c r="B809" s="5" t="s">
        <v>1892</v>
      </c>
      <c r="C809" s="5" t="s">
        <v>54</v>
      </c>
      <c r="D809" s="5" t="s">
        <v>55</v>
      </c>
      <c r="E809" s="5" t="s">
        <v>60</v>
      </c>
      <c r="F809" s="9">
        <v>105</v>
      </c>
      <c r="G809" s="9">
        <v>1224</v>
      </c>
      <c r="H809" s="5" t="s">
        <v>21</v>
      </c>
      <c r="I809" s="5" t="s">
        <v>1931</v>
      </c>
      <c r="J809" s="12" t="str">
        <f>HYPERLINK("https://www.boe.es/gazeta/dias/1800/12/30/pdfs/GMD-1800-105.pdf#page=8","Abrir facsímil")</f>
        <v>Abrir facsímil</v>
      </c>
      <c r="K809" s="15" t="s">
        <v>23</v>
      </c>
    </row>
    <row r="810" spans="1:11" ht="42" customHeight="1">
      <c r="A810" s="4" t="s">
        <v>1932</v>
      </c>
      <c r="B810" s="5" t="s">
        <v>1933</v>
      </c>
      <c r="C810" s="5" t="s">
        <v>84</v>
      </c>
      <c r="D810" s="5" t="s">
        <v>85</v>
      </c>
      <c r="E810" s="5" t="s">
        <v>244</v>
      </c>
      <c r="F810" s="9">
        <v>9</v>
      </c>
      <c r="G810" s="9">
        <v>88</v>
      </c>
      <c r="H810" s="5" t="s">
        <v>21</v>
      </c>
      <c r="I810" s="5" t="s">
        <v>1934</v>
      </c>
      <c r="J810" s="12" t="str">
        <f>HYPERLINK("https://www.boe.es/gazeta/dias/1800/01/31/pdfs/GMD-1800-9.pdf#page=12","Abrir facsímil")</f>
        <v>Abrir facsímil</v>
      </c>
      <c r="K810" s="15" t="s">
        <v>23</v>
      </c>
    </row>
    <row r="811" spans="1:11" ht="42" customHeight="1">
      <c r="A811" s="4" t="s">
        <v>1932</v>
      </c>
      <c r="B811" s="5" t="s">
        <v>1933</v>
      </c>
      <c r="C811" s="5" t="s">
        <v>84</v>
      </c>
      <c r="D811" s="5" t="s">
        <v>85</v>
      </c>
      <c r="E811" s="5" t="s">
        <v>491</v>
      </c>
      <c r="F811" s="9">
        <v>29</v>
      </c>
      <c r="G811" s="9">
        <v>300</v>
      </c>
      <c r="H811" s="5" t="s">
        <v>21</v>
      </c>
      <c r="I811" s="5" t="s">
        <v>1935</v>
      </c>
      <c r="J811" s="12" t="str">
        <f>HYPERLINK("https://www.boe.es/gazeta/dias/1800/04/11/pdfs/GMD-1800-29.pdf#page=8","Abrir facsímil")</f>
        <v>Abrir facsímil</v>
      </c>
      <c r="K811" s="15" t="s">
        <v>23</v>
      </c>
    </row>
    <row r="812" spans="1:11" ht="42" customHeight="1">
      <c r="A812" s="4" t="s">
        <v>1936</v>
      </c>
      <c r="B812" s="5" t="s">
        <v>1937</v>
      </c>
      <c r="C812" s="5" t="s">
        <v>18</v>
      </c>
      <c r="D812" s="5" t="s">
        <v>19</v>
      </c>
      <c r="E812" s="5" t="s">
        <v>314</v>
      </c>
      <c r="F812" s="9">
        <v>74</v>
      </c>
      <c r="G812" s="9">
        <v>833</v>
      </c>
      <c r="H812" s="5" t="s">
        <v>21</v>
      </c>
      <c r="I812" s="5" t="s">
        <v>1938</v>
      </c>
      <c r="J812" s="12" t="str">
        <f>HYPERLINK("https://www.boe.es/gazeta/dias/1800/09/12/pdfs/GMD-1800-74.pdf#page=11","Abrir facsímil")</f>
        <v>Abrir facsímil</v>
      </c>
      <c r="K812" s="15" t="s">
        <v>23</v>
      </c>
    </row>
    <row r="813" spans="1:11" ht="42" customHeight="1">
      <c r="A813" s="4" t="s">
        <v>1939</v>
      </c>
      <c r="B813" s="5" t="s">
        <v>1940</v>
      </c>
      <c r="C813" s="5" t="s">
        <v>18</v>
      </c>
      <c r="D813" s="5" t="s">
        <v>19</v>
      </c>
      <c r="E813" s="5" t="s">
        <v>1231</v>
      </c>
      <c r="F813" s="9">
        <v>36</v>
      </c>
      <c r="G813" s="9">
        <v>366</v>
      </c>
      <c r="H813" s="5" t="s">
        <v>21</v>
      </c>
      <c r="I813" s="5" t="s">
        <v>1941</v>
      </c>
      <c r="J813" s="12" t="str">
        <f>HYPERLINK("https://www.boe.es/gazeta/dias/1800/05/06/pdfs/GMD-1800-36.pdf#page=10","Abrir facsímil")</f>
        <v>Abrir facsímil</v>
      </c>
      <c r="K813" s="15" t="s">
        <v>23</v>
      </c>
    </row>
    <row r="814" spans="1:11" ht="42" customHeight="1">
      <c r="A814" s="4" t="s">
        <v>1942</v>
      </c>
      <c r="B814" s="5" t="s">
        <v>1943</v>
      </c>
      <c r="C814" s="5" t="s">
        <v>18</v>
      </c>
      <c r="D814" s="5" t="s">
        <v>19</v>
      </c>
      <c r="E814" s="5" t="s">
        <v>306</v>
      </c>
      <c r="F814" s="9">
        <v>79</v>
      </c>
      <c r="G814" s="9">
        <v>900</v>
      </c>
      <c r="H814" s="5" t="s">
        <v>21</v>
      </c>
      <c r="I814" s="5" t="s">
        <v>1944</v>
      </c>
      <c r="J814" s="12" t="str">
        <f>HYPERLINK("https://www.boe.es/gazeta/dias/1800/09/30/pdfs/GMD-1800-79.pdf#page=10","Abrir facsímil")</f>
        <v>Abrir facsímil</v>
      </c>
      <c r="K814" s="15" t="s">
        <v>23</v>
      </c>
    </row>
    <row r="815" spans="1:11" ht="42" customHeight="1">
      <c r="A815" s="4" t="s">
        <v>1945</v>
      </c>
      <c r="B815" s="5" t="s">
        <v>1946</v>
      </c>
      <c r="C815" s="5" t="s">
        <v>18</v>
      </c>
      <c r="D815" s="5" t="s">
        <v>19</v>
      </c>
      <c r="E815" s="5" t="s">
        <v>356</v>
      </c>
      <c r="F815" s="9">
        <v>31</v>
      </c>
      <c r="G815" s="9">
        <v>314</v>
      </c>
      <c r="H815" s="5" t="s">
        <v>21</v>
      </c>
      <c r="I815" s="5" t="s">
        <v>1947</v>
      </c>
      <c r="J815" s="12" t="str">
        <f>HYPERLINK("https://www.boe.es/gazeta/dias/1800/04/18/pdfs/GMD-1800-31.pdf#page=6","Abrir facsímil")</f>
        <v>Abrir facsímil</v>
      </c>
      <c r="K815" s="15" t="s">
        <v>23</v>
      </c>
    </row>
    <row r="816" spans="1:11" ht="42" customHeight="1">
      <c r="A816" s="4" t="s">
        <v>1948</v>
      </c>
      <c r="B816" s="5" t="s">
        <v>1949</v>
      </c>
      <c r="C816" s="5" t="s">
        <v>41</v>
      </c>
      <c r="D816" s="5" t="s">
        <v>42</v>
      </c>
      <c r="E816" s="5" t="s">
        <v>75</v>
      </c>
      <c r="F816" s="9">
        <v>64</v>
      </c>
      <c r="G816" s="9">
        <v>725</v>
      </c>
      <c r="H816" s="5" t="s">
        <v>21</v>
      </c>
      <c r="I816" s="5" t="s">
        <v>1950</v>
      </c>
      <c r="J816" s="12" t="str">
        <f>HYPERLINK("https://www.boe.es/gazeta/dias/1800/08/12/pdfs/GMD-1800-64.pdf#page=1","Abrir facsímil")</f>
        <v>Abrir facsímil</v>
      </c>
      <c r="K816" s="15" t="s">
        <v>23</v>
      </c>
    </row>
    <row r="817" spans="1:11" ht="42" customHeight="1">
      <c r="A817" s="4" t="s">
        <v>1951</v>
      </c>
      <c r="B817" s="5" t="s">
        <v>1952</v>
      </c>
      <c r="C817" s="5" t="s">
        <v>18</v>
      </c>
      <c r="D817" s="5" t="s">
        <v>19</v>
      </c>
      <c r="E817" s="5" t="s">
        <v>58</v>
      </c>
      <c r="F817" s="9">
        <v>92</v>
      </c>
      <c r="G817" s="9">
        <v>1053</v>
      </c>
      <c r="H817" s="5" t="s">
        <v>21</v>
      </c>
      <c r="I817" s="5" t="s">
        <v>1953</v>
      </c>
      <c r="J817" s="12" t="str">
        <f>HYPERLINK("https://www.boe.es/gazeta/dias/1800/11/14/pdfs/GMD-1800-92.pdf#page=7","Abrir facsímil")</f>
        <v>Abrir facsímil</v>
      </c>
      <c r="K817" s="15" t="s">
        <v>23</v>
      </c>
    </row>
    <row r="818" spans="1:11" ht="42" customHeight="1">
      <c r="A818" s="4" t="s">
        <v>1954</v>
      </c>
      <c r="B818" s="5" t="s">
        <v>1955</v>
      </c>
      <c r="C818" s="5" t="s">
        <v>18</v>
      </c>
      <c r="D818" s="5" t="s">
        <v>19</v>
      </c>
      <c r="E818" s="5" t="s">
        <v>454</v>
      </c>
      <c r="F818" s="9">
        <v>63</v>
      </c>
      <c r="G818" s="9">
        <v>723</v>
      </c>
      <c r="H818" s="5" t="s">
        <v>21</v>
      </c>
      <c r="I818" s="5" t="s">
        <v>1956</v>
      </c>
      <c r="J818" s="12" t="str">
        <f>HYPERLINK("https://www.boe.es/gazeta/dias/1800/08/08/pdfs/GMD-1800-63.pdf#page=11","Abrir facsímil")</f>
        <v>Abrir facsímil</v>
      </c>
      <c r="K818" s="15" t="s">
        <v>23</v>
      </c>
    </row>
    <row r="819" spans="1:11" ht="42" customHeight="1">
      <c r="A819" s="4" t="s">
        <v>1957</v>
      </c>
      <c r="B819" s="5" t="s">
        <v>1957</v>
      </c>
      <c r="C819" s="5" t="s">
        <v>18</v>
      </c>
      <c r="D819" s="5" t="s">
        <v>19</v>
      </c>
      <c r="E819" s="5" t="s">
        <v>567</v>
      </c>
      <c r="F819" s="9">
        <v>3</v>
      </c>
      <c r="G819" s="9">
        <v>27</v>
      </c>
      <c r="H819" s="5" t="s">
        <v>21</v>
      </c>
      <c r="I819" s="5" t="s">
        <v>1958</v>
      </c>
      <c r="J819" s="12" t="str">
        <f>HYPERLINK("https://www.boe.es/gazeta/dias/1800/01/10/pdfs/GMD-1800-3.pdf#page=7","Abrir facsímil")</f>
        <v>Abrir facsímil</v>
      </c>
      <c r="K819" s="15" t="s">
        <v>23</v>
      </c>
    </row>
    <row r="820" spans="1:11" ht="42" customHeight="1">
      <c r="A820" s="4" t="s">
        <v>1959</v>
      </c>
      <c r="B820" s="5" t="s">
        <v>1960</v>
      </c>
      <c r="C820" s="5" t="s">
        <v>84</v>
      </c>
      <c r="D820" s="5" t="s">
        <v>85</v>
      </c>
      <c r="E820" s="5" t="s">
        <v>823</v>
      </c>
      <c r="F820" s="9">
        <v>50</v>
      </c>
      <c r="G820" s="9">
        <v>548</v>
      </c>
      <c r="H820" s="5" t="s">
        <v>21</v>
      </c>
      <c r="I820" s="5" t="s">
        <v>1961</v>
      </c>
      <c r="J820" s="12" t="str">
        <f>HYPERLINK("https://www.boe.es/gazeta/dias/1800/06/24/pdfs/GMD-1800-50.pdf#page=12","Abrir facsímil")</f>
        <v>Abrir facsímil</v>
      </c>
      <c r="K820" s="15" t="s">
        <v>23</v>
      </c>
    </row>
    <row r="821" spans="1:11" ht="42" customHeight="1">
      <c r="A821" s="4" t="s">
        <v>1962</v>
      </c>
      <c r="B821" s="5" t="s">
        <v>1963</v>
      </c>
      <c r="C821" s="5" t="s">
        <v>18</v>
      </c>
      <c r="D821" s="5" t="s">
        <v>19</v>
      </c>
      <c r="E821" s="5" t="s">
        <v>356</v>
      </c>
      <c r="F821" s="9">
        <v>31</v>
      </c>
      <c r="G821" s="9">
        <v>315</v>
      </c>
      <c r="H821" s="5" t="s">
        <v>21</v>
      </c>
      <c r="I821" s="5" t="s">
        <v>1964</v>
      </c>
      <c r="J821" s="12" t="str">
        <f>HYPERLINK("https://www.boe.es/gazeta/dias/1800/04/18/pdfs/GMD-1800-31.pdf#page=7","Abrir facsímil")</f>
        <v>Abrir facsímil</v>
      </c>
      <c r="K821" s="15" t="s">
        <v>23</v>
      </c>
    </row>
    <row r="822" spans="1:11" ht="42" customHeight="1">
      <c r="A822" s="4" t="s">
        <v>1965</v>
      </c>
      <c r="B822" s="5" t="s">
        <v>1965</v>
      </c>
      <c r="C822" s="5" t="s">
        <v>41</v>
      </c>
      <c r="D822" s="5" t="s">
        <v>42</v>
      </c>
      <c r="E822" s="5" t="s">
        <v>823</v>
      </c>
      <c r="F822" s="9">
        <v>50</v>
      </c>
      <c r="G822" s="9">
        <v>543</v>
      </c>
      <c r="H822" s="5" t="s">
        <v>21</v>
      </c>
      <c r="I822" s="5" t="s">
        <v>1966</v>
      </c>
      <c r="J822" s="12" t="str">
        <f>HYPERLINK("https://www.boe.es/gazeta/dias/1800/06/24/pdfs/GMD-1800-50.pdf#page=7","Abrir facsímil")</f>
        <v>Abrir facsímil</v>
      </c>
      <c r="K822" s="15" t="s">
        <v>23</v>
      </c>
    </row>
    <row r="823" spans="1:11" ht="42" customHeight="1">
      <c r="A823" s="4" t="s">
        <v>1967</v>
      </c>
      <c r="B823" s="5" t="s">
        <v>1968</v>
      </c>
      <c r="C823" s="5" t="s">
        <v>18</v>
      </c>
      <c r="D823" s="5" t="s">
        <v>19</v>
      </c>
      <c r="E823" s="5" t="s">
        <v>600</v>
      </c>
      <c r="F823" s="9">
        <v>45</v>
      </c>
      <c r="G823" s="9">
        <v>469</v>
      </c>
      <c r="H823" s="5" t="s">
        <v>21</v>
      </c>
      <c r="I823" s="5" t="s">
        <v>1969</v>
      </c>
      <c r="J823" s="12" t="str">
        <f>HYPERLINK("https://www.boe.es/gazeta/dias/1800/06/06/pdfs/GMD-1800-45.pdf#page=5","Abrir facsímil")</f>
        <v>Abrir facsímil</v>
      </c>
      <c r="K823" s="15" t="s">
        <v>23</v>
      </c>
    </row>
    <row r="824" spans="1:11" ht="42" customHeight="1">
      <c r="A824" s="4" t="s">
        <v>1967</v>
      </c>
      <c r="B824" s="5" t="s">
        <v>1968</v>
      </c>
      <c r="C824" s="5" t="s">
        <v>41</v>
      </c>
      <c r="D824" s="5" t="s">
        <v>42</v>
      </c>
      <c r="E824" s="5" t="s">
        <v>825</v>
      </c>
      <c r="F824" s="9">
        <v>51</v>
      </c>
      <c r="G824" s="9">
        <v>559</v>
      </c>
      <c r="H824" s="5" t="s">
        <v>21</v>
      </c>
      <c r="I824" s="5" t="s">
        <v>1970</v>
      </c>
      <c r="J824" s="12" t="str">
        <f>HYPERLINK("https://www.boe.es/gazeta/dias/1800/06/27/pdfs/GMD-1800-51.pdf#page=11","Abrir facsímil")</f>
        <v>Abrir facsímil</v>
      </c>
      <c r="K824" s="15" t="s">
        <v>23</v>
      </c>
    </row>
    <row r="825" spans="1:11" ht="42" customHeight="1">
      <c r="A825" s="4" t="s">
        <v>1971</v>
      </c>
      <c r="B825" s="5" t="s">
        <v>1971</v>
      </c>
      <c r="C825" s="5" t="s">
        <v>41</v>
      </c>
      <c r="D825" s="5" t="s">
        <v>42</v>
      </c>
      <c r="E825" s="5" t="s">
        <v>176</v>
      </c>
      <c r="F825" s="9">
        <v>88</v>
      </c>
      <c r="G825" s="9">
        <v>1020</v>
      </c>
      <c r="H825" s="5" t="s">
        <v>21</v>
      </c>
      <c r="I825" s="5" t="s">
        <v>1972</v>
      </c>
      <c r="J825" s="12" t="str">
        <f>HYPERLINK("https://www.boe.es/gazeta/dias/1800/10/31/pdfs/GMD-1800-88.pdf#page=2","Abrir facsímil")</f>
        <v>Abrir facsímil</v>
      </c>
      <c r="K825" s="15" t="s">
        <v>23</v>
      </c>
    </row>
    <row r="826" spans="1:11" ht="42" customHeight="1">
      <c r="A826" s="4" t="s">
        <v>1973</v>
      </c>
      <c r="B826" s="5" t="s">
        <v>1974</v>
      </c>
      <c r="C826" s="5" t="s">
        <v>18</v>
      </c>
      <c r="D826" s="5" t="s">
        <v>19</v>
      </c>
      <c r="E826" s="5" t="s">
        <v>135</v>
      </c>
      <c r="F826" s="9">
        <v>73</v>
      </c>
      <c r="G826" s="9">
        <v>815</v>
      </c>
      <c r="H826" s="5" t="s">
        <v>21</v>
      </c>
      <c r="I826" s="5" t="s">
        <v>1975</v>
      </c>
      <c r="J826" s="12" t="str">
        <f>HYPERLINK("https://www.boe.es/gazeta/dias/1800/09/09/pdfs/GMD-1800-73.pdf#page=9","Abrir facsímil")</f>
        <v>Abrir facsímil</v>
      </c>
      <c r="K826" s="15" t="s">
        <v>23</v>
      </c>
    </row>
    <row r="827" spans="1:11" ht="42" customHeight="1">
      <c r="A827" s="4" t="s">
        <v>1976</v>
      </c>
      <c r="B827" s="5" t="s">
        <v>1977</v>
      </c>
      <c r="C827" s="5" t="s">
        <v>25</v>
      </c>
      <c r="D827" s="5" t="s">
        <v>26</v>
      </c>
      <c r="E827" s="5" t="s">
        <v>248</v>
      </c>
      <c r="F827" s="9">
        <v>33</v>
      </c>
      <c r="G827" s="9">
        <v>334</v>
      </c>
      <c r="H827" s="5" t="s">
        <v>21</v>
      </c>
      <c r="I827" s="5" t="s">
        <v>1978</v>
      </c>
      <c r="J827" s="12" t="str">
        <f>HYPERLINK("https://www.boe.es/gazeta/dias/1800/04/25/pdfs/GMD-1800-33.pdf#page=10","Abrir facsímil")</f>
        <v>Abrir facsímil</v>
      </c>
      <c r="K827" s="15" t="s">
        <v>23</v>
      </c>
    </row>
    <row r="828" spans="1:11" ht="42" customHeight="1">
      <c r="A828" s="4" t="s">
        <v>1979</v>
      </c>
      <c r="B828" s="5" t="s">
        <v>1979</v>
      </c>
      <c r="C828" s="5" t="s">
        <v>41</v>
      </c>
      <c r="D828" s="5" t="s">
        <v>42</v>
      </c>
      <c r="E828" s="5" t="s">
        <v>262</v>
      </c>
      <c r="F828" s="9">
        <v>39</v>
      </c>
      <c r="G828" s="9">
        <v>394</v>
      </c>
      <c r="H828" s="5" t="s">
        <v>21</v>
      </c>
      <c r="I828" s="5" t="s">
        <v>1980</v>
      </c>
      <c r="J828" s="12" t="str">
        <f>HYPERLINK("https://www.boe.es/gazeta/dias/1800/05/16/pdfs/GMD-1800-39.pdf#page=2","Abrir facsímil")</f>
        <v>Abrir facsímil</v>
      </c>
      <c r="K828" s="15" t="s">
        <v>23</v>
      </c>
    </row>
    <row r="829" spans="1:11" ht="42" customHeight="1">
      <c r="A829" s="4" t="s">
        <v>1981</v>
      </c>
      <c r="B829" s="5" t="s">
        <v>1982</v>
      </c>
      <c r="C829" s="5" t="s">
        <v>41</v>
      </c>
      <c r="D829" s="5" t="s">
        <v>42</v>
      </c>
      <c r="E829" s="5" t="s">
        <v>139</v>
      </c>
      <c r="F829" s="9">
        <v>2</v>
      </c>
      <c r="G829" s="9">
        <v>9</v>
      </c>
      <c r="H829" s="5" t="s">
        <v>21</v>
      </c>
      <c r="I829" s="5" t="s">
        <v>1983</v>
      </c>
      <c r="J829" s="12" t="str">
        <f>HYPERLINK("https://www.boe.es/gazeta/dias/1800/01/07/pdfs/GMD-1800-2.pdf#page=1","Abrir facsímil")</f>
        <v>Abrir facsímil</v>
      </c>
      <c r="K829" s="15" t="s">
        <v>23</v>
      </c>
    </row>
    <row r="830" spans="1:11" ht="42" customHeight="1">
      <c r="A830" s="4" t="s">
        <v>1981</v>
      </c>
      <c r="B830" s="5" t="s">
        <v>1982</v>
      </c>
      <c r="C830" s="5" t="s">
        <v>41</v>
      </c>
      <c r="D830" s="5" t="s">
        <v>42</v>
      </c>
      <c r="E830" s="5" t="s">
        <v>218</v>
      </c>
      <c r="F830" s="9">
        <v>5</v>
      </c>
      <c r="G830" s="9">
        <v>41</v>
      </c>
      <c r="H830" s="5" t="s">
        <v>21</v>
      </c>
      <c r="I830" s="5" t="s">
        <v>1984</v>
      </c>
      <c r="J830" s="12" t="str">
        <f>HYPERLINK("https://www.boe.es/gazeta/dias/1800/01/17/pdfs/GMD-1800-5.pdf#page=1","Abrir facsímil")</f>
        <v>Abrir facsímil</v>
      </c>
      <c r="K830" s="15" t="s">
        <v>23</v>
      </c>
    </row>
    <row r="831" spans="1:11" ht="42" customHeight="1">
      <c r="A831" s="4" t="s">
        <v>1985</v>
      </c>
      <c r="B831" s="5" t="s">
        <v>1986</v>
      </c>
      <c r="C831" s="5" t="s">
        <v>18</v>
      </c>
      <c r="D831" s="5" t="s">
        <v>19</v>
      </c>
      <c r="E831" s="5" t="s">
        <v>600</v>
      </c>
      <c r="F831" s="9">
        <v>45</v>
      </c>
      <c r="G831" s="9">
        <v>476</v>
      </c>
      <c r="H831" s="5" t="s">
        <v>21</v>
      </c>
      <c r="I831" s="5" t="s">
        <v>1987</v>
      </c>
      <c r="J831" s="12" t="str">
        <f>HYPERLINK("https://www.boe.es/gazeta/dias/1800/06/06/pdfs/GMD-1800-45.pdf#page=12","Abrir facsímil")</f>
        <v>Abrir facsímil</v>
      </c>
      <c r="K831" s="15" t="s">
        <v>23</v>
      </c>
    </row>
    <row r="832" spans="1:11" ht="42" customHeight="1">
      <c r="A832" s="4" t="s">
        <v>1988</v>
      </c>
      <c r="B832" s="5" t="s">
        <v>1989</v>
      </c>
      <c r="C832" s="5" t="s">
        <v>41</v>
      </c>
      <c r="D832" s="5" t="s">
        <v>42</v>
      </c>
      <c r="E832" s="5" t="s">
        <v>600</v>
      </c>
      <c r="F832" s="9">
        <v>45</v>
      </c>
      <c r="G832" s="9">
        <v>470</v>
      </c>
      <c r="H832" s="5" t="s">
        <v>21</v>
      </c>
      <c r="I832" s="5" t="s">
        <v>1990</v>
      </c>
      <c r="J832" s="12" t="str">
        <f>HYPERLINK("https://www.boe.es/gazeta/dias/1800/06/06/pdfs/GMD-1800-45.pdf#page=6","Abrir facsímil")</f>
        <v>Abrir facsímil</v>
      </c>
      <c r="K832" s="15" t="s">
        <v>23</v>
      </c>
    </row>
    <row r="833" spans="1:11" ht="42" customHeight="1">
      <c r="A833" s="4" t="s">
        <v>1991</v>
      </c>
      <c r="B833" s="5" t="s">
        <v>1992</v>
      </c>
      <c r="C833" s="5" t="s">
        <v>41</v>
      </c>
      <c r="D833" s="5" t="s">
        <v>42</v>
      </c>
      <c r="E833" s="5" t="s">
        <v>135</v>
      </c>
      <c r="F833" s="9">
        <v>73</v>
      </c>
      <c r="G833" s="9">
        <v>811</v>
      </c>
      <c r="H833" s="5" t="s">
        <v>21</v>
      </c>
      <c r="I833" s="5" t="s">
        <v>1993</v>
      </c>
      <c r="J833" s="12" t="str">
        <f>HYPERLINK("https://www.boe.es/gazeta/dias/1800/09/09/pdfs/GMD-1800-73.pdf#page=5","Abrir facsímil")</f>
        <v>Abrir facsímil</v>
      </c>
      <c r="K833" s="15" t="s">
        <v>23</v>
      </c>
    </row>
    <row r="834" spans="1:11" ht="42" customHeight="1">
      <c r="A834" s="4" t="s">
        <v>1994</v>
      </c>
      <c r="B834" s="5" t="s">
        <v>1995</v>
      </c>
      <c r="C834" s="5" t="s">
        <v>41</v>
      </c>
      <c r="D834" s="5" t="s">
        <v>42</v>
      </c>
      <c r="E834" s="5" t="s">
        <v>147</v>
      </c>
      <c r="F834" s="9">
        <v>84</v>
      </c>
      <c r="G834" s="9">
        <v>972</v>
      </c>
      <c r="H834" s="5" t="s">
        <v>21</v>
      </c>
      <c r="I834" s="5" t="s">
        <v>1996</v>
      </c>
      <c r="J834" s="12" t="str">
        <f>HYPERLINK("https://www.boe.es/gazeta/dias/1800/10/17/pdfs/GMD-1800-84.pdf#page=6","Abrir facsímil")</f>
        <v>Abrir facsímil</v>
      </c>
      <c r="K834" s="15" t="s">
        <v>23</v>
      </c>
    </row>
    <row r="835" spans="1:11" ht="42" customHeight="1">
      <c r="A835" s="4" t="s">
        <v>1997</v>
      </c>
      <c r="B835" s="5" t="s">
        <v>1998</v>
      </c>
      <c r="C835" s="5" t="s">
        <v>18</v>
      </c>
      <c r="D835" s="5" t="s">
        <v>19</v>
      </c>
      <c r="E835" s="5" t="s">
        <v>203</v>
      </c>
      <c r="F835" s="9">
        <v>94</v>
      </c>
      <c r="G835" s="9">
        <v>1077</v>
      </c>
      <c r="H835" s="5" t="s">
        <v>21</v>
      </c>
      <c r="I835" s="5" t="s">
        <v>1999</v>
      </c>
      <c r="J835" s="12" t="str">
        <f>HYPERLINK("https://www.boe.es/gazeta/dias/1800/11/21/pdfs/GMD-1800-94.pdf#page=7","Abrir facsímil")</f>
        <v>Abrir facsímil</v>
      </c>
      <c r="K835" s="15" t="s">
        <v>23</v>
      </c>
    </row>
    <row r="836" spans="1:11" ht="42" customHeight="1">
      <c r="A836" s="4" t="s">
        <v>2000</v>
      </c>
      <c r="B836" s="5" t="s">
        <v>2001</v>
      </c>
      <c r="C836" s="5" t="s">
        <v>18</v>
      </c>
      <c r="D836" s="5" t="s">
        <v>19</v>
      </c>
      <c r="E836" s="5" t="s">
        <v>314</v>
      </c>
      <c r="F836" s="9">
        <v>74</v>
      </c>
      <c r="G836" s="9">
        <v>830</v>
      </c>
      <c r="H836" s="5" t="s">
        <v>21</v>
      </c>
      <c r="I836" s="5" t="s">
        <v>2002</v>
      </c>
      <c r="J836" s="12" t="str">
        <f>HYPERLINK("https://www.boe.es/gazeta/dias/1800/09/12/pdfs/GMD-1800-74.pdf#page=8","Abrir facsímil")</f>
        <v>Abrir facsímil</v>
      </c>
      <c r="K836" s="15" t="s">
        <v>23</v>
      </c>
    </row>
    <row r="837" spans="1:11" ht="42" customHeight="1">
      <c r="A837" s="4" t="s">
        <v>2003</v>
      </c>
      <c r="B837" s="5" t="s">
        <v>2004</v>
      </c>
      <c r="C837" s="5" t="s">
        <v>18</v>
      </c>
      <c r="D837" s="5" t="s">
        <v>19</v>
      </c>
      <c r="E837" s="5" t="s">
        <v>48</v>
      </c>
      <c r="F837" s="9">
        <v>66</v>
      </c>
      <c r="G837" s="9">
        <v>746</v>
      </c>
      <c r="H837" s="5" t="s">
        <v>21</v>
      </c>
      <c r="I837" s="5" t="s">
        <v>2005</v>
      </c>
      <c r="J837" s="12" t="str">
        <f>HYPERLINK("https://www.boe.es/gazeta/dias/1800/08/19/pdfs/GMD-1800-66.pdf#page=10","Abrir facsímil")</f>
        <v>Abrir facsímil</v>
      </c>
      <c r="K837" s="15" t="s">
        <v>23</v>
      </c>
    </row>
    <row r="838" spans="1:11" ht="42" customHeight="1">
      <c r="A838" s="4" t="s">
        <v>2006</v>
      </c>
      <c r="B838" s="5" t="s">
        <v>2007</v>
      </c>
      <c r="C838" s="5" t="s">
        <v>41</v>
      </c>
      <c r="D838" s="5" t="s">
        <v>42</v>
      </c>
      <c r="E838" s="5" t="s">
        <v>583</v>
      </c>
      <c r="F838" s="9">
        <v>77</v>
      </c>
      <c r="G838" s="9">
        <v>876</v>
      </c>
      <c r="H838" s="5" t="s">
        <v>21</v>
      </c>
      <c r="I838" s="5" t="s">
        <v>2008</v>
      </c>
      <c r="J838" s="12" t="str">
        <f>HYPERLINK("https://www.boe.es/gazeta/dias/1800/09/23/pdfs/GMD-1800-77.pdf#page=6","Abrir facsímil")</f>
        <v>Abrir facsímil</v>
      </c>
      <c r="K838" s="15" t="s">
        <v>23</v>
      </c>
    </row>
    <row r="839" spans="1:11" ht="42" customHeight="1">
      <c r="A839" s="4" t="s">
        <v>2009</v>
      </c>
      <c r="B839" s="5" t="s">
        <v>2010</v>
      </c>
      <c r="C839" s="5" t="s">
        <v>18</v>
      </c>
      <c r="D839" s="5" t="s">
        <v>19</v>
      </c>
      <c r="E839" s="5" t="s">
        <v>135</v>
      </c>
      <c r="F839" s="9">
        <v>73</v>
      </c>
      <c r="G839" s="9">
        <v>815</v>
      </c>
      <c r="H839" s="5" t="s">
        <v>21</v>
      </c>
      <c r="I839" s="5" t="s">
        <v>2011</v>
      </c>
      <c r="J839" s="12" t="str">
        <f>HYPERLINK("https://www.boe.es/gazeta/dias/1800/09/09/pdfs/GMD-1800-73.pdf#page=9","Abrir facsímil")</f>
        <v>Abrir facsímil</v>
      </c>
      <c r="K839" s="15" t="s">
        <v>23</v>
      </c>
    </row>
    <row r="840" spans="1:11" ht="42" customHeight="1">
      <c r="A840" s="4" t="s">
        <v>2012</v>
      </c>
      <c r="B840" s="5" t="s">
        <v>2013</v>
      </c>
      <c r="C840" s="5" t="s">
        <v>18</v>
      </c>
      <c r="D840" s="5" t="s">
        <v>19</v>
      </c>
      <c r="E840" s="5" t="s">
        <v>422</v>
      </c>
      <c r="F840" s="9">
        <v>85</v>
      </c>
      <c r="G840" s="9">
        <v>985</v>
      </c>
      <c r="H840" s="5" t="s">
        <v>21</v>
      </c>
      <c r="I840" s="5" t="s">
        <v>2014</v>
      </c>
      <c r="J840" s="12" t="str">
        <f>HYPERLINK("https://www.boe.es/gazeta/dias/1800/10/21/pdfs/GMD-1800-85.pdf#page=7","Abrir facsímil")</f>
        <v>Abrir facsímil</v>
      </c>
      <c r="K840" s="15" t="s">
        <v>23</v>
      </c>
    </row>
    <row r="841" spans="1:11" ht="42" customHeight="1">
      <c r="A841" s="4" t="s">
        <v>2015</v>
      </c>
      <c r="B841" s="5" t="s">
        <v>2015</v>
      </c>
      <c r="C841" s="5" t="s">
        <v>41</v>
      </c>
      <c r="D841" s="5" t="s">
        <v>42</v>
      </c>
      <c r="E841" s="5" t="s">
        <v>319</v>
      </c>
      <c r="F841" s="9">
        <v>62</v>
      </c>
      <c r="G841" s="9">
        <v>704</v>
      </c>
      <c r="H841" s="5" t="s">
        <v>21</v>
      </c>
      <c r="I841" s="5" t="s">
        <v>2016</v>
      </c>
      <c r="J841" s="12" t="str">
        <f>HYPERLINK("https://www.boe.es/gazeta/dias/1800/08/05/pdfs/GMD-1800-62.pdf#page=4","Abrir facsímil")</f>
        <v>Abrir facsímil</v>
      </c>
      <c r="K841" s="15" t="s">
        <v>23</v>
      </c>
    </row>
    <row r="842" spans="1:11" ht="42" customHeight="1">
      <c r="A842" s="4" t="s">
        <v>2017</v>
      </c>
      <c r="B842" s="5" t="s">
        <v>2018</v>
      </c>
      <c r="C842" s="5" t="s">
        <v>207</v>
      </c>
      <c r="D842" s="5" t="s">
        <v>55</v>
      </c>
      <c r="E842" s="5" t="s">
        <v>255</v>
      </c>
      <c r="F842" s="9">
        <v>75</v>
      </c>
      <c r="G842" s="9">
        <v>854</v>
      </c>
      <c r="H842" s="5" t="s">
        <v>21</v>
      </c>
      <c r="I842" s="5" t="s">
        <v>2019</v>
      </c>
      <c r="J842" s="12" t="str">
        <f>HYPERLINK("https://www.boe.es/gazeta/dias/1800/09/16/pdfs/GMD-1800-75.pdf#page=8","Abrir facsímil")</f>
        <v>Abrir facsímil</v>
      </c>
      <c r="K842" s="15" t="s">
        <v>23</v>
      </c>
    </row>
    <row r="843" spans="1:11" ht="42" customHeight="1">
      <c r="A843" s="4" t="s">
        <v>2020</v>
      </c>
      <c r="B843" s="5" t="s">
        <v>2021</v>
      </c>
      <c r="C843" s="5" t="s">
        <v>54</v>
      </c>
      <c r="D843" s="5" t="s">
        <v>55</v>
      </c>
      <c r="E843" s="5" t="s">
        <v>45</v>
      </c>
      <c r="F843" s="9">
        <v>47</v>
      </c>
      <c r="G843" s="9">
        <v>502</v>
      </c>
      <c r="H843" s="5" t="s">
        <v>21</v>
      </c>
      <c r="I843" s="5" t="s">
        <v>2022</v>
      </c>
      <c r="J843" s="12" t="str">
        <f>HYPERLINK("https://www.boe.es/gazeta/dias/1800/06/13/pdfs/GMD-1800-47.pdf#page=10","Abrir facsímil")</f>
        <v>Abrir facsímil</v>
      </c>
      <c r="K843" s="15" t="s">
        <v>23</v>
      </c>
    </row>
    <row r="844" spans="1:11" ht="42" customHeight="1">
      <c r="A844" s="4" t="s">
        <v>2023</v>
      </c>
      <c r="B844" s="5" t="s">
        <v>2024</v>
      </c>
      <c r="C844" s="5" t="s">
        <v>54</v>
      </c>
      <c r="D844" s="5" t="s">
        <v>55</v>
      </c>
      <c r="E844" s="5" t="s">
        <v>45</v>
      </c>
      <c r="F844" s="9">
        <v>47</v>
      </c>
      <c r="G844" s="9">
        <v>502</v>
      </c>
      <c r="H844" s="5" t="s">
        <v>21</v>
      </c>
      <c r="I844" s="5" t="s">
        <v>2025</v>
      </c>
      <c r="J844" s="12" t="str">
        <f>HYPERLINK("https://www.boe.es/gazeta/dias/1800/06/13/pdfs/GMD-1800-47.pdf#page=10","Abrir facsímil")</f>
        <v>Abrir facsímil</v>
      </c>
      <c r="K844" s="15" t="s">
        <v>23</v>
      </c>
    </row>
    <row r="845" spans="1:11" ht="42" customHeight="1">
      <c r="A845" s="4" t="s">
        <v>2026</v>
      </c>
      <c r="B845" s="5" t="s">
        <v>2027</v>
      </c>
      <c r="C845" s="5" t="s">
        <v>84</v>
      </c>
      <c r="D845" s="5" t="s">
        <v>85</v>
      </c>
      <c r="E845" s="5" t="s">
        <v>58</v>
      </c>
      <c r="F845" s="9">
        <v>92</v>
      </c>
      <c r="G845" s="9">
        <v>1053</v>
      </c>
      <c r="H845" s="5" t="s">
        <v>21</v>
      </c>
      <c r="I845" s="5" t="s">
        <v>2028</v>
      </c>
      <c r="J845" s="12" t="str">
        <f>HYPERLINK("https://www.boe.es/gazeta/dias/1800/11/14/pdfs/GMD-1800-92.pdf#page=7","Abrir facsímil")</f>
        <v>Abrir facsímil</v>
      </c>
      <c r="K845" s="15" t="s">
        <v>23</v>
      </c>
    </row>
    <row r="846" spans="1:11" ht="42" customHeight="1">
      <c r="A846" s="4" t="s">
        <v>2029</v>
      </c>
      <c r="B846" s="5" t="s">
        <v>2030</v>
      </c>
      <c r="C846" s="5" t="s">
        <v>54</v>
      </c>
      <c r="D846" s="5" t="s">
        <v>55</v>
      </c>
      <c r="E846" s="5" t="s">
        <v>595</v>
      </c>
      <c r="F846" s="9">
        <v>72</v>
      </c>
      <c r="G846" s="9">
        <v>798</v>
      </c>
      <c r="H846" s="5" t="s">
        <v>21</v>
      </c>
      <c r="I846" s="5" t="s">
        <v>2031</v>
      </c>
      <c r="J846" s="12" t="str">
        <f>HYPERLINK("https://www.boe.es/gazeta/dias/1800/09/05/pdfs/GMD-1800-72.pdf#page=8","Abrir facsímil")</f>
        <v>Abrir facsímil</v>
      </c>
      <c r="K846" s="15" t="s">
        <v>23</v>
      </c>
    </row>
    <row r="847" spans="1:11" ht="42" customHeight="1">
      <c r="A847" s="4" t="s">
        <v>2032</v>
      </c>
      <c r="B847" s="5" t="s">
        <v>2033</v>
      </c>
      <c r="C847" s="5" t="s">
        <v>18</v>
      </c>
      <c r="D847" s="5" t="s">
        <v>19</v>
      </c>
      <c r="E847" s="5" t="s">
        <v>314</v>
      </c>
      <c r="F847" s="9">
        <v>74</v>
      </c>
      <c r="G847" s="9">
        <v>831</v>
      </c>
      <c r="H847" s="5" t="s">
        <v>21</v>
      </c>
      <c r="I847" s="5" t="s">
        <v>2034</v>
      </c>
      <c r="J847" s="12" t="str">
        <f>HYPERLINK("https://www.boe.es/gazeta/dias/1800/09/12/pdfs/GMD-1800-74.pdf#page=9","Abrir facsímil")</f>
        <v>Abrir facsímil</v>
      </c>
      <c r="K847" s="15" t="s">
        <v>23</v>
      </c>
    </row>
    <row r="848" spans="1:11" ht="42" customHeight="1">
      <c r="A848" s="4" t="s">
        <v>2035</v>
      </c>
      <c r="B848" s="5" t="s">
        <v>2036</v>
      </c>
      <c r="C848" s="5" t="s">
        <v>18</v>
      </c>
      <c r="D848" s="5" t="s">
        <v>19</v>
      </c>
      <c r="E848" s="5" t="s">
        <v>20</v>
      </c>
      <c r="F848" s="9">
        <v>104</v>
      </c>
      <c r="G848" s="9">
        <v>1209</v>
      </c>
      <c r="H848" s="5" t="s">
        <v>21</v>
      </c>
      <c r="I848" s="5" t="s">
        <v>2037</v>
      </c>
      <c r="J848" s="12" t="str">
        <f>HYPERLINK("https://www.boe.es/gazeta/dias/1800/12/26/pdfs/GMD-1800-104.pdf#page=9","Abrir facsímil")</f>
        <v>Abrir facsímil</v>
      </c>
      <c r="K848" s="15" t="s">
        <v>23</v>
      </c>
    </row>
    <row r="849" spans="1:11" ht="42" customHeight="1">
      <c r="A849" s="4" t="s">
        <v>2038</v>
      </c>
      <c r="B849" s="5" t="s">
        <v>2039</v>
      </c>
      <c r="C849" s="5" t="s">
        <v>25</v>
      </c>
      <c r="D849" s="5" t="s">
        <v>26</v>
      </c>
      <c r="E849" s="5" t="s">
        <v>58</v>
      </c>
      <c r="F849" s="9">
        <v>92</v>
      </c>
      <c r="G849" s="9">
        <v>1053</v>
      </c>
      <c r="H849" s="5" t="s">
        <v>21</v>
      </c>
      <c r="I849" s="5" t="s">
        <v>2040</v>
      </c>
      <c r="J849" s="12" t="str">
        <f>HYPERLINK("https://www.boe.es/gazeta/dias/1800/11/14/pdfs/GMD-1800-92.pdf#page=7","Abrir facsímil")</f>
        <v>Abrir facsímil</v>
      </c>
      <c r="K849" s="15" t="s">
        <v>23</v>
      </c>
    </row>
    <row r="850" spans="1:11" ht="42" customHeight="1">
      <c r="A850" s="4" t="s">
        <v>2041</v>
      </c>
      <c r="B850" s="5" t="s">
        <v>2042</v>
      </c>
      <c r="C850" s="5" t="s">
        <v>18</v>
      </c>
      <c r="D850" s="5" t="s">
        <v>19</v>
      </c>
      <c r="E850" s="5" t="s">
        <v>90</v>
      </c>
      <c r="F850" s="9">
        <v>58</v>
      </c>
      <c r="G850" s="9">
        <v>663</v>
      </c>
      <c r="H850" s="5" t="s">
        <v>21</v>
      </c>
      <c r="I850" s="5" t="s">
        <v>2043</v>
      </c>
      <c r="J850" s="12" t="str">
        <f>HYPERLINK("https://www.boe.es/gazeta/dias/1800/07/22/pdfs/GMD-1800-58.pdf#page=11","Abrir facsímil")</f>
        <v>Abrir facsímil</v>
      </c>
      <c r="K850" s="15" t="s">
        <v>23</v>
      </c>
    </row>
    <row r="851" spans="1:11" ht="42" customHeight="1">
      <c r="A851" s="4" t="s">
        <v>2044</v>
      </c>
      <c r="B851" s="5" t="s">
        <v>2045</v>
      </c>
      <c r="C851" s="5" t="s">
        <v>84</v>
      </c>
      <c r="D851" s="5" t="s">
        <v>85</v>
      </c>
      <c r="E851" s="5" t="s">
        <v>787</v>
      </c>
      <c r="F851" s="9">
        <v>6</v>
      </c>
      <c r="G851" s="9">
        <v>56</v>
      </c>
      <c r="H851" s="5" t="s">
        <v>21</v>
      </c>
      <c r="I851" s="5" t="s">
        <v>2046</v>
      </c>
      <c r="J851" s="12" t="str">
        <f>HYPERLINK("https://www.boe.es/gazeta/dias/1800/01/21/pdfs/GMD-1800-6.pdf#page=8","Abrir facsímil")</f>
        <v>Abrir facsímil</v>
      </c>
      <c r="K851" s="15" t="s">
        <v>23</v>
      </c>
    </row>
    <row r="852" spans="1:11" ht="42" customHeight="1">
      <c r="A852" s="4" t="s">
        <v>2047</v>
      </c>
      <c r="B852" s="5" t="s">
        <v>2048</v>
      </c>
      <c r="C852" s="5" t="s">
        <v>18</v>
      </c>
      <c r="D852" s="5" t="s">
        <v>19</v>
      </c>
      <c r="E852" s="5" t="s">
        <v>194</v>
      </c>
      <c r="F852" s="9">
        <v>48</v>
      </c>
      <c r="G852" s="9">
        <v>518</v>
      </c>
      <c r="H852" s="5" t="s">
        <v>21</v>
      </c>
      <c r="I852" s="5" t="s">
        <v>2049</v>
      </c>
      <c r="J852" s="12" t="str">
        <f>HYPERLINK("https://www.boe.es/gazeta/dias/1800/06/17/pdfs/GMD-1800-48.pdf#page=10","Abrir facsímil")</f>
        <v>Abrir facsímil</v>
      </c>
      <c r="K852" s="15" t="s">
        <v>23</v>
      </c>
    </row>
    <row r="853" spans="1:11" ht="42" customHeight="1">
      <c r="A853" s="4" t="s">
        <v>2050</v>
      </c>
      <c r="B853" s="5" t="s">
        <v>2051</v>
      </c>
      <c r="C853" s="5" t="s">
        <v>41</v>
      </c>
      <c r="D853" s="5" t="s">
        <v>42</v>
      </c>
      <c r="E853" s="5" t="s">
        <v>143</v>
      </c>
      <c r="F853" s="9">
        <v>22</v>
      </c>
      <c r="G853" s="9">
        <v>219</v>
      </c>
      <c r="H853" s="5" t="s">
        <v>21</v>
      </c>
      <c r="I853" s="5" t="s">
        <v>2052</v>
      </c>
      <c r="J853" s="12" t="str">
        <f>HYPERLINK("https://www.boe.es/gazeta/dias/1800/03/18/pdfs/GMD-1800-22.pdf#page=11","Abrir facsímil")</f>
        <v>Abrir facsímil</v>
      </c>
      <c r="K853" s="15" t="s">
        <v>23</v>
      </c>
    </row>
    <row r="854" spans="1:11" ht="42" customHeight="1">
      <c r="A854" s="4" t="s">
        <v>2053</v>
      </c>
      <c r="B854" s="5" t="s">
        <v>2054</v>
      </c>
      <c r="C854" s="5" t="s">
        <v>25</v>
      </c>
      <c r="D854" s="5" t="s">
        <v>26</v>
      </c>
      <c r="E854" s="5" t="s">
        <v>240</v>
      </c>
      <c r="F854" s="9">
        <v>26</v>
      </c>
      <c r="G854" s="9">
        <v>267</v>
      </c>
      <c r="H854" s="5" t="s">
        <v>21</v>
      </c>
      <c r="I854" s="5" t="s">
        <v>2055</v>
      </c>
      <c r="J854" s="12" t="str">
        <f>HYPERLINK("https://www.boe.es/gazeta/dias/1800/04/01/pdfs/GMD-1800-26.pdf#page=7","Abrir facsímil")</f>
        <v>Abrir facsímil</v>
      </c>
      <c r="K854" s="15" t="s">
        <v>23</v>
      </c>
    </row>
    <row r="855" spans="1:11" ht="42" customHeight="1">
      <c r="A855" s="4" t="s">
        <v>2056</v>
      </c>
      <c r="B855" s="5" t="s">
        <v>2057</v>
      </c>
      <c r="C855" s="5" t="s">
        <v>18</v>
      </c>
      <c r="D855" s="5" t="s">
        <v>19</v>
      </c>
      <c r="E855" s="5" t="s">
        <v>43</v>
      </c>
      <c r="F855" s="9">
        <v>46</v>
      </c>
      <c r="G855" s="9">
        <v>487</v>
      </c>
      <c r="H855" s="5" t="s">
        <v>21</v>
      </c>
      <c r="I855" s="5" t="s">
        <v>2058</v>
      </c>
      <c r="J855" s="12" t="str">
        <f>HYPERLINK("https://www.boe.es/gazeta/dias/1800/06/10/pdfs/GMD-1800-46.pdf#page=11","Abrir facsímil")</f>
        <v>Abrir facsímil</v>
      </c>
      <c r="K855" s="15" t="s">
        <v>23</v>
      </c>
    </row>
    <row r="856" spans="1:11" ht="42" customHeight="1">
      <c r="A856" s="4" t="s">
        <v>2059</v>
      </c>
      <c r="B856" s="5" t="s">
        <v>2060</v>
      </c>
      <c r="C856" s="5" t="s">
        <v>18</v>
      </c>
      <c r="D856" s="5" t="s">
        <v>19</v>
      </c>
      <c r="E856" s="5" t="s">
        <v>461</v>
      </c>
      <c r="F856" s="9">
        <v>18</v>
      </c>
      <c r="G856" s="9">
        <v>170</v>
      </c>
      <c r="H856" s="5" t="s">
        <v>21</v>
      </c>
      <c r="I856" s="5" t="s">
        <v>2061</v>
      </c>
      <c r="J856" s="12" t="str">
        <f>HYPERLINK("https://www.boe.es/datos/pdfs/BOE//1800/018/C00173-00176.pdf#page=6","Abrir facsímil")</f>
        <v>Abrir facsímil</v>
      </c>
      <c r="K856" s="15" t="s">
        <v>23</v>
      </c>
    </row>
    <row r="857" spans="1:11" ht="42" customHeight="1">
      <c r="A857" s="4" t="s">
        <v>2062</v>
      </c>
      <c r="B857" s="5" t="s">
        <v>2063</v>
      </c>
      <c r="C857" s="5" t="s">
        <v>18</v>
      </c>
      <c r="D857" s="5" t="s">
        <v>19</v>
      </c>
      <c r="E857" s="5" t="s">
        <v>79</v>
      </c>
      <c r="F857" s="9">
        <v>7</v>
      </c>
      <c r="G857" s="9">
        <v>66</v>
      </c>
      <c r="H857" s="5" t="s">
        <v>21</v>
      </c>
      <c r="I857" s="5" t="s">
        <v>2064</v>
      </c>
      <c r="J857" s="12" t="str">
        <f>HYPERLINK("https://www.boe.es/gazeta/dias/1800/01/24/pdfs/GMD-1800-7.pdf#page=6","Abrir facsímil")</f>
        <v>Abrir facsímil</v>
      </c>
      <c r="K857" s="15" t="s">
        <v>23</v>
      </c>
    </row>
    <row r="858" spans="1:11" ht="42" customHeight="1">
      <c r="A858" s="4" t="s">
        <v>2062</v>
      </c>
      <c r="B858" s="5" t="s">
        <v>2063</v>
      </c>
      <c r="C858" s="5" t="s">
        <v>18</v>
      </c>
      <c r="D858" s="5" t="s">
        <v>19</v>
      </c>
      <c r="E858" s="5" t="s">
        <v>56</v>
      </c>
      <c r="F858" s="9">
        <v>90</v>
      </c>
      <c r="G858" s="9">
        <v>1055</v>
      </c>
      <c r="H858" s="5" t="s">
        <v>21</v>
      </c>
      <c r="I858" s="5" t="s">
        <v>2065</v>
      </c>
      <c r="J858" s="12" t="str">
        <f>HYPERLINK("https://www.boe.es/gazeta/dias/1800/11/07/pdfs/GMD-1800-90.pdf#page=9","Abrir facsímil")</f>
        <v>Abrir facsímil</v>
      </c>
      <c r="K858" s="15" t="s">
        <v>23</v>
      </c>
    </row>
    <row r="859" spans="1:11" ht="42" customHeight="1">
      <c r="A859" s="4" t="s">
        <v>2066</v>
      </c>
      <c r="B859" s="5" t="s">
        <v>2067</v>
      </c>
      <c r="C859" s="5" t="s">
        <v>18</v>
      </c>
      <c r="D859" s="5" t="s">
        <v>19</v>
      </c>
      <c r="E859" s="5" t="s">
        <v>314</v>
      </c>
      <c r="F859" s="9">
        <v>74</v>
      </c>
      <c r="G859" s="9">
        <v>832</v>
      </c>
      <c r="H859" s="5" t="s">
        <v>21</v>
      </c>
      <c r="I859" s="5" t="s">
        <v>2068</v>
      </c>
      <c r="J859" s="12" t="str">
        <f>HYPERLINK("https://www.boe.es/gazeta/dias/1800/09/12/pdfs/GMD-1800-74.pdf#page=10","Abrir facsímil")</f>
        <v>Abrir facsímil</v>
      </c>
      <c r="K859" s="15" t="s">
        <v>23</v>
      </c>
    </row>
    <row r="860" spans="1:11" ht="42" customHeight="1">
      <c r="A860" s="4" t="s">
        <v>2069</v>
      </c>
      <c r="B860" s="5" t="s">
        <v>2070</v>
      </c>
      <c r="C860" s="5" t="s">
        <v>18</v>
      </c>
      <c r="D860" s="5" t="s">
        <v>19</v>
      </c>
      <c r="E860" s="5" t="s">
        <v>226</v>
      </c>
      <c r="F860" s="9">
        <v>27</v>
      </c>
      <c r="G860" s="9">
        <v>281</v>
      </c>
      <c r="H860" s="5" t="s">
        <v>21</v>
      </c>
      <c r="I860" s="5" t="s">
        <v>2071</v>
      </c>
      <c r="J860" s="12" t="str">
        <f>HYPERLINK("https://www.boe.es/gazeta/dias/1800/04/04/pdfs/GMD-1800-27.pdf#page=9","Abrir facsímil")</f>
        <v>Abrir facsímil</v>
      </c>
      <c r="K860" s="15" t="s">
        <v>23</v>
      </c>
    </row>
    <row r="861" spans="1:11" ht="42" customHeight="1">
      <c r="A861" s="4" t="s">
        <v>2072</v>
      </c>
      <c r="B861" s="5" t="s">
        <v>2073</v>
      </c>
      <c r="C861" s="5" t="s">
        <v>54</v>
      </c>
      <c r="D861" s="5" t="s">
        <v>55</v>
      </c>
      <c r="E861" s="5" t="s">
        <v>255</v>
      </c>
      <c r="F861" s="9">
        <v>75</v>
      </c>
      <c r="G861" s="9">
        <v>856</v>
      </c>
      <c r="H861" s="5" t="s">
        <v>21</v>
      </c>
      <c r="I861" s="5" t="s">
        <v>2074</v>
      </c>
      <c r="J861" s="12" t="str">
        <f>HYPERLINK("https://www.boe.es/gazeta/dias/1800/09/16/pdfs/GMD-1800-75.pdf#page=10","Abrir facsímil")</f>
        <v>Abrir facsímil</v>
      </c>
      <c r="K861" s="15" t="s">
        <v>23</v>
      </c>
    </row>
    <row r="862" spans="1:11" ht="42" customHeight="1">
      <c r="A862" s="4" t="s">
        <v>2075</v>
      </c>
      <c r="B862" s="5" t="s">
        <v>2076</v>
      </c>
      <c r="C862" s="5" t="s">
        <v>18</v>
      </c>
      <c r="D862" s="5" t="s">
        <v>19</v>
      </c>
      <c r="E862" s="5" t="s">
        <v>82</v>
      </c>
      <c r="F862" s="9">
        <v>10</v>
      </c>
      <c r="G862" s="9">
        <v>97</v>
      </c>
      <c r="H862" s="5" t="s">
        <v>21</v>
      </c>
      <c r="I862" s="5" t="s">
        <v>2077</v>
      </c>
      <c r="J862" s="12" t="str">
        <f>HYPERLINK("https://www.boe.es/gazeta/dias/1800/02/04/pdfs/GMD-1800-10.pdf#page=9","Abrir facsímil")</f>
        <v>Abrir facsímil</v>
      </c>
      <c r="K862" s="15" t="s">
        <v>23</v>
      </c>
    </row>
    <row r="863" spans="1:11" ht="42" customHeight="1">
      <c r="A863" s="4" t="s">
        <v>2078</v>
      </c>
      <c r="B863" s="5" t="s">
        <v>2079</v>
      </c>
      <c r="C863" s="5" t="s">
        <v>18</v>
      </c>
      <c r="D863" s="5" t="s">
        <v>19</v>
      </c>
      <c r="E863" s="5" t="s">
        <v>420</v>
      </c>
      <c r="F863" s="9">
        <v>38</v>
      </c>
      <c r="G863" s="9">
        <v>388</v>
      </c>
      <c r="H863" s="5" t="s">
        <v>21</v>
      </c>
      <c r="I863" s="5" t="s">
        <v>2080</v>
      </c>
      <c r="J863" s="12" t="str">
        <f>HYPERLINK("https://www.boe.es/gazeta/dias/1800/05/13/pdfs/GMD-1800-38.pdf#page=8","Abrir facsímil")</f>
        <v>Abrir facsímil</v>
      </c>
      <c r="K863" s="15" t="s">
        <v>23</v>
      </c>
    </row>
    <row r="864" spans="1:11" ht="42" customHeight="1">
      <c r="A864" s="4" t="s">
        <v>2078</v>
      </c>
      <c r="B864" s="5" t="s">
        <v>2079</v>
      </c>
      <c r="C864" s="5" t="s">
        <v>41</v>
      </c>
      <c r="D864" s="5" t="s">
        <v>42</v>
      </c>
      <c r="E864" s="5" t="s">
        <v>147</v>
      </c>
      <c r="F864" s="9">
        <v>84</v>
      </c>
      <c r="G864" s="9">
        <v>972</v>
      </c>
      <c r="H864" s="5" t="s">
        <v>21</v>
      </c>
      <c r="I864" s="5" t="s">
        <v>2081</v>
      </c>
      <c r="J864" s="12" t="str">
        <f>HYPERLINK("https://www.boe.es/gazeta/dias/1800/10/17/pdfs/GMD-1800-84.pdf#page=6","Abrir facsímil")</f>
        <v>Abrir facsímil</v>
      </c>
      <c r="K864" s="15" t="s">
        <v>23</v>
      </c>
    </row>
    <row r="865" spans="1:11" ht="42" customHeight="1">
      <c r="A865" s="4" t="s">
        <v>2082</v>
      </c>
      <c r="B865" s="5" t="s">
        <v>2083</v>
      </c>
      <c r="C865" s="5" t="s">
        <v>114</v>
      </c>
      <c r="D865" s="5" t="s">
        <v>115</v>
      </c>
      <c r="E865" s="5" t="s">
        <v>116</v>
      </c>
      <c r="F865" s="9">
        <v>86</v>
      </c>
      <c r="G865" s="9" t="s">
        <v>1501</v>
      </c>
      <c r="H865" s="5" t="s">
        <v>21</v>
      </c>
      <c r="I865" s="5" t="s">
        <v>2084</v>
      </c>
      <c r="J865" s="12" t="str">
        <f>HYPERLINK("https://www.boe.es/gazeta/dias/1800/10/24/pdfs/GMD-D-1800-86.pdf#page=2","Abrir facsímil")</f>
        <v>Abrir facsímil</v>
      </c>
      <c r="K865" s="15" t="s">
        <v>23</v>
      </c>
    </row>
    <row r="866" spans="1:11" ht="42" customHeight="1">
      <c r="A866" s="4" t="s">
        <v>2085</v>
      </c>
      <c r="B866" s="5" t="s">
        <v>2086</v>
      </c>
      <c r="C866" s="5" t="s">
        <v>18</v>
      </c>
      <c r="D866" s="5" t="s">
        <v>19</v>
      </c>
      <c r="E866" s="5" t="s">
        <v>190</v>
      </c>
      <c r="F866" s="9">
        <v>93</v>
      </c>
      <c r="G866" s="9">
        <v>1066</v>
      </c>
      <c r="H866" s="5" t="s">
        <v>21</v>
      </c>
      <c r="I866" s="5" t="s">
        <v>2087</v>
      </c>
      <c r="J866" s="12" t="str">
        <f>HYPERLINK("https://www.boe.es/gazeta/dias/1800/11/18/pdfs/GMD-1800-93.pdf#page=12","Abrir facsímil")</f>
        <v>Abrir facsímil</v>
      </c>
      <c r="K866" s="15" t="s">
        <v>23</v>
      </c>
    </row>
    <row r="867" spans="1:11" ht="42" customHeight="1">
      <c r="A867" s="4" t="s">
        <v>2088</v>
      </c>
      <c r="B867" s="5" t="s">
        <v>2089</v>
      </c>
      <c r="C867" s="5" t="s">
        <v>25</v>
      </c>
      <c r="D867" s="5" t="s">
        <v>26</v>
      </c>
      <c r="E867" s="5" t="s">
        <v>143</v>
      </c>
      <c r="F867" s="9">
        <v>22</v>
      </c>
      <c r="G867" s="9">
        <v>223</v>
      </c>
      <c r="H867" s="5" t="s">
        <v>21</v>
      </c>
      <c r="I867" s="5" t="s">
        <v>2090</v>
      </c>
      <c r="J867" s="12" t="str">
        <f>HYPERLINK("https://www.boe.es/gazeta/dias/1800/03/18/pdfs/GMD-1800-22.pdf#page=15","Abrir facsímil")</f>
        <v>Abrir facsímil</v>
      </c>
      <c r="K867" s="15" t="s">
        <v>23</v>
      </c>
    </row>
    <row r="868" spans="1:11" ht="42" customHeight="1">
      <c r="A868" s="4" t="s">
        <v>2088</v>
      </c>
      <c r="B868" s="5" t="s">
        <v>2089</v>
      </c>
      <c r="C868" s="5" t="s">
        <v>171</v>
      </c>
      <c r="D868" s="5" t="s">
        <v>172</v>
      </c>
      <c r="E868" s="5" t="s">
        <v>214</v>
      </c>
      <c r="F868" s="9">
        <v>41</v>
      </c>
      <c r="G868" s="9">
        <v>426</v>
      </c>
      <c r="H868" s="5" t="s">
        <v>21</v>
      </c>
      <c r="I868" s="5" t="s">
        <v>2091</v>
      </c>
      <c r="J868" s="12" t="str">
        <f>HYPERLINK("https://www.boe.es/gazeta/dias/1800/05/23/pdfs/GMD-C-1800-41.pdf#page=2","Abrir facsímil")</f>
        <v>Abrir facsímil</v>
      </c>
      <c r="K868" s="15" t="s">
        <v>23</v>
      </c>
    </row>
    <row r="869" spans="1:11" ht="42" customHeight="1">
      <c r="A869" s="4" t="s">
        <v>2092</v>
      </c>
      <c r="B869" s="5" t="s">
        <v>2093</v>
      </c>
      <c r="C869" s="5" t="s">
        <v>18</v>
      </c>
      <c r="D869" s="5" t="s">
        <v>19</v>
      </c>
      <c r="E869" s="5" t="s">
        <v>346</v>
      </c>
      <c r="F869" s="9">
        <v>24</v>
      </c>
      <c r="G869" s="9">
        <v>244</v>
      </c>
      <c r="H869" s="5" t="s">
        <v>21</v>
      </c>
      <c r="I869" s="5" t="s">
        <v>2094</v>
      </c>
      <c r="J869" s="12" t="str">
        <f>HYPERLINK("https://www.boe.es/gazeta/dias/1800/03/25/pdfs/GMD-1800-24.pdf#page=8","Abrir facsímil")</f>
        <v>Abrir facsímil</v>
      </c>
      <c r="K869" s="15" t="s">
        <v>23</v>
      </c>
    </row>
    <row r="870" spans="1:11" ht="42" customHeight="1">
      <c r="A870" s="4" t="s">
        <v>2095</v>
      </c>
      <c r="B870" s="5" t="s">
        <v>2096</v>
      </c>
      <c r="C870" s="5" t="s">
        <v>25</v>
      </c>
      <c r="D870" s="5" t="s">
        <v>26</v>
      </c>
      <c r="E870" s="5" t="s">
        <v>60</v>
      </c>
      <c r="F870" s="9">
        <v>105</v>
      </c>
      <c r="G870" s="9">
        <v>1226</v>
      </c>
      <c r="H870" s="5" t="s">
        <v>21</v>
      </c>
      <c r="I870" s="5" t="s">
        <v>2097</v>
      </c>
      <c r="J870" s="12" t="str">
        <f>HYPERLINK("https://www.boe.es/gazeta/dias/1800/12/30/pdfs/GMD-1800-105.pdf#page=10","Abrir facsímil")</f>
        <v>Abrir facsímil</v>
      </c>
      <c r="K870" s="15" t="s">
        <v>23</v>
      </c>
    </row>
    <row r="871" spans="1:11" ht="42" customHeight="1">
      <c r="A871" s="4" t="s">
        <v>2098</v>
      </c>
      <c r="B871" s="5" t="s">
        <v>2099</v>
      </c>
      <c r="C871" s="5" t="s">
        <v>18</v>
      </c>
      <c r="D871" s="5" t="s">
        <v>19</v>
      </c>
      <c r="E871" s="5" t="s">
        <v>116</v>
      </c>
      <c r="F871" s="9">
        <v>86</v>
      </c>
      <c r="G871" s="9">
        <v>996</v>
      </c>
      <c r="H871" s="5" t="s">
        <v>21</v>
      </c>
      <c r="I871" s="5" t="s">
        <v>2100</v>
      </c>
      <c r="J871" s="12" t="str">
        <f>HYPERLINK("https://www.boe.es/gazeta/dias/1800/10/24/pdfs/GMD-1800-86.pdf#page=6","Abrir facsímil")</f>
        <v>Abrir facsímil</v>
      </c>
      <c r="K871" s="15" t="s">
        <v>23</v>
      </c>
    </row>
    <row r="872" spans="1:11" ht="42" customHeight="1">
      <c r="A872" s="4" t="s">
        <v>2101</v>
      </c>
      <c r="B872" s="5" t="s">
        <v>2102</v>
      </c>
      <c r="C872" s="5" t="s">
        <v>25</v>
      </c>
      <c r="D872" s="5" t="s">
        <v>26</v>
      </c>
      <c r="E872" s="5" t="s">
        <v>45</v>
      </c>
      <c r="F872" s="9">
        <v>47</v>
      </c>
      <c r="G872" s="9">
        <v>502</v>
      </c>
      <c r="H872" s="5" t="s">
        <v>21</v>
      </c>
      <c r="I872" s="5" t="s">
        <v>2103</v>
      </c>
      <c r="J872" s="12" t="str">
        <f>HYPERLINK("https://www.boe.es/gazeta/dias/1800/06/13/pdfs/GMD-1800-47.pdf#page=10","Abrir facsímil")</f>
        <v>Abrir facsímil</v>
      </c>
      <c r="K872" s="15" t="s">
        <v>23</v>
      </c>
    </row>
    <row r="873" spans="1:11" ht="42" customHeight="1">
      <c r="A873" s="4" t="s">
        <v>2104</v>
      </c>
      <c r="B873" s="5" t="s">
        <v>2105</v>
      </c>
      <c r="C873" s="5" t="s">
        <v>18</v>
      </c>
      <c r="D873" s="5" t="s">
        <v>19</v>
      </c>
      <c r="E873" s="5" t="s">
        <v>135</v>
      </c>
      <c r="F873" s="9">
        <v>73</v>
      </c>
      <c r="G873" s="9">
        <v>817</v>
      </c>
      <c r="H873" s="5" t="s">
        <v>21</v>
      </c>
      <c r="I873" s="5" t="s">
        <v>2106</v>
      </c>
      <c r="J873" s="12" t="str">
        <f>HYPERLINK("https://www.boe.es/gazeta/dias/1800/09/09/pdfs/GMD-1800-73.pdf#page=11","Abrir facsímil")</f>
        <v>Abrir facsímil</v>
      </c>
      <c r="K873" s="15" t="s">
        <v>23</v>
      </c>
    </row>
    <row r="874" spans="1:11" ht="42" customHeight="1">
      <c r="A874" s="4" t="s">
        <v>2107</v>
      </c>
      <c r="B874" s="5" t="s">
        <v>2108</v>
      </c>
      <c r="C874" s="5" t="s">
        <v>18</v>
      </c>
      <c r="D874" s="5" t="s">
        <v>19</v>
      </c>
      <c r="E874" s="5" t="s">
        <v>56</v>
      </c>
      <c r="F874" s="9">
        <v>90</v>
      </c>
      <c r="G874" s="9">
        <v>1055</v>
      </c>
      <c r="H874" s="5" t="s">
        <v>21</v>
      </c>
      <c r="I874" s="5" t="s">
        <v>2109</v>
      </c>
      <c r="J874" s="12" t="str">
        <f>HYPERLINK("https://www.boe.es/gazeta/dias/1800/11/07/pdfs/GMD-1800-90.pdf#page=9","Abrir facsímil")</f>
        <v>Abrir facsímil</v>
      </c>
      <c r="K874" s="15" t="s">
        <v>23</v>
      </c>
    </row>
    <row r="875" spans="1:11" ht="42" customHeight="1">
      <c r="A875" s="4" t="s">
        <v>2110</v>
      </c>
      <c r="B875" s="5" t="s">
        <v>2110</v>
      </c>
      <c r="C875" s="5" t="s">
        <v>18</v>
      </c>
      <c r="D875" s="5" t="s">
        <v>19</v>
      </c>
      <c r="E875" s="5" t="s">
        <v>48</v>
      </c>
      <c r="F875" s="9">
        <v>66</v>
      </c>
      <c r="G875" s="9">
        <v>746</v>
      </c>
      <c r="H875" s="5" t="s">
        <v>21</v>
      </c>
      <c r="I875" s="5" t="s">
        <v>2111</v>
      </c>
      <c r="J875" s="12" t="str">
        <f>HYPERLINK("https://www.boe.es/gazeta/dias/1800/08/19/pdfs/GMD-1800-66.pdf#page=10","Abrir facsímil")</f>
        <v>Abrir facsímil</v>
      </c>
      <c r="K875" s="15" t="s">
        <v>23</v>
      </c>
    </row>
    <row r="876" spans="1:11" ht="42" customHeight="1">
      <c r="A876" s="4" t="s">
        <v>2112</v>
      </c>
      <c r="B876" s="5" t="s">
        <v>2113</v>
      </c>
      <c r="C876" s="5" t="s">
        <v>18</v>
      </c>
      <c r="D876" s="5" t="s">
        <v>19</v>
      </c>
      <c r="E876" s="5" t="s">
        <v>154</v>
      </c>
      <c r="F876" s="9">
        <v>61</v>
      </c>
      <c r="G876" s="9">
        <v>697</v>
      </c>
      <c r="H876" s="5" t="s">
        <v>21</v>
      </c>
      <c r="I876" s="5" t="s">
        <v>2114</v>
      </c>
      <c r="J876" s="12" t="str">
        <f>HYPERLINK("https://www.boe.es/gazeta/dias/1800/08/01/pdfs/GMD-1800-61.pdf#page=9","Abrir facsímil")</f>
        <v>Abrir facsímil</v>
      </c>
      <c r="K876" s="15" t="s">
        <v>23</v>
      </c>
    </row>
    <row r="877" spans="1:11" ht="42" customHeight="1">
      <c r="A877" s="4" t="s">
        <v>2115</v>
      </c>
      <c r="B877" s="5" t="s">
        <v>2116</v>
      </c>
      <c r="C877" s="5" t="s">
        <v>18</v>
      </c>
      <c r="D877" s="5" t="s">
        <v>19</v>
      </c>
      <c r="E877" s="5" t="s">
        <v>406</v>
      </c>
      <c r="F877" s="9">
        <v>44</v>
      </c>
      <c r="G877" s="9">
        <v>461</v>
      </c>
      <c r="H877" s="5" t="s">
        <v>21</v>
      </c>
      <c r="I877" s="5" t="s">
        <v>2117</v>
      </c>
      <c r="J877" s="12" t="str">
        <f>HYPERLINK("https://www.boe.es/gazeta/dias/1800/06/03/pdfs/GMD-1800-44.pdf#page=9","Abrir facsímil")</f>
        <v>Abrir facsímil</v>
      </c>
      <c r="K877" s="15" t="s">
        <v>23</v>
      </c>
    </row>
    <row r="878" spans="1:11" ht="42" customHeight="1">
      <c r="A878" s="4" t="s">
        <v>2118</v>
      </c>
      <c r="B878" s="5" t="s">
        <v>2119</v>
      </c>
      <c r="C878" s="5" t="s">
        <v>18</v>
      </c>
      <c r="D878" s="5" t="s">
        <v>19</v>
      </c>
      <c r="E878" s="5" t="s">
        <v>420</v>
      </c>
      <c r="F878" s="9">
        <v>38</v>
      </c>
      <c r="G878" s="9">
        <v>388</v>
      </c>
      <c r="H878" s="5" t="s">
        <v>21</v>
      </c>
      <c r="I878" s="5" t="s">
        <v>2120</v>
      </c>
      <c r="J878" s="12" t="str">
        <f>HYPERLINK("https://www.boe.es/gazeta/dias/1800/05/13/pdfs/GMD-1800-38.pdf#page=8","Abrir facsímil")</f>
        <v>Abrir facsímil</v>
      </c>
      <c r="K878" s="15" t="s">
        <v>23</v>
      </c>
    </row>
    <row r="879" spans="1:11" ht="42" customHeight="1">
      <c r="A879" s="4" t="s">
        <v>2121</v>
      </c>
      <c r="B879" s="5" t="s">
        <v>2122</v>
      </c>
      <c r="C879" s="5" t="s">
        <v>2123</v>
      </c>
      <c r="D879" s="5" t="s">
        <v>2124</v>
      </c>
      <c r="E879" s="5" t="s">
        <v>58</v>
      </c>
      <c r="F879" s="9">
        <v>92</v>
      </c>
      <c r="G879" s="9">
        <v>1056</v>
      </c>
      <c r="H879" s="5" t="s">
        <v>21</v>
      </c>
      <c r="I879" s="5" t="s">
        <v>2125</v>
      </c>
      <c r="J879" s="12" t="str">
        <f>HYPERLINK("https://www.boe.es/gazeta/dias/1800/11/14/pdfs/GMD-C-1800-92.pdf#page=2","Abrir facsímil")</f>
        <v>Abrir facsímil</v>
      </c>
      <c r="K879" s="15" t="s">
        <v>23</v>
      </c>
    </row>
    <row r="880" spans="1:11" ht="42" customHeight="1">
      <c r="A880" s="4" t="s">
        <v>2121</v>
      </c>
      <c r="B880" s="5" t="s">
        <v>2122</v>
      </c>
      <c r="C880" s="5" t="s">
        <v>25</v>
      </c>
      <c r="D880" s="5" t="s">
        <v>26</v>
      </c>
      <c r="E880" s="5" t="s">
        <v>190</v>
      </c>
      <c r="F880" s="9">
        <v>93</v>
      </c>
      <c r="G880" s="9">
        <v>1068</v>
      </c>
      <c r="H880" s="5" t="s">
        <v>21</v>
      </c>
      <c r="I880" s="5" t="s">
        <v>2126</v>
      </c>
      <c r="J880" s="12" t="str">
        <f>HYPERLINK("https://www.boe.es/gazeta/dias/1800/11/18/pdfs/GMD-1800-93.pdf#page=14","Abrir facsímil")</f>
        <v>Abrir facsímil</v>
      </c>
      <c r="K880" s="15" t="s">
        <v>23</v>
      </c>
    </row>
    <row r="881" spans="1:11" ht="42" customHeight="1">
      <c r="A881" s="4" t="s">
        <v>2121</v>
      </c>
      <c r="B881" s="5" t="s">
        <v>2122</v>
      </c>
      <c r="C881" s="5" t="s">
        <v>25</v>
      </c>
      <c r="D881" s="5" t="s">
        <v>26</v>
      </c>
      <c r="E881" s="5" t="s">
        <v>203</v>
      </c>
      <c r="F881" s="9">
        <v>94</v>
      </c>
      <c r="G881" s="9">
        <v>1080</v>
      </c>
      <c r="H881" s="5" t="s">
        <v>21</v>
      </c>
      <c r="I881" s="5" t="s">
        <v>2127</v>
      </c>
      <c r="J881" s="12" t="str">
        <f>HYPERLINK("https://www.boe.es/gazeta/dias/1800/11/21/pdfs/GMD-1800-94.pdf#page=10","Abrir facsímil")</f>
        <v>Abrir facsímil</v>
      </c>
      <c r="K881" s="15" t="s">
        <v>23</v>
      </c>
    </row>
    <row r="882" spans="1:11" ht="42" customHeight="1">
      <c r="A882" s="4" t="s">
        <v>2128</v>
      </c>
      <c r="B882" s="5" t="s">
        <v>2129</v>
      </c>
      <c r="C882" s="5" t="s">
        <v>84</v>
      </c>
      <c r="D882" s="5" t="s">
        <v>85</v>
      </c>
      <c r="E882" s="5" t="s">
        <v>230</v>
      </c>
      <c r="F882" s="9">
        <v>35</v>
      </c>
      <c r="G882" s="9">
        <v>356</v>
      </c>
      <c r="H882" s="5" t="s">
        <v>21</v>
      </c>
      <c r="I882" s="5" t="s">
        <v>2130</v>
      </c>
      <c r="J882" s="12" t="str">
        <f>HYPERLINK("https://www.boe.es/gazeta/dias/1800/05/02/pdfs/GMD-1800-35.pdf#page=8","Abrir facsímil")</f>
        <v>Abrir facsímil</v>
      </c>
      <c r="K882" s="15" t="s">
        <v>23</v>
      </c>
    </row>
    <row r="883" spans="1:11" ht="42" customHeight="1">
      <c r="A883" s="4" t="s">
        <v>2131</v>
      </c>
      <c r="B883" s="5" t="s">
        <v>2132</v>
      </c>
      <c r="C883" s="5" t="s">
        <v>25</v>
      </c>
      <c r="D883" s="5" t="s">
        <v>26</v>
      </c>
      <c r="E883" s="5" t="s">
        <v>402</v>
      </c>
      <c r="F883" s="9">
        <v>101</v>
      </c>
      <c r="G883" s="9">
        <v>1173</v>
      </c>
      <c r="H883" s="5" t="s">
        <v>21</v>
      </c>
      <c r="I883" s="5" t="s">
        <v>2133</v>
      </c>
      <c r="J883" s="12" t="str">
        <f>HYPERLINK("https://www.boe.es/gazeta/dias/1800/12/16/pdfs/GMD-1800-101.pdf#page=9","Abrir facsímil")</f>
        <v>Abrir facsímil</v>
      </c>
      <c r="K883" s="15" t="s">
        <v>23</v>
      </c>
    </row>
    <row r="884" spans="1:11" ht="42" customHeight="1">
      <c r="A884" s="4" t="s">
        <v>2134</v>
      </c>
      <c r="B884" s="5" t="s">
        <v>2135</v>
      </c>
      <c r="C884" s="5" t="s">
        <v>18</v>
      </c>
      <c r="D884" s="5" t="s">
        <v>19</v>
      </c>
      <c r="E884" s="5" t="s">
        <v>329</v>
      </c>
      <c r="F884" s="9">
        <v>99</v>
      </c>
      <c r="G884" s="9">
        <v>1138</v>
      </c>
      <c r="H884" s="5" t="s">
        <v>21</v>
      </c>
      <c r="I884" s="5" t="s">
        <v>2136</v>
      </c>
      <c r="J884" s="12" t="str">
        <f>HYPERLINK("https://www.boe.es/gazeta/dias/1800/12/09/pdfs/GMD-1800-99.pdf#page=6","Abrir facsímil")</f>
        <v>Abrir facsímil</v>
      </c>
      <c r="K884" s="15" t="s">
        <v>23</v>
      </c>
    </row>
    <row r="885" spans="1:11" ht="42" customHeight="1">
      <c r="A885" s="4" t="s">
        <v>2137</v>
      </c>
      <c r="B885" s="5" t="s">
        <v>2138</v>
      </c>
      <c r="C885" s="5" t="s">
        <v>18</v>
      </c>
      <c r="D885" s="5" t="s">
        <v>19</v>
      </c>
      <c r="E885" s="5" t="s">
        <v>244</v>
      </c>
      <c r="F885" s="9">
        <v>9</v>
      </c>
      <c r="G885" s="9">
        <v>85</v>
      </c>
      <c r="H885" s="5" t="s">
        <v>21</v>
      </c>
      <c r="I885" s="5" t="s">
        <v>2139</v>
      </c>
      <c r="J885" s="12" t="str">
        <f>HYPERLINK("https://www.boe.es/gazeta/dias/1800/01/31/pdfs/GMD-1800-9.pdf#page=9","Abrir facsímil")</f>
        <v>Abrir facsímil</v>
      </c>
      <c r="K885" s="15" t="s">
        <v>23</v>
      </c>
    </row>
    <row r="886" spans="1:11" ht="42" customHeight="1">
      <c r="A886" s="4" t="s">
        <v>2140</v>
      </c>
      <c r="B886" s="5" t="s">
        <v>2141</v>
      </c>
      <c r="C886" s="5" t="s">
        <v>18</v>
      </c>
      <c r="D886" s="5" t="s">
        <v>19</v>
      </c>
      <c r="E886" s="5" t="s">
        <v>262</v>
      </c>
      <c r="F886" s="9">
        <v>39</v>
      </c>
      <c r="G886" s="9">
        <v>400</v>
      </c>
      <c r="H886" s="5" t="s">
        <v>21</v>
      </c>
      <c r="I886" s="5" t="s">
        <v>2142</v>
      </c>
      <c r="J886" s="12" t="str">
        <f>HYPERLINK("https://www.boe.es/gazeta/dias/1800/05/16/pdfs/GMD-1800-39.pdf#page=8","Abrir facsímil")</f>
        <v>Abrir facsímil</v>
      </c>
      <c r="K886" s="15" t="s">
        <v>23</v>
      </c>
    </row>
    <row r="887" spans="1:11" ht="42" customHeight="1">
      <c r="A887" s="4" t="s">
        <v>2143</v>
      </c>
      <c r="B887" s="5" t="s">
        <v>2143</v>
      </c>
      <c r="C887" s="5" t="s">
        <v>171</v>
      </c>
      <c r="D887" s="5" t="s">
        <v>172</v>
      </c>
      <c r="E887" s="5" t="s">
        <v>465</v>
      </c>
      <c r="F887" s="9">
        <v>49</v>
      </c>
      <c r="G887" s="9">
        <v>535</v>
      </c>
      <c r="H887" s="5" t="s">
        <v>21</v>
      </c>
      <c r="I887" s="5" t="s">
        <v>2144</v>
      </c>
      <c r="J887" s="12" t="str">
        <f>HYPERLINK("https://www.boe.es/gazeta/dias/1800/06/20/pdfs/GMD-C-1800-49.pdf#page=3","Abrir facsímil")</f>
        <v>Abrir facsímil</v>
      </c>
      <c r="K887" s="15" t="s">
        <v>23</v>
      </c>
    </row>
    <row r="888" spans="1:11" ht="42" customHeight="1">
      <c r="A888" s="4" t="s">
        <v>2145</v>
      </c>
      <c r="B888" s="5" t="s">
        <v>2146</v>
      </c>
      <c r="C888" s="5" t="s">
        <v>18</v>
      </c>
      <c r="D888" s="5" t="s">
        <v>19</v>
      </c>
      <c r="E888" s="5" t="s">
        <v>420</v>
      </c>
      <c r="F888" s="9">
        <v>38</v>
      </c>
      <c r="G888" s="9">
        <v>388</v>
      </c>
      <c r="H888" s="5" t="s">
        <v>21</v>
      </c>
      <c r="I888" s="5" t="s">
        <v>2147</v>
      </c>
      <c r="J888" s="12" t="str">
        <f>HYPERLINK("https://www.boe.es/gazeta/dias/1800/05/13/pdfs/GMD-1800-38.pdf#page=8","Abrir facsímil")</f>
        <v>Abrir facsímil</v>
      </c>
      <c r="K888" s="15" t="s">
        <v>23</v>
      </c>
    </row>
    <row r="889" spans="1:11" ht="42" customHeight="1">
      <c r="A889" s="4" t="s">
        <v>2148</v>
      </c>
      <c r="B889" s="5" t="s">
        <v>2149</v>
      </c>
      <c r="C889" s="5" t="s">
        <v>18</v>
      </c>
      <c r="D889" s="5" t="s">
        <v>19</v>
      </c>
      <c r="E889" s="5" t="s">
        <v>576</v>
      </c>
      <c r="F889" s="9">
        <v>91</v>
      </c>
      <c r="G889" s="9">
        <v>1068</v>
      </c>
      <c r="H889" s="5" t="s">
        <v>21</v>
      </c>
      <c r="I889" s="5" t="s">
        <v>2150</v>
      </c>
      <c r="J889" s="12" t="str">
        <f>HYPERLINK("https://www.boe.es/gazeta/dias/1800/11/11/pdfs/GMD-1800-91.pdf#page=10","Abrir facsímil")</f>
        <v>Abrir facsímil</v>
      </c>
      <c r="K889" s="15" t="s">
        <v>23</v>
      </c>
    </row>
    <row r="890" spans="1:11" ht="42" customHeight="1">
      <c r="A890" s="4" t="s">
        <v>2151</v>
      </c>
      <c r="B890" s="5" t="s">
        <v>2152</v>
      </c>
      <c r="C890" s="5" t="s">
        <v>18</v>
      </c>
      <c r="D890" s="5" t="s">
        <v>19</v>
      </c>
      <c r="E890" s="5" t="s">
        <v>176</v>
      </c>
      <c r="F890" s="9">
        <v>88</v>
      </c>
      <c r="G890" s="9">
        <v>1031</v>
      </c>
      <c r="H890" s="5" t="s">
        <v>21</v>
      </c>
      <c r="I890" s="5" t="s">
        <v>2153</v>
      </c>
      <c r="J890" s="12" t="str">
        <f>HYPERLINK("https://www.boe.es/gazeta/dias/1800/10/31/pdfs/GMD-1800-88.pdf#page=13","Abrir facsímil")</f>
        <v>Abrir facsímil</v>
      </c>
      <c r="K890" s="15" t="s">
        <v>23</v>
      </c>
    </row>
    <row r="891" spans="1:11" ht="42" customHeight="1">
      <c r="A891" s="4" t="s">
        <v>2154</v>
      </c>
      <c r="B891" s="5" t="s">
        <v>2155</v>
      </c>
      <c r="C891" s="5" t="s">
        <v>18</v>
      </c>
      <c r="D891" s="5" t="s">
        <v>19</v>
      </c>
      <c r="E891" s="5" t="s">
        <v>598</v>
      </c>
      <c r="F891" s="9">
        <v>32</v>
      </c>
      <c r="G891" s="9">
        <v>322</v>
      </c>
      <c r="H891" s="5" t="s">
        <v>21</v>
      </c>
      <c r="I891" s="5" t="s">
        <v>2156</v>
      </c>
      <c r="J891" s="12" t="str">
        <f>HYPERLINK("https://www.boe.es/gazeta/dias/1800/04/22/pdfs/GMD-1800-32.pdf#page=6","Abrir facsímil")</f>
        <v>Abrir facsímil</v>
      </c>
      <c r="K891" s="15" t="s">
        <v>23</v>
      </c>
    </row>
    <row r="892" spans="1:11" ht="42" customHeight="1">
      <c r="A892" s="4" t="s">
        <v>2157</v>
      </c>
      <c r="B892" s="5" t="s">
        <v>2158</v>
      </c>
      <c r="C892" s="5" t="s">
        <v>18</v>
      </c>
      <c r="D892" s="5" t="s">
        <v>19</v>
      </c>
      <c r="E892" s="5" t="s">
        <v>420</v>
      </c>
      <c r="F892" s="9">
        <v>38</v>
      </c>
      <c r="G892" s="9">
        <v>391</v>
      </c>
      <c r="H892" s="5" t="s">
        <v>21</v>
      </c>
      <c r="I892" s="5" t="s">
        <v>2159</v>
      </c>
      <c r="J892" s="12" t="str">
        <f>HYPERLINK("https://www.boe.es/gazeta/dias/1800/05/13/pdfs/GMD-1800-38.pdf#page=11","Abrir facsímil")</f>
        <v>Abrir facsímil</v>
      </c>
      <c r="K892" s="15" t="s">
        <v>23</v>
      </c>
    </row>
    <row r="893" spans="1:11" ht="42" customHeight="1">
      <c r="A893" s="4" t="s">
        <v>2160</v>
      </c>
      <c r="B893" s="5" t="s">
        <v>2160</v>
      </c>
      <c r="C893" s="5" t="s">
        <v>41</v>
      </c>
      <c r="D893" s="5" t="s">
        <v>42</v>
      </c>
      <c r="E893" s="5" t="s">
        <v>214</v>
      </c>
      <c r="F893" s="9">
        <v>41</v>
      </c>
      <c r="G893" s="9">
        <v>421</v>
      </c>
      <c r="H893" s="5" t="s">
        <v>21</v>
      </c>
      <c r="I893" s="5" t="s">
        <v>2161</v>
      </c>
      <c r="J893" s="12" t="str">
        <f>HYPERLINK("https://www.boe.es/gazeta/dias/1800/05/23/pdfs/GMD-1800-41.pdf#page=5","Abrir facsímil")</f>
        <v>Abrir facsímil</v>
      </c>
      <c r="K893" s="15" t="s">
        <v>23</v>
      </c>
    </row>
    <row r="894" spans="1:11" ht="42" customHeight="1">
      <c r="A894" s="4" t="s">
        <v>2160</v>
      </c>
      <c r="B894" s="5" t="s">
        <v>2160</v>
      </c>
      <c r="C894" s="5" t="s">
        <v>41</v>
      </c>
      <c r="D894" s="5" t="s">
        <v>42</v>
      </c>
      <c r="E894" s="5" t="s">
        <v>39</v>
      </c>
      <c r="F894" s="9">
        <v>43</v>
      </c>
      <c r="G894" s="9">
        <v>448</v>
      </c>
      <c r="H894" s="5" t="s">
        <v>21</v>
      </c>
      <c r="I894" s="5" t="s">
        <v>2162</v>
      </c>
      <c r="J894" s="12" t="str">
        <f>HYPERLINK("https://www.boe.es/gazeta/dias/1800/05/30/pdfs/GMD-1800-43.pdf#page=8","Abrir facsímil")</f>
        <v>Abrir facsímil</v>
      </c>
      <c r="K894" s="15" t="s">
        <v>23</v>
      </c>
    </row>
    <row r="895" spans="1:11" ht="42" customHeight="1">
      <c r="A895" s="4" t="s">
        <v>2160</v>
      </c>
      <c r="B895" s="5" t="s">
        <v>2160</v>
      </c>
      <c r="C895" s="5" t="s">
        <v>41</v>
      </c>
      <c r="D895" s="5" t="s">
        <v>42</v>
      </c>
      <c r="E895" s="5" t="s">
        <v>45</v>
      </c>
      <c r="F895" s="9">
        <v>47</v>
      </c>
      <c r="G895" s="9">
        <v>499</v>
      </c>
      <c r="H895" s="5" t="s">
        <v>21</v>
      </c>
      <c r="I895" s="5" t="s">
        <v>2163</v>
      </c>
      <c r="J895" s="12" t="str">
        <f>HYPERLINK("https://www.boe.es/gazeta/dias/1800/06/13/pdfs/GMD-1800-47.pdf#page=7","Abrir facsímil")</f>
        <v>Abrir facsímil</v>
      </c>
      <c r="K895" s="15" t="s">
        <v>23</v>
      </c>
    </row>
    <row r="896" spans="1:11" ht="42" customHeight="1">
      <c r="A896" s="4" t="s">
        <v>2160</v>
      </c>
      <c r="B896" s="5" t="s">
        <v>2160</v>
      </c>
      <c r="C896" s="5" t="s">
        <v>18</v>
      </c>
      <c r="D896" s="5" t="s">
        <v>19</v>
      </c>
      <c r="E896" s="5" t="s">
        <v>120</v>
      </c>
      <c r="F896" s="9">
        <v>52</v>
      </c>
      <c r="G896" s="9">
        <v>573</v>
      </c>
      <c r="H896" s="5" t="s">
        <v>21</v>
      </c>
      <c r="I896" s="5" t="s">
        <v>2164</v>
      </c>
      <c r="J896" s="12" t="str">
        <f>HYPERLINK("https://www.boe.es/gazeta/dias/1800/07/01/pdfs/GMD-1800-52.pdf#page=9","Abrir facsímil")</f>
        <v>Abrir facsímil</v>
      </c>
      <c r="K896" s="15" t="s">
        <v>23</v>
      </c>
    </row>
    <row r="897" spans="1:11" ht="42" customHeight="1">
      <c r="A897" s="4" t="s">
        <v>2165</v>
      </c>
      <c r="B897" s="5" t="s">
        <v>2165</v>
      </c>
      <c r="C897" s="5" t="s">
        <v>84</v>
      </c>
      <c r="D897" s="5" t="s">
        <v>85</v>
      </c>
      <c r="E897" s="5" t="s">
        <v>673</v>
      </c>
      <c r="F897" s="9">
        <v>89</v>
      </c>
      <c r="G897" s="9">
        <v>1042</v>
      </c>
      <c r="H897" s="5" t="s">
        <v>21</v>
      </c>
      <c r="I897" s="5" t="s">
        <v>2166</v>
      </c>
      <c r="J897" s="12" t="str">
        <f>HYPERLINK("https://www.boe.es/gazeta/dias/1800/11/04/pdfs/GMD-1800-89.pdf#page=8","Abrir facsímil")</f>
        <v>Abrir facsímil</v>
      </c>
      <c r="K897" s="15" t="s">
        <v>23</v>
      </c>
    </row>
    <row r="898" spans="1:11" ht="42" customHeight="1">
      <c r="A898" s="4" t="s">
        <v>2167</v>
      </c>
      <c r="B898" s="5" t="s">
        <v>2167</v>
      </c>
      <c r="C898" s="5" t="s">
        <v>41</v>
      </c>
      <c r="D898" s="5" t="s">
        <v>42</v>
      </c>
      <c r="E898" s="5" t="s">
        <v>1287</v>
      </c>
      <c r="F898" s="9">
        <v>57</v>
      </c>
      <c r="G898" s="9">
        <v>646</v>
      </c>
      <c r="H898" s="5" t="s">
        <v>21</v>
      </c>
      <c r="I898" s="5" t="s">
        <v>2168</v>
      </c>
      <c r="J898" s="12" t="str">
        <f>HYPERLINK("https://www.boe.es/gazeta/dias/1800/07/18/pdfs/GMD-1800-57.pdf#page=10","Abrir facsímil")</f>
        <v>Abrir facsímil</v>
      </c>
      <c r="K898" s="15" t="s">
        <v>23</v>
      </c>
    </row>
    <row r="899" spans="1:11" ht="42" customHeight="1">
      <c r="A899" s="4" t="s">
        <v>2169</v>
      </c>
      <c r="B899" s="5" t="s">
        <v>2169</v>
      </c>
      <c r="C899" s="5" t="s">
        <v>18</v>
      </c>
      <c r="D899" s="5" t="s">
        <v>19</v>
      </c>
      <c r="E899" s="5" t="s">
        <v>346</v>
      </c>
      <c r="F899" s="9">
        <v>24</v>
      </c>
      <c r="G899" s="9">
        <v>241</v>
      </c>
      <c r="H899" s="5" t="s">
        <v>21</v>
      </c>
      <c r="I899" s="5" t="s">
        <v>2170</v>
      </c>
      <c r="J899" s="12" t="str">
        <f>HYPERLINK("https://www.boe.es/gazeta/dias/1800/03/25/pdfs/GMD-1800-24.pdf#page=5","Abrir facsímil")</f>
        <v>Abrir facsímil</v>
      </c>
      <c r="K899" s="15" t="s">
        <v>23</v>
      </c>
    </row>
    <row r="900" spans="1:11" ht="42" customHeight="1">
      <c r="A900" s="4" t="s">
        <v>2171</v>
      </c>
      <c r="B900" s="5" t="s">
        <v>2172</v>
      </c>
      <c r="C900" s="5" t="s">
        <v>18</v>
      </c>
      <c r="D900" s="5" t="s">
        <v>19</v>
      </c>
      <c r="E900" s="5" t="s">
        <v>56</v>
      </c>
      <c r="F900" s="9">
        <v>90</v>
      </c>
      <c r="G900" s="9">
        <v>1056</v>
      </c>
      <c r="H900" s="5" t="s">
        <v>21</v>
      </c>
      <c r="I900" s="5" t="s">
        <v>2173</v>
      </c>
      <c r="J900" s="12" t="str">
        <f>HYPERLINK("https://www.boe.es/gazeta/dias/1800/11/07/pdfs/GMD-1800-90.pdf#page=10","Abrir facsímil")</f>
        <v>Abrir facsímil</v>
      </c>
      <c r="K900" s="15" t="s">
        <v>23</v>
      </c>
    </row>
    <row r="901" spans="1:11" ht="42" customHeight="1">
      <c r="A901" s="4" t="s">
        <v>2174</v>
      </c>
      <c r="B901" s="5" t="s">
        <v>2174</v>
      </c>
      <c r="C901" s="5" t="s">
        <v>18</v>
      </c>
      <c r="D901" s="5" t="s">
        <v>19</v>
      </c>
      <c r="E901" s="5" t="s">
        <v>31</v>
      </c>
      <c r="F901" s="9">
        <v>20</v>
      </c>
      <c r="G901" s="9">
        <v>192</v>
      </c>
      <c r="H901" s="5" t="s">
        <v>21</v>
      </c>
      <c r="I901" s="5" t="s">
        <v>2175</v>
      </c>
      <c r="J901" s="12" t="str">
        <f>HYPERLINK("https://www.boe.es/gazeta/dias/1800/03/11/pdfs/GMD-1800-20.pdf#page=8","Abrir facsímil")</f>
        <v>Abrir facsímil</v>
      </c>
      <c r="K901" s="15" t="s">
        <v>23</v>
      </c>
    </row>
    <row r="902" spans="1:11" ht="42" customHeight="1">
      <c r="A902" s="4" t="s">
        <v>2176</v>
      </c>
      <c r="B902" s="5" t="s">
        <v>2177</v>
      </c>
      <c r="C902" s="5" t="s">
        <v>207</v>
      </c>
      <c r="D902" s="5" t="s">
        <v>55</v>
      </c>
      <c r="E902" s="5" t="s">
        <v>176</v>
      </c>
      <c r="F902" s="9">
        <v>88</v>
      </c>
      <c r="G902" s="9">
        <v>1030</v>
      </c>
      <c r="H902" s="5" t="s">
        <v>21</v>
      </c>
      <c r="I902" s="5" t="s">
        <v>2178</v>
      </c>
      <c r="J902" s="12" t="str">
        <f>HYPERLINK("https://www.boe.es/gazeta/dias/1800/10/31/pdfs/GMD-1800-88.pdf#page=12","Abrir facsímil")</f>
        <v>Abrir facsímil</v>
      </c>
      <c r="K902" s="15" t="s">
        <v>23</v>
      </c>
    </row>
    <row r="903" spans="1:11" ht="42" customHeight="1">
      <c r="A903" s="4" t="s">
        <v>2179</v>
      </c>
      <c r="B903" s="5" t="s">
        <v>2180</v>
      </c>
      <c r="C903" s="5" t="s">
        <v>18</v>
      </c>
      <c r="D903" s="5" t="s">
        <v>19</v>
      </c>
      <c r="E903" s="5" t="s">
        <v>56</v>
      </c>
      <c r="F903" s="9">
        <v>90</v>
      </c>
      <c r="G903" s="9">
        <v>1056</v>
      </c>
      <c r="H903" s="5" t="s">
        <v>21</v>
      </c>
      <c r="I903" s="5" t="s">
        <v>2181</v>
      </c>
      <c r="J903" s="12" t="str">
        <f>HYPERLINK("https://www.boe.es/gazeta/dias/1800/11/07/pdfs/GMD-1800-90.pdf#page=10","Abrir facsímil")</f>
        <v>Abrir facsímil</v>
      </c>
      <c r="K903" s="15" t="s">
        <v>23</v>
      </c>
    </row>
    <row r="904" spans="1:11" ht="42" customHeight="1">
      <c r="A904" s="4" t="s">
        <v>2182</v>
      </c>
      <c r="B904" s="5" t="s">
        <v>2183</v>
      </c>
      <c r="C904" s="5" t="s">
        <v>18</v>
      </c>
      <c r="D904" s="5" t="s">
        <v>19</v>
      </c>
      <c r="E904" s="5" t="s">
        <v>598</v>
      </c>
      <c r="F904" s="9">
        <v>32</v>
      </c>
      <c r="G904" s="9">
        <v>323</v>
      </c>
      <c r="H904" s="5" t="s">
        <v>21</v>
      </c>
      <c r="I904" s="5" t="s">
        <v>2184</v>
      </c>
      <c r="J904" s="12" t="str">
        <f>HYPERLINK("https://www.boe.es/gazeta/dias/1800/04/22/pdfs/GMD-1800-32.pdf#page=7","Abrir facsímil")</f>
        <v>Abrir facsímil</v>
      </c>
      <c r="K904" s="15" t="s">
        <v>23</v>
      </c>
    </row>
    <row r="905" spans="1:11" ht="42" customHeight="1">
      <c r="A905" s="4" t="s">
        <v>2185</v>
      </c>
      <c r="B905" s="5" t="s">
        <v>2186</v>
      </c>
      <c r="C905" s="5" t="s">
        <v>41</v>
      </c>
      <c r="D905" s="5" t="s">
        <v>42</v>
      </c>
      <c r="E905" s="5" t="s">
        <v>143</v>
      </c>
      <c r="F905" s="9">
        <v>22</v>
      </c>
      <c r="G905" s="9">
        <v>219</v>
      </c>
      <c r="H905" s="5" t="s">
        <v>21</v>
      </c>
      <c r="I905" s="5" t="s">
        <v>2187</v>
      </c>
      <c r="J905" s="12" t="str">
        <f>HYPERLINK("https://www.boe.es/gazeta/dias/1800/03/18/pdfs/GMD-1800-22.pdf#page=11","Abrir facsímil")</f>
        <v>Abrir facsímil</v>
      </c>
      <c r="K905" s="15" t="s">
        <v>23</v>
      </c>
    </row>
    <row r="906" spans="1:11" ht="42" customHeight="1">
      <c r="A906" s="4" t="s">
        <v>2188</v>
      </c>
      <c r="B906" s="5" t="s">
        <v>2189</v>
      </c>
      <c r="C906" s="5" t="s">
        <v>41</v>
      </c>
      <c r="D906" s="5" t="s">
        <v>42</v>
      </c>
      <c r="E906" s="5" t="s">
        <v>143</v>
      </c>
      <c r="F906" s="9">
        <v>22</v>
      </c>
      <c r="G906" s="9">
        <v>219</v>
      </c>
      <c r="H906" s="5" t="s">
        <v>21</v>
      </c>
      <c r="I906" s="5" t="s">
        <v>2190</v>
      </c>
      <c r="J906" s="12" t="str">
        <f>HYPERLINK("https://www.boe.es/gazeta/dias/1800/03/18/pdfs/GMD-1800-22.pdf#page=11","Abrir facsímil")</f>
        <v>Abrir facsímil</v>
      </c>
      <c r="K906" s="15" t="s">
        <v>23</v>
      </c>
    </row>
    <row r="907" spans="1:11" ht="42" customHeight="1">
      <c r="A907" s="4" t="s">
        <v>2191</v>
      </c>
      <c r="B907" s="5" t="s">
        <v>2191</v>
      </c>
      <c r="C907" s="5" t="s">
        <v>41</v>
      </c>
      <c r="D907" s="5" t="s">
        <v>42</v>
      </c>
      <c r="E907" s="5" t="s">
        <v>230</v>
      </c>
      <c r="F907" s="9">
        <v>35</v>
      </c>
      <c r="G907" s="9">
        <v>353</v>
      </c>
      <c r="H907" s="5" t="s">
        <v>21</v>
      </c>
      <c r="I907" s="5" t="s">
        <v>2192</v>
      </c>
      <c r="J907" s="12" t="str">
        <f>HYPERLINK("https://www.boe.es/gazeta/dias/1800/05/02/pdfs/GMD-1800-35.pdf#page=5","Abrir facsímil")</f>
        <v>Abrir facsímil</v>
      </c>
      <c r="K907" s="15" t="s">
        <v>23</v>
      </c>
    </row>
    <row r="908" spans="1:11" ht="42" customHeight="1">
      <c r="A908" s="4" t="s">
        <v>2193</v>
      </c>
      <c r="B908" s="5" t="s">
        <v>2194</v>
      </c>
      <c r="C908" s="5" t="s">
        <v>41</v>
      </c>
      <c r="D908" s="5" t="s">
        <v>42</v>
      </c>
      <c r="E908" s="5" t="s">
        <v>143</v>
      </c>
      <c r="F908" s="9">
        <v>22</v>
      </c>
      <c r="G908" s="9">
        <v>214</v>
      </c>
      <c r="H908" s="5" t="s">
        <v>21</v>
      </c>
      <c r="I908" s="5" t="s">
        <v>2195</v>
      </c>
      <c r="J908" s="12" t="str">
        <f>HYPERLINK("https://www.boe.es/gazeta/dias/1800/03/18/pdfs/GMD-1800-22.pdf#page=6","Abrir facsímil")</f>
        <v>Abrir facsímil</v>
      </c>
      <c r="K908" s="15" t="s">
        <v>23</v>
      </c>
    </row>
    <row r="909" spans="1:11" ht="42" customHeight="1">
      <c r="A909" s="4" t="s">
        <v>2196</v>
      </c>
      <c r="B909" s="5" t="s">
        <v>2197</v>
      </c>
      <c r="C909" s="5" t="s">
        <v>41</v>
      </c>
      <c r="D909" s="5" t="s">
        <v>42</v>
      </c>
      <c r="E909" s="5" t="s">
        <v>465</v>
      </c>
      <c r="F909" s="9">
        <v>49</v>
      </c>
      <c r="G909" s="9">
        <v>527</v>
      </c>
      <c r="H909" s="5" t="s">
        <v>21</v>
      </c>
      <c r="I909" s="5" t="s">
        <v>2198</v>
      </c>
      <c r="J909" s="12" t="str">
        <f>HYPERLINK("https://www.boe.es/gazeta/dias/1800/06/20/pdfs/GMD-1800-49.pdf#page=3","Abrir facsímil")</f>
        <v>Abrir facsímil</v>
      </c>
      <c r="K909" s="15" t="s">
        <v>23</v>
      </c>
    </row>
    <row r="910" spans="1:11" ht="42" customHeight="1">
      <c r="A910" s="4" t="s">
        <v>2196</v>
      </c>
      <c r="B910" s="5" t="s">
        <v>2197</v>
      </c>
      <c r="C910" s="5" t="s">
        <v>41</v>
      </c>
      <c r="D910" s="5" t="s">
        <v>42</v>
      </c>
      <c r="E910" s="5" t="s">
        <v>279</v>
      </c>
      <c r="F910" s="9">
        <v>103</v>
      </c>
      <c r="G910" s="9">
        <v>1193</v>
      </c>
      <c r="H910" s="5" t="s">
        <v>21</v>
      </c>
      <c r="I910" s="5" t="s">
        <v>2199</v>
      </c>
      <c r="J910" s="12" t="str">
        <f>HYPERLINK("https://www.boe.es/gazeta/dias/1800/12/23/pdfs/GMD-1800-103.pdf#page=5","Abrir facsímil")</f>
        <v>Abrir facsímil</v>
      </c>
      <c r="K910" s="15" t="s">
        <v>23</v>
      </c>
    </row>
    <row r="911" spans="1:11" ht="42" customHeight="1">
      <c r="A911" s="4" t="s">
        <v>2200</v>
      </c>
      <c r="B911" s="5" t="s">
        <v>2201</v>
      </c>
      <c r="C911" s="5" t="s">
        <v>41</v>
      </c>
      <c r="D911" s="5" t="s">
        <v>42</v>
      </c>
      <c r="E911" s="5" t="s">
        <v>314</v>
      </c>
      <c r="F911" s="9">
        <v>74</v>
      </c>
      <c r="G911" s="9">
        <v>828</v>
      </c>
      <c r="H911" s="5" t="s">
        <v>21</v>
      </c>
      <c r="I911" s="5" t="s">
        <v>2202</v>
      </c>
      <c r="J911" s="12" t="str">
        <f>HYPERLINK("https://www.boe.es/gazeta/dias/1800/09/12/pdfs/GMD-1800-74.pdf#page=6","Abrir facsímil")</f>
        <v>Abrir facsímil</v>
      </c>
      <c r="K911" s="15" t="s">
        <v>23</v>
      </c>
    </row>
    <row r="912" spans="1:11" ht="42" customHeight="1">
      <c r="A912" s="4" t="s">
        <v>2203</v>
      </c>
      <c r="B912" s="5" t="s">
        <v>2203</v>
      </c>
      <c r="C912" s="5" t="s">
        <v>84</v>
      </c>
      <c r="D912" s="5" t="s">
        <v>85</v>
      </c>
      <c r="E912" s="5" t="s">
        <v>86</v>
      </c>
      <c r="F912" s="9">
        <v>17</v>
      </c>
      <c r="G912" s="9">
        <v>164</v>
      </c>
      <c r="H912" s="5" t="s">
        <v>21</v>
      </c>
      <c r="I912" s="5" t="s">
        <v>2204</v>
      </c>
      <c r="J912" s="12" t="str">
        <f>HYPERLINK("https://www.boe.es/gazeta/dias/1800/02/28/pdfs/GMD-1800-17.pdf#page=12","Abrir facsímil")</f>
        <v>Abrir facsímil</v>
      </c>
      <c r="K912" s="15" t="s">
        <v>23</v>
      </c>
    </row>
    <row r="913" spans="1:11" ht="42" customHeight="1">
      <c r="A913" s="4" t="s">
        <v>2203</v>
      </c>
      <c r="B913" s="5" t="s">
        <v>2203</v>
      </c>
      <c r="C913" s="5" t="s">
        <v>25</v>
      </c>
      <c r="D913" s="5" t="s">
        <v>26</v>
      </c>
      <c r="E913" s="5" t="s">
        <v>530</v>
      </c>
      <c r="F913" s="9">
        <v>55</v>
      </c>
      <c r="G913" s="9">
        <v>623</v>
      </c>
      <c r="H913" s="5" t="s">
        <v>21</v>
      </c>
      <c r="I913" s="5" t="s">
        <v>2205</v>
      </c>
      <c r="J913" s="12" t="str">
        <f>HYPERLINK("https://www.boe.es/gazeta/dias/1800/07/11/pdfs/GMD-1800-55.pdf#page=11","Abrir facsímil")</f>
        <v>Abrir facsímil</v>
      </c>
      <c r="K913" s="15" t="s">
        <v>23</v>
      </c>
    </row>
    <row r="914" spans="1:11" ht="42" customHeight="1">
      <c r="A914" s="4" t="s">
        <v>2206</v>
      </c>
      <c r="B914" s="5" t="s">
        <v>2207</v>
      </c>
      <c r="C914" s="5" t="s">
        <v>171</v>
      </c>
      <c r="D914" s="5" t="s">
        <v>172</v>
      </c>
      <c r="E914" s="5" t="s">
        <v>90</v>
      </c>
      <c r="F914" s="9">
        <v>58</v>
      </c>
      <c r="G914" s="9">
        <v>667</v>
      </c>
      <c r="H914" s="5" t="s">
        <v>21</v>
      </c>
      <c r="I914" s="5" t="s">
        <v>2208</v>
      </c>
      <c r="J914" s="12" t="str">
        <f>HYPERLINK("https://www.boe.es/gazeta/dias/1800/07/22/pdfs/GMD-C-1800-58.pdf#page=3","Abrir facsímil")</f>
        <v>Abrir facsímil</v>
      </c>
      <c r="K914" s="15" t="s">
        <v>23</v>
      </c>
    </row>
    <row r="915" spans="1:11" ht="42" customHeight="1">
      <c r="A915" s="4" t="s">
        <v>2209</v>
      </c>
      <c r="B915" s="5" t="s">
        <v>2210</v>
      </c>
      <c r="C915" s="5" t="s">
        <v>18</v>
      </c>
      <c r="D915" s="5" t="s">
        <v>19</v>
      </c>
      <c r="E915" s="5" t="s">
        <v>82</v>
      </c>
      <c r="F915" s="9">
        <v>10</v>
      </c>
      <c r="G915" s="9">
        <v>96</v>
      </c>
      <c r="H915" s="5" t="s">
        <v>21</v>
      </c>
      <c r="I915" s="5" t="s">
        <v>2211</v>
      </c>
      <c r="J915" s="12" t="str">
        <f>HYPERLINK("https://www.boe.es/gazeta/dias/1800/02/04/pdfs/GMD-1800-10.pdf#page=8","Abrir facsímil")</f>
        <v>Abrir facsímil</v>
      </c>
      <c r="K915" s="15" t="s">
        <v>23</v>
      </c>
    </row>
    <row r="916" spans="1:11" ht="42" customHeight="1">
      <c r="A916" s="4" t="s">
        <v>2212</v>
      </c>
      <c r="B916" s="5" t="s">
        <v>2213</v>
      </c>
      <c r="C916" s="5" t="s">
        <v>18</v>
      </c>
      <c r="D916" s="5" t="s">
        <v>19</v>
      </c>
      <c r="E916" s="5" t="s">
        <v>240</v>
      </c>
      <c r="F916" s="9">
        <v>26</v>
      </c>
      <c r="G916" s="9">
        <v>269</v>
      </c>
      <c r="H916" s="5" t="s">
        <v>21</v>
      </c>
      <c r="I916" s="5" t="s">
        <v>2214</v>
      </c>
      <c r="J916" s="12" t="str">
        <f>HYPERLINK("https://www.boe.es/gazeta/dias/1800/04/01/pdfs/GMD-1800-26.pdf#page=9","Abrir facsímil")</f>
        <v>Abrir facsímil</v>
      </c>
      <c r="K916" s="15" t="s">
        <v>23</v>
      </c>
    </row>
    <row r="917" spans="1:11" ht="42" customHeight="1">
      <c r="A917" s="4" t="s">
        <v>2215</v>
      </c>
      <c r="B917" s="5" t="s">
        <v>2216</v>
      </c>
      <c r="C917" s="5" t="s">
        <v>18</v>
      </c>
      <c r="D917" s="5" t="s">
        <v>19</v>
      </c>
      <c r="E917" s="5" t="s">
        <v>595</v>
      </c>
      <c r="F917" s="9">
        <v>72</v>
      </c>
      <c r="G917" s="9">
        <v>797</v>
      </c>
      <c r="H917" s="5" t="s">
        <v>21</v>
      </c>
      <c r="I917" s="5" t="s">
        <v>2217</v>
      </c>
      <c r="J917" s="12" t="str">
        <f>HYPERLINK("https://www.boe.es/gazeta/dias/1800/09/05/pdfs/GMD-1800-72.pdf#page=7","Abrir facsímil")</f>
        <v>Abrir facsímil</v>
      </c>
      <c r="K917" s="15" t="s">
        <v>23</v>
      </c>
    </row>
    <row r="918" spans="1:11" ht="42" customHeight="1">
      <c r="A918" s="4" t="s">
        <v>2218</v>
      </c>
      <c r="B918" s="5" t="s">
        <v>2219</v>
      </c>
      <c r="C918" s="5" t="s">
        <v>18</v>
      </c>
      <c r="D918" s="5" t="s">
        <v>19</v>
      </c>
      <c r="E918" s="5" t="s">
        <v>314</v>
      </c>
      <c r="F918" s="9">
        <v>74</v>
      </c>
      <c r="G918" s="9">
        <v>832</v>
      </c>
      <c r="H918" s="5" t="s">
        <v>21</v>
      </c>
      <c r="I918" s="5" t="s">
        <v>2220</v>
      </c>
      <c r="J918" s="12" t="str">
        <f>HYPERLINK("https://www.boe.es/gazeta/dias/1800/09/12/pdfs/GMD-1800-74.pdf#page=10","Abrir facsímil")</f>
        <v>Abrir facsímil</v>
      </c>
      <c r="K918" s="15" t="s">
        <v>23</v>
      </c>
    </row>
    <row r="919" spans="1:11" ht="42" customHeight="1">
      <c r="A919" s="4" t="s">
        <v>2221</v>
      </c>
      <c r="B919" s="5" t="s">
        <v>2222</v>
      </c>
      <c r="C919" s="5" t="s">
        <v>54</v>
      </c>
      <c r="D919" s="5" t="s">
        <v>55</v>
      </c>
      <c r="E919" s="5" t="s">
        <v>598</v>
      </c>
      <c r="F919" s="9">
        <v>32</v>
      </c>
      <c r="G919" s="9">
        <v>323</v>
      </c>
      <c r="H919" s="5" t="s">
        <v>21</v>
      </c>
      <c r="I919" s="5" t="s">
        <v>2223</v>
      </c>
      <c r="J919" s="12" t="str">
        <f>HYPERLINK("https://www.boe.es/gazeta/dias/1800/04/22/pdfs/GMD-1800-32.pdf#page=7","Abrir facsímil")</f>
        <v>Abrir facsímil</v>
      </c>
      <c r="K919" s="15" t="s">
        <v>23</v>
      </c>
    </row>
    <row r="920" spans="1:11" ht="42" customHeight="1">
      <c r="A920" s="4" t="s">
        <v>2224</v>
      </c>
      <c r="B920" s="5" t="s">
        <v>2225</v>
      </c>
      <c r="C920" s="5" t="s">
        <v>25</v>
      </c>
      <c r="D920" s="5" t="s">
        <v>26</v>
      </c>
      <c r="E920" s="5" t="s">
        <v>255</v>
      </c>
      <c r="F920" s="9">
        <v>75</v>
      </c>
      <c r="G920" s="9">
        <v>854</v>
      </c>
      <c r="H920" s="5" t="s">
        <v>21</v>
      </c>
      <c r="I920" s="5" t="s">
        <v>2226</v>
      </c>
      <c r="J920" s="12" t="str">
        <f>HYPERLINK("https://www.boe.es/gazeta/dias/1800/09/16/pdfs/GMD-1800-75.pdf#page=8","Abrir facsímil")</f>
        <v>Abrir facsímil</v>
      </c>
      <c r="K920" s="15" t="s">
        <v>23</v>
      </c>
    </row>
    <row r="921" spans="1:11" ht="42" customHeight="1">
      <c r="A921" s="4" t="s">
        <v>2227</v>
      </c>
      <c r="B921" s="5" t="s">
        <v>2228</v>
      </c>
      <c r="C921" s="5" t="s">
        <v>18</v>
      </c>
      <c r="D921" s="5" t="s">
        <v>19</v>
      </c>
      <c r="E921" s="5" t="s">
        <v>135</v>
      </c>
      <c r="F921" s="9">
        <v>73</v>
      </c>
      <c r="G921" s="9">
        <v>815</v>
      </c>
      <c r="H921" s="5" t="s">
        <v>21</v>
      </c>
      <c r="I921" s="5" t="s">
        <v>2229</v>
      </c>
      <c r="J921" s="12" t="str">
        <f>HYPERLINK("https://www.boe.es/gazeta/dias/1800/09/09/pdfs/GMD-1800-73.pdf#page=9","Abrir facsímil")</f>
        <v>Abrir facsímil</v>
      </c>
      <c r="K921" s="15" t="s">
        <v>23</v>
      </c>
    </row>
    <row r="922" spans="1:11" ht="42" customHeight="1">
      <c r="A922" s="4" t="s">
        <v>2230</v>
      </c>
      <c r="B922" s="5" t="s">
        <v>2231</v>
      </c>
      <c r="C922" s="5" t="s">
        <v>18</v>
      </c>
      <c r="D922" s="5" t="s">
        <v>19</v>
      </c>
      <c r="E922" s="5" t="s">
        <v>20</v>
      </c>
      <c r="F922" s="9">
        <v>104</v>
      </c>
      <c r="G922" s="9">
        <v>1210</v>
      </c>
      <c r="H922" s="5" t="s">
        <v>21</v>
      </c>
      <c r="I922" s="5" t="s">
        <v>2232</v>
      </c>
      <c r="J922" s="12" t="str">
        <f>HYPERLINK("https://www.boe.es/gazeta/dias/1800/12/26/pdfs/GMD-1800-104.pdf#page=10","Abrir facsímil")</f>
        <v>Abrir facsímil</v>
      </c>
      <c r="K922" s="15" t="s">
        <v>23</v>
      </c>
    </row>
    <row r="923" spans="1:11" ht="42" customHeight="1">
      <c r="A923" s="4" t="s">
        <v>2233</v>
      </c>
      <c r="B923" s="5" t="s">
        <v>2234</v>
      </c>
      <c r="C923" s="5" t="s">
        <v>25</v>
      </c>
      <c r="D923" s="5" t="s">
        <v>26</v>
      </c>
      <c r="E923" s="5" t="s">
        <v>45</v>
      </c>
      <c r="F923" s="9">
        <v>47</v>
      </c>
      <c r="G923" s="9">
        <v>503</v>
      </c>
      <c r="H923" s="5" t="s">
        <v>21</v>
      </c>
      <c r="I923" s="5" t="s">
        <v>2235</v>
      </c>
      <c r="J923" s="12" t="str">
        <f>HYPERLINK("https://www.boe.es/gazeta/dias/1800/06/13/pdfs/GMD-1800-47.pdf#page=11","Abrir facsímil")</f>
        <v>Abrir facsímil</v>
      </c>
      <c r="K923" s="15" t="s">
        <v>23</v>
      </c>
    </row>
    <row r="924" spans="1:11" ht="42" customHeight="1">
      <c r="A924" s="4" t="s">
        <v>2236</v>
      </c>
      <c r="B924" s="5" t="s">
        <v>2237</v>
      </c>
      <c r="C924" s="5" t="s">
        <v>25</v>
      </c>
      <c r="D924" s="5" t="s">
        <v>26</v>
      </c>
      <c r="E924" s="5" t="s">
        <v>310</v>
      </c>
      <c r="F924" s="9">
        <v>56</v>
      </c>
      <c r="G924" s="9">
        <v>634</v>
      </c>
      <c r="H924" s="5" t="s">
        <v>21</v>
      </c>
      <c r="I924" s="5" t="s">
        <v>2238</v>
      </c>
      <c r="J924" s="12" t="str">
        <f>HYPERLINK("https://www.boe.es/gazeta/dias/1800/07/15/pdfs/GMD-1800-56.pdf#page=10","Abrir facsímil")</f>
        <v>Abrir facsímil</v>
      </c>
      <c r="K924" s="15" t="s">
        <v>23</v>
      </c>
    </row>
    <row r="925" spans="1:11" ht="42" customHeight="1">
      <c r="A925" s="4" t="s">
        <v>2239</v>
      </c>
      <c r="B925" s="5" t="s">
        <v>2240</v>
      </c>
      <c r="C925" s="5" t="s">
        <v>18</v>
      </c>
      <c r="D925" s="5" t="s">
        <v>19</v>
      </c>
      <c r="E925" s="5" t="s">
        <v>319</v>
      </c>
      <c r="F925" s="9">
        <v>62</v>
      </c>
      <c r="G925" s="9">
        <v>709</v>
      </c>
      <c r="H925" s="5" t="s">
        <v>21</v>
      </c>
      <c r="I925" s="5" t="s">
        <v>2241</v>
      </c>
      <c r="J925" s="12" t="str">
        <f>HYPERLINK("https://www.boe.es/gazeta/dias/1800/08/05/pdfs/GMD-1800-62.pdf#page=9","Abrir facsímil")</f>
        <v>Abrir facsímil</v>
      </c>
      <c r="K925" s="15" t="s">
        <v>23</v>
      </c>
    </row>
    <row r="926" spans="1:11" ht="42" customHeight="1">
      <c r="A926" s="4" t="s">
        <v>2242</v>
      </c>
      <c r="B926" s="5" t="s">
        <v>2243</v>
      </c>
      <c r="C926" s="5" t="s">
        <v>207</v>
      </c>
      <c r="D926" s="5" t="s">
        <v>55</v>
      </c>
      <c r="E926" s="5" t="s">
        <v>346</v>
      </c>
      <c r="F926" s="9">
        <v>24</v>
      </c>
      <c r="G926" s="9">
        <v>247</v>
      </c>
      <c r="H926" s="5" t="s">
        <v>21</v>
      </c>
      <c r="I926" s="5" t="s">
        <v>2244</v>
      </c>
      <c r="J926" s="12" t="str">
        <f>HYPERLINK("https://www.boe.es/gazeta/dias/1800/03/25/pdfs/GMD-1800-24.pdf#page=11","Abrir facsímil")</f>
        <v>Abrir facsímil</v>
      </c>
      <c r="K926" s="15" t="s">
        <v>23</v>
      </c>
    </row>
    <row r="927" spans="1:11" ht="42" customHeight="1">
      <c r="A927" s="4" t="s">
        <v>2245</v>
      </c>
      <c r="B927" s="5" t="s">
        <v>2246</v>
      </c>
      <c r="C927" s="5" t="s">
        <v>171</v>
      </c>
      <c r="D927" s="5" t="s">
        <v>172</v>
      </c>
      <c r="E927" s="5" t="s">
        <v>422</v>
      </c>
      <c r="F927" s="9">
        <v>85</v>
      </c>
      <c r="G927" s="9">
        <v>987</v>
      </c>
      <c r="H927" s="5" t="s">
        <v>21</v>
      </c>
      <c r="I927" s="5" t="s">
        <v>2247</v>
      </c>
      <c r="J927" s="12" t="str">
        <f>HYPERLINK("https://www.boe.es/gazeta/dias/1800/10/21/pdfs/GMD-C-1800-85.pdf#page=1","Abrir facsímil")</f>
        <v>Abrir facsímil</v>
      </c>
      <c r="K927" s="15" t="s">
        <v>23</v>
      </c>
    </row>
    <row r="928" spans="1:11" ht="42" customHeight="1">
      <c r="A928" s="4" t="s">
        <v>2248</v>
      </c>
      <c r="B928" s="5" t="s">
        <v>2249</v>
      </c>
      <c r="C928" s="5" t="s">
        <v>18</v>
      </c>
      <c r="D928" s="5" t="s">
        <v>19</v>
      </c>
      <c r="E928" s="5" t="s">
        <v>75</v>
      </c>
      <c r="F928" s="9">
        <v>64</v>
      </c>
      <c r="G928" s="9">
        <v>734</v>
      </c>
      <c r="H928" s="5" t="s">
        <v>21</v>
      </c>
      <c r="I928" s="5" t="s">
        <v>2250</v>
      </c>
      <c r="J928" s="12" t="str">
        <f>HYPERLINK("https://www.boe.es/gazeta/dias/1800/08/12/pdfs/GMD-1800-64.pdf#page=10","Abrir facsímil")</f>
        <v>Abrir facsímil</v>
      </c>
      <c r="K928" s="15" t="s">
        <v>23</v>
      </c>
    </row>
    <row r="929" spans="1:11" ht="42" customHeight="1">
      <c r="A929" s="4" t="s">
        <v>2251</v>
      </c>
      <c r="B929" s="5" t="s">
        <v>2252</v>
      </c>
      <c r="C929" s="5" t="s">
        <v>18</v>
      </c>
      <c r="D929" s="5" t="s">
        <v>19</v>
      </c>
      <c r="E929" s="5" t="s">
        <v>248</v>
      </c>
      <c r="F929" s="9">
        <v>33</v>
      </c>
      <c r="G929" s="9">
        <v>333</v>
      </c>
      <c r="H929" s="5" t="s">
        <v>21</v>
      </c>
      <c r="I929" s="5" t="s">
        <v>2253</v>
      </c>
      <c r="J929" s="12" t="str">
        <f>HYPERLINK("https://www.boe.es/gazeta/dias/1800/04/25/pdfs/GMD-1800-33.pdf#page=9","Abrir facsímil")</f>
        <v>Abrir facsímil</v>
      </c>
      <c r="K929" s="15" t="s">
        <v>23</v>
      </c>
    </row>
    <row r="930" spans="1:11" ht="42" customHeight="1">
      <c r="A930" s="4" t="s">
        <v>2254</v>
      </c>
      <c r="B930" s="5" t="s">
        <v>2255</v>
      </c>
      <c r="C930" s="5" t="s">
        <v>18</v>
      </c>
      <c r="D930" s="5" t="s">
        <v>19</v>
      </c>
      <c r="E930" s="5" t="s">
        <v>45</v>
      </c>
      <c r="F930" s="9">
        <v>47</v>
      </c>
      <c r="G930" s="9">
        <v>501</v>
      </c>
      <c r="H930" s="5" t="s">
        <v>21</v>
      </c>
      <c r="I930" s="5" t="s">
        <v>2256</v>
      </c>
      <c r="J930" s="12" t="str">
        <f>HYPERLINK("https://www.boe.es/gazeta/dias/1800/06/13/pdfs/GMD-1800-47.pdf#page=9","Abrir facsímil")</f>
        <v>Abrir facsímil</v>
      </c>
      <c r="K930" s="15" t="s">
        <v>23</v>
      </c>
    </row>
    <row r="931" spans="1:11" ht="42" customHeight="1">
      <c r="A931" s="4" t="s">
        <v>2257</v>
      </c>
      <c r="B931" s="5" t="s">
        <v>2258</v>
      </c>
      <c r="C931" s="5" t="s">
        <v>18</v>
      </c>
      <c r="D931" s="5" t="s">
        <v>19</v>
      </c>
      <c r="E931" s="5" t="s">
        <v>64</v>
      </c>
      <c r="F931" s="9">
        <v>54</v>
      </c>
      <c r="G931" s="9">
        <v>606</v>
      </c>
      <c r="H931" s="5" t="s">
        <v>21</v>
      </c>
      <c r="I931" s="5" t="s">
        <v>2259</v>
      </c>
      <c r="J931" s="12" t="str">
        <f>HYPERLINK("https://www.boe.es/gazeta/dias/1800/07/08/pdfs/GMD-1800-54.pdf#page=10","Abrir facsímil")</f>
        <v>Abrir facsímil</v>
      </c>
      <c r="K931" s="15" t="s">
        <v>23</v>
      </c>
    </row>
    <row r="932" spans="1:11" ht="42" customHeight="1">
      <c r="A932" s="4" t="s">
        <v>2260</v>
      </c>
      <c r="B932" s="5" t="s">
        <v>2261</v>
      </c>
      <c r="C932" s="5" t="s">
        <v>18</v>
      </c>
      <c r="D932" s="5" t="s">
        <v>19</v>
      </c>
      <c r="E932" s="5" t="s">
        <v>283</v>
      </c>
      <c r="F932" s="9">
        <v>68</v>
      </c>
      <c r="G932" s="9">
        <v>765</v>
      </c>
      <c r="H932" s="5" t="s">
        <v>21</v>
      </c>
      <c r="I932" s="5" t="s">
        <v>2262</v>
      </c>
      <c r="J932" s="12" t="str">
        <f>HYPERLINK("https://www.boe.es/gazeta/dias/1800/08/26/pdfs/GMD-1800-68.pdf#page=9","Abrir facsímil")</f>
        <v>Abrir facsímil</v>
      </c>
      <c r="K932" s="15" t="s">
        <v>23</v>
      </c>
    </row>
    <row r="933" spans="1:11" ht="42" customHeight="1">
      <c r="A933" s="4" t="s">
        <v>2263</v>
      </c>
      <c r="B933" s="5" t="s">
        <v>2264</v>
      </c>
      <c r="C933" s="5" t="s">
        <v>18</v>
      </c>
      <c r="D933" s="5" t="s">
        <v>19</v>
      </c>
      <c r="E933" s="5" t="s">
        <v>618</v>
      </c>
      <c r="F933" s="9">
        <v>1</v>
      </c>
      <c r="G933" s="9">
        <v>6</v>
      </c>
      <c r="H933" s="5" t="s">
        <v>21</v>
      </c>
      <c r="I933" s="5" t="s">
        <v>2265</v>
      </c>
      <c r="J933" s="12" t="str">
        <f>HYPERLINK("https://www.boe.es/gazeta/dias/1800/01/03/pdfs/GMD-1800-1.pdf#page=6","Abrir facsímil")</f>
        <v>Abrir facsímil</v>
      </c>
      <c r="K933" s="15" t="s">
        <v>23</v>
      </c>
    </row>
    <row r="934" spans="1:11" ht="42" customHeight="1">
      <c r="A934" s="4" t="s">
        <v>2266</v>
      </c>
      <c r="B934" s="5" t="s">
        <v>2267</v>
      </c>
      <c r="C934" s="5" t="s">
        <v>18</v>
      </c>
      <c r="D934" s="5" t="s">
        <v>19</v>
      </c>
      <c r="E934" s="5" t="s">
        <v>618</v>
      </c>
      <c r="F934" s="9">
        <v>1</v>
      </c>
      <c r="G934" s="9">
        <v>7</v>
      </c>
      <c r="H934" s="5" t="s">
        <v>21</v>
      </c>
      <c r="I934" s="5" t="s">
        <v>2268</v>
      </c>
      <c r="J934" s="12" t="str">
        <f>HYPERLINK("https://www.boe.es/gazeta/dias/1800/01/03/pdfs/GMD-1800-1.pdf#page=7","Abrir facsímil")</f>
        <v>Abrir facsímil</v>
      </c>
      <c r="K934" s="15" t="s">
        <v>23</v>
      </c>
    </row>
    <row r="935" spans="1:11" ht="42" customHeight="1">
      <c r="A935" s="4" t="s">
        <v>2269</v>
      </c>
      <c r="B935" s="5" t="s">
        <v>2270</v>
      </c>
      <c r="C935" s="5" t="s">
        <v>18</v>
      </c>
      <c r="D935" s="5" t="s">
        <v>19</v>
      </c>
      <c r="E935" s="5" t="s">
        <v>314</v>
      </c>
      <c r="F935" s="9">
        <v>74</v>
      </c>
      <c r="G935" s="9">
        <v>832</v>
      </c>
      <c r="H935" s="5" t="s">
        <v>21</v>
      </c>
      <c r="I935" s="5" t="s">
        <v>2271</v>
      </c>
      <c r="J935" s="12" t="str">
        <f>HYPERLINK("https://www.boe.es/gazeta/dias/1800/09/12/pdfs/GMD-1800-74.pdf#page=10","Abrir facsímil")</f>
        <v>Abrir facsímil</v>
      </c>
      <c r="K935" s="15" t="s">
        <v>23</v>
      </c>
    </row>
    <row r="936" spans="1:11" ht="42" customHeight="1">
      <c r="A936" s="4" t="s">
        <v>2272</v>
      </c>
      <c r="B936" s="5" t="s">
        <v>2273</v>
      </c>
      <c r="C936" s="5" t="s">
        <v>41</v>
      </c>
      <c r="D936" s="5" t="s">
        <v>42</v>
      </c>
      <c r="E936" s="5" t="s">
        <v>503</v>
      </c>
      <c r="F936" s="9">
        <v>13</v>
      </c>
      <c r="G936" s="9">
        <v>119</v>
      </c>
      <c r="H936" s="5" t="s">
        <v>21</v>
      </c>
      <c r="I936" s="5" t="s">
        <v>2274</v>
      </c>
      <c r="J936" s="12" t="str">
        <f>HYPERLINK("https://www.boe.es/gazeta/dias/1800/02/14/pdfs/GMD-1800-13.pdf#page=3","Abrir facsímil")</f>
        <v>Abrir facsímil</v>
      </c>
      <c r="K936" s="15" t="s">
        <v>23</v>
      </c>
    </row>
    <row r="937" spans="1:11" ht="42" customHeight="1">
      <c r="A937" s="4" t="s">
        <v>2272</v>
      </c>
      <c r="B937" s="5" t="s">
        <v>2273</v>
      </c>
      <c r="C937" s="5" t="s">
        <v>41</v>
      </c>
      <c r="D937" s="5" t="s">
        <v>42</v>
      </c>
      <c r="E937" s="5" t="s">
        <v>1294</v>
      </c>
      <c r="F937" s="9">
        <v>59</v>
      </c>
      <c r="G937" s="9">
        <v>671</v>
      </c>
      <c r="H937" s="5" t="s">
        <v>21</v>
      </c>
      <c r="I937" s="5" t="s">
        <v>2275</v>
      </c>
      <c r="J937" s="12" t="str">
        <f>HYPERLINK("https://www.boe.es/gazeta/dias/1800/07/25/pdfs/GMD-1800-59.pdf#page=3","Abrir facsímil")</f>
        <v>Abrir facsímil</v>
      </c>
      <c r="K937" s="15" t="s">
        <v>23</v>
      </c>
    </row>
    <row r="938" spans="1:11" ht="42" customHeight="1">
      <c r="A938" s="4" t="s">
        <v>2276</v>
      </c>
      <c r="B938" s="5" t="s">
        <v>2277</v>
      </c>
      <c r="C938" s="5" t="s">
        <v>41</v>
      </c>
      <c r="D938" s="5" t="s">
        <v>42</v>
      </c>
      <c r="E938" s="5" t="s">
        <v>283</v>
      </c>
      <c r="F938" s="9">
        <v>68</v>
      </c>
      <c r="G938" s="9">
        <v>758</v>
      </c>
      <c r="H938" s="5" t="s">
        <v>21</v>
      </c>
      <c r="I938" s="5" t="s">
        <v>2278</v>
      </c>
      <c r="J938" s="12" t="str">
        <f>HYPERLINK("https://www.boe.es/gazeta/dias/1800/08/26/pdfs/GMD-1800-68.pdf#page=2","Abrir facsímil")</f>
        <v>Abrir facsímil</v>
      </c>
      <c r="K938" s="15" t="s">
        <v>23</v>
      </c>
    </row>
    <row r="939" spans="1:11" ht="42" customHeight="1">
      <c r="A939" s="4" t="s">
        <v>2276</v>
      </c>
      <c r="B939" s="5" t="s">
        <v>2277</v>
      </c>
      <c r="C939" s="5" t="s">
        <v>41</v>
      </c>
      <c r="D939" s="5" t="s">
        <v>42</v>
      </c>
      <c r="E939" s="5" t="s">
        <v>572</v>
      </c>
      <c r="F939" s="9">
        <v>76</v>
      </c>
      <c r="G939" s="9">
        <v>861</v>
      </c>
      <c r="H939" s="5" t="s">
        <v>21</v>
      </c>
      <c r="I939" s="5" t="s">
        <v>2279</v>
      </c>
      <c r="J939" s="12" t="str">
        <f>HYPERLINK("https://www.boe.es/gazeta/dias/1800/09/19/pdfs/GMD-1800-76.pdf#page=3","Abrir facsímil")</f>
        <v>Abrir facsímil</v>
      </c>
      <c r="K939" s="15" t="s">
        <v>23</v>
      </c>
    </row>
    <row r="940" spans="1:11" ht="42" customHeight="1">
      <c r="A940" s="4" t="s">
        <v>2280</v>
      </c>
      <c r="B940" s="5" t="s">
        <v>2281</v>
      </c>
      <c r="C940" s="5" t="s">
        <v>18</v>
      </c>
      <c r="D940" s="5" t="s">
        <v>19</v>
      </c>
      <c r="E940" s="5" t="s">
        <v>60</v>
      </c>
      <c r="F940" s="9">
        <v>105</v>
      </c>
      <c r="G940" s="9">
        <v>1220</v>
      </c>
      <c r="H940" s="5" t="s">
        <v>21</v>
      </c>
      <c r="I940" s="5" t="s">
        <v>2282</v>
      </c>
      <c r="J940" s="12" t="str">
        <f>HYPERLINK("https://www.boe.es/gazeta/dias/1800/12/30/pdfs/GMD-1800-105.pdf#page=4","Abrir facsímil")</f>
        <v>Abrir facsímil</v>
      </c>
      <c r="K940" s="15" t="s">
        <v>23</v>
      </c>
    </row>
    <row r="941" spans="1:11" ht="42" customHeight="1">
      <c r="A941" s="4" t="s">
        <v>2283</v>
      </c>
      <c r="B941" s="5" t="s">
        <v>2283</v>
      </c>
      <c r="C941" s="5" t="s">
        <v>84</v>
      </c>
      <c r="D941" s="5" t="s">
        <v>85</v>
      </c>
      <c r="E941" s="5" t="s">
        <v>306</v>
      </c>
      <c r="F941" s="9">
        <v>79</v>
      </c>
      <c r="G941" s="9">
        <v>901</v>
      </c>
      <c r="H941" s="5" t="s">
        <v>21</v>
      </c>
      <c r="I941" s="5" t="s">
        <v>2284</v>
      </c>
      <c r="J941" s="12" t="str">
        <f>HYPERLINK("https://www.boe.es/gazeta/dias/1800/09/30/pdfs/GMD-1800-79.pdf#page=11","Abrir facsímil")</f>
        <v>Abrir facsímil</v>
      </c>
      <c r="K941" s="15" t="s">
        <v>23</v>
      </c>
    </row>
    <row r="942" spans="1:11" ht="42" customHeight="1">
      <c r="A942" s="4" t="s">
        <v>2285</v>
      </c>
      <c r="B942" s="5" t="s">
        <v>2285</v>
      </c>
      <c r="C942" s="5" t="s">
        <v>18</v>
      </c>
      <c r="D942" s="5" t="s">
        <v>19</v>
      </c>
      <c r="E942" s="5" t="s">
        <v>534</v>
      </c>
      <c r="F942" s="9">
        <v>100</v>
      </c>
      <c r="G942" s="9">
        <v>1161</v>
      </c>
      <c r="H942" s="5" t="s">
        <v>21</v>
      </c>
      <c r="I942" s="5" t="s">
        <v>2286</v>
      </c>
      <c r="J942" s="12" t="str">
        <f>HYPERLINK("https://www.boe.es/gazeta/dias/1800/12/12/pdfs/GMD-1800-100.pdf#page=13","Abrir facsímil")</f>
        <v>Abrir facsímil</v>
      </c>
      <c r="K942" s="15" t="s">
        <v>23</v>
      </c>
    </row>
    <row r="943" spans="1:11" ht="42" customHeight="1">
      <c r="A943" s="4" t="s">
        <v>2287</v>
      </c>
      <c r="B943" s="5" t="s">
        <v>2287</v>
      </c>
      <c r="C943" s="5" t="s">
        <v>25</v>
      </c>
      <c r="D943" s="5" t="s">
        <v>26</v>
      </c>
      <c r="E943" s="5" t="s">
        <v>279</v>
      </c>
      <c r="F943" s="9">
        <v>103</v>
      </c>
      <c r="G943" s="9">
        <v>1196</v>
      </c>
      <c r="H943" s="5" t="s">
        <v>21</v>
      </c>
      <c r="I943" s="5" t="s">
        <v>2288</v>
      </c>
      <c r="J943" s="12" t="str">
        <f>HYPERLINK("https://www.boe.es/gazeta/dias/1800/12/23/pdfs/GMD-1800-103.pdf#page=8","Abrir facsímil")</f>
        <v>Abrir facsímil</v>
      </c>
      <c r="K943" s="15" t="s">
        <v>23</v>
      </c>
    </row>
    <row r="944" spans="1:11" ht="42" customHeight="1">
      <c r="A944" s="4" t="s">
        <v>2289</v>
      </c>
      <c r="B944" s="5" t="s">
        <v>2289</v>
      </c>
      <c r="C944" s="5" t="s">
        <v>41</v>
      </c>
      <c r="D944" s="5" t="s">
        <v>42</v>
      </c>
      <c r="E944" s="5" t="s">
        <v>445</v>
      </c>
      <c r="F944" s="9">
        <v>96</v>
      </c>
      <c r="G944" s="9">
        <v>1104</v>
      </c>
      <c r="H944" s="5" t="s">
        <v>21</v>
      </c>
      <c r="I944" s="5" t="s">
        <v>2290</v>
      </c>
      <c r="J944" s="12" t="str">
        <f>HYPERLINK("https://www.boe.es/gazeta/dias/1800/11/28/pdfs/GMD-1800-96.pdf#page=8","Abrir facsímil")</f>
        <v>Abrir facsímil</v>
      </c>
      <c r="K944" s="15" t="s">
        <v>23</v>
      </c>
    </row>
    <row r="945" spans="1:11" ht="42" customHeight="1">
      <c r="A945" s="4" t="s">
        <v>2291</v>
      </c>
      <c r="B945" s="5" t="s">
        <v>2292</v>
      </c>
      <c r="C945" s="5" t="s">
        <v>41</v>
      </c>
      <c r="D945" s="5" t="s">
        <v>42</v>
      </c>
      <c r="E945" s="5" t="s">
        <v>618</v>
      </c>
      <c r="F945" s="9">
        <v>1</v>
      </c>
      <c r="G945" s="9">
        <v>1</v>
      </c>
      <c r="H945" s="5" t="s">
        <v>21</v>
      </c>
      <c r="I945" s="5" t="s">
        <v>2293</v>
      </c>
      <c r="J945" s="12" t="str">
        <f>HYPERLINK("https://www.boe.es/gazeta/dias/1800/01/03/pdfs/GMD-1800-1.pdf#page=1","Abrir facsímil")</f>
        <v>Abrir facsímil</v>
      </c>
      <c r="K945" s="15" t="s">
        <v>23</v>
      </c>
    </row>
    <row r="946" spans="1:11" ht="42" customHeight="1">
      <c r="A946" s="4" t="s">
        <v>2291</v>
      </c>
      <c r="B946" s="5" t="s">
        <v>2292</v>
      </c>
      <c r="C946" s="5" t="s">
        <v>41</v>
      </c>
      <c r="D946" s="5" t="s">
        <v>42</v>
      </c>
      <c r="E946" s="5" t="s">
        <v>618</v>
      </c>
      <c r="F946" s="9">
        <v>1</v>
      </c>
      <c r="G946" s="9">
        <v>4</v>
      </c>
      <c r="H946" s="5" t="s">
        <v>21</v>
      </c>
      <c r="I946" s="5" t="s">
        <v>2294</v>
      </c>
      <c r="J946" s="12" t="str">
        <f>HYPERLINK("https://www.boe.es/gazeta/dias/1800/01/03/pdfs/GMD-1800-1.pdf#page=4","Abrir facsímil")</f>
        <v>Abrir facsímil</v>
      </c>
      <c r="K946" s="15" t="s">
        <v>23</v>
      </c>
    </row>
    <row r="947" spans="1:11" ht="42" customHeight="1">
      <c r="A947" s="4" t="s">
        <v>2291</v>
      </c>
      <c r="B947" s="5" t="s">
        <v>2292</v>
      </c>
      <c r="C947" s="5" t="s">
        <v>41</v>
      </c>
      <c r="D947" s="5" t="s">
        <v>42</v>
      </c>
      <c r="E947" s="5" t="s">
        <v>567</v>
      </c>
      <c r="F947" s="9">
        <v>3</v>
      </c>
      <c r="G947" s="9">
        <v>24</v>
      </c>
      <c r="H947" s="5" t="s">
        <v>21</v>
      </c>
      <c r="I947" s="5" t="s">
        <v>2295</v>
      </c>
      <c r="J947" s="12" t="str">
        <f>HYPERLINK("https://www.boe.es/gazeta/dias/1800/01/10/pdfs/GMD-1800-3.pdf#page=4","Abrir facsímil")</f>
        <v>Abrir facsímil</v>
      </c>
      <c r="K947" s="15" t="s">
        <v>23</v>
      </c>
    </row>
    <row r="948" spans="1:11" ht="42" customHeight="1">
      <c r="A948" s="4" t="s">
        <v>2291</v>
      </c>
      <c r="B948" s="5" t="s">
        <v>2292</v>
      </c>
      <c r="C948" s="5" t="s">
        <v>41</v>
      </c>
      <c r="D948" s="5" t="s">
        <v>42</v>
      </c>
      <c r="E948" s="5" t="s">
        <v>1213</v>
      </c>
      <c r="F948" s="9">
        <v>4</v>
      </c>
      <c r="G948" s="9">
        <v>29</v>
      </c>
      <c r="H948" s="5" t="s">
        <v>21</v>
      </c>
      <c r="I948" s="5" t="s">
        <v>2296</v>
      </c>
      <c r="J948" s="12" t="str">
        <f>HYPERLINK("https://www.boe.es/gazeta/dias/1800/01/14/pdfs/GMD-1800-4.pdf#page=1","Abrir facsímil")</f>
        <v>Abrir facsímil</v>
      </c>
      <c r="K948" s="15" t="s">
        <v>23</v>
      </c>
    </row>
    <row r="949" spans="1:11" ht="42" customHeight="1">
      <c r="A949" s="4" t="s">
        <v>2291</v>
      </c>
      <c r="B949" s="5" t="s">
        <v>2292</v>
      </c>
      <c r="C949" s="5" t="s">
        <v>41</v>
      </c>
      <c r="D949" s="5" t="s">
        <v>42</v>
      </c>
      <c r="E949" s="5" t="s">
        <v>218</v>
      </c>
      <c r="F949" s="9">
        <v>5</v>
      </c>
      <c r="G949" s="9">
        <v>43</v>
      </c>
      <c r="H949" s="5" t="s">
        <v>21</v>
      </c>
      <c r="I949" s="5" t="s">
        <v>2297</v>
      </c>
      <c r="J949" s="12" t="str">
        <f>HYPERLINK("https://www.boe.es/gazeta/dias/1800/01/17/pdfs/GMD-1800-5.pdf#page=3","Abrir facsímil")</f>
        <v>Abrir facsímil</v>
      </c>
      <c r="K949" s="15" t="s">
        <v>23</v>
      </c>
    </row>
    <row r="950" spans="1:11" ht="42" customHeight="1">
      <c r="A950" s="4" t="s">
        <v>2298</v>
      </c>
      <c r="B950" s="5" t="s">
        <v>2299</v>
      </c>
      <c r="C950" s="5" t="s">
        <v>41</v>
      </c>
      <c r="D950" s="5" t="s">
        <v>42</v>
      </c>
      <c r="E950" s="5" t="s">
        <v>244</v>
      </c>
      <c r="F950" s="9">
        <v>9</v>
      </c>
      <c r="G950" s="9">
        <v>79</v>
      </c>
      <c r="H950" s="5" t="s">
        <v>21</v>
      </c>
      <c r="I950" s="5" t="s">
        <v>2300</v>
      </c>
      <c r="J950" s="12" t="str">
        <f>HYPERLINK("https://www.boe.es/gazeta/dias/1800/01/31/pdfs/GMD-1800-9.pdf#page=3","Abrir facsímil")</f>
        <v>Abrir facsímil</v>
      </c>
      <c r="K950" s="15" t="s">
        <v>23</v>
      </c>
    </row>
    <row r="951" spans="1:11" ht="42" customHeight="1">
      <c r="A951" s="4" t="s">
        <v>2298</v>
      </c>
      <c r="B951" s="5" t="s">
        <v>2299</v>
      </c>
      <c r="C951" s="5" t="s">
        <v>41</v>
      </c>
      <c r="D951" s="5" t="s">
        <v>42</v>
      </c>
      <c r="E951" s="5" t="s">
        <v>244</v>
      </c>
      <c r="F951" s="9">
        <v>9</v>
      </c>
      <c r="G951" s="9">
        <v>81</v>
      </c>
      <c r="H951" s="5" t="s">
        <v>21</v>
      </c>
      <c r="I951" s="5" t="s">
        <v>2301</v>
      </c>
      <c r="J951" s="12" t="str">
        <f>HYPERLINK("https://www.boe.es/gazeta/dias/1800/01/31/pdfs/GMD-1800-9.pdf#page=5","Abrir facsímil")</f>
        <v>Abrir facsímil</v>
      </c>
      <c r="K951" s="15" t="s">
        <v>23</v>
      </c>
    </row>
    <row r="952" spans="1:11" ht="42" customHeight="1">
      <c r="A952" s="4" t="s">
        <v>2291</v>
      </c>
      <c r="B952" s="5" t="s">
        <v>2292</v>
      </c>
      <c r="C952" s="5" t="s">
        <v>18</v>
      </c>
      <c r="D952" s="5" t="s">
        <v>19</v>
      </c>
      <c r="E952" s="5" t="s">
        <v>503</v>
      </c>
      <c r="F952" s="9">
        <v>13</v>
      </c>
      <c r="G952" s="9">
        <v>118</v>
      </c>
      <c r="H952" s="5" t="s">
        <v>21</v>
      </c>
      <c r="I952" s="5" t="s">
        <v>2302</v>
      </c>
      <c r="J952" s="12" t="str">
        <f>HYPERLINK("https://www.boe.es/gazeta/dias/1800/02/14/pdfs/GMD-1800-13.pdf#page=2","Abrir facsímil")</f>
        <v>Abrir facsímil</v>
      </c>
      <c r="K952" s="15" t="s">
        <v>23</v>
      </c>
    </row>
    <row r="953" spans="1:11" ht="42" customHeight="1">
      <c r="A953" s="4" t="s">
        <v>2291</v>
      </c>
      <c r="B953" s="5" t="s">
        <v>2292</v>
      </c>
      <c r="C953" s="5" t="s">
        <v>41</v>
      </c>
      <c r="D953" s="5" t="s">
        <v>42</v>
      </c>
      <c r="E953" s="5" t="s">
        <v>545</v>
      </c>
      <c r="F953" s="9">
        <v>14</v>
      </c>
      <c r="G953" s="9">
        <v>129</v>
      </c>
      <c r="H953" s="5" t="s">
        <v>21</v>
      </c>
      <c r="I953" s="5" t="s">
        <v>2303</v>
      </c>
      <c r="J953" s="12" t="str">
        <f>HYPERLINK("https://www.boe.es/gazeta/dias/1800/02/18/pdfs/GMD-1800-14.pdf#page=1","Abrir facsímil")</f>
        <v>Abrir facsímil</v>
      </c>
      <c r="K953" s="15" t="s">
        <v>23</v>
      </c>
    </row>
    <row r="954" spans="1:11" ht="42" customHeight="1">
      <c r="A954" s="4" t="s">
        <v>2291</v>
      </c>
      <c r="B954" s="5" t="s">
        <v>2292</v>
      </c>
      <c r="C954" s="5" t="s">
        <v>41</v>
      </c>
      <c r="D954" s="5" t="s">
        <v>42</v>
      </c>
      <c r="E954" s="5" t="s">
        <v>162</v>
      </c>
      <c r="F954" s="9">
        <v>15</v>
      </c>
      <c r="G954" s="9">
        <v>139</v>
      </c>
      <c r="H954" s="5" t="s">
        <v>21</v>
      </c>
      <c r="I954" s="5" t="s">
        <v>2304</v>
      </c>
      <c r="J954" s="12" t="str">
        <f>HYPERLINK("https://www.boe.es/gazeta/dias/1800/02/21/pdfs/GMD-1800-15.pdf#page=3","Abrir facsímil")</f>
        <v>Abrir facsímil</v>
      </c>
      <c r="K954" s="15" t="s">
        <v>23</v>
      </c>
    </row>
    <row r="955" spans="1:11" ht="42" customHeight="1">
      <c r="A955" s="4" t="s">
        <v>2291</v>
      </c>
      <c r="B955" s="5" t="s">
        <v>2292</v>
      </c>
      <c r="C955" s="5" t="s">
        <v>18</v>
      </c>
      <c r="D955" s="5" t="s">
        <v>19</v>
      </c>
      <c r="E955" s="5" t="s">
        <v>124</v>
      </c>
      <c r="F955" s="9">
        <v>16</v>
      </c>
      <c r="G955" s="9">
        <v>146</v>
      </c>
      <c r="H955" s="5" t="s">
        <v>21</v>
      </c>
      <c r="I955" s="5" t="s">
        <v>2305</v>
      </c>
      <c r="J955" s="12" t="str">
        <f>HYPERLINK("https://www.boe.es/gazeta/dias/1800/02/25/pdfs/GMD-1800-16.pdf#page=2","Abrir facsímil")</f>
        <v>Abrir facsímil</v>
      </c>
      <c r="K955" s="15" t="s">
        <v>23</v>
      </c>
    </row>
    <row r="956" spans="1:11" ht="42" customHeight="1">
      <c r="A956" s="4" t="s">
        <v>2291</v>
      </c>
      <c r="B956" s="5" t="s">
        <v>2292</v>
      </c>
      <c r="C956" s="5" t="s">
        <v>41</v>
      </c>
      <c r="D956" s="5" t="s">
        <v>42</v>
      </c>
      <c r="E956" s="5" t="s">
        <v>124</v>
      </c>
      <c r="F956" s="9">
        <v>16</v>
      </c>
      <c r="G956" s="9">
        <v>148</v>
      </c>
      <c r="H956" s="5" t="s">
        <v>21</v>
      </c>
      <c r="I956" s="5" t="s">
        <v>2306</v>
      </c>
      <c r="J956" s="12" t="str">
        <f>HYPERLINK("https://www.boe.es/gazeta/dias/1800/02/25/pdfs/GMD-1800-16.pdf#page=4","Abrir facsímil")</f>
        <v>Abrir facsímil</v>
      </c>
      <c r="K956" s="15" t="s">
        <v>23</v>
      </c>
    </row>
    <row r="957" spans="1:11" ht="42" customHeight="1">
      <c r="A957" s="4" t="s">
        <v>2291</v>
      </c>
      <c r="B957" s="5" t="s">
        <v>2292</v>
      </c>
      <c r="C957" s="5" t="s">
        <v>18</v>
      </c>
      <c r="D957" s="5" t="s">
        <v>19</v>
      </c>
      <c r="E957" s="5" t="s">
        <v>86</v>
      </c>
      <c r="F957" s="9">
        <v>17</v>
      </c>
      <c r="G957" s="9">
        <v>155</v>
      </c>
      <c r="H957" s="5" t="s">
        <v>21</v>
      </c>
      <c r="I957" s="5" t="s">
        <v>2307</v>
      </c>
      <c r="J957" s="12" t="str">
        <f>HYPERLINK("https://www.boe.es/gazeta/dias/1800/02/28/pdfs/GMD-1800-17.pdf#page=3","Abrir facsímil")</f>
        <v>Abrir facsímil</v>
      </c>
      <c r="K957" s="15" t="s">
        <v>23</v>
      </c>
    </row>
    <row r="958" spans="1:11" ht="42" customHeight="1">
      <c r="A958" s="4" t="s">
        <v>2298</v>
      </c>
      <c r="B958" s="5" t="s">
        <v>2299</v>
      </c>
      <c r="C958" s="5" t="s">
        <v>41</v>
      </c>
      <c r="D958" s="5" t="s">
        <v>42</v>
      </c>
      <c r="E958" s="5" t="s">
        <v>461</v>
      </c>
      <c r="F958" s="9">
        <v>18</v>
      </c>
      <c r="G958" s="9">
        <v>165</v>
      </c>
      <c r="H958" s="5" t="s">
        <v>21</v>
      </c>
      <c r="I958" s="5" t="s">
        <v>2308</v>
      </c>
      <c r="J958" s="12" t="str">
        <f>HYPERLINK("https://www.boe.es/datos/pdfs/BOE//1800/018/C00173-00176.pdf#page=1","Abrir facsímil")</f>
        <v>Abrir facsímil</v>
      </c>
      <c r="K958" s="15" t="s">
        <v>23</v>
      </c>
    </row>
    <row r="959" spans="1:11" ht="42" customHeight="1">
      <c r="A959" s="4" t="s">
        <v>2291</v>
      </c>
      <c r="B959" s="5" t="s">
        <v>2292</v>
      </c>
      <c r="C959" s="5" t="s">
        <v>41</v>
      </c>
      <c r="D959" s="5" t="s">
        <v>42</v>
      </c>
      <c r="E959" s="5" t="s">
        <v>461</v>
      </c>
      <c r="F959" s="9">
        <v>18</v>
      </c>
      <c r="G959" s="9">
        <v>166</v>
      </c>
      <c r="H959" s="5" t="s">
        <v>21</v>
      </c>
      <c r="I959" s="5" t="s">
        <v>2309</v>
      </c>
      <c r="J959" s="12" t="str">
        <f>HYPERLINK("https://www.boe.es/datos/pdfs/BOE//1800/018/C00173-00176.pdf#page=2","Abrir facsímil")</f>
        <v>Abrir facsímil</v>
      </c>
      <c r="K959" s="15" t="s">
        <v>23</v>
      </c>
    </row>
    <row r="960" spans="1:11" ht="42" customHeight="1">
      <c r="A960" s="4" t="s">
        <v>2291</v>
      </c>
      <c r="B960" s="5" t="s">
        <v>2292</v>
      </c>
      <c r="C960" s="5" t="s">
        <v>41</v>
      </c>
      <c r="D960" s="5" t="s">
        <v>42</v>
      </c>
      <c r="E960" s="5" t="s">
        <v>620</v>
      </c>
      <c r="F960" s="9">
        <v>19</v>
      </c>
      <c r="G960" s="9">
        <v>178</v>
      </c>
      <c r="H960" s="5" t="s">
        <v>21</v>
      </c>
      <c r="I960" s="5" t="s">
        <v>2310</v>
      </c>
      <c r="J960" s="12" t="str">
        <f>HYPERLINK("https://www.boe.es/gazeta/dias/1800/03/07/pdfs/GMD-1800-19.pdf#page=2","Abrir facsímil")</f>
        <v>Abrir facsímil</v>
      </c>
      <c r="K960" s="15" t="s">
        <v>23</v>
      </c>
    </row>
    <row r="961" spans="1:11" ht="42" customHeight="1">
      <c r="A961" s="4" t="s">
        <v>2291</v>
      </c>
      <c r="B961" s="5" t="s">
        <v>2292</v>
      </c>
      <c r="C961" s="5" t="s">
        <v>41</v>
      </c>
      <c r="D961" s="5" t="s">
        <v>42</v>
      </c>
      <c r="E961" s="5" t="s">
        <v>35</v>
      </c>
      <c r="F961" s="9">
        <v>21</v>
      </c>
      <c r="G961" s="9">
        <v>202</v>
      </c>
      <c r="H961" s="5" t="s">
        <v>21</v>
      </c>
      <c r="I961" s="5" t="s">
        <v>2311</v>
      </c>
      <c r="J961" s="12" t="str">
        <f>HYPERLINK("https://www.boe.es/gazeta/dias/1800/03/14/pdfs/GMD-1800-21.pdf#page=6","Abrir facsímil")</f>
        <v>Abrir facsímil</v>
      </c>
      <c r="K961" s="15" t="s">
        <v>23</v>
      </c>
    </row>
    <row r="962" spans="1:11" ht="42" customHeight="1">
      <c r="A962" s="4" t="s">
        <v>2291</v>
      </c>
      <c r="B962" s="5" t="s">
        <v>2292</v>
      </c>
      <c r="C962" s="5" t="s">
        <v>54</v>
      </c>
      <c r="D962" s="5" t="s">
        <v>55</v>
      </c>
      <c r="E962" s="5" t="s">
        <v>143</v>
      </c>
      <c r="F962" s="9">
        <v>22</v>
      </c>
      <c r="G962" s="9">
        <v>210</v>
      </c>
      <c r="H962" s="5" t="s">
        <v>21</v>
      </c>
      <c r="I962" s="5" t="s">
        <v>2312</v>
      </c>
      <c r="J962" s="12" t="str">
        <f>HYPERLINK("https://www.boe.es/gazeta/dias/1800/03/18/pdfs/GMD-1800-22.pdf#page=2","Abrir facsímil")</f>
        <v>Abrir facsímil</v>
      </c>
      <c r="K962" s="15" t="s">
        <v>23</v>
      </c>
    </row>
    <row r="963" spans="1:11" ht="42" customHeight="1">
      <c r="A963" s="4" t="s">
        <v>2291</v>
      </c>
      <c r="B963" s="5" t="s">
        <v>2292</v>
      </c>
      <c r="C963" s="5" t="s">
        <v>84</v>
      </c>
      <c r="D963" s="5" t="s">
        <v>85</v>
      </c>
      <c r="E963" s="5" t="s">
        <v>143</v>
      </c>
      <c r="F963" s="9">
        <v>22</v>
      </c>
      <c r="G963" s="9">
        <v>215</v>
      </c>
      <c r="H963" s="5" t="s">
        <v>21</v>
      </c>
      <c r="I963" s="5" t="s">
        <v>2313</v>
      </c>
      <c r="J963" s="12" t="str">
        <f>HYPERLINK("https://www.boe.es/gazeta/dias/1800/03/18/pdfs/GMD-1800-22.pdf#page=7","Abrir facsímil")</f>
        <v>Abrir facsímil</v>
      </c>
      <c r="K963" s="15" t="s">
        <v>23</v>
      </c>
    </row>
    <row r="964" spans="1:11" ht="42" customHeight="1">
      <c r="A964" s="4" t="s">
        <v>2291</v>
      </c>
      <c r="B964" s="5" t="s">
        <v>2292</v>
      </c>
      <c r="C964" s="5" t="s">
        <v>41</v>
      </c>
      <c r="D964" s="5" t="s">
        <v>42</v>
      </c>
      <c r="E964" s="5" t="s">
        <v>88</v>
      </c>
      <c r="F964" s="9">
        <v>23</v>
      </c>
      <c r="G964" s="9">
        <v>226</v>
      </c>
      <c r="H964" s="5" t="s">
        <v>21</v>
      </c>
      <c r="I964" s="5" t="s">
        <v>2314</v>
      </c>
      <c r="J964" s="12" t="str">
        <f>HYPERLINK("https://www.boe.es/gazeta/dias/1800/03/21/pdfs/GMD-1800-23.pdf#page=2","Abrir facsímil")</f>
        <v>Abrir facsímil</v>
      </c>
      <c r="K964" s="15" t="s">
        <v>23</v>
      </c>
    </row>
    <row r="965" spans="1:11" ht="42" customHeight="1">
      <c r="A965" s="4" t="s">
        <v>2291</v>
      </c>
      <c r="B965" s="5" t="s">
        <v>2292</v>
      </c>
      <c r="C965" s="5" t="s">
        <v>41</v>
      </c>
      <c r="D965" s="5" t="s">
        <v>42</v>
      </c>
      <c r="E965" s="5" t="s">
        <v>88</v>
      </c>
      <c r="F965" s="9">
        <v>23</v>
      </c>
      <c r="G965" s="9">
        <v>229</v>
      </c>
      <c r="H965" s="5" t="s">
        <v>21</v>
      </c>
      <c r="I965" s="5" t="s">
        <v>2315</v>
      </c>
      <c r="J965" s="12" t="str">
        <f>HYPERLINK("https://www.boe.es/gazeta/dias/1800/03/21/pdfs/GMD-1800-23.pdf#page=5","Abrir facsímil")</f>
        <v>Abrir facsímil</v>
      </c>
      <c r="K965" s="15" t="s">
        <v>23</v>
      </c>
    </row>
    <row r="966" spans="1:11" ht="42" customHeight="1">
      <c r="A966" s="4" t="s">
        <v>2291</v>
      </c>
      <c r="B966" s="5" t="s">
        <v>2292</v>
      </c>
      <c r="C966" s="5" t="s">
        <v>41</v>
      </c>
      <c r="D966" s="5" t="s">
        <v>42</v>
      </c>
      <c r="E966" s="5" t="s">
        <v>346</v>
      </c>
      <c r="F966" s="9">
        <v>24</v>
      </c>
      <c r="G966" s="9">
        <v>238</v>
      </c>
      <c r="H966" s="5" t="s">
        <v>21</v>
      </c>
      <c r="I966" s="5" t="s">
        <v>2316</v>
      </c>
      <c r="J966" s="12" t="str">
        <f>HYPERLINK("https://www.boe.es/gazeta/dias/1800/03/25/pdfs/GMD-1800-24.pdf#page=2","Abrir facsímil")</f>
        <v>Abrir facsímil</v>
      </c>
      <c r="K966" s="15" t="s">
        <v>23</v>
      </c>
    </row>
    <row r="967" spans="1:11" ht="42" customHeight="1">
      <c r="A967" s="4" t="s">
        <v>2298</v>
      </c>
      <c r="B967" s="5" t="s">
        <v>2299</v>
      </c>
      <c r="C967" s="5" t="s">
        <v>41</v>
      </c>
      <c r="D967" s="5" t="s">
        <v>42</v>
      </c>
      <c r="E967" s="5" t="s">
        <v>346</v>
      </c>
      <c r="F967" s="9">
        <v>24</v>
      </c>
      <c r="G967" s="9">
        <v>241</v>
      </c>
      <c r="H967" s="5" t="s">
        <v>21</v>
      </c>
      <c r="I967" s="5" t="s">
        <v>2317</v>
      </c>
      <c r="J967" s="12" t="str">
        <f>HYPERLINK("https://www.boe.es/gazeta/dias/1800/03/25/pdfs/GMD-1800-24.pdf#page=5","Abrir facsímil")</f>
        <v>Abrir facsímil</v>
      </c>
      <c r="K967" s="15" t="s">
        <v>23</v>
      </c>
    </row>
    <row r="968" spans="1:11" ht="42" customHeight="1">
      <c r="A968" s="4" t="s">
        <v>2291</v>
      </c>
      <c r="B968" s="5" t="s">
        <v>2292</v>
      </c>
      <c r="C968" s="5" t="s">
        <v>207</v>
      </c>
      <c r="D968" s="5" t="s">
        <v>55</v>
      </c>
      <c r="E968" s="5" t="s">
        <v>158</v>
      </c>
      <c r="F968" s="9">
        <v>25</v>
      </c>
      <c r="G968" s="9">
        <v>250</v>
      </c>
      <c r="H968" s="5" t="s">
        <v>21</v>
      </c>
      <c r="I968" s="5" t="s">
        <v>2318</v>
      </c>
      <c r="J968" s="12" t="str">
        <f>HYPERLINK("https://www.boe.es/gazeta/dias/1800/03/28/pdfs/GMD-1800-25.pdf#page=2","Abrir facsímil")</f>
        <v>Abrir facsímil</v>
      </c>
      <c r="K968" s="15" t="s">
        <v>23</v>
      </c>
    </row>
    <row r="969" spans="1:11" ht="42" customHeight="1">
      <c r="A969" s="4" t="s">
        <v>2291</v>
      </c>
      <c r="B969" s="5" t="s">
        <v>2292</v>
      </c>
      <c r="C969" s="5" t="s">
        <v>41</v>
      </c>
      <c r="D969" s="5" t="s">
        <v>42</v>
      </c>
      <c r="E969" s="5" t="s">
        <v>158</v>
      </c>
      <c r="F969" s="9">
        <v>25</v>
      </c>
      <c r="G969" s="9">
        <v>251</v>
      </c>
      <c r="H969" s="5" t="s">
        <v>21</v>
      </c>
      <c r="I969" s="5" t="s">
        <v>2319</v>
      </c>
      <c r="J969" s="12" t="str">
        <f>HYPERLINK("https://www.boe.es/gazeta/dias/1800/03/28/pdfs/GMD-1800-25.pdf#page=3","Abrir facsímil")</f>
        <v>Abrir facsímil</v>
      </c>
      <c r="K969" s="15" t="s">
        <v>23</v>
      </c>
    </row>
    <row r="970" spans="1:11" ht="42" customHeight="1">
      <c r="A970" s="4" t="s">
        <v>2291</v>
      </c>
      <c r="B970" s="5" t="s">
        <v>2292</v>
      </c>
      <c r="C970" s="5" t="s">
        <v>41</v>
      </c>
      <c r="D970" s="5" t="s">
        <v>42</v>
      </c>
      <c r="E970" s="5" t="s">
        <v>158</v>
      </c>
      <c r="F970" s="9">
        <v>25</v>
      </c>
      <c r="G970" s="9">
        <v>254</v>
      </c>
      <c r="H970" s="5" t="s">
        <v>21</v>
      </c>
      <c r="I970" s="5" t="s">
        <v>2320</v>
      </c>
      <c r="J970" s="12" t="str">
        <f>HYPERLINK("https://www.boe.es/gazeta/dias/1800/03/28/pdfs/GMD-1800-25.pdf#page=6","Abrir facsímil")</f>
        <v>Abrir facsímil</v>
      </c>
      <c r="K970" s="15" t="s">
        <v>23</v>
      </c>
    </row>
    <row r="971" spans="1:11" ht="42" customHeight="1">
      <c r="A971" s="4" t="s">
        <v>2291</v>
      </c>
      <c r="B971" s="5" t="s">
        <v>2292</v>
      </c>
      <c r="C971" s="5" t="s">
        <v>84</v>
      </c>
      <c r="D971" s="5" t="s">
        <v>85</v>
      </c>
      <c r="E971" s="5" t="s">
        <v>240</v>
      </c>
      <c r="F971" s="9">
        <v>26</v>
      </c>
      <c r="G971" s="9">
        <v>262</v>
      </c>
      <c r="H971" s="5" t="s">
        <v>21</v>
      </c>
      <c r="I971" s="5" t="s">
        <v>2321</v>
      </c>
      <c r="J971" s="12" t="str">
        <f>HYPERLINK("https://www.boe.es/gazeta/dias/1800/04/01/pdfs/GMD-1800-26.pdf#page=2","Abrir facsímil")</f>
        <v>Abrir facsímil</v>
      </c>
      <c r="K971" s="15" t="s">
        <v>23</v>
      </c>
    </row>
    <row r="972" spans="1:11" ht="42" customHeight="1">
      <c r="A972" s="4" t="s">
        <v>2291</v>
      </c>
      <c r="B972" s="5" t="s">
        <v>2292</v>
      </c>
      <c r="C972" s="5" t="s">
        <v>41</v>
      </c>
      <c r="D972" s="5" t="s">
        <v>42</v>
      </c>
      <c r="E972" s="5" t="s">
        <v>240</v>
      </c>
      <c r="F972" s="9">
        <v>26</v>
      </c>
      <c r="G972" s="9">
        <v>263</v>
      </c>
      <c r="H972" s="5" t="s">
        <v>21</v>
      </c>
      <c r="I972" s="5" t="s">
        <v>2322</v>
      </c>
      <c r="J972" s="12" t="str">
        <f>HYPERLINK("https://www.boe.es/gazeta/dias/1800/04/01/pdfs/GMD-1800-26.pdf#page=3","Abrir facsímil")</f>
        <v>Abrir facsímil</v>
      </c>
      <c r="K972" s="15" t="s">
        <v>23</v>
      </c>
    </row>
    <row r="973" spans="1:11" ht="42" customHeight="1">
      <c r="A973" s="4" t="s">
        <v>2291</v>
      </c>
      <c r="B973" s="5" t="s">
        <v>2292</v>
      </c>
      <c r="C973" s="5" t="s">
        <v>41</v>
      </c>
      <c r="D973" s="5" t="s">
        <v>42</v>
      </c>
      <c r="E973" s="5" t="s">
        <v>226</v>
      </c>
      <c r="F973" s="9">
        <v>27</v>
      </c>
      <c r="G973" s="9">
        <v>274</v>
      </c>
      <c r="H973" s="5" t="s">
        <v>21</v>
      </c>
      <c r="I973" s="5" t="s">
        <v>2323</v>
      </c>
      <c r="J973" s="12" t="str">
        <f>HYPERLINK("https://www.boe.es/gazeta/dias/1800/04/04/pdfs/GMD-1800-27.pdf#page=2","Abrir facsímil")</f>
        <v>Abrir facsímil</v>
      </c>
      <c r="K973" s="15" t="s">
        <v>23</v>
      </c>
    </row>
    <row r="974" spans="1:11" ht="42" customHeight="1">
      <c r="A974" s="4" t="s">
        <v>2291</v>
      </c>
      <c r="B974" s="5" t="s">
        <v>2292</v>
      </c>
      <c r="C974" s="5" t="s">
        <v>18</v>
      </c>
      <c r="D974" s="5" t="s">
        <v>19</v>
      </c>
      <c r="E974" s="5" t="s">
        <v>226</v>
      </c>
      <c r="F974" s="9">
        <v>27</v>
      </c>
      <c r="G974" s="9">
        <v>277</v>
      </c>
      <c r="H974" s="5" t="s">
        <v>21</v>
      </c>
      <c r="I974" s="5" t="s">
        <v>2324</v>
      </c>
      <c r="J974" s="12" t="str">
        <f>HYPERLINK("https://www.boe.es/gazeta/dias/1800/04/04/pdfs/GMD-1800-27.pdf#page=5","Abrir facsímil")</f>
        <v>Abrir facsímil</v>
      </c>
      <c r="K974" s="15" t="s">
        <v>23</v>
      </c>
    </row>
    <row r="975" spans="1:11" ht="42" customHeight="1">
      <c r="A975" s="4" t="s">
        <v>2291</v>
      </c>
      <c r="B975" s="5" t="s">
        <v>2292</v>
      </c>
      <c r="C975" s="5" t="s">
        <v>54</v>
      </c>
      <c r="D975" s="5" t="s">
        <v>55</v>
      </c>
      <c r="E975" s="5" t="s">
        <v>226</v>
      </c>
      <c r="F975" s="9">
        <v>27</v>
      </c>
      <c r="G975" s="9">
        <v>278</v>
      </c>
      <c r="H975" s="5" t="s">
        <v>21</v>
      </c>
      <c r="I975" s="5" t="s">
        <v>2325</v>
      </c>
      <c r="J975" s="12" t="str">
        <f>HYPERLINK("https://www.boe.es/gazeta/dias/1800/04/04/pdfs/GMD-1800-27.pdf#page=6","Abrir facsímil")</f>
        <v>Abrir facsímil</v>
      </c>
      <c r="K975" s="15" t="s">
        <v>23</v>
      </c>
    </row>
    <row r="976" spans="1:11" ht="42" customHeight="1">
      <c r="A976" s="4" t="s">
        <v>2291</v>
      </c>
      <c r="B976" s="5" t="s">
        <v>2292</v>
      </c>
      <c r="C976" s="5" t="s">
        <v>41</v>
      </c>
      <c r="D976" s="5" t="s">
        <v>42</v>
      </c>
      <c r="E976" s="5" t="s">
        <v>105</v>
      </c>
      <c r="F976" s="9">
        <v>28</v>
      </c>
      <c r="G976" s="9">
        <v>288</v>
      </c>
      <c r="H976" s="5" t="s">
        <v>21</v>
      </c>
      <c r="I976" s="5" t="s">
        <v>2326</v>
      </c>
      <c r="J976" s="12" t="str">
        <f>HYPERLINK("https://www.boe.es/gazeta/dias/1800/04/08/pdfs/GMD-1800-28.pdf#page=4","Abrir facsímil")</f>
        <v>Abrir facsímil</v>
      </c>
      <c r="K976" s="15" t="s">
        <v>23</v>
      </c>
    </row>
    <row r="977" spans="1:11" ht="42" customHeight="1">
      <c r="A977" s="4" t="s">
        <v>2291</v>
      </c>
      <c r="B977" s="5" t="s">
        <v>2292</v>
      </c>
      <c r="C977" s="5" t="s">
        <v>41</v>
      </c>
      <c r="D977" s="5" t="s">
        <v>42</v>
      </c>
      <c r="E977" s="5" t="s">
        <v>1108</v>
      </c>
      <c r="F977" s="9">
        <v>30</v>
      </c>
      <c r="G977" s="9">
        <v>305</v>
      </c>
      <c r="H977" s="5" t="s">
        <v>21</v>
      </c>
      <c r="I977" s="5" t="s">
        <v>2327</v>
      </c>
      <c r="J977" s="12" t="str">
        <f>HYPERLINK("https://www.boe.es/gazeta/dias/1800/04/15/pdfs/GMD-1800-30.pdf#page=5","Abrir facsímil")</f>
        <v>Abrir facsímil</v>
      </c>
      <c r="K977" s="15" t="s">
        <v>23</v>
      </c>
    </row>
    <row r="978" spans="1:11" ht="42" customHeight="1">
      <c r="A978" s="4" t="s">
        <v>2291</v>
      </c>
      <c r="B978" s="5" t="s">
        <v>2292</v>
      </c>
      <c r="C978" s="5" t="s">
        <v>84</v>
      </c>
      <c r="D978" s="5" t="s">
        <v>85</v>
      </c>
      <c r="E978" s="5" t="s">
        <v>1108</v>
      </c>
      <c r="F978" s="9">
        <v>30</v>
      </c>
      <c r="G978" s="9">
        <v>306</v>
      </c>
      <c r="H978" s="5" t="s">
        <v>21</v>
      </c>
      <c r="I978" s="5" t="s">
        <v>2328</v>
      </c>
      <c r="J978" s="12" t="str">
        <f>HYPERLINK("https://www.boe.es/gazeta/dias/1800/04/15/pdfs/GMD-1800-30.pdf#page=6","Abrir facsímil")</f>
        <v>Abrir facsímil</v>
      </c>
      <c r="K978" s="15" t="s">
        <v>23</v>
      </c>
    </row>
    <row r="979" spans="1:11" ht="42" customHeight="1">
      <c r="A979" s="4" t="s">
        <v>2291</v>
      </c>
      <c r="B979" s="5" t="s">
        <v>2292</v>
      </c>
      <c r="C979" s="5" t="s">
        <v>41</v>
      </c>
      <c r="D979" s="5" t="s">
        <v>42</v>
      </c>
      <c r="E979" s="5" t="s">
        <v>356</v>
      </c>
      <c r="F979" s="9">
        <v>31</v>
      </c>
      <c r="G979" s="9">
        <v>309</v>
      </c>
      <c r="H979" s="5" t="s">
        <v>21</v>
      </c>
      <c r="I979" s="5" t="s">
        <v>2329</v>
      </c>
      <c r="J979" s="12" t="str">
        <f>HYPERLINK("https://www.boe.es/gazeta/dias/1800/04/18/pdfs/GMD-1800-31.pdf#page=1","Abrir facsímil")</f>
        <v>Abrir facsímil</v>
      </c>
      <c r="K979" s="15" t="s">
        <v>23</v>
      </c>
    </row>
    <row r="980" spans="1:11" ht="42" customHeight="1">
      <c r="A980" s="4" t="s">
        <v>2291</v>
      </c>
      <c r="B980" s="5" t="s">
        <v>2292</v>
      </c>
      <c r="C980" s="5" t="s">
        <v>41</v>
      </c>
      <c r="D980" s="5" t="s">
        <v>42</v>
      </c>
      <c r="E980" s="5" t="s">
        <v>356</v>
      </c>
      <c r="F980" s="9">
        <v>31</v>
      </c>
      <c r="G980" s="9">
        <v>310</v>
      </c>
      <c r="H980" s="5" t="s">
        <v>21</v>
      </c>
      <c r="I980" s="5" t="s">
        <v>2330</v>
      </c>
      <c r="J980" s="12" t="str">
        <f>HYPERLINK("https://www.boe.es/gazeta/dias/1800/04/18/pdfs/GMD-1800-31.pdf#page=2","Abrir facsímil")</f>
        <v>Abrir facsímil</v>
      </c>
      <c r="K980" s="15" t="s">
        <v>23</v>
      </c>
    </row>
    <row r="981" spans="1:11" ht="42" customHeight="1">
      <c r="A981" s="4" t="s">
        <v>2291</v>
      </c>
      <c r="B981" s="5" t="s">
        <v>2292</v>
      </c>
      <c r="C981" s="5" t="s">
        <v>41</v>
      </c>
      <c r="D981" s="5" t="s">
        <v>42</v>
      </c>
      <c r="E981" s="5" t="s">
        <v>598</v>
      </c>
      <c r="F981" s="9">
        <v>32</v>
      </c>
      <c r="G981" s="9">
        <v>319</v>
      </c>
      <c r="H981" s="5" t="s">
        <v>21</v>
      </c>
      <c r="I981" s="5" t="s">
        <v>2331</v>
      </c>
      <c r="J981" s="12" t="str">
        <f>HYPERLINK("https://www.boe.es/gazeta/dias/1800/04/22/pdfs/GMD-1800-32.pdf#page=3","Abrir facsímil")</f>
        <v>Abrir facsímil</v>
      </c>
      <c r="K981" s="15" t="s">
        <v>23</v>
      </c>
    </row>
    <row r="982" spans="1:11" ht="42" customHeight="1">
      <c r="A982" s="4" t="s">
        <v>2291</v>
      </c>
      <c r="B982" s="5" t="s">
        <v>2292</v>
      </c>
      <c r="C982" s="5" t="s">
        <v>41</v>
      </c>
      <c r="D982" s="5" t="s">
        <v>42</v>
      </c>
      <c r="E982" s="5" t="s">
        <v>248</v>
      </c>
      <c r="F982" s="9">
        <v>33</v>
      </c>
      <c r="G982" s="9">
        <v>327</v>
      </c>
      <c r="H982" s="5" t="s">
        <v>21</v>
      </c>
      <c r="I982" s="5" t="s">
        <v>2332</v>
      </c>
      <c r="J982" s="12" t="str">
        <f>HYPERLINK("https://www.boe.es/gazeta/dias/1800/04/25/pdfs/GMD-1800-33.pdf#page=3","Abrir facsímil")</f>
        <v>Abrir facsímil</v>
      </c>
      <c r="K982" s="15" t="s">
        <v>23</v>
      </c>
    </row>
    <row r="983" spans="1:11" ht="42" customHeight="1">
      <c r="A983" s="4" t="s">
        <v>2291</v>
      </c>
      <c r="B983" s="5" t="s">
        <v>2292</v>
      </c>
      <c r="C983" s="5" t="s">
        <v>41</v>
      </c>
      <c r="D983" s="5" t="s">
        <v>42</v>
      </c>
      <c r="E983" s="5" t="s">
        <v>478</v>
      </c>
      <c r="F983" s="9">
        <v>34</v>
      </c>
      <c r="G983" s="9">
        <v>338</v>
      </c>
      <c r="H983" s="5" t="s">
        <v>21</v>
      </c>
      <c r="I983" s="5" t="s">
        <v>2333</v>
      </c>
      <c r="J983" s="12" t="str">
        <f>HYPERLINK("https://www.boe.es/gazeta/dias/1800/04/29/pdfs/GMD-1800-34.pdf#page=2","Abrir facsímil")</f>
        <v>Abrir facsímil</v>
      </c>
      <c r="K983" s="15" t="s">
        <v>23</v>
      </c>
    </row>
    <row r="984" spans="1:11" ht="42" customHeight="1">
      <c r="A984" s="4" t="s">
        <v>2291</v>
      </c>
      <c r="B984" s="5" t="s">
        <v>2292</v>
      </c>
      <c r="C984" s="5" t="s">
        <v>41</v>
      </c>
      <c r="D984" s="5" t="s">
        <v>42</v>
      </c>
      <c r="E984" s="5" t="s">
        <v>420</v>
      </c>
      <c r="F984" s="9">
        <v>38</v>
      </c>
      <c r="G984" s="9">
        <v>381</v>
      </c>
      <c r="H984" s="5" t="s">
        <v>21</v>
      </c>
      <c r="I984" s="5" t="s">
        <v>2334</v>
      </c>
      <c r="J984" s="12" t="str">
        <f>HYPERLINK("https://www.boe.es/gazeta/dias/1800/05/13/pdfs/GMD-1800-38.pdf#page=1","Abrir facsímil")</f>
        <v>Abrir facsímil</v>
      </c>
      <c r="K984" s="15" t="s">
        <v>23</v>
      </c>
    </row>
    <row r="985" spans="1:11" ht="42" customHeight="1">
      <c r="A985" s="4" t="s">
        <v>2291</v>
      </c>
      <c r="B985" s="5" t="s">
        <v>2292</v>
      </c>
      <c r="C985" s="5" t="s">
        <v>41</v>
      </c>
      <c r="D985" s="5" t="s">
        <v>42</v>
      </c>
      <c r="E985" s="5" t="s">
        <v>262</v>
      </c>
      <c r="F985" s="9">
        <v>39</v>
      </c>
      <c r="G985" s="9">
        <v>394</v>
      </c>
      <c r="H985" s="5" t="s">
        <v>21</v>
      </c>
      <c r="I985" s="5" t="s">
        <v>2335</v>
      </c>
      <c r="J985" s="12" t="str">
        <f>HYPERLINK("https://www.boe.es/gazeta/dias/1800/05/16/pdfs/GMD-1800-39.pdf#page=2","Abrir facsímil")</f>
        <v>Abrir facsímil</v>
      </c>
      <c r="K985" s="15" t="s">
        <v>23</v>
      </c>
    </row>
    <row r="986" spans="1:11" ht="42" customHeight="1">
      <c r="A986" s="4" t="s">
        <v>2291</v>
      </c>
      <c r="B986" s="5" t="s">
        <v>2292</v>
      </c>
      <c r="C986" s="5" t="s">
        <v>41</v>
      </c>
      <c r="D986" s="5" t="s">
        <v>42</v>
      </c>
      <c r="E986" s="5" t="s">
        <v>262</v>
      </c>
      <c r="F986" s="9">
        <v>39</v>
      </c>
      <c r="G986" s="9">
        <v>395</v>
      </c>
      <c r="H986" s="5" t="s">
        <v>21</v>
      </c>
      <c r="I986" s="5" t="s">
        <v>2336</v>
      </c>
      <c r="J986" s="12" t="str">
        <f>HYPERLINK("https://www.boe.es/gazeta/dias/1800/05/16/pdfs/GMD-1800-39.pdf#page=3","Abrir facsímil")</f>
        <v>Abrir facsímil</v>
      </c>
      <c r="K986" s="15" t="s">
        <v>23</v>
      </c>
    </row>
    <row r="987" spans="1:11" ht="42" customHeight="1">
      <c r="A987" s="4" t="s">
        <v>2291</v>
      </c>
      <c r="B987" s="5" t="s">
        <v>2292</v>
      </c>
      <c r="C987" s="5" t="s">
        <v>41</v>
      </c>
      <c r="D987" s="5" t="s">
        <v>42</v>
      </c>
      <c r="E987" s="5" t="s">
        <v>214</v>
      </c>
      <c r="F987" s="9">
        <v>41</v>
      </c>
      <c r="G987" s="9">
        <v>418</v>
      </c>
      <c r="H987" s="5" t="s">
        <v>21</v>
      </c>
      <c r="I987" s="5" t="s">
        <v>2337</v>
      </c>
      <c r="J987" s="12" t="str">
        <f>HYPERLINK("https://www.boe.es/gazeta/dias/1800/05/23/pdfs/GMD-1800-41.pdf#page=2","Abrir facsímil")</f>
        <v>Abrir facsímil</v>
      </c>
      <c r="K987" s="15" t="s">
        <v>23</v>
      </c>
    </row>
    <row r="988" spans="1:11" ht="42" customHeight="1">
      <c r="A988" s="4" t="s">
        <v>2291</v>
      </c>
      <c r="B988" s="5" t="s">
        <v>2292</v>
      </c>
      <c r="C988" s="5" t="s">
        <v>41</v>
      </c>
      <c r="D988" s="5" t="s">
        <v>42</v>
      </c>
      <c r="E988" s="5" t="s">
        <v>2338</v>
      </c>
      <c r="F988" s="9">
        <v>42</v>
      </c>
      <c r="G988" s="9">
        <v>430</v>
      </c>
      <c r="H988" s="5" t="s">
        <v>21</v>
      </c>
      <c r="I988" s="5" t="s">
        <v>2339</v>
      </c>
      <c r="J988" s="12" t="str">
        <f>HYPERLINK("https://www.boe.es/gazeta/dias/1800/05/27/pdfs/GMD-1800-42.pdf#page=2","Abrir facsímil")</f>
        <v>Abrir facsímil</v>
      </c>
      <c r="K988" s="15" t="s">
        <v>23</v>
      </c>
    </row>
    <row r="989" spans="1:11" ht="42" customHeight="1">
      <c r="A989" s="4" t="s">
        <v>2291</v>
      </c>
      <c r="B989" s="5" t="s">
        <v>2292</v>
      </c>
      <c r="C989" s="5" t="s">
        <v>41</v>
      </c>
      <c r="D989" s="5" t="s">
        <v>42</v>
      </c>
      <c r="E989" s="5" t="s">
        <v>600</v>
      </c>
      <c r="F989" s="9">
        <v>45</v>
      </c>
      <c r="G989" s="9">
        <v>466</v>
      </c>
      <c r="H989" s="5" t="s">
        <v>21</v>
      </c>
      <c r="I989" s="5" t="s">
        <v>2340</v>
      </c>
      <c r="J989" s="12" t="str">
        <f>HYPERLINK("https://www.boe.es/gazeta/dias/1800/06/06/pdfs/GMD-1800-45.pdf#page=2","Abrir facsímil")</f>
        <v>Abrir facsímil</v>
      </c>
      <c r="K989" s="15" t="s">
        <v>23</v>
      </c>
    </row>
    <row r="990" spans="1:11" ht="42" customHeight="1">
      <c r="A990" s="4" t="s">
        <v>2291</v>
      </c>
      <c r="B990" s="5" t="s">
        <v>2292</v>
      </c>
      <c r="C990" s="5" t="s">
        <v>84</v>
      </c>
      <c r="D990" s="5" t="s">
        <v>85</v>
      </c>
      <c r="E990" s="5" t="s">
        <v>45</v>
      </c>
      <c r="F990" s="9">
        <v>47</v>
      </c>
      <c r="G990" s="9">
        <v>493</v>
      </c>
      <c r="H990" s="5" t="s">
        <v>21</v>
      </c>
      <c r="I990" s="5" t="s">
        <v>2341</v>
      </c>
      <c r="J990" s="12" t="str">
        <f>HYPERLINK("https://www.boe.es/gazeta/dias/1800/06/13/pdfs/GMD-1800-47.pdf#page=1","Abrir facsímil")</f>
        <v>Abrir facsímil</v>
      </c>
      <c r="K990" s="15" t="s">
        <v>23</v>
      </c>
    </row>
    <row r="991" spans="1:11" ht="42" customHeight="1">
      <c r="A991" s="4" t="s">
        <v>2291</v>
      </c>
      <c r="B991" s="5" t="s">
        <v>2292</v>
      </c>
      <c r="C991" s="5" t="s">
        <v>41</v>
      </c>
      <c r="D991" s="5" t="s">
        <v>42</v>
      </c>
      <c r="E991" s="5" t="s">
        <v>825</v>
      </c>
      <c r="F991" s="9">
        <v>51</v>
      </c>
      <c r="G991" s="9">
        <v>551</v>
      </c>
      <c r="H991" s="5" t="s">
        <v>21</v>
      </c>
      <c r="I991" s="5" t="s">
        <v>2342</v>
      </c>
      <c r="J991" s="12" t="str">
        <f>HYPERLINK("https://www.boe.es/gazeta/dias/1800/06/27/pdfs/GMD-1800-51.pdf#page=3","Abrir facsímil")</f>
        <v>Abrir facsímil</v>
      </c>
      <c r="K991" s="15" t="s">
        <v>23</v>
      </c>
    </row>
    <row r="992" spans="1:11" ht="42" customHeight="1">
      <c r="A992" s="4" t="s">
        <v>2291</v>
      </c>
      <c r="B992" s="5" t="s">
        <v>2292</v>
      </c>
      <c r="C992" s="5" t="s">
        <v>41</v>
      </c>
      <c r="D992" s="5" t="s">
        <v>42</v>
      </c>
      <c r="E992" s="5" t="s">
        <v>310</v>
      </c>
      <c r="F992" s="9">
        <v>56</v>
      </c>
      <c r="G992" s="9">
        <v>625</v>
      </c>
      <c r="H992" s="5" t="s">
        <v>21</v>
      </c>
      <c r="I992" s="5" t="s">
        <v>2343</v>
      </c>
      <c r="J992" s="12" t="str">
        <f>HYPERLINK("https://www.boe.es/gazeta/dias/1800/07/15/pdfs/GMD-1800-56.pdf#page=1","Abrir facsímil")</f>
        <v>Abrir facsímil</v>
      </c>
      <c r="K992" s="15" t="s">
        <v>23</v>
      </c>
    </row>
    <row r="993" spans="1:11" ht="42" customHeight="1">
      <c r="A993" s="4" t="s">
        <v>2291</v>
      </c>
      <c r="B993" s="5" t="s">
        <v>2292</v>
      </c>
      <c r="C993" s="5" t="s">
        <v>41</v>
      </c>
      <c r="D993" s="5" t="s">
        <v>42</v>
      </c>
      <c r="E993" s="5" t="s">
        <v>90</v>
      </c>
      <c r="F993" s="9">
        <v>58</v>
      </c>
      <c r="G993" s="9">
        <v>655</v>
      </c>
      <c r="H993" s="5" t="s">
        <v>21</v>
      </c>
      <c r="I993" s="5" t="s">
        <v>2344</v>
      </c>
      <c r="J993" s="12" t="str">
        <f>HYPERLINK("https://www.boe.es/gazeta/dias/1800/07/22/pdfs/GMD-1800-58.pdf#page=3","Abrir facsímil")</f>
        <v>Abrir facsímil</v>
      </c>
      <c r="K993" s="15" t="s">
        <v>23</v>
      </c>
    </row>
    <row r="994" spans="1:11" ht="42" customHeight="1">
      <c r="A994" s="4" t="s">
        <v>2291</v>
      </c>
      <c r="B994" s="5" t="s">
        <v>2292</v>
      </c>
      <c r="C994" s="5" t="s">
        <v>54</v>
      </c>
      <c r="D994" s="5" t="s">
        <v>55</v>
      </c>
      <c r="E994" s="5" t="s">
        <v>1294</v>
      </c>
      <c r="F994" s="9">
        <v>59</v>
      </c>
      <c r="G994" s="9">
        <v>671</v>
      </c>
      <c r="H994" s="5" t="s">
        <v>21</v>
      </c>
      <c r="I994" s="5" t="s">
        <v>2345</v>
      </c>
      <c r="J994" s="12" t="str">
        <f>HYPERLINK("https://www.boe.es/gazeta/dias/1800/07/25/pdfs/GMD-1800-59.pdf#page=3","Abrir facsímil")</f>
        <v>Abrir facsímil</v>
      </c>
      <c r="K994" s="15" t="s">
        <v>23</v>
      </c>
    </row>
    <row r="995" spans="1:11" ht="42" customHeight="1">
      <c r="A995" s="4" t="s">
        <v>2291</v>
      </c>
      <c r="B995" s="5" t="s">
        <v>2292</v>
      </c>
      <c r="C995" s="5" t="s">
        <v>41</v>
      </c>
      <c r="D995" s="5" t="s">
        <v>42</v>
      </c>
      <c r="E995" s="5" t="s">
        <v>154</v>
      </c>
      <c r="F995" s="9">
        <v>61</v>
      </c>
      <c r="G995" s="9">
        <v>690</v>
      </c>
      <c r="H995" s="5" t="s">
        <v>21</v>
      </c>
      <c r="I995" s="5" t="s">
        <v>2346</v>
      </c>
      <c r="J995" s="12" t="str">
        <f>HYPERLINK("https://www.boe.es/gazeta/dias/1800/08/01/pdfs/GMD-1800-61.pdf#page=2","Abrir facsímil")</f>
        <v>Abrir facsímil</v>
      </c>
      <c r="K995" s="15" t="s">
        <v>23</v>
      </c>
    </row>
    <row r="996" spans="1:11" ht="42" customHeight="1">
      <c r="A996" s="4" t="s">
        <v>2291</v>
      </c>
      <c r="B996" s="5" t="s">
        <v>2292</v>
      </c>
      <c r="C996" s="5" t="s">
        <v>41</v>
      </c>
      <c r="D996" s="5" t="s">
        <v>42</v>
      </c>
      <c r="E996" s="5" t="s">
        <v>154</v>
      </c>
      <c r="F996" s="9">
        <v>61</v>
      </c>
      <c r="G996" s="9">
        <v>691</v>
      </c>
      <c r="H996" s="5" t="s">
        <v>21</v>
      </c>
      <c r="I996" s="5" t="s">
        <v>2347</v>
      </c>
      <c r="J996" s="12" t="str">
        <f>HYPERLINK("https://www.boe.es/gazeta/dias/1800/08/01/pdfs/GMD-1800-61.pdf#page=3","Abrir facsímil")</f>
        <v>Abrir facsímil</v>
      </c>
      <c r="K996" s="15" t="s">
        <v>23</v>
      </c>
    </row>
    <row r="997" spans="1:11" ht="42" customHeight="1">
      <c r="A997" s="4" t="s">
        <v>2291</v>
      </c>
      <c r="B997" s="5" t="s">
        <v>2292</v>
      </c>
      <c r="C997" s="5" t="s">
        <v>41</v>
      </c>
      <c r="D997" s="5" t="s">
        <v>42</v>
      </c>
      <c r="E997" s="5" t="s">
        <v>314</v>
      </c>
      <c r="F997" s="9">
        <v>74</v>
      </c>
      <c r="G997" s="9">
        <v>824</v>
      </c>
      <c r="H997" s="5" t="s">
        <v>21</v>
      </c>
      <c r="I997" s="5" t="s">
        <v>2348</v>
      </c>
      <c r="J997" s="12" t="str">
        <f>HYPERLINK("https://www.boe.es/gazeta/dias/1800/09/12/pdfs/GMD-1800-74.pdf#page=2","Abrir facsímil")</f>
        <v>Abrir facsímil</v>
      </c>
      <c r="K997" s="15" t="s">
        <v>23</v>
      </c>
    </row>
    <row r="998" spans="1:11" ht="42" customHeight="1">
      <c r="A998" s="4" t="s">
        <v>2291</v>
      </c>
      <c r="B998" s="5" t="s">
        <v>2292</v>
      </c>
      <c r="C998" s="5" t="s">
        <v>41</v>
      </c>
      <c r="D998" s="5" t="s">
        <v>42</v>
      </c>
      <c r="E998" s="5" t="s">
        <v>572</v>
      </c>
      <c r="F998" s="9">
        <v>76</v>
      </c>
      <c r="G998" s="9">
        <v>861</v>
      </c>
      <c r="H998" s="5" t="s">
        <v>21</v>
      </c>
      <c r="I998" s="5" t="s">
        <v>2349</v>
      </c>
      <c r="J998" s="12" t="str">
        <f>HYPERLINK("https://www.boe.es/gazeta/dias/1800/09/19/pdfs/GMD-1800-76.pdf#page=3","Abrir facsímil")</f>
        <v>Abrir facsímil</v>
      </c>
      <c r="K998" s="15" t="s">
        <v>23</v>
      </c>
    </row>
    <row r="999" spans="1:11" ht="42" customHeight="1">
      <c r="A999" s="4" t="s">
        <v>2291</v>
      </c>
      <c r="B999" s="5" t="s">
        <v>2292</v>
      </c>
      <c r="C999" s="5" t="s">
        <v>18</v>
      </c>
      <c r="D999" s="5" t="s">
        <v>19</v>
      </c>
      <c r="E999" s="5" t="s">
        <v>422</v>
      </c>
      <c r="F999" s="9">
        <v>85</v>
      </c>
      <c r="G999" s="9">
        <v>980</v>
      </c>
      <c r="H999" s="5" t="s">
        <v>21</v>
      </c>
      <c r="I999" s="5" t="s">
        <v>2350</v>
      </c>
      <c r="J999" s="12" t="str">
        <f>HYPERLINK("https://www.boe.es/gazeta/dias/1800/10/21/pdfs/GMD-1800-85.pdf#page=2","Abrir facsímil")</f>
        <v>Abrir facsímil</v>
      </c>
      <c r="K999" s="15" t="s">
        <v>23</v>
      </c>
    </row>
    <row r="1000" spans="1:11" ht="42" customHeight="1">
      <c r="A1000" s="4" t="s">
        <v>2291</v>
      </c>
      <c r="B1000" s="5" t="s">
        <v>2292</v>
      </c>
      <c r="C1000" s="5" t="s">
        <v>41</v>
      </c>
      <c r="D1000" s="5" t="s">
        <v>42</v>
      </c>
      <c r="E1000" s="5" t="s">
        <v>58</v>
      </c>
      <c r="F1000" s="9">
        <v>92</v>
      </c>
      <c r="G1000" s="9">
        <v>1047</v>
      </c>
      <c r="H1000" s="5" t="s">
        <v>21</v>
      </c>
      <c r="I1000" s="5" t="s">
        <v>2351</v>
      </c>
      <c r="J1000" s="12" t="str">
        <f>HYPERLINK("https://www.boe.es/gazeta/dias/1800/11/14/pdfs/GMD-1800-92.pdf#page=1","Abrir facsímil")</f>
        <v>Abrir facsímil</v>
      </c>
      <c r="K1000" s="15" t="s">
        <v>23</v>
      </c>
    </row>
    <row r="1001" spans="1:11" ht="42" customHeight="1">
      <c r="A1001" s="4" t="s">
        <v>2291</v>
      </c>
      <c r="B1001" s="5" t="s">
        <v>2292</v>
      </c>
      <c r="C1001" s="5" t="s">
        <v>41</v>
      </c>
      <c r="D1001" s="5" t="s">
        <v>42</v>
      </c>
      <c r="E1001" s="5" t="s">
        <v>190</v>
      </c>
      <c r="F1001" s="9">
        <v>93</v>
      </c>
      <c r="G1001" s="9">
        <v>1057</v>
      </c>
      <c r="H1001" s="5" t="s">
        <v>21</v>
      </c>
      <c r="I1001" s="5" t="s">
        <v>2352</v>
      </c>
      <c r="J1001" s="12" t="str">
        <f>HYPERLINK("https://www.boe.es/gazeta/dias/1800/11/18/pdfs/GMD-1800-93.pdf#page=3","Abrir facsímil")</f>
        <v>Abrir facsímil</v>
      </c>
      <c r="K1001" s="15" t="s">
        <v>23</v>
      </c>
    </row>
    <row r="1002" spans="1:11" ht="42" customHeight="1">
      <c r="A1002" s="4" t="s">
        <v>2291</v>
      </c>
      <c r="B1002" s="5" t="s">
        <v>2292</v>
      </c>
      <c r="C1002" s="5" t="s">
        <v>18</v>
      </c>
      <c r="D1002" s="5" t="s">
        <v>19</v>
      </c>
      <c r="E1002" s="5" t="s">
        <v>203</v>
      </c>
      <c r="F1002" s="9">
        <v>94</v>
      </c>
      <c r="G1002" s="9">
        <v>1072</v>
      </c>
      <c r="H1002" s="5" t="s">
        <v>21</v>
      </c>
      <c r="I1002" s="5" t="s">
        <v>2353</v>
      </c>
      <c r="J1002" s="12" t="str">
        <f>HYPERLINK("https://www.boe.es/gazeta/dias/1800/11/21/pdfs/GMD-1800-94.pdf#page=2","Abrir facsímil")</f>
        <v>Abrir facsímil</v>
      </c>
      <c r="K1002" s="15" t="s">
        <v>23</v>
      </c>
    </row>
    <row r="1003" spans="1:11" ht="42" customHeight="1">
      <c r="A1003" s="4" t="s">
        <v>2291</v>
      </c>
      <c r="B1003" s="5" t="s">
        <v>2292</v>
      </c>
      <c r="C1003" s="5" t="s">
        <v>41</v>
      </c>
      <c r="D1003" s="5" t="s">
        <v>42</v>
      </c>
      <c r="E1003" s="5" t="s">
        <v>615</v>
      </c>
      <c r="F1003" s="9">
        <v>95</v>
      </c>
      <c r="G1003" s="9">
        <v>1083</v>
      </c>
      <c r="H1003" s="5" t="s">
        <v>21</v>
      </c>
      <c r="I1003" s="5" t="s">
        <v>2354</v>
      </c>
      <c r="J1003" s="12" t="str">
        <f>HYPERLINK("https://www.boe.es/gazeta/dias/1800/11/25/pdfs/GMD-1800-95.pdf#page=1","Abrir facsímil")</f>
        <v>Abrir facsímil</v>
      </c>
      <c r="K1003" s="15" t="s">
        <v>23</v>
      </c>
    </row>
    <row r="1004" spans="1:11" ht="42" customHeight="1">
      <c r="A1004" s="4" t="s">
        <v>2291</v>
      </c>
      <c r="B1004" s="5" t="s">
        <v>2292</v>
      </c>
      <c r="C1004" s="5" t="s">
        <v>18</v>
      </c>
      <c r="D1004" s="5" t="s">
        <v>19</v>
      </c>
      <c r="E1004" s="5" t="s">
        <v>615</v>
      </c>
      <c r="F1004" s="9">
        <v>95</v>
      </c>
      <c r="G1004" s="9">
        <v>1084</v>
      </c>
      <c r="H1004" s="5" t="s">
        <v>21</v>
      </c>
      <c r="I1004" s="5" t="s">
        <v>2355</v>
      </c>
      <c r="J1004" s="12" t="str">
        <f>HYPERLINK("https://www.boe.es/gazeta/dias/1800/11/25/pdfs/GMD-1800-95.pdf#page=2","Abrir facsímil")</f>
        <v>Abrir facsímil</v>
      </c>
      <c r="K1004" s="15" t="s">
        <v>23</v>
      </c>
    </row>
    <row r="1005" spans="1:11" ht="42" customHeight="1">
      <c r="A1005" s="4" t="s">
        <v>2291</v>
      </c>
      <c r="B1005" s="5" t="s">
        <v>2292</v>
      </c>
      <c r="C1005" s="5" t="s">
        <v>41</v>
      </c>
      <c r="D1005" s="5" t="s">
        <v>42</v>
      </c>
      <c r="E1005" s="5" t="s">
        <v>196</v>
      </c>
      <c r="F1005" s="9">
        <v>97</v>
      </c>
      <c r="G1005" s="9">
        <v>1111</v>
      </c>
      <c r="H1005" s="5" t="s">
        <v>21</v>
      </c>
      <c r="I1005" s="5" t="s">
        <v>2356</v>
      </c>
      <c r="J1005" s="12" t="str">
        <f>HYPERLINK("https://www.boe.es/gazeta/dias/1800/12/02/pdfs/GMD-1800-97.pdf#page=3","Abrir facsímil")</f>
        <v>Abrir facsímil</v>
      </c>
      <c r="K1005" s="15" t="s">
        <v>23</v>
      </c>
    </row>
    <row r="1006" spans="1:11" ht="42" customHeight="1">
      <c r="A1006" s="4" t="s">
        <v>2291</v>
      </c>
      <c r="B1006" s="5" t="s">
        <v>2292</v>
      </c>
      <c r="C1006" s="5" t="s">
        <v>41</v>
      </c>
      <c r="D1006" s="5" t="s">
        <v>42</v>
      </c>
      <c r="E1006" s="5" t="s">
        <v>111</v>
      </c>
      <c r="F1006" s="9">
        <v>98</v>
      </c>
      <c r="G1006" s="9">
        <v>1122</v>
      </c>
      <c r="H1006" s="5" t="s">
        <v>21</v>
      </c>
      <c r="I1006" s="5" t="s">
        <v>2357</v>
      </c>
      <c r="J1006" s="12" t="str">
        <f>HYPERLINK("https://www.boe.es/gazeta/dias/1800/12/05/pdfs/GMD-1800-98.pdf#page=2","Abrir facsímil")</f>
        <v>Abrir facsímil</v>
      </c>
      <c r="K1006" s="15" t="s">
        <v>23</v>
      </c>
    </row>
    <row r="1007" spans="1:11" ht="42" customHeight="1">
      <c r="A1007" s="4" t="s">
        <v>2291</v>
      </c>
      <c r="B1007" s="5" t="s">
        <v>2292</v>
      </c>
      <c r="C1007" s="5" t="s">
        <v>41</v>
      </c>
      <c r="D1007" s="5" t="s">
        <v>42</v>
      </c>
      <c r="E1007" s="5" t="s">
        <v>111</v>
      </c>
      <c r="F1007" s="9">
        <v>98</v>
      </c>
      <c r="G1007" s="9">
        <v>1123</v>
      </c>
      <c r="H1007" s="5" t="s">
        <v>21</v>
      </c>
      <c r="I1007" s="5" t="s">
        <v>2358</v>
      </c>
      <c r="J1007" s="12" t="str">
        <f>HYPERLINK("https://www.boe.es/gazeta/dias/1800/12/05/pdfs/GMD-1800-98.pdf#page=3","Abrir facsímil")</f>
        <v>Abrir facsímil</v>
      </c>
      <c r="K1007" s="15" t="s">
        <v>23</v>
      </c>
    </row>
    <row r="1008" spans="1:11" ht="42" customHeight="1">
      <c r="A1008" s="4" t="s">
        <v>2291</v>
      </c>
      <c r="B1008" s="5" t="s">
        <v>2292</v>
      </c>
      <c r="C1008" s="5" t="s">
        <v>41</v>
      </c>
      <c r="D1008" s="5" t="s">
        <v>42</v>
      </c>
      <c r="E1008" s="5" t="s">
        <v>329</v>
      </c>
      <c r="F1008" s="9">
        <v>99</v>
      </c>
      <c r="G1008" s="9">
        <v>1134</v>
      </c>
      <c r="H1008" s="5" t="s">
        <v>21</v>
      </c>
      <c r="I1008" s="5" t="s">
        <v>2359</v>
      </c>
      <c r="J1008" s="12" t="str">
        <f>HYPERLINK("https://www.boe.es/gazeta/dias/1800/12/09/pdfs/GMD-1800-99.pdf#page=2","Abrir facsímil")</f>
        <v>Abrir facsímil</v>
      </c>
      <c r="K1008" s="15" t="s">
        <v>23</v>
      </c>
    </row>
    <row r="1009" spans="1:11" ht="42" customHeight="1">
      <c r="A1009" s="4" t="s">
        <v>2291</v>
      </c>
      <c r="B1009" s="5" t="s">
        <v>2292</v>
      </c>
      <c r="C1009" s="5" t="s">
        <v>41</v>
      </c>
      <c r="D1009" s="5" t="s">
        <v>42</v>
      </c>
      <c r="E1009" s="5" t="s">
        <v>534</v>
      </c>
      <c r="F1009" s="9">
        <v>100</v>
      </c>
      <c r="G1009" s="9">
        <v>1151</v>
      </c>
      <c r="H1009" s="5" t="s">
        <v>21</v>
      </c>
      <c r="I1009" s="5" t="s">
        <v>2360</v>
      </c>
      <c r="J1009" s="12" t="str">
        <f>HYPERLINK("https://www.boe.es/gazeta/dias/1800/12/12/pdfs/GMD-1800-100.pdf#page=3","Abrir facsímil")</f>
        <v>Abrir facsímil</v>
      </c>
      <c r="K1009" s="15" t="s">
        <v>23</v>
      </c>
    </row>
    <row r="1010" spans="1:11" ht="42" customHeight="1">
      <c r="A1010" s="4" t="s">
        <v>2291</v>
      </c>
      <c r="B1010" s="5" t="s">
        <v>2292</v>
      </c>
      <c r="C1010" s="5" t="s">
        <v>41</v>
      </c>
      <c r="D1010" s="5" t="s">
        <v>42</v>
      </c>
      <c r="E1010" s="5" t="s">
        <v>279</v>
      </c>
      <c r="F1010" s="9">
        <v>103</v>
      </c>
      <c r="G1010" s="9">
        <v>1190</v>
      </c>
      <c r="H1010" s="5" t="s">
        <v>21</v>
      </c>
      <c r="I1010" s="5" t="s">
        <v>2361</v>
      </c>
      <c r="J1010" s="12" t="str">
        <f>HYPERLINK("https://www.boe.es/gazeta/dias/1800/12/23/pdfs/GMD-1800-103.pdf#page=2","Abrir facsímil")</f>
        <v>Abrir facsímil</v>
      </c>
      <c r="K1010" s="15" t="s">
        <v>23</v>
      </c>
    </row>
    <row r="1011" spans="1:11" ht="42" customHeight="1">
      <c r="A1011" s="4" t="s">
        <v>2362</v>
      </c>
      <c r="B1011" s="5" t="s">
        <v>2363</v>
      </c>
      <c r="C1011" s="5" t="s">
        <v>41</v>
      </c>
      <c r="D1011" s="5" t="s">
        <v>42</v>
      </c>
      <c r="E1011" s="5" t="s">
        <v>131</v>
      </c>
      <c r="F1011" s="9">
        <v>8</v>
      </c>
      <c r="G1011" s="9">
        <v>70</v>
      </c>
      <c r="H1011" s="5" t="s">
        <v>21</v>
      </c>
      <c r="I1011" s="5" t="s">
        <v>2364</v>
      </c>
      <c r="J1011" s="12" t="str">
        <f>HYPERLINK("https://www.boe.es/gazeta/dias/1800/01/28/pdfs/GMD-1800-8.pdf#page=2","Abrir facsímil")</f>
        <v>Abrir facsímil</v>
      </c>
      <c r="K1011" s="15" t="s">
        <v>23</v>
      </c>
    </row>
    <row r="1012" spans="1:11" ht="42" customHeight="1">
      <c r="A1012" s="4" t="s">
        <v>2362</v>
      </c>
      <c r="B1012" s="5" t="s">
        <v>2363</v>
      </c>
      <c r="C1012" s="5" t="s">
        <v>18</v>
      </c>
      <c r="D1012" s="5" t="s">
        <v>19</v>
      </c>
      <c r="E1012" s="5" t="s">
        <v>244</v>
      </c>
      <c r="F1012" s="9">
        <v>9</v>
      </c>
      <c r="G1012" s="9">
        <v>79</v>
      </c>
      <c r="H1012" s="5" t="s">
        <v>21</v>
      </c>
      <c r="I1012" s="5" t="s">
        <v>2365</v>
      </c>
      <c r="J1012" s="12" t="str">
        <f>HYPERLINK("https://www.boe.es/gazeta/dias/1800/01/31/pdfs/GMD-1800-9.pdf#page=3","Abrir facsímil")</f>
        <v>Abrir facsímil</v>
      </c>
      <c r="K1012" s="15" t="s">
        <v>23</v>
      </c>
    </row>
    <row r="1013" spans="1:11" ht="42" customHeight="1">
      <c r="A1013" s="4" t="s">
        <v>2366</v>
      </c>
      <c r="B1013" s="5" t="s">
        <v>2367</v>
      </c>
      <c r="C1013" s="5" t="s">
        <v>41</v>
      </c>
      <c r="D1013" s="5" t="s">
        <v>42</v>
      </c>
      <c r="E1013" s="5" t="s">
        <v>88</v>
      </c>
      <c r="F1013" s="9">
        <v>23</v>
      </c>
      <c r="G1013" s="9">
        <v>230</v>
      </c>
      <c r="H1013" s="5" t="s">
        <v>21</v>
      </c>
      <c r="I1013" s="5" t="s">
        <v>2368</v>
      </c>
      <c r="J1013" s="12" t="str">
        <f>HYPERLINK("https://www.boe.es/gazeta/dias/1800/03/21/pdfs/GMD-1800-23.pdf#page=6","Abrir facsímil")</f>
        <v>Abrir facsímil</v>
      </c>
      <c r="K1013" s="15" t="s">
        <v>23</v>
      </c>
    </row>
    <row r="1014" spans="1:11" ht="42" customHeight="1">
      <c r="A1014" s="4" t="s">
        <v>2362</v>
      </c>
      <c r="B1014" s="5" t="s">
        <v>2363</v>
      </c>
      <c r="C1014" s="5" t="s">
        <v>41</v>
      </c>
      <c r="D1014" s="5" t="s">
        <v>42</v>
      </c>
      <c r="E1014" s="5" t="s">
        <v>101</v>
      </c>
      <c r="F1014" s="9">
        <v>37</v>
      </c>
      <c r="G1014" s="9">
        <v>371</v>
      </c>
      <c r="H1014" s="5" t="s">
        <v>21</v>
      </c>
      <c r="I1014" s="5" t="s">
        <v>2369</v>
      </c>
      <c r="J1014" s="12" t="str">
        <f>HYPERLINK("https://www.boe.es/gazeta/dias/1800/05/09/pdfs/GMD-1800-37.pdf#page=3","Abrir facsímil")</f>
        <v>Abrir facsímil</v>
      </c>
      <c r="K1014" s="15" t="s">
        <v>23</v>
      </c>
    </row>
    <row r="1015" spans="1:11" ht="42" customHeight="1">
      <c r="A1015" s="4" t="s">
        <v>2366</v>
      </c>
      <c r="B1015" s="5" t="s">
        <v>2367</v>
      </c>
      <c r="C1015" s="5" t="s">
        <v>41</v>
      </c>
      <c r="D1015" s="5" t="s">
        <v>42</v>
      </c>
      <c r="E1015" s="5" t="s">
        <v>50</v>
      </c>
      <c r="F1015" s="9">
        <v>81</v>
      </c>
      <c r="G1015" s="9">
        <v>913</v>
      </c>
      <c r="H1015" s="5" t="s">
        <v>21</v>
      </c>
      <c r="I1015" s="5" t="s">
        <v>2370</v>
      </c>
      <c r="J1015" s="12" t="str">
        <f>HYPERLINK("https://www.boe.es/gazeta/dias/1800/10/07/pdfs/GMD-1800-81.pdf#page=3","Abrir facsímil")</f>
        <v>Abrir facsímil</v>
      </c>
      <c r="K1015" s="15" t="s">
        <v>23</v>
      </c>
    </row>
    <row r="1016" spans="1:11" ht="42" customHeight="1">
      <c r="A1016" s="4" t="s">
        <v>2371</v>
      </c>
      <c r="B1016" s="5" t="s">
        <v>2372</v>
      </c>
      <c r="C1016" s="5" t="s">
        <v>18</v>
      </c>
      <c r="D1016" s="5" t="s">
        <v>19</v>
      </c>
      <c r="E1016" s="5" t="s">
        <v>329</v>
      </c>
      <c r="F1016" s="9">
        <v>99</v>
      </c>
      <c r="G1016" s="9">
        <v>1138</v>
      </c>
      <c r="H1016" s="5" t="s">
        <v>21</v>
      </c>
      <c r="I1016" s="5" t="s">
        <v>2373</v>
      </c>
      <c r="J1016" s="12" t="str">
        <f>HYPERLINK("https://www.boe.es/gazeta/dias/1800/12/09/pdfs/GMD-1800-99.pdf#page=6","Abrir facsímil")</f>
        <v>Abrir facsímil</v>
      </c>
      <c r="K1016" s="15" t="s">
        <v>23</v>
      </c>
    </row>
    <row r="1017" spans="1:11" ht="42" customHeight="1">
      <c r="A1017" s="4" t="s">
        <v>2374</v>
      </c>
      <c r="B1017" s="5" t="s">
        <v>2375</v>
      </c>
      <c r="C1017" s="5" t="s">
        <v>171</v>
      </c>
      <c r="D1017" s="5" t="s">
        <v>172</v>
      </c>
      <c r="E1017" s="5" t="s">
        <v>214</v>
      </c>
      <c r="F1017" s="9">
        <v>41</v>
      </c>
      <c r="G1017" s="9">
        <v>425</v>
      </c>
      <c r="H1017" s="5" t="s">
        <v>21</v>
      </c>
      <c r="I1017" s="5" t="s">
        <v>2376</v>
      </c>
      <c r="J1017" s="12" t="str">
        <f>HYPERLINK("https://www.boe.es/gazeta/dias/1800/05/23/pdfs/GMD-C-1800-41.pdf#page=1","Abrir facsímil")</f>
        <v>Abrir facsímil</v>
      </c>
      <c r="K1017" s="15" t="s">
        <v>23</v>
      </c>
    </row>
    <row r="1018" spans="1:11" ht="42" customHeight="1">
      <c r="A1018" s="4" t="s">
        <v>2377</v>
      </c>
      <c r="B1018" s="5" t="s">
        <v>2378</v>
      </c>
      <c r="C1018" s="5" t="s">
        <v>18</v>
      </c>
      <c r="D1018" s="5" t="s">
        <v>19</v>
      </c>
      <c r="E1018" s="5" t="s">
        <v>402</v>
      </c>
      <c r="F1018" s="9">
        <v>101</v>
      </c>
      <c r="G1018" s="9">
        <v>1175</v>
      </c>
      <c r="H1018" s="5" t="s">
        <v>21</v>
      </c>
      <c r="I1018" s="5" t="s">
        <v>2379</v>
      </c>
      <c r="J1018" s="12" t="str">
        <f>HYPERLINK("https://www.boe.es/gazeta/dias/1800/12/16/pdfs/GMD-1800-101.pdf#page=11","Abrir facsímil")</f>
        <v>Abrir facsímil</v>
      </c>
      <c r="K1018" s="15" t="s">
        <v>23</v>
      </c>
    </row>
    <row r="1019" spans="1:11" ht="42" customHeight="1">
      <c r="A1019" s="4" t="s">
        <v>2380</v>
      </c>
      <c r="B1019" s="5" t="s">
        <v>2381</v>
      </c>
      <c r="C1019" s="5" t="s">
        <v>18</v>
      </c>
      <c r="D1019" s="5" t="s">
        <v>19</v>
      </c>
      <c r="E1019" s="5" t="s">
        <v>101</v>
      </c>
      <c r="F1019" s="9">
        <v>37</v>
      </c>
      <c r="G1019" s="9">
        <v>377</v>
      </c>
      <c r="H1019" s="5" t="s">
        <v>21</v>
      </c>
      <c r="I1019" s="5" t="s">
        <v>2382</v>
      </c>
      <c r="J1019" s="12" t="str">
        <f>HYPERLINK("https://www.boe.es/gazeta/dias/1800/05/09/pdfs/GMD-1800-37.pdf#page=9","Abrir facsímil")</f>
        <v>Abrir facsímil</v>
      </c>
      <c r="K1019" s="15" t="s">
        <v>23</v>
      </c>
    </row>
    <row r="1020" spans="1:11" ht="42" customHeight="1">
      <c r="A1020" s="4" t="s">
        <v>2383</v>
      </c>
      <c r="B1020" s="5" t="s">
        <v>2383</v>
      </c>
      <c r="C1020" s="5" t="s">
        <v>41</v>
      </c>
      <c r="D1020" s="5" t="s">
        <v>42</v>
      </c>
      <c r="E1020" s="5" t="s">
        <v>461</v>
      </c>
      <c r="F1020" s="9">
        <v>18</v>
      </c>
      <c r="G1020" s="9">
        <v>167</v>
      </c>
      <c r="H1020" s="5" t="s">
        <v>21</v>
      </c>
      <c r="I1020" s="5" t="s">
        <v>1171</v>
      </c>
      <c r="J1020" s="12" t="str">
        <f>HYPERLINK("https://www.boe.es/datos/pdfs/BOE//1800/018/C00173-00176.pdf#page=3","Abrir facsímil")</f>
        <v>Abrir facsímil</v>
      </c>
      <c r="K1020" s="15" t="s">
        <v>23</v>
      </c>
    </row>
    <row r="1021" spans="1:11" ht="42" customHeight="1">
      <c r="A1021" s="4" t="s">
        <v>2383</v>
      </c>
      <c r="B1021" s="5" t="s">
        <v>2383</v>
      </c>
      <c r="C1021" s="5" t="s">
        <v>41</v>
      </c>
      <c r="D1021" s="5" t="s">
        <v>42</v>
      </c>
      <c r="E1021" s="5" t="s">
        <v>2338</v>
      </c>
      <c r="F1021" s="9">
        <v>42</v>
      </c>
      <c r="G1021" s="9">
        <v>433</v>
      </c>
      <c r="H1021" s="5" t="s">
        <v>21</v>
      </c>
      <c r="I1021" s="5" t="s">
        <v>2384</v>
      </c>
      <c r="J1021" s="12" t="str">
        <f>HYPERLINK("https://www.boe.es/gazeta/dias/1800/05/27/pdfs/GMD-1800-42.pdf#page=5","Abrir facsímil")</f>
        <v>Abrir facsímil</v>
      </c>
      <c r="K1021" s="15" t="s">
        <v>23</v>
      </c>
    </row>
    <row r="1022" spans="1:11" ht="42" customHeight="1">
      <c r="A1022" s="4" t="s">
        <v>2383</v>
      </c>
      <c r="B1022" s="5" t="s">
        <v>2383</v>
      </c>
      <c r="C1022" s="5" t="s">
        <v>18</v>
      </c>
      <c r="D1022" s="5" t="s">
        <v>19</v>
      </c>
      <c r="E1022" s="5" t="s">
        <v>176</v>
      </c>
      <c r="F1022" s="9">
        <v>88</v>
      </c>
      <c r="G1022" s="9">
        <v>1029</v>
      </c>
      <c r="H1022" s="5" t="s">
        <v>21</v>
      </c>
      <c r="I1022" s="5" t="s">
        <v>2385</v>
      </c>
      <c r="J1022" s="12" t="str">
        <f>HYPERLINK("https://www.boe.es/gazeta/dias/1800/10/31/pdfs/GMD-1800-88.pdf#page=11","Abrir facsímil")</f>
        <v>Abrir facsímil</v>
      </c>
      <c r="K1022" s="15" t="s">
        <v>23</v>
      </c>
    </row>
    <row r="1023" spans="1:11" ht="42" customHeight="1">
      <c r="A1023" s="4" t="s">
        <v>2386</v>
      </c>
      <c r="B1023" s="5" t="s">
        <v>2387</v>
      </c>
      <c r="C1023" s="5" t="s">
        <v>207</v>
      </c>
      <c r="D1023" s="5" t="s">
        <v>55</v>
      </c>
      <c r="E1023" s="5" t="s">
        <v>194</v>
      </c>
      <c r="F1023" s="9">
        <v>48</v>
      </c>
      <c r="G1023" s="9">
        <v>519</v>
      </c>
      <c r="H1023" s="5" t="s">
        <v>21</v>
      </c>
      <c r="I1023" s="5" t="s">
        <v>2388</v>
      </c>
      <c r="J1023" s="12" t="str">
        <f>HYPERLINK("https://www.boe.es/gazeta/dias/1800/06/17/pdfs/GMD-1800-48.pdf#page=11","Abrir facsímil")</f>
        <v>Abrir facsímil</v>
      </c>
      <c r="K1023" s="15" t="s">
        <v>23</v>
      </c>
    </row>
    <row r="1024" spans="1:11" ht="42" customHeight="1">
      <c r="A1024" s="4" t="s">
        <v>2389</v>
      </c>
      <c r="B1024" s="5" t="s">
        <v>2390</v>
      </c>
      <c r="C1024" s="5" t="s">
        <v>18</v>
      </c>
      <c r="D1024" s="5" t="s">
        <v>19</v>
      </c>
      <c r="E1024" s="5" t="s">
        <v>50</v>
      </c>
      <c r="F1024" s="9">
        <v>81</v>
      </c>
      <c r="G1024" s="9">
        <v>918</v>
      </c>
      <c r="H1024" s="5" t="s">
        <v>21</v>
      </c>
      <c r="I1024" s="5" t="s">
        <v>2391</v>
      </c>
      <c r="J1024" s="12" t="str">
        <f>HYPERLINK("https://www.boe.es/gazeta/dias/1800/10/07/pdfs/GMD-1800-81.pdf#page=8","Abrir facsímil")</f>
        <v>Abrir facsímil</v>
      </c>
      <c r="K1024" s="15" t="s">
        <v>23</v>
      </c>
    </row>
    <row r="1025" spans="1:11" ht="42" customHeight="1">
      <c r="A1025" s="4" t="s">
        <v>2392</v>
      </c>
      <c r="B1025" s="5" t="s">
        <v>2392</v>
      </c>
      <c r="C1025" s="5" t="s">
        <v>84</v>
      </c>
      <c r="D1025" s="5" t="s">
        <v>85</v>
      </c>
      <c r="E1025" s="5" t="s">
        <v>1294</v>
      </c>
      <c r="F1025" s="9">
        <v>59</v>
      </c>
      <c r="G1025" s="9">
        <v>676</v>
      </c>
      <c r="H1025" s="5" t="s">
        <v>21</v>
      </c>
      <c r="I1025" s="5" t="s">
        <v>2393</v>
      </c>
      <c r="J1025" s="12" t="str">
        <f>HYPERLINK("https://www.boe.es/gazeta/dias/1800/07/25/pdfs/GMD-1800-59.pdf#page=8","Abrir facsímil")</f>
        <v>Abrir facsímil</v>
      </c>
      <c r="K1025" s="15" t="s">
        <v>23</v>
      </c>
    </row>
    <row r="1026" spans="1:11" ht="42" customHeight="1">
      <c r="A1026" s="4" t="s">
        <v>2394</v>
      </c>
      <c r="B1026" s="5" t="s">
        <v>2394</v>
      </c>
      <c r="C1026" s="5" t="s">
        <v>41</v>
      </c>
      <c r="D1026" s="5" t="s">
        <v>42</v>
      </c>
      <c r="E1026" s="5" t="s">
        <v>534</v>
      </c>
      <c r="F1026" s="9">
        <v>100</v>
      </c>
      <c r="G1026" s="9">
        <v>1155</v>
      </c>
      <c r="H1026" s="5" t="s">
        <v>21</v>
      </c>
      <c r="I1026" s="5" t="s">
        <v>2395</v>
      </c>
      <c r="J1026" s="12" t="str">
        <f>HYPERLINK("https://www.boe.es/gazeta/dias/1800/12/12/pdfs/GMD-1800-100.pdf#page=7","Abrir facsímil")</f>
        <v>Abrir facsímil</v>
      </c>
      <c r="K1026" s="15" t="s">
        <v>23</v>
      </c>
    </row>
    <row r="1027" spans="1:11" ht="42" customHeight="1">
      <c r="A1027" s="4" t="s">
        <v>2396</v>
      </c>
      <c r="B1027" s="5" t="s">
        <v>2397</v>
      </c>
      <c r="C1027" s="5" t="s">
        <v>41</v>
      </c>
      <c r="D1027" s="5" t="s">
        <v>42</v>
      </c>
      <c r="E1027" s="5" t="s">
        <v>402</v>
      </c>
      <c r="F1027" s="9">
        <v>101</v>
      </c>
      <c r="G1027" s="9">
        <v>1172</v>
      </c>
      <c r="H1027" s="5" t="s">
        <v>21</v>
      </c>
      <c r="I1027" s="5" t="s">
        <v>2398</v>
      </c>
      <c r="J1027" s="12" t="str">
        <f>HYPERLINK("https://www.boe.es/gazeta/dias/1800/12/16/pdfs/GMD-1800-101.pdf#page=8","Abrir facsímil")</f>
        <v>Abrir facsímil</v>
      </c>
      <c r="K1027" s="15" t="s">
        <v>23</v>
      </c>
    </row>
    <row r="1028" spans="1:11" ht="42" customHeight="1">
      <c r="A1028" s="4" t="s">
        <v>2399</v>
      </c>
      <c r="B1028" s="5" t="s">
        <v>2400</v>
      </c>
      <c r="C1028" s="5" t="s">
        <v>171</v>
      </c>
      <c r="D1028" s="5" t="s">
        <v>172</v>
      </c>
      <c r="E1028" s="5" t="s">
        <v>45</v>
      </c>
      <c r="F1028" s="9">
        <v>47</v>
      </c>
      <c r="G1028" s="9">
        <v>505</v>
      </c>
      <c r="H1028" s="5" t="s">
        <v>21</v>
      </c>
      <c r="I1028" s="5" t="s">
        <v>2401</v>
      </c>
      <c r="J1028" s="12" t="str">
        <f>HYPERLINK("https://www.boe.es/gazeta/dias/1800/06/13/pdfs/GMD-C-1800-47.pdf#page=1","Abrir facsímil")</f>
        <v>Abrir facsímil</v>
      </c>
      <c r="K1028" s="15" t="s">
        <v>23</v>
      </c>
    </row>
    <row r="1029" spans="1:11" ht="42" customHeight="1">
      <c r="A1029" s="4" t="s">
        <v>2399</v>
      </c>
      <c r="B1029" s="5" t="s">
        <v>2400</v>
      </c>
      <c r="C1029" s="5" t="s">
        <v>171</v>
      </c>
      <c r="D1029" s="5" t="s">
        <v>172</v>
      </c>
      <c r="E1029" s="5" t="s">
        <v>595</v>
      </c>
      <c r="F1029" s="9">
        <v>72</v>
      </c>
      <c r="G1029" s="9">
        <v>801</v>
      </c>
      <c r="H1029" s="5" t="s">
        <v>21</v>
      </c>
      <c r="I1029" s="5" t="s">
        <v>2402</v>
      </c>
      <c r="J1029" s="12" t="str">
        <f>HYPERLINK("https://www.boe.es/gazeta/dias/1800/09/05/pdfs/GMD-C-1800-72.pdf#page=3","Abrir facsímil")</f>
        <v>Abrir facsímil</v>
      </c>
      <c r="K1029" s="15" t="s">
        <v>23</v>
      </c>
    </row>
    <row r="1030" spans="1:11" ht="42" customHeight="1">
      <c r="A1030" s="4" t="s">
        <v>2399</v>
      </c>
      <c r="B1030" s="5" t="s">
        <v>2400</v>
      </c>
      <c r="C1030" s="5" t="s">
        <v>171</v>
      </c>
      <c r="D1030" s="5" t="s">
        <v>172</v>
      </c>
      <c r="E1030" s="5" t="s">
        <v>147</v>
      </c>
      <c r="F1030" s="9">
        <v>84</v>
      </c>
      <c r="G1030" s="9">
        <v>975</v>
      </c>
      <c r="H1030" s="5" t="s">
        <v>21</v>
      </c>
      <c r="I1030" s="5" t="s">
        <v>2403</v>
      </c>
      <c r="J1030" s="12" t="str">
        <f>HYPERLINK("https://www.boe.es/gazeta/dias/1800/10/17/pdfs/GMD-C-1800-84.pdf#page=1","Abrir facsímil")</f>
        <v>Abrir facsímil</v>
      </c>
      <c r="K1030" s="15" t="s">
        <v>23</v>
      </c>
    </row>
    <row r="1031" spans="1:11" ht="42" customHeight="1">
      <c r="A1031" s="4" t="s">
        <v>2404</v>
      </c>
      <c r="B1031" s="5" t="s">
        <v>2405</v>
      </c>
      <c r="C1031" s="5" t="s">
        <v>171</v>
      </c>
      <c r="D1031" s="5" t="s">
        <v>172</v>
      </c>
      <c r="E1031" s="5" t="s">
        <v>120</v>
      </c>
      <c r="F1031" s="9">
        <v>52</v>
      </c>
      <c r="G1031" s="9">
        <v>577</v>
      </c>
      <c r="H1031" s="5" t="s">
        <v>21</v>
      </c>
      <c r="I1031" s="5" t="s">
        <v>2406</v>
      </c>
      <c r="J1031" s="12" t="str">
        <f>HYPERLINK("https://www.boe.es/gazeta/dias/1800/07/01/pdfs/GMD-C-1800-52.pdf#page=1","Abrir facsímil")</f>
        <v>Abrir facsímil</v>
      </c>
      <c r="K1031" s="15" t="s">
        <v>23</v>
      </c>
    </row>
    <row r="1032" spans="1:11" ht="42" customHeight="1">
      <c r="A1032" s="4" t="s">
        <v>2404</v>
      </c>
      <c r="B1032" s="5" t="s">
        <v>2405</v>
      </c>
      <c r="C1032" s="5" t="s">
        <v>171</v>
      </c>
      <c r="D1032" s="5" t="s">
        <v>172</v>
      </c>
      <c r="E1032" s="5" t="s">
        <v>135</v>
      </c>
      <c r="F1032" s="9">
        <v>73</v>
      </c>
      <c r="G1032" s="9">
        <v>819</v>
      </c>
      <c r="H1032" s="5" t="s">
        <v>21</v>
      </c>
      <c r="I1032" s="5" t="s">
        <v>2407</v>
      </c>
      <c r="J1032" s="12" t="str">
        <f>HYPERLINK("https://www.boe.es/gazeta/dias/1800/09/09/pdfs/GMD-C-1800-73.pdf#page=1","Abrir facsímil")</f>
        <v>Abrir facsímil</v>
      </c>
      <c r="K1032" s="15" t="s">
        <v>23</v>
      </c>
    </row>
    <row r="1033" spans="1:11" ht="42" customHeight="1">
      <c r="A1033" s="4" t="s">
        <v>2408</v>
      </c>
      <c r="B1033" s="5" t="s">
        <v>2409</v>
      </c>
      <c r="C1033" s="5" t="s">
        <v>171</v>
      </c>
      <c r="D1033" s="5" t="s">
        <v>172</v>
      </c>
      <c r="E1033" s="5" t="s">
        <v>135</v>
      </c>
      <c r="F1033" s="9">
        <v>73</v>
      </c>
      <c r="G1033" s="9">
        <v>819</v>
      </c>
      <c r="H1033" s="5" t="s">
        <v>21</v>
      </c>
      <c r="I1033" s="5" t="s">
        <v>2410</v>
      </c>
      <c r="J1033" s="12" t="str">
        <f>HYPERLINK("https://www.boe.es/gazeta/dias/1800/09/09/pdfs/GMD-C-1800-73.pdf#page=1","Abrir facsímil")</f>
        <v>Abrir facsímil</v>
      </c>
      <c r="K1033" s="15" t="s">
        <v>23</v>
      </c>
    </row>
    <row r="1034" spans="1:11" ht="42" customHeight="1">
      <c r="A1034" s="4" t="s">
        <v>2411</v>
      </c>
      <c r="B1034" s="5" t="s">
        <v>2412</v>
      </c>
      <c r="C1034" s="5" t="s">
        <v>18</v>
      </c>
      <c r="D1034" s="5" t="s">
        <v>19</v>
      </c>
      <c r="E1034" s="5" t="s">
        <v>20</v>
      </c>
      <c r="F1034" s="9">
        <v>104</v>
      </c>
      <c r="G1034" s="9">
        <v>1210</v>
      </c>
      <c r="H1034" s="5" t="s">
        <v>21</v>
      </c>
      <c r="I1034" s="5" t="s">
        <v>2413</v>
      </c>
      <c r="J1034" s="12" t="str">
        <f>HYPERLINK("https://www.boe.es/gazeta/dias/1800/12/26/pdfs/GMD-1800-104.pdf#page=10","Abrir facsímil")</f>
        <v>Abrir facsímil</v>
      </c>
      <c r="K1034" s="15" t="s">
        <v>23</v>
      </c>
    </row>
    <row r="1035" spans="1:11" ht="42" customHeight="1">
      <c r="A1035" s="4" t="s">
        <v>2414</v>
      </c>
      <c r="B1035" s="5" t="s">
        <v>2415</v>
      </c>
      <c r="C1035" s="5" t="s">
        <v>41</v>
      </c>
      <c r="D1035" s="5" t="s">
        <v>42</v>
      </c>
      <c r="E1035" s="5" t="s">
        <v>143</v>
      </c>
      <c r="F1035" s="9">
        <v>22</v>
      </c>
      <c r="G1035" s="9">
        <v>219</v>
      </c>
      <c r="H1035" s="5" t="s">
        <v>21</v>
      </c>
      <c r="I1035" s="5" t="s">
        <v>2416</v>
      </c>
      <c r="J1035" s="12" t="str">
        <f>HYPERLINK("https://www.boe.es/gazeta/dias/1800/03/18/pdfs/GMD-1800-22.pdf#page=11","Abrir facsímil")</f>
        <v>Abrir facsímil</v>
      </c>
      <c r="K1035" s="15" t="s">
        <v>23</v>
      </c>
    </row>
    <row r="1036" spans="1:11" ht="42" customHeight="1">
      <c r="A1036" s="4" t="s">
        <v>2417</v>
      </c>
      <c r="B1036" s="5" t="s">
        <v>2418</v>
      </c>
      <c r="C1036" s="5" t="s">
        <v>18</v>
      </c>
      <c r="D1036" s="5" t="s">
        <v>19</v>
      </c>
      <c r="E1036" s="5" t="s">
        <v>314</v>
      </c>
      <c r="F1036" s="9">
        <v>74</v>
      </c>
      <c r="G1036" s="9">
        <v>832</v>
      </c>
      <c r="H1036" s="5" t="s">
        <v>21</v>
      </c>
      <c r="I1036" s="5" t="s">
        <v>2419</v>
      </c>
      <c r="J1036" s="12" t="str">
        <f>HYPERLINK("https://www.boe.es/gazeta/dias/1800/09/12/pdfs/GMD-1800-74.pdf#page=10","Abrir facsímil")</f>
        <v>Abrir facsímil</v>
      </c>
      <c r="K1036" s="15" t="s">
        <v>23</v>
      </c>
    </row>
    <row r="1037" spans="1:11" ht="42" customHeight="1">
      <c r="A1037" s="4" t="s">
        <v>2420</v>
      </c>
      <c r="B1037" s="5" t="s">
        <v>2421</v>
      </c>
      <c r="C1037" s="5" t="s">
        <v>171</v>
      </c>
      <c r="D1037" s="5" t="s">
        <v>172</v>
      </c>
      <c r="E1037" s="5" t="s">
        <v>147</v>
      </c>
      <c r="F1037" s="9">
        <v>84</v>
      </c>
      <c r="G1037" s="9">
        <v>976</v>
      </c>
      <c r="H1037" s="5" t="s">
        <v>21</v>
      </c>
      <c r="I1037" s="5" t="s">
        <v>2422</v>
      </c>
      <c r="J1037" s="12" t="str">
        <f>HYPERLINK("https://www.boe.es/gazeta/dias/1800/10/17/pdfs/GMD-C-1800-84.pdf#page=2","Abrir facsímil")</f>
        <v>Abrir facsímil</v>
      </c>
      <c r="K1037" s="15" t="s">
        <v>23</v>
      </c>
    </row>
    <row r="1038" spans="1:11" ht="42" customHeight="1">
      <c r="A1038" s="4" t="s">
        <v>2423</v>
      </c>
      <c r="B1038" s="5" t="s">
        <v>2424</v>
      </c>
      <c r="C1038" s="5" t="s">
        <v>18</v>
      </c>
      <c r="D1038" s="5" t="s">
        <v>19</v>
      </c>
      <c r="E1038" s="5" t="s">
        <v>576</v>
      </c>
      <c r="F1038" s="9">
        <v>91</v>
      </c>
      <c r="G1038" s="9">
        <v>1067</v>
      </c>
      <c r="H1038" s="5" t="s">
        <v>21</v>
      </c>
      <c r="I1038" s="5" t="s">
        <v>2425</v>
      </c>
      <c r="J1038" s="12" t="str">
        <f>HYPERLINK("https://www.boe.es/gazeta/dias/1800/11/11/pdfs/GMD-1800-91.pdf#page=9","Abrir facsímil")</f>
        <v>Abrir facsímil</v>
      </c>
      <c r="K1038" s="15" t="s">
        <v>23</v>
      </c>
    </row>
    <row r="1039" spans="1:11" ht="42" customHeight="1">
      <c r="A1039" s="4" t="s">
        <v>2426</v>
      </c>
      <c r="B1039" s="5" t="s">
        <v>2427</v>
      </c>
      <c r="C1039" s="5" t="s">
        <v>18</v>
      </c>
      <c r="D1039" s="5" t="s">
        <v>19</v>
      </c>
      <c r="E1039" s="5" t="s">
        <v>422</v>
      </c>
      <c r="F1039" s="9">
        <v>85</v>
      </c>
      <c r="G1039" s="9">
        <v>985</v>
      </c>
      <c r="H1039" s="5" t="s">
        <v>21</v>
      </c>
      <c r="I1039" s="5" t="s">
        <v>2428</v>
      </c>
      <c r="J1039" s="12" t="str">
        <f>HYPERLINK("https://www.boe.es/gazeta/dias/1800/10/21/pdfs/GMD-1800-85.pdf#page=7","Abrir facsímil")</f>
        <v>Abrir facsímil</v>
      </c>
      <c r="K1039" s="15" t="s">
        <v>23</v>
      </c>
    </row>
    <row r="1040" spans="1:11" ht="42" customHeight="1">
      <c r="A1040" s="4" t="s">
        <v>2426</v>
      </c>
      <c r="B1040" s="5" t="s">
        <v>2427</v>
      </c>
      <c r="C1040" s="5" t="s">
        <v>18</v>
      </c>
      <c r="D1040" s="5" t="s">
        <v>19</v>
      </c>
      <c r="E1040" s="5" t="s">
        <v>203</v>
      </c>
      <c r="F1040" s="9">
        <v>94</v>
      </c>
      <c r="G1040" s="9">
        <v>1077</v>
      </c>
      <c r="H1040" s="5" t="s">
        <v>21</v>
      </c>
      <c r="I1040" s="5" t="s">
        <v>2429</v>
      </c>
      <c r="J1040" s="12" t="str">
        <f>HYPERLINK("https://www.boe.es/gazeta/dias/1800/11/21/pdfs/GMD-1800-94.pdf#page=7","Abrir facsímil")</f>
        <v>Abrir facsímil</v>
      </c>
      <c r="K1040" s="15" t="s">
        <v>23</v>
      </c>
    </row>
    <row r="1041" spans="1:11" ht="42" customHeight="1">
      <c r="A1041" s="4" t="s">
        <v>2430</v>
      </c>
      <c r="B1041" s="5" t="s">
        <v>2431</v>
      </c>
      <c r="C1041" s="5" t="s">
        <v>18</v>
      </c>
      <c r="D1041" s="5" t="s">
        <v>19</v>
      </c>
      <c r="E1041" s="5" t="s">
        <v>255</v>
      </c>
      <c r="F1041" s="9">
        <v>75</v>
      </c>
      <c r="G1041" s="9">
        <v>855</v>
      </c>
      <c r="H1041" s="5" t="s">
        <v>21</v>
      </c>
      <c r="I1041" s="5" t="s">
        <v>2432</v>
      </c>
      <c r="J1041" s="12" t="str">
        <f>HYPERLINK("https://www.boe.es/gazeta/dias/1800/09/16/pdfs/GMD-1800-75.pdf#page=9","Abrir facsímil")</f>
        <v>Abrir facsímil</v>
      </c>
      <c r="K1041" s="15" t="s">
        <v>23</v>
      </c>
    </row>
    <row r="1042" spans="1:11" ht="42" customHeight="1">
      <c r="A1042" s="4" t="s">
        <v>2433</v>
      </c>
      <c r="B1042" s="5" t="s">
        <v>2434</v>
      </c>
      <c r="C1042" s="5" t="s">
        <v>18</v>
      </c>
      <c r="D1042" s="5" t="s">
        <v>19</v>
      </c>
      <c r="E1042" s="5" t="s">
        <v>567</v>
      </c>
      <c r="F1042" s="9">
        <v>3</v>
      </c>
      <c r="G1042" s="9">
        <v>28</v>
      </c>
      <c r="H1042" s="5" t="s">
        <v>21</v>
      </c>
      <c r="I1042" s="5" t="s">
        <v>2435</v>
      </c>
      <c r="J1042" s="12" t="str">
        <f>HYPERLINK("https://www.boe.es/gazeta/dias/1800/01/10/pdfs/GMD-1800-3.pdf#page=8","Abrir facsímil")</f>
        <v>Abrir facsímil</v>
      </c>
      <c r="K1042" s="15" t="s">
        <v>23</v>
      </c>
    </row>
    <row r="1043" spans="1:11" ht="42" customHeight="1">
      <c r="A1043" s="4" t="s">
        <v>2436</v>
      </c>
      <c r="B1043" s="5" t="s">
        <v>2437</v>
      </c>
      <c r="C1043" s="5" t="s">
        <v>18</v>
      </c>
      <c r="D1043" s="5" t="s">
        <v>19</v>
      </c>
      <c r="E1043" s="5" t="s">
        <v>194</v>
      </c>
      <c r="F1043" s="9">
        <v>48</v>
      </c>
      <c r="G1043" s="9">
        <v>519</v>
      </c>
      <c r="H1043" s="5" t="s">
        <v>21</v>
      </c>
      <c r="I1043" s="5" t="s">
        <v>2438</v>
      </c>
      <c r="J1043" s="12" t="str">
        <f>HYPERLINK("https://www.boe.es/gazeta/dias/1800/06/17/pdfs/GMD-1800-48.pdf#page=11","Abrir facsímil")</f>
        <v>Abrir facsímil</v>
      </c>
      <c r="K1043" s="15" t="s">
        <v>23</v>
      </c>
    </row>
    <row r="1044" spans="1:11" ht="42" customHeight="1">
      <c r="A1044" s="4" t="s">
        <v>2439</v>
      </c>
      <c r="B1044" s="5" t="s">
        <v>2440</v>
      </c>
      <c r="C1044" s="5" t="s">
        <v>18</v>
      </c>
      <c r="D1044" s="5" t="s">
        <v>19</v>
      </c>
      <c r="E1044" s="5" t="s">
        <v>56</v>
      </c>
      <c r="F1044" s="9">
        <v>90</v>
      </c>
      <c r="G1044" s="9">
        <v>1055</v>
      </c>
      <c r="H1044" s="5" t="s">
        <v>21</v>
      </c>
      <c r="I1044" s="5" t="s">
        <v>2441</v>
      </c>
      <c r="J1044" s="12" t="str">
        <f>HYPERLINK("https://www.boe.es/gazeta/dias/1800/11/07/pdfs/GMD-1800-90.pdf#page=9","Abrir facsímil")</f>
        <v>Abrir facsímil</v>
      </c>
      <c r="K1044" s="15" t="s">
        <v>23</v>
      </c>
    </row>
    <row r="1045" spans="1:11" ht="42" customHeight="1">
      <c r="A1045" s="4" t="s">
        <v>2442</v>
      </c>
      <c r="B1045" s="5" t="s">
        <v>2443</v>
      </c>
      <c r="C1045" s="5" t="s">
        <v>41</v>
      </c>
      <c r="D1045" s="5" t="s">
        <v>42</v>
      </c>
      <c r="E1045" s="5" t="s">
        <v>147</v>
      </c>
      <c r="F1045" s="9">
        <v>84</v>
      </c>
      <c r="G1045" s="9">
        <v>972</v>
      </c>
      <c r="H1045" s="5" t="s">
        <v>21</v>
      </c>
      <c r="I1045" s="5" t="s">
        <v>2444</v>
      </c>
      <c r="J1045" s="12" t="str">
        <f>HYPERLINK("https://www.boe.es/gazeta/dias/1800/10/17/pdfs/GMD-1800-84.pdf#page=6","Abrir facsímil")</f>
        <v>Abrir facsímil</v>
      </c>
      <c r="K1045" s="15" t="s">
        <v>23</v>
      </c>
    </row>
    <row r="1046" spans="1:11" ht="42" customHeight="1">
      <c r="A1046" s="4" t="s">
        <v>2445</v>
      </c>
      <c r="B1046" s="5" t="s">
        <v>2446</v>
      </c>
      <c r="C1046" s="5" t="s">
        <v>18</v>
      </c>
      <c r="D1046" s="5" t="s">
        <v>19</v>
      </c>
      <c r="E1046" s="5" t="s">
        <v>139</v>
      </c>
      <c r="F1046" s="9">
        <v>2</v>
      </c>
      <c r="G1046" s="9">
        <v>17</v>
      </c>
      <c r="H1046" s="5" t="s">
        <v>21</v>
      </c>
      <c r="I1046" s="5" t="s">
        <v>2447</v>
      </c>
      <c r="J1046" s="12" t="str">
        <f>HYPERLINK("https://www.boe.es/gazeta/dias/1800/01/07/pdfs/GMD-1800-2.pdf#page=9","Abrir facsímil")</f>
        <v>Abrir facsímil</v>
      </c>
      <c r="K1046" s="15" t="s">
        <v>23</v>
      </c>
    </row>
    <row r="1047" spans="1:11" ht="42" customHeight="1">
      <c r="A1047" s="4" t="s">
        <v>2448</v>
      </c>
      <c r="B1047" s="5" t="s">
        <v>2448</v>
      </c>
      <c r="C1047" s="5" t="s">
        <v>41</v>
      </c>
      <c r="D1047" s="5" t="s">
        <v>42</v>
      </c>
      <c r="E1047" s="5" t="s">
        <v>454</v>
      </c>
      <c r="F1047" s="9">
        <v>63</v>
      </c>
      <c r="G1047" s="9">
        <v>716</v>
      </c>
      <c r="H1047" s="5" t="s">
        <v>21</v>
      </c>
      <c r="I1047" s="5" t="s">
        <v>2449</v>
      </c>
      <c r="J1047" s="12" t="str">
        <f>HYPERLINK("https://www.boe.es/gazeta/dias/1800/08/08/pdfs/GMD-1800-63.pdf#page=4","Abrir facsímil")</f>
        <v>Abrir facsímil</v>
      </c>
      <c r="K1047" s="15" t="s">
        <v>23</v>
      </c>
    </row>
    <row r="1048" spans="1:11" ht="42" customHeight="1">
      <c r="A1048" s="4" t="s">
        <v>2450</v>
      </c>
      <c r="B1048" s="5" t="s">
        <v>2451</v>
      </c>
      <c r="C1048" s="5" t="s">
        <v>18</v>
      </c>
      <c r="D1048" s="5" t="s">
        <v>19</v>
      </c>
      <c r="E1048" s="5" t="s">
        <v>39</v>
      </c>
      <c r="F1048" s="9">
        <v>43</v>
      </c>
      <c r="G1048" s="9">
        <v>448</v>
      </c>
      <c r="H1048" s="5" t="s">
        <v>21</v>
      </c>
      <c r="I1048" s="5" t="s">
        <v>2452</v>
      </c>
      <c r="J1048" s="12" t="str">
        <f>HYPERLINK("https://www.boe.es/gazeta/dias/1800/05/30/pdfs/GMD-1800-43.pdf#page=8","Abrir facsímil")</f>
        <v>Abrir facsímil</v>
      </c>
      <c r="K1048" s="15" t="s">
        <v>23</v>
      </c>
    </row>
    <row r="1049" spans="1:11" ht="42" customHeight="1">
      <c r="A1049" s="4" t="s">
        <v>2453</v>
      </c>
      <c r="B1049" s="5" t="s">
        <v>2454</v>
      </c>
      <c r="C1049" s="5" t="s">
        <v>41</v>
      </c>
      <c r="D1049" s="5" t="s">
        <v>42</v>
      </c>
      <c r="E1049" s="5" t="s">
        <v>64</v>
      </c>
      <c r="F1049" s="9">
        <v>54</v>
      </c>
      <c r="G1049" s="9">
        <v>600</v>
      </c>
      <c r="H1049" s="5" t="s">
        <v>21</v>
      </c>
      <c r="I1049" s="5" t="s">
        <v>2455</v>
      </c>
      <c r="J1049" s="12" t="str">
        <f>HYPERLINK("https://www.boe.es/gazeta/dias/1800/07/08/pdfs/GMD-1800-54.pdf#page=4","Abrir facsímil")</f>
        <v>Abrir facsímil</v>
      </c>
      <c r="K1049" s="15" t="s">
        <v>23</v>
      </c>
    </row>
    <row r="1050" spans="1:11" ht="42" customHeight="1">
      <c r="A1050" s="4" t="s">
        <v>2456</v>
      </c>
      <c r="B1050" s="5" t="s">
        <v>2457</v>
      </c>
      <c r="C1050" s="5" t="s">
        <v>18</v>
      </c>
      <c r="D1050" s="5" t="s">
        <v>19</v>
      </c>
      <c r="E1050" s="5" t="s">
        <v>135</v>
      </c>
      <c r="F1050" s="9">
        <v>73</v>
      </c>
      <c r="G1050" s="9">
        <v>816</v>
      </c>
      <c r="H1050" s="5" t="s">
        <v>21</v>
      </c>
      <c r="I1050" s="5" t="s">
        <v>2458</v>
      </c>
      <c r="J1050" s="12" t="str">
        <f>HYPERLINK("https://www.boe.es/gazeta/dias/1800/09/09/pdfs/GMD-1800-73.pdf#page=10","Abrir facsímil")</f>
        <v>Abrir facsímil</v>
      </c>
      <c r="K1050" s="15" t="s">
        <v>23</v>
      </c>
    </row>
    <row r="1051" spans="1:11" ht="42" customHeight="1">
      <c r="A1051" s="4" t="s">
        <v>2459</v>
      </c>
      <c r="B1051" s="5" t="s">
        <v>2460</v>
      </c>
      <c r="C1051" s="5" t="s">
        <v>18</v>
      </c>
      <c r="D1051" s="5" t="s">
        <v>19</v>
      </c>
      <c r="E1051" s="5" t="s">
        <v>135</v>
      </c>
      <c r="F1051" s="9">
        <v>73</v>
      </c>
      <c r="G1051" s="9">
        <v>816</v>
      </c>
      <c r="H1051" s="5" t="s">
        <v>21</v>
      </c>
      <c r="I1051" s="5" t="s">
        <v>2461</v>
      </c>
      <c r="J1051" s="12" t="str">
        <f>HYPERLINK("https://www.boe.es/gazeta/dias/1800/09/09/pdfs/GMD-1800-73.pdf#page=10","Abrir facsímil")</f>
        <v>Abrir facsímil</v>
      </c>
      <c r="K1051" s="15" t="s">
        <v>23</v>
      </c>
    </row>
    <row r="1052" spans="1:11" ht="42" customHeight="1">
      <c r="A1052" s="4" t="s">
        <v>2462</v>
      </c>
      <c r="B1052" s="5" t="s">
        <v>2463</v>
      </c>
      <c r="C1052" s="5" t="s">
        <v>18</v>
      </c>
      <c r="D1052" s="5" t="s">
        <v>19</v>
      </c>
      <c r="E1052" s="5" t="s">
        <v>283</v>
      </c>
      <c r="F1052" s="9">
        <v>68</v>
      </c>
      <c r="G1052" s="9">
        <v>765</v>
      </c>
      <c r="H1052" s="5" t="s">
        <v>21</v>
      </c>
      <c r="I1052" s="5" t="s">
        <v>2464</v>
      </c>
      <c r="J1052" s="12" t="str">
        <f>HYPERLINK("https://www.boe.es/gazeta/dias/1800/08/26/pdfs/GMD-1800-68.pdf#page=9","Abrir facsímil")</f>
        <v>Abrir facsímil</v>
      </c>
      <c r="K1052" s="15" t="s">
        <v>23</v>
      </c>
    </row>
    <row r="1053" spans="1:11" ht="42" customHeight="1">
      <c r="A1053" s="4" t="s">
        <v>2465</v>
      </c>
      <c r="B1053" s="5" t="s">
        <v>2466</v>
      </c>
      <c r="C1053" s="5" t="s">
        <v>41</v>
      </c>
      <c r="D1053" s="5" t="s">
        <v>42</v>
      </c>
      <c r="E1053" s="5" t="s">
        <v>255</v>
      </c>
      <c r="F1053" s="9">
        <v>75</v>
      </c>
      <c r="G1053" s="9">
        <v>848</v>
      </c>
      <c r="H1053" s="5" t="s">
        <v>21</v>
      </c>
      <c r="I1053" s="5" t="s">
        <v>2467</v>
      </c>
      <c r="J1053" s="12" t="str">
        <f>HYPERLINK("https://www.boe.es/gazeta/dias/1800/09/16/pdfs/GMD-1800-75.pdf#page=2","Abrir facsímil")</f>
        <v>Abrir facsímil</v>
      </c>
      <c r="K1053" s="15" t="s">
        <v>23</v>
      </c>
    </row>
    <row r="1054" spans="1:11" ht="42" customHeight="1">
      <c r="A1054" s="4" t="s">
        <v>2468</v>
      </c>
      <c r="B1054" s="5" t="s">
        <v>2469</v>
      </c>
      <c r="C1054" s="5" t="s">
        <v>18</v>
      </c>
      <c r="D1054" s="5" t="s">
        <v>19</v>
      </c>
      <c r="E1054" s="5" t="s">
        <v>79</v>
      </c>
      <c r="F1054" s="9">
        <v>7</v>
      </c>
      <c r="G1054" s="9">
        <v>66</v>
      </c>
      <c r="H1054" s="5" t="s">
        <v>21</v>
      </c>
      <c r="I1054" s="5" t="s">
        <v>2470</v>
      </c>
      <c r="J1054" s="12" t="str">
        <f>HYPERLINK("https://www.boe.es/gazeta/dias/1800/01/24/pdfs/GMD-1800-7.pdf#page=6","Abrir facsímil")</f>
        <v>Abrir facsímil</v>
      </c>
      <c r="K1054" s="15" t="s">
        <v>23</v>
      </c>
    </row>
    <row r="1055" spans="1:11" ht="42" customHeight="1">
      <c r="A1055" s="4" t="s">
        <v>2471</v>
      </c>
      <c r="B1055" s="5" t="s">
        <v>2472</v>
      </c>
      <c r="C1055" s="5" t="s">
        <v>18</v>
      </c>
      <c r="D1055" s="5" t="s">
        <v>19</v>
      </c>
      <c r="E1055" s="5" t="s">
        <v>673</v>
      </c>
      <c r="F1055" s="9">
        <v>89</v>
      </c>
      <c r="G1055" s="9">
        <v>1043</v>
      </c>
      <c r="H1055" s="5" t="s">
        <v>21</v>
      </c>
      <c r="I1055" s="5" t="s">
        <v>2473</v>
      </c>
      <c r="J1055" s="12" t="str">
        <f>HYPERLINK("https://www.boe.es/gazeta/dias/1800/11/04/pdfs/GMD-1800-89.pdf#page=9","Abrir facsímil")</f>
        <v>Abrir facsímil</v>
      </c>
      <c r="K1055" s="15" t="s">
        <v>23</v>
      </c>
    </row>
    <row r="1056" spans="1:11" ht="42" customHeight="1">
      <c r="A1056" s="4" t="s">
        <v>2474</v>
      </c>
      <c r="B1056" s="5" t="s">
        <v>2475</v>
      </c>
      <c r="C1056" s="5" t="s">
        <v>114</v>
      </c>
      <c r="D1056" s="5" t="s">
        <v>115</v>
      </c>
      <c r="E1056" s="5" t="s">
        <v>116</v>
      </c>
      <c r="F1056" s="9">
        <v>86</v>
      </c>
      <c r="G1056" s="9" t="s">
        <v>1501</v>
      </c>
      <c r="H1056" s="5" t="s">
        <v>21</v>
      </c>
      <c r="I1056" s="5" t="s">
        <v>2476</v>
      </c>
      <c r="J1056" s="12" t="str">
        <f>HYPERLINK("https://www.boe.es/gazeta/dias/1800/10/24/pdfs/GMD-D-1800-86.pdf#page=2","Abrir facsímil")</f>
        <v>Abrir facsímil</v>
      </c>
      <c r="K1056" s="15" t="s">
        <v>23</v>
      </c>
    </row>
    <row r="1057" spans="1:11" ht="42" customHeight="1">
      <c r="A1057" s="4" t="s">
        <v>2477</v>
      </c>
      <c r="B1057" s="5" t="s">
        <v>2478</v>
      </c>
      <c r="C1057" s="5" t="s">
        <v>207</v>
      </c>
      <c r="D1057" s="5" t="s">
        <v>55</v>
      </c>
      <c r="E1057" s="5" t="s">
        <v>299</v>
      </c>
      <c r="F1057" s="9">
        <v>40</v>
      </c>
      <c r="G1057" s="9">
        <v>412</v>
      </c>
      <c r="H1057" s="5" t="s">
        <v>21</v>
      </c>
      <c r="I1057" s="5" t="s">
        <v>2479</v>
      </c>
      <c r="J1057" s="12" t="str">
        <f>HYPERLINK("https://www.boe.es/gazeta/dias/1800/05/20/pdfs/GMD-1800-40.pdf#page=8","Abrir facsímil")</f>
        <v>Abrir facsímil</v>
      </c>
      <c r="K1057" s="15" t="s">
        <v>23</v>
      </c>
    </row>
    <row r="1058" spans="1:11" ht="42" customHeight="1">
      <c r="A1058" s="4" t="s">
        <v>2480</v>
      </c>
      <c r="B1058" s="5" t="s">
        <v>2480</v>
      </c>
      <c r="C1058" s="5" t="s">
        <v>41</v>
      </c>
      <c r="D1058" s="5" t="s">
        <v>42</v>
      </c>
      <c r="E1058" s="5" t="s">
        <v>283</v>
      </c>
      <c r="F1058" s="9">
        <v>68</v>
      </c>
      <c r="G1058" s="9">
        <v>760</v>
      </c>
      <c r="H1058" s="5" t="s">
        <v>21</v>
      </c>
      <c r="I1058" s="5" t="s">
        <v>2481</v>
      </c>
      <c r="J1058" s="12" t="str">
        <f>HYPERLINK("https://www.boe.es/gazeta/dias/1800/08/26/pdfs/GMD-1800-68.pdf#page=4","Abrir facsímil")</f>
        <v>Abrir facsímil</v>
      </c>
      <c r="K1058" s="15" t="s">
        <v>23</v>
      </c>
    </row>
    <row r="1059" spans="1:11" ht="42" customHeight="1">
      <c r="A1059" s="4" t="s">
        <v>2482</v>
      </c>
      <c r="B1059" s="5" t="s">
        <v>2483</v>
      </c>
      <c r="C1059" s="5" t="s">
        <v>25</v>
      </c>
      <c r="D1059" s="5" t="s">
        <v>26</v>
      </c>
      <c r="E1059" s="5" t="s">
        <v>346</v>
      </c>
      <c r="F1059" s="9">
        <v>24</v>
      </c>
      <c r="G1059" s="9">
        <v>244</v>
      </c>
      <c r="H1059" s="5" t="s">
        <v>21</v>
      </c>
      <c r="I1059" s="5" t="s">
        <v>2484</v>
      </c>
      <c r="J1059" s="12" t="str">
        <f>HYPERLINK("https://www.boe.es/gazeta/dias/1800/03/25/pdfs/GMD-1800-24.pdf#page=8","Abrir facsímil")</f>
        <v>Abrir facsímil</v>
      </c>
      <c r="K1059" s="15" t="s">
        <v>23</v>
      </c>
    </row>
    <row r="1060" spans="1:11" ht="42" customHeight="1">
      <c r="A1060" s="4" t="s">
        <v>2485</v>
      </c>
      <c r="B1060" s="5" t="s">
        <v>2486</v>
      </c>
      <c r="C1060" s="5" t="s">
        <v>207</v>
      </c>
      <c r="D1060" s="5" t="s">
        <v>55</v>
      </c>
      <c r="E1060" s="5" t="s">
        <v>90</v>
      </c>
      <c r="F1060" s="9">
        <v>58</v>
      </c>
      <c r="G1060" s="9">
        <v>663</v>
      </c>
      <c r="H1060" s="5" t="s">
        <v>21</v>
      </c>
      <c r="I1060" s="5" t="s">
        <v>2487</v>
      </c>
      <c r="J1060" s="12" t="str">
        <f>HYPERLINK("https://www.boe.es/gazeta/dias/1800/07/22/pdfs/GMD-1800-58.pdf#page=11","Abrir facsímil")</f>
        <v>Abrir facsímil</v>
      </c>
      <c r="K1060" s="15" t="s">
        <v>23</v>
      </c>
    </row>
    <row r="1061" spans="1:11" ht="42" customHeight="1">
      <c r="A1061" s="4" t="s">
        <v>2485</v>
      </c>
      <c r="B1061" s="5" t="s">
        <v>2486</v>
      </c>
      <c r="C1061" s="5" t="s">
        <v>18</v>
      </c>
      <c r="D1061" s="5" t="s">
        <v>19</v>
      </c>
      <c r="E1061" s="5" t="s">
        <v>135</v>
      </c>
      <c r="F1061" s="9">
        <v>73</v>
      </c>
      <c r="G1061" s="9">
        <v>817</v>
      </c>
      <c r="H1061" s="5" t="s">
        <v>21</v>
      </c>
      <c r="I1061" s="5" t="s">
        <v>2488</v>
      </c>
      <c r="J1061" s="12" t="str">
        <f>HYPERLINK("https://www.boe.es/gazeta/dias/1800/09/09/pdfs/GMD-1800-73.pdf#page=11","Abrir facsímil")</f>
        <v>Abrir facsímil</v>
      </c>
      <c r="K1061" s="15" t="s">
        <v>23</v>
      </c>
    </row>
    <row r="1062" spans="1:11" ht="42" customHeight="1">
      <c r="A1062" s="4" t="s">
        <v>2489</v>
      </c>
      <c r="B1062" s="5" t="s">
        <v>2490</v>
      </c>
      <c r="C1062" s="5" t="s">
        <v>1179</v>
      </c>
      <c r="D1062" s="5" t="s">
        <v>1180</v>
      </c>
      <c r="E1062" s="5" t="s">
        <v>314</v>
      </c>
      <c r="F1062" s="9">
        <v>74</v>
      </c>
      <c r="G1062" s="9">
        <v>842</v>
      </c>
      <c r="H1062" s="5" t="s">
        <v>21</v>
      </c>
      <c r="I1062" s="5" t="s">
        <v>2491</v>
      </c>
      <c r="J1062" s="12" t="str">
        <f>HYPERLINK("https://www.boe.es/gazeta/dias/1800/09/12/pdfs/GMD-C-1800-74.pdf#page=4","Abrir facsímil")</f>
        <v>Abrir facsímil</v>
      </c>
      <c r="K1062" s="15" t="s">
        <v>23</v>
      </c>
    </row>
    <row r="1063" spans="1:11" ht="42" customHeight="1">
      <c r="A1063" s="4" t="s">
        <v>2492</v>
      </c>
      <c r="B1063" s="5" t="s">
        <v>2493</v>
      </c>
      <c r="C1063" s="5" t="s">
        <v>114</v>
      </c>
      <c r="D1063" s="5" t="s">
        <v>115</v>
      </c>
      <c r="E1063" s="5" t="s">
        <v>116</v>
      </c>
      <c r="F1063" s="9">
        <v>86</v>
      </c>
      <c r="G1063" s="9" t="s">
        <v>991</v>
      </c>
      <c r="H1063" s="5" t="s">
        <v>21</v>
      </c>
      <c r="I1063" s="5" t="s">
        <v>2494</v>
      </c>
      <c r="J1063" s="12" t="str">
        <f>HYPERLINK("https://www.boe.es/gazeta/dias/1800/10/24/pdfs/GMD-D-1800-86.pdf#page=4","Abrir facsímil")</f>
        <v>Abrir facsímil</v>
      </c>
      <c r="K1063" s="15" t="s">
        <v>23</v>
      </c>
    </row>
    <row r="1064" spans="1:11" ht="42" customHeight="1">
      <c r="A1064" s="4" t="s">
        <v>2495</v>
      </c>
      <c r="B1064" s="5" t="s">
        <v>2496</v>
      </c>
      <c r="C1064" s="5" t="s">
        <v>18</v>
      </c>
      <c r="D1064" s="5" t="s">
        <v>19</v>
      </c>
      <c r="E1064" s="5" t="s">
        <v>190</v>
      </c>
      <c r="F1064" s="9">
        <v>93</v>
      </c>
      <c r="G1064" s="9">
        <v>1067</v>
      </c>
      <c r="H1064" s="5" t="s">
        <v>21</v>
      </c>
      <c r="I1064" s="5" t="s">
        <v>2497</v>
      </c>
      <c r="J1064" s="12" t="str">
        <f>HYPERLINK("https://www.boe.es/gazeta/dias/1800/11/18/pdfs/GMD-1800-93.pdf#page=13","Abrir facsímil")</f>
        <v>Abrir facsímil</v>
      </c>
      <c r="K1064" s="15" t="s">
        <v>23</v>
      </c>
    </row>
    <row r="1065" spans="1:11" ht="42" customHeight="1">
      <c r="A1065" s="4" t="s">
        <v>2498</v>
      </c>
      <c r="B1065" s="5" t="s">
        <v>2499</v>
      </c>
      <c r="C1065" s="5" t="s">
        <v>18</v>
      </c>
      <c r="D1065" s="5" t="s">
        <v>19</v>
      </c>
      <c r="E1065" s="5" t="s">
        <v>139</v>
      </c>
      <c r="F1065" s="9">
        <v>2</v>
      </c>
      <c r="G1065" s="9">
        <v>17</v>
      </c>
      <c r="H1065" s="5" t="s">
        <v>21</v>
      </c>
      <c r="I1065" s="5" t="s">
        <v>2500</v>
      </c>
      <c r="J1065" s="12" t="str">
        <f>HYPERLINK("https://www.boe.es/gazeta/dias/1800/01/07/pdfs/GMD-1800-2.pdf#page=9","Abrir facsímil")</f>
        <v>Abrir facsímil</v>
      </c>
      <c r="K1065" s="15" t="s">
        <v>23</v>
      </c>
    </row>
    <row r="1066" spans="1:11" ht="42" customHeight="1">
      <c r="A1066" s="4" t="s">
        <v>2501</v>
      </c>
      <c r="B1066" s="5" t="s">
        <v>2502</v>
      </c>
      <c r="C1066" s="5" t="s">
        <v>18</v>
      </c>
      <c r="D1066" s="5" t="s">
        <v>19</v>
      </c>
      <c r="E1066" s="5" t="s">
        <v>310</v>
      </c>
      <c r="F1066" s="9">
        <v>56</v>
      </c>
      <c r="G1066" s="9">
        <v>633</v>
      </c>
      <c r="H1066" s="5" t="s">
        <v>21</v>
      </c>
      <c r="I1066" s="5" t="s">
        <v>2503</v>
      </c>
      <c r="J1066" s="12" t="str">
        <f>HYPERLINK("https://www.boe.es/gazeta/dias/1800/07/15/pdfs/GMD-1800-56.pdf#page=9","Abrir facsímil")</f>
        <v>Abrir facsímil</v>
      </c>
      <c r="K1066" s="15" t="s">
        <v>23</v>
      </c>
    </row>
    <row r="1067" spans="1:11" ht="42" customHeight="1">
      <c r="A1067" s="4" t="s">
        <v>2504</v>
      </c>
      <c r="B1067" s="5" t="s">
        <v>2505</v>
      </c>
      <c r="C1067" s="5" t="s">
        <v>18</v>
      </c>
      <c r="D1067" s="5" t="s">
        <v>19</v>
      </c>
      <c r="E1067" s="5" t="s">
        <v>111</v>
      </c>
      <c r="F1067" s="9">
        <v>98</v>
      </c>
      <c r="G1067" s="9">
        <v>1129</v>
      </c>
      <c r="H1067" s="5" t="s">
        <v>21</v>
      </c>
      <c r="I1067" s="5" t="s">
        <v>2506</v>
      </c>
      <c r="J1067" s="12" t="str">
        <f>HYPERLINK("https://www.boe.es/gazeta/dias/1800/12/05/pdfs/GMD-1800-98.pdf#page=9","Abrir facsímil")</f>
        <v>Abrir facsímil</v>
      </c>
      <c r="K1067" s="15" t="s">
        <v>23</v>
      </c>
    </row>
    <row r="1068" spans="1:11" ht="42" customHeight="1">
      <c r="A1068" s="4" t="s">
        <v>2507</v>
      </c>
      <c r="B1068" s="5" t="s">
        <v>2508</v>
      </c>
      <c r="C1068" s="5" t="s">
        <v>207</v>
      </c>
      <c r="D1068" s="5" t="s">
        <v>55</v>
      </c>
      <c r="E1068" s="5" t="s">
        <v>184</v>
      </c>
      <c r="F1068" s="9">
        <v>82</v>
      </c>
      <c r="G1068" s="9">
        <v>950</v>
      </c>
      <c r="H1068" s="5" t="s">
        <v>21</v>
      </c>
      <c r="I1068" s="5" t="s">
        <v>2509</v>
      </c>
      <c r="J1068" s="12" t="str">
        <f>HYPERLINK("https://www.boe.es/gazeta/dias/1800/10/10/pdfs/GMD-1800-82.pdf#page=8","Abrir facsímil")</f>
        <v>Abrir facsímil</v>
      </c>
      <c r="K1068" s="15" t="s">
        <v>23</v>
      </c>
    </row>
    <row r="1069" spans="1:11" ht="42" customHeight="1">
      <c r="A1069" s="4" t="s">
        <v>2510</v>
      </c>
      <c r="B1069" s="5" t="s">
        <v>2510</v>
      </c>
      <c r="C1069" s="5" t="s">
        <v>54</v>
      </c>
      <c r="D1069" s="5" t="s">
        <v>55</v>
      </c>
      <c r="E1069" s="5" t="s">
        <v>845</v>
      </c>
      <c r="F1069" s="9">
        <v>80</v>
      </c>
      <c r="G1069" s="9">
        <v>909</v>
      </c>
      <c r="H1069" s="5" t="s">
        <v>21</v>
      </c>
      <c r="I1069" s="5" t="s">
        <v>2511</v>
      </c>
      <c r="J1069" s="12" t="str">
        <f>HYPERLINK("https://www.boe.es/gazeta/dias/1800/10/03/pdfs/GMD-1800-80.pdf#page=7","Abrir facsímil")</f>
        <v>Abrir facsímil</v>
      </c>
      <c r="K1069" s="15" t="s">
        <v>23</v>
      </c>
    </row>
    <row r="1070" spans="1:11" ht="42" customHeight="1">
      <c r="A1070" s="4" t="s">
        <v>2512</v>
      </c>
      <c r="B1070" s="5" t="s">
        <v>2512</v>
      </c>
      <c r="C1070" s="5" t="s">
        <v>18</v>
      </c>
      <c r="D1070" s="5" t="s">
        <v>19</v>
      </c>
      <c r="E1070" s="5" t="s">
        <v>572</v>
      </c>
      <c r="F1070" s="9">
        <v>76</v>
      </c>
      <c r="G1070" s="9">
        <v>868</v>
      </c>
      <c r="H1070" s="5" t="s">
        <v>21</v>
      </c>
      <c r="I1070" s="5" t="s">
        <v>2513</v>
      </c>
      <c r="J1070" s="12" t="str">
        <f>HYPERLINK("https://www.boe.es/gazeta/dias/1800/09/19/pdfs/GMD-1800-76.pdf#page=10","Abrir facsímil")</f>
        <v>Abrir facsímil</v>
      </c>
      <c r="K1070" s="15" t="s">
        <v>23</v>
      </c>
    </row>
    <row r="1071" spans="1:11" ht="42" customHeight="1">
      <c r="A1071" s="4" t="s">
        <v>2514</v>
      </c>
      <c r="B1071" s="5" t="s">
        <v>2514</v>
      </c>
      <c r="C1071" s="5" t="s">
        <v>18</v>
      </c>
      <c r="D1071" s="5" t="s">
        <v>19</v>
      </c>
      <c r="E1071" s="5" t="s">
        <v>598</v>
      </c>
      <c r="F1071" s="9">
        <v>32</v>
      </c>
      <c r="G1071" s="9">
        <v>323</v>
      </c>
      <c r="H1071" s="5" t="s">
        <v>21</v>
      </c>
      <c r="I1071" s="5" t="s">
        <v>2515</v>
      </c>
      <c r="J1071" s="12" t="str">
        <f>HYPERLINK("https://www.boe.es/gazeta/dias/1800/04/22/pdfs/GMD-1800-32.pdf#page=7","Abrir facsímil")</f>
        <v>Abrir facsímil</v>
      </c>
      <c r="K1071" s="15" t="s">
        <v>23</v>
      </c>
    </row>
    <row r="1072" spans="1:11" ht="42" customHeight="1">
      <c r="A1072" s="4" t="s">
        <v>2514</v>
      </c>
      <c r="B1072" s="5" t="s">
        <v>2514</v>
      </c>
      <c r="C1072" s="5" t="s">
        <v>18</v>
      </c>
      <c r="D1072" s="5" t="s">
        <v>19</v>
      </c>
      <c r="E1072" s="5" t="s">
        <v>101</v>
      </c>
      <c r="F1072" s="9">
        <v>37</v>
      </c>
      <c r="G1072" s="9">
        <v>380</v>
      </c>
      <c r="H1072" s="5" t="s">
        <v>21</v>
      </c>
      <c r="I1072" s="5" t="s">
        <v>2516</v>
      </c>
      <c r="J1072" s="12" t="str">
        <f>HYPERLINK("https://www.boe.es/gazeta/dias/1800/05/09/pdfs/GMD-1800-37.pdf#page=12","Abrir facsímil")</f>
        <v>Abrir facsímil</v>
      </c>
      <c r="K1072" s="15" t="s">
        <v>23</v>
      </c>
    </row>
    <row r="1073" spans="1:11" ht="42" customHeight="1">
      <c r="A1073" s="4" t="s">
        <v>2514</v>
      </c>
      <c r="B1073" s="5" t="s">
        <v>2514</v>
      </c>
      <c r="C1073" s="5" t="s">
        <v>18</v>
      </c>
      <c r="D1073" s="5" t="s">
        <v>19</v>
      </c>
      <c r="E1073" s="5" t="s">
        <v>262</v>
      </c>
      <c r="F1073" s="9">
        <v>39</v>
      </c>
      <c r="G1073" s="9">
        <v>404</v>
      </c>
      <c r="H1073" s="5" t="s">
        <v>21</v>
      </c>
      <c r="I1073" s="5" t="s">
        <v>2517</v>
      </c>
      <c r="J1073" s="12" t="str">
        <f>HYPERLINK("https://www.boe.es/gazeta/dias/1800/05/16/pdfs/GMD-1800-39.pdf#page=12","Abrir facsímil")</f>
        <v>Abrir facsímil</v>
      </c>
      <c r="K1073" s="15" t="s">
        <v>23</v>
      </c>
    </row>
    <row r="1074" spans="1:11" ht="42" customHeight="1">
      <c r="A1074" s="4" t="s">
        <v>2514</v>
      </c>
      <c r="B1074" s="5" t="s">
        <v>2514</v>
      </c>
      <c r="C1074" s="5" t="s">
        <v>54</v>
      </c>
      <c r="D1074" s="5" t="s">
        <v>55</v>
      </c>
      <c r="E1074" s="5" t="s">
        <v>600</v>
      </c>
      <c r="F1074" s="9">
        <v>45</v>
      </c>
      <c r="G1074" s="9">
        <v>473</v>
      </c>
      <c r="H1074" s="5" t="s">
        <v>21</v>
      </c>
      <c r="I1074" s="5" t="s">
        <v>2518</v>
      </c>
      <c r="J1074" s="12" t="str">
        <f>HYPERLINK("https://www.boe.es/gazeta/dias/1800/06/06/pdfs/GMD-1800-45.pdf#page=9","Abrir facsímil")</f>
        <v>Abrir facsímil</v>
      </c>
      <c r="K1074" s="15" t="s">
        <v>23</v>
      </c>
    </row>
    <row r="1075" spans="1:11" ht="42" customHeight="1">
      <c r="A1075" s="4" t="s">
        <v>2514</v>
      </c>
      <c r="B1075" s="5" t="s">
        <v>2514</v>
      </c>
      <c r="C1075" s="5" t="s">
        <v>54</v>
      </c>
      <c r="D1075" s="5" t="s">
        <v>55</v>
      </c>
      <c r="E1075" s="5" t="s">
        <v>445</v>
      </c>
      <c r="F1075" s="9">
        <v>96</v>
      </c>
      <c r="G1075" s="9">
        <v>1108</v>
      </c>
      <c r="H1075" s="5" t="s">
        <v>21</v>
      </c>
      <c r="I1075" s="5" t="s">
        <v>2519</v>
      </c>
      <c r="J1075" s="12" t="str">
        <f>HYPERLINK("https://www.boe.es/gazeta/dias/1800/11/28/pdfs/GMD-1800-96.pdf#page=12","Abrir facsímil")</f>
        <v>Abrir facsímil</v>
      </c>
      <c r="K1075" s="15" t="s">
        <v>23</v>
      </c>
    </row>
    <row r="1076" spans="1:11" ht="42" customHeight="1">
      <c r="A1076" s="4" t="s">
        <v>2520</v>
      </c>
      <c r="B1076" s="5" t="s">
        <v>2521</v>
      </c>
      <c r="C1076" s="5" t="s">
        <v>18</v>
      </c>
      <c r="D1076" s="5" t="s">
        <v>19</v>
      </c>
      <c r="E1076" s="5" t="s">
        <v>203</v>
      </c>
      <c r="F1076" s="9">
        <v>94</v>
      </c>
      <c r="G1076" s="9">
        <v>1077</v>
      </c>
      <c r="H1076" s="5" t="s">
        <v>21</v>
      </c>
      <c r="I1076" s="5" t="s">
        <v>2522</v>
      </c>
      <c r="J1076" s="12" t="str">
        <f>HYPERLINK("https://www.boe.es/gazeta/dias/1800/11/21/pdfs/GMD-1800-94.pdf#page=7","Abrir facsímil")</f>
        <v>Abrir facsímil</v>
      </c>
      <c r="K1076" s="15" t="s">
        <v>23</v>
      </c>
    </row>
    <row r="1077" spans="1:11" ht="42" customHeight="1">
      <c r="A1077" s="4" t="s">
        <v>2523</v>
      </c>
      <c r="B1077" s="5" t="s">
        <v>2523</v>
      </c>
      <c r="C1077" s="5" t="s">
        <v>84</v>
      </c>
      <c r="D1077" s="5" t="s">
        <v>85</v>
      </c>
      <c r="E1077" s="5" t="s">
        <v>230</v>
      </c>
      <c r="F1077" s="9">
        <v>35</v>
      </c>
      <c r="G1077" s="9">
        <v>356</v>
      </c>
      <c r="H1077" s="5" t="s">
        <v>21</v>
      </c>
      <c r="I1077" s="5" t="s">
        <v>2524</v>
      </c>
      <c r="J1077" s="12" t="str">
        <f>HYPERLINK("https://www.boe.es/gazeta/dias/1800/05/02/pdfs/GMD-1800-35.pdf#page=8","Abrir facsímil")</f>
        <v>Abrir facsímil</v>
      </c>
      <c r="K1077" s="15" t="s">
        <v>23</v>
      </c>
    </row>
    <row r="1078" spans="1:11" ht="42" customHeight="1">
      <c r="A1078" s="4" t="s">
        <v>2525</v>
      </c>
      <c r="B1078" s="5" t="s">
        <v>2525</v>
      </c>
      <c r="C1078" s="5" t="s">
        <v>18</v>
      </c>
      <c r="D1078" s="5" t="s">
        <v>19</v>
      </c>
      <c r="E1078" s="5" t="s">
        <v>79</v>
      </c>
      <c r="F1078" s="9">
        <v>7</v>
      </c>
      <c r="G1078" s="9">
        <v>63</v>
      </c>
      <c r="H1078" s="5" t="s">
        <v>21</v>
      </c>
      <c r="I1078" s="5" t="s">
        <v>2526</v>
      </c>
      <c r="J1078" s="12" t="str">
        <f>HYPERLINK("https://www.boe.es/gazeta/dias/1800/01/24/pdfs/GMD-1800-7.pdf#page=3","Abrir facsímil")</f>
        <v>Abrir facsímil</v>
      </c>
      <c r="K1078" s="15" t="s">
        <v>23</v>
      </c>
    </row>
    <row r="1079" spans="1:11" ht="42" customHeight="1">
      <c r="A1079" s="4" t="s">
        <v>2527</v>
      </c>
      <c r="B1079" s="5" t="s">
        <v>2528</v>
      </c>
      <c r="C1079" s="5" t="s">
        <v>18</v>
      </c>
      <c r="D1079" s="5" t="s">
        <v>19</v>
      </c>
      <c r="E1079" s="5" t="s">
        <v>534</v>
      </c>
      <c r="F1079" s="9">
        <v>100</v>
      </c>
      <c r="G1079" s="9">
        <v>1159</v>
      </c>
      <c r="H1079" s="5" t="s">
        <v>21</v>
      </c>
      <c r="I1079" s="5" t="s">
        <v>2529</v>
      </c>
      <c r="J1079" s="12" t="str">
        <f>HYPERLINK("https://www.boe.es/gazeta/dias/1800/12/12/pdfs/GMD-1800-100.pdf#page=11","Abrir facsímil")</f>
        <v>Abrir facsímil</v>
      </c>
      <c r="K1079" s="15" t="s">
        <v>23</v>
      </c>
    </row>
    <row r="1080" spans="1:11" ht="42" customHeight="1">
      <c r="A1080" s="4" t="s">
        <v>2530</v>
      </c>
      <c r="B1080" s="5" t="s">
        <v>2531</v>
      </c>
      <c r="C1080" s="5" t="s">
        <v>18</v>
      </c>
      <c r="D1080" s="5" t="s">
        <v>19</v>
      </c>
      <c r="E1080" s="5" t="s">
        <v>147</v>
      </c>
      <c r="F1080" s="9">
        <v>84</v>
      </c>
      <c r="G1080" s="9">
        <v>973</v>
      </c>
      <c r="H1080" s="5" t="s">
        <v>21</v>
      </c>
      <c r="I1080" s="5" t="s">
        <v>2532</v>
      </c>
      <c r="J1080" s="12" t="str">
        <f>HYPERLINK("https://www.boe.es/gazeta/dias/1800/10/17/pdfs/GMD-1800-84.pdf#page=7","Abrir facsímil")</f>
        <v>Abrir facsímil</v>
      </c>
      <c r="K1080" s="15" t="s">
        <v>23</v>
      </c>
    </row>
    <row r="1081" spans="1:11" ht="42" customHeight="1">
      <c r="A1081" s="4" t="s">
        <v>2533</v>
      </c>
      <c r="B1081" s="5" t="s">
        <v>2534</v>
      </c>
      <c r="C1081" s="5" t="s">
        <v>18</v>
      </c>
      <c r="D1081" s="5" t="s">
        <v>19</v>
      </c>
      <c r="E1081" s="5" t="s">
        <v>356</v>
      </c>
      <c r="F1081" s="9">
        <v>31</v>
      </c>
      <c r="G1081" s="9">
        <v>315</v>
      </c>
      <c r="H1081" s="5" t="s">
        <v>21</v>
      </c>
      <c r="I1081" s="5" t="s">
        <v>2535</v>
      </c>
      <c r="J1081" s="12" t="str">
        <f>HYPERLINK("https://www.boe.es/gazeta/dias/1800/04/18/pdfs/GMD-1800-31.pdf#page=7","Abrir facsímil")</f>
        <v>Abrir facsímil</v>
      </c>
      <c r="K1081" s="15" t="s">
        <v>23</v>
      </c>
    </row>
    <row r="1082" spans="1:11" ht="42" customHeight="1">
      <c r="A1082" s="4" t="s">
        <v>2536</v>
      </c>
      <c r="B1082" s="5" t="s">
        <v>2537</v>
      </c>
      <c r="C1082" s="5" t="s">
        <v>18</v>
      </c>
      <c r="D1082" s="5" t="s">
        <v>19</v>
      </c>
      <c r="E1082" s="5" t="s">
        <v>314</v>
      </c>
      <c r="F1082" s="9">
        <v>74</v>
      </c>
      <c r="G1082" s="9">
        <v>831</v>
      </c>
      <c r="H1082" s="5" t="s">
        <v>21</v>
      </c>
      <c r="I1082" s="5" t="s">
        <v>2538</v>
      </c>
      <c r="J1082" s="12" t="str">
        <f>HYPERLINK("https://www.boe.es/gazeta/dias/1800/09/12/pdfs/GMD-1800-74.pdf#page=9","Abrir facsímil")</f>
        <v>Abrir facsímil</v>
      </c>
      <c r="K1082" s="15" t="s">
        <v>23</v>
      </c>
    </row>
    <row r="1083" spans="1:11" ht="42" customHeight="1">
      <c r="A1083" s="4" t="s">
        <v>2539</v>
      </c>
      <c r="B1083" s="5" t="s">
        <v>2540</v>
      </c>
      <c r="C1083" s="5" t="s">
        <v>114</v>
      </c>
      <c r="D1083" s="5" t="s">
        <v>115</v>
      </c>
      <c r="E1083" s="5" t="s">
        <v>116</v>
      </c>
      <c r="F1083" s="9">
        <v>86</v>
      </c>
      <c r="G1083" s="9" t="s">
        <v>1501</v>
      </c>
      <c r="H1083" s="5" t="s">
        <v>21</v>
      </c>
      <c r="I1083" s="5" t="s">
        <v>2541</v>
      </c>
      <c r="J1083" s="12" t="str">
        <f>HYPERLINK("https://www.boe.es/gazeta/dias/1800/10/24/pdfs/GMD-D-1800-86.pdf#page=2","Abrir facsímil")</f>
        <v>Abrir facsímil</v>
      </c>
      <c r="K1083" s="15" t="s">
        <v>23</v>
      </c>
    </row>
    <row r="1084" spans="1:11" ht="42" customHeight="1">
      <c r="A1084" s="4" t="s">
        <v>2542</v>
      </c>
      <c r="B1084" s="5" t="s">
        <v>2543</v>
      </c>
      <c r="C1084" s="5" t="s">
        <v>25</v>
      </c>
      <c r="D1084" s="5" t="s">
        <v>26</v>
      </c>
      <c r="E1084" s="5" t="s">
        <v>190</v>
      </c>
      <c r="F1084" s="9">
        <v>93</v>
      </c>
      <c r="G1084" s="9">
        <v>1068</v>
      </c>
      <c r="H1084" s="5" t="s">
        <v>21</v>
      </c>
      <c r="I1084" s="5" t="s">
        <v>2544</v>
      </c>
      <c r="J1084" s="12" t="str">
        <f>HYPERLINK("https://www.boe.es/gazeta/dias/1800/11/18/pdfs/GMD-1800-93.pdf#page=14","Abrir facsímil")</f>
        <v>Abrir facsímil</v>
      </c>
      <c r="K1084" s="15" t="s">
        <v>23</v>
      </c>
    </row>
    <row r="1085" spans="1:11" ht="42" customHeight="1">
      <c r="A1085" s="4" t="s">
        <v>2542</v>
      </c>
      <c r="B1085" s="5" t="s">
        <v>2543</v>
      </c>
      <c r="C1085" s="5" t="s">
        <v>25</v>
      </c>
      <c r="D1085" s="5" t="s">
        <v>26</v>
      </c>
      <c r="E1085" s="5" t="s">
        <v>203</v>
      </c>
      <c r="F1085" s="9">
        <v>94</v>
      </c>
      <c r="G1085" s="9">
        <v>1079</v>
      </c>
      <c r="H1085" s="5" t="s">
        <v>21</v>
      </c>
      <c r="I1085" s="5" t="s">
        <v>2545</v>
      </c>
      <c r="J1085" s="12" t="str">
        <f>HYPERLINK("https://www.boe.es/gazeta/dias/1800/11/21/pdfs/GMD-1800-94.pdf#page=9","Abrir facsímil")</f>
        <v>Abrir facsímil</v>
      </c>
      <c r="K1085" s="15" t="s">
        <v>23</v>
      </c>
    </row>
    <row r="1086" spans="1:11" ht="42" customHeight="1">
      <c r="A1086" s="4" t="s">
        <v>2546</v>
      </c>
      <c r="B1086" s="5" t="s">
        <v>2547</v>
      </c>
      <c r="C1086" s="5" t="s">
        <v>18</v>
      </c>
      <c r="D1086" s="5" t="s">
        <v>19</v>
      </c>
      <c r="E1086" s="5" t="s">
        <v>196</v>
      </c>
      <c r="F1086" s="9">
        <v>97</v>
      </c>
      <c r="G1086" s="9">
        <v>1117</v>
      </c>
      <c r="H1086" s="5" t="s">
        <v>21</v>
      </c>
      <c r="I1086" s="5" t="s">
        <v>2548</v>
      </c>
      <c r="J1086" s="12" t="str">
        <f>HYPERLINK("https://www.boe.es/gazeta/dias/1800/12/02/pdfs/GMD-1800-97.pdf#page=9","Abrir facsímil")</f>
        <v>Abrir facsímil</v>
      </c>
      <c r="K1086" s="15" t="s">
        <v>23</v>
      </c>
    </row>
    <row r="1087" spans="1:11" ht="42" customHeight="1">
      <c r="A1087" s="4" t="s">
        <v>2549</v>
      </c>
      <c r="B1087" s="5" t="s">
        <v>2550</v>
      </c>
      <c r="C1087" s="5" t="s">
        <v>18</v>
      </c>
      <c r="D1087" s="5" t="s">
        <v>19</v>
      </c>
      <c r="E1087" s="5" t="s">
        <v>75</v>
      </c>
      <c r="F1087" s="9">
        <v>64</v>
      </c>
      <c r="G1087" s="9">
        <v>733</v>
      </c>
      <c r="H1087" s="5" t="s">
        <v>21</v>
      </c>
      <c r="I1087" s="5" t="s">
        <v>2551</v>
      </c>
      <c r="J1087" s="12" t="str">
        <f>HYPERLINK("https://www.boe.es/gazeta/dias/1800/08/12/pdfs/GMD-1800-64.pdf#page=9","Abrir facsímil")</f>
        <v>Abrir facsímil</v>
      </c>
      <c r="K1087" s="15" t="s">
        <v>23</v>
      </c>
    </row>
    <row r="1088" spans="1:11" ht="42" customHeight="1">
      <c r="A1088" s="4" t="s">
        <v>2552</v>
      </c>
      <c r="B1088" s="5" t="s">
        <v>2553</v>
      </c>
      <c r="C1088" s="5" t="s">
        <v>18</v>
      </c>
      <c r="D1088" s="5" t="s">
        <v>19</v>
      </c>
      <c r="E1088" s="5" t="s">
        <v>154</v>
      </c>
      <c r="F1088" s="9">
        <v>61</v>
      </c>
      <c r="G1088" s="9">
        <v>697</v>
      </c>
      <c r="H1088" s="5" t="s">
        <v>21</v>
      </c>
      <c r="I1088" s="5" t="s">
        <v>2554</v>
      </c>
      <c r="J1088" s="12" t="str">
        <f>HYPERLINK("https://www.boe.es/gazeta/dias/1800/08/01/pdfs/GMD-1800-61.pdf#page=9","Abrir facsímil")</f>
        <v>Abrir facsímil</v>
      </c>
      <c r="K1088" s="15" t="s">
        <v>23</v>
      </c>
    </row>
    <row r="1089" spans="1:11" ht="42" customHeight="1">
      <c r="A1089" s="4" t="s">
        <v>2555</v>
      </c>
      <c r="B1089" s="5" t="s">
        <v>2556</v>
      </c>
      <c r="C1089" s="5" t="s">
        <v>18</v>
      </c>
      <c r="D1089" s="5" t="s">
        <v>19</v>
      </c>
      <c r="E1089" s="5" t="s">
        <v>52</v>
      </c>
      <c r="F1089" s="9">
        <v>83</v>
      </c>
      <c r="G1089" s="9">
        <v>963</v>
      </c>
      <c r="H1089" s="5" t="s">
        <v>21</v>
      </c>
      <c r="I1089" s="5" t="s">
        <v>2557</v>
      </c>
      <c r="J1089" s="12" t="str">
        <f>HYPERLINK("https://www.boe.es/gazeta/dias/1800/10/14/pdfs/GMD-1800-83.pdf#page=9","Abrir facsímil")</f>
        <v>Abrir facsímil</v>
      </c>
      <c r="K1089" s="15" t="s">
        <v>23</v>
      </c>
    </row>
    <row r="1090" spans="1:11" ht="42" customHeight="1">
      <c r="A1090" s="4" t="s">
        <v>2558</v>
      </c>
      <c r="B1090" s="5" t="s">
        <v>2559</v>
      </c>
      <c r="C1090" s="5" t="s">
        <v>18</v>
      </c>
      <c r="D1090" s="5" t="s">
        <v>19</v>
      </c>
      <c r="E1090" s="5" t="s">
        <v>240</v>
      </c>
      <c r="F1090" s="9">
        <v>26</v>
      </c>
      <c r="G1090" s="9">
        <v>269</v>
      </c>
      <c r="H1090" s="5" t="s">
        <v>21</v>
      </c>
      <c r="I1090" s="5" t="s">
        <v>2560</v>
      </c>
      <c r="J1090" s="12" t="str">
        <f>HYPERLINK("https://www.boe.es/gazeta/dias/1800/04/01/pdfs/GMD-1800-26.pdf#page=9","Abrir facsímil")</f>
        <v>Abrir facsímil</v>
      </c>
      <c r="K1090" s="15" t="s">
        <v>23</v>
      </c>
    </row>
    <row r="1091" spans="1:11" ht="42" customHeight="1">
      <c r="A1091" s="4" t="s">
        <v>2561</v>
      </c>
      <c r="B1091" s="5" t="s">
        <v>2562</v>
      </c>
      <c r="C1091" s="5" t="s">
        <v>25</v>
      </c>
      <c r="D1091" s="5" t="s">
        <v>26</v>
      </c>
      <c r="E1091" s="5" t="s">
        <v>283</v>
      </c>
      <c r="F1091" s="9">
        <v>68</v>
      </c>
      <c r="G1091" s="9">
        <v>767</v>
      </c>
      <c r="H1091" s="5" t="s">
        <v>21</v>
      </c>
      <c r="I1091" s="5" t="s">
        <v>2563</v>
      </c>
      <c r="J1091" s="12" t="str">
        <f>HYPERLINK("https://www.boe.es/gazeta/dias/1800/08/26/pdfs/GMD-1800-68.pdf#page=11","Abrir facsímil")</f>
        <v>Abrir facsímil</v>
      </c>
      <c r="K1091" s="15" t="s">
        <v>23</v>
      </c>
    </row>
    <row r="1092" spans="1:11" ht="42" customHeight="1">
      <c r="A1092" s="4" t="s">
        <v>2564</v>
      </c>
      <c r="B1092" s="5" t="s">
        <v>2565</v>
      </c>
      <c r="C1092" s="5" t="s">
        <v>18</v>
      </c>
      <c r="D1092" s="5" t="s">
        <v>19</v>
      </c>
      <c r="E1092" s="5" t="s">
        <v>190</v>
      </c>
      <c r="F1092" s="9">
        <v>93</v>
      </c>
      <c r="G1092" s="9">
        <v>1067</v>
      </c>
      <c r="H1092" s="5" t="s">
        <v>21</v>
      </c>
      <c r="I1092" s="5" t="s">
        <v>2566</v>
      </c>
      <c r="J1092" s="12" t="str">
        <f>HYPERLINK("https://www.boe.es/gazeta/dias/1800/11/18/pdfs/GMD-1800-93.pdf#page=13","Abrir facsímil")</f>
        <v>Abrir facsímil</v>
      </c>
      <c r="K1092" s="15" t="s">
        <v>23</v>
      </c>
    </row>
    <row r="1093" spans="1:11" ht="42" customHeight="1">
      <c r="A1093" s="4" t="s">
        <v>2567</v>
      </c>
      <c r="B1093" s="5" t="s">
        <v>2568</v>
      </c>
      <c r="C1093" s="5" t="s">
        <v>41</v>
      </c>
      <c r="D1093" s="5" t="s">
        <v>42</v>
      </c>
      <c r="E1093" s="5" t="s">
        <v>356</v>
      </c>
      <c r="F1093" s="9">
        <v>31</v>
      </c>
      <c r="G1093" s="9">
        <v>311</v>
      </c>
      <c r="H1093" s="5" t="s">
        <v>21</v>
      </c>
      <c r="I1093" s="5" t="s">
        <v>2569</v>
      </c>
      <c r="J1093" s="12" t="str">
        <f>HYPERLINK("https://www.boe.es/gazeta/dias/1800/04/18/pdfs/GMD-1800-31.pdf#page=3","Abrir facsímil")</f>
        <v>Abrir facsímil</v>
      </c>
      <c r="K1093" s="15" t="s">
        <v>23</v>
      </c>
    </row>
    <row r="1094" spans="1:11" ht="42" customHeight="1">
      <c r="A1094" s="4" t="s">
        <v>2570</v>
      </c>
      <c r="B1094" s="5" t="s">
        <v>2571</v>
      </c>
      <c r="C1094" s="5" t="s">
        <v>41</v>
      </c>
      <c r="D1094" s="5" t="s">
        <v>42</v>
      </c>
      <c r="E1094" s="5" t="s">
        <v>240</v>
      </c>
      <c r="F1094" s="9">
        <v>26</v>
      </c>
      <c r="G1094" s="9">
        <v>263</v>
      </c>
      <c r="H1094" s="5" t="s">
        <v>21</v>
      </c>
      <c r="I1094" s="5" t="s">
        <v>2572</v>
      </c>
      <c r="J1094" s="12" t="str">
        <f>HYPERLINK("https://www.boe.es/gazeta/dias/1800/04/01/pdfs/GMD-1800-26.pdf#page=3","Abrir facsímil")</f>
        <v>Abrir facsímil</v>
      </c>
      <c r="K1094" s="15" t="s">
        <v>23</v>
      </c>
    </row>
    <row r="1095" spans="1:11" ht="42" customHeight="1">
      <c r="A1095" s="4" t="s">
        <v>2570</v>
      </c>
      <c r="B1095" s="5" t="s">
        <v>2571</v>
      </c>
      <c r="C1095" s="5" t="s">
        <v>41</v>
      </c>
      <c r="D1095" s="5" t="s">
        <v>42</v>
      </c>
      <c r="E1095" s="5" t="s">
        <v>240</v>
      </c>
      <c r="F1095" s="9">
        <v>26</v>
      </c>
      <c r="G1095" s="9">
        <v>264</v>
      </c>
      <c r="H1095" s="5" t="s">
        <v>21</v>
      </c>
      <c r="I1095" s="5" t="s">
        <v>2573</v>
      </c>
      <c r="J1095" s="12" t="str">
        <f>HYPERLINK("https://www.boe.es/gazeta/dias/1800/04/01/pdfs/GMD-1800-26.pdf#page=4","Abrir facsímil")</f>
        <v>Abrir facsímil</v>
      </c>
      <c r="K1095" s="15" t="s">
        <v>23</v>
      </c>
    </row>
    <row r="1096" spans="1:11" ht="42" customHeight="1">
      <c r="A1096" s="4" t="s">
        <v>2570</v>
      </c>
      <c r="B1096" s="5" t="s">
        <v>2571</v>
      </c>
      <c r="C1096" s="5" t="s">
        <v>41</v>
      </c>
      <c r="D1096" s="5" t="s">
        <v>42</v>
      </c>
      <c r="E1096" s="5" t="s">
        <v>478</v>
      </c>
      <c r="F1096" s="9">
        <v>34</v>
      </c>
      <c r="G1096" s="9">
        <v>341</v>
      </c>
      <c r="H1096" s="5" t="s">
        <v>21</v>
      </c>
      <c r="I1096" s="5" t="s">
        <v>2574</v>
      </c>
      <c r="J1096" s="12" t="str">
        <f>HYPERLINK("https://www.boe.es/gazeta/dias/1800/04/29/pdfs/GMD-1800-34.pdf#page=5","Abrir facsímil")</f>
        <v>Abrir facsímil</v>
      </c>
      <c r="K1096" s="15" t="s">
        <v>23</v>
      </c>
    </row>
    <row r="1097" spans="1:11" ht="42" customHeight="1">
      <c r="A1097" s="4" t="s">
        <v>2570</v>
      </c>
      <c r="B1097" s="5" t="s">
        <v>2571</v>
      </c>
      <c r="C1097" s="5" t="s">
        <v>41</v>
      </c>
      <c r="D1097" s="5" t="s">
        <v>42</v>
      </c>
      <c r="E1097" s="5" t="s">
        <v>465</v>
      </c>
      <c r="F1097" s="9">
        <v>49</v>
      </c>
      <c r="G1097" s="9">
        <v>527</v>
      </c>
      <c r="H1097" s="5" t="s">
        <v>21</v>
      </c>
      <c r="I1097" s="5" t="s">
        <v>2575</v>
      </c>
      <c r="J1097" s="12" t="str">
        <f>HYPERLINK("https://www.boe.es/gazeta/dias/1800/06/20/pdfs/GMD-1800-49.pdf#page=3","Abrir facsímil")</f>
        <v>Abrir facsímil</v>
      </c>
      <c r="K1097" s="15" t="s">
        <v>23</v>
      </c>
    </row>
    <row r="1098" spans="1:11" ht="42" customHeight="1">
      <c r="A1098" s="4" t="s">
        <v>2570</v>
      </c>
      <c r="B1098" s="5" t="s">
        <v>2571</v>
      </c>
      <c r="C1098" s="5" t="s">
        <v>41</v>
      </c>
      <c r="D1098" s="5" t="s">
        <v>42</v>
      </c>
      <c r="E1098" s="5" t="s">
        <v>823</v>
      </c>
      <c r="F1098" s="9">
        <v>50</v>
      </c>
      <c r="G1098" s="9">
        <v>539</v>
      </c>
      <c r="H1098" s="5" t="s">
        <v>21</v>
      </c>
      <c r="I1098" s="5" t="s">
        <v>2576</v>
      </c>
      <c r="J1098" s="12" t="str">
        <f>HYPERLINK("https://www.boe.es/gazeta/dias/1800/06/24/pdfs/GMD-1800-50.pdf#page=3","Abrir facsímil")</f>
        <v>Abrir facsímil</v>
      </c>
      <c r="K1098" s="15" t="s">
        <v>23</v>
      </c>
    </row>
    <row r="1099" spans="1:11" ht="42" customHeight="1">
      <c r="A1099" s="4" t="s">
        <v>2577</v>
      </c>
      <c r="B1099" s="5" t="s">
        <v>2578</v>
      </c>
      <c r="C1099" s="5" t="s">
        <v>207</v>
      </c>
      <c r="D1099" s="5" t="s">
        <v>55</v>
      </c>
      <c r="E1099" s="5" t="s">
        <v>445</v>
      </c>
      <c r="F1099" s="9">
        <v>96</v>
      </c>
      <c r="G1099" s="9">
        <v>1105</v>
      </c>
      <c r="H1099" s="5" t="s">
        <v>21</v>
      </c>
      <c r="I1099" s="5" t="s">
        <v>2579</v>
      </c>
      <c r="J1099" s="12" t="str">
        <f>HYPERLINK("https://www.boe.es/gazeta/dias/1800/11/28/pdfs/GMD-1800-96.pdf#page=9","Abrir facsímil")</f>
        <v>Abrir facsímil</v>
      </c>
      <c r="K1099" s="15" t="s">
        <v>23</v>
      </c>
    </row>
    <row r="1100" spans="1:11" ht="42" customHeight="1">
      <c r="A1100" s="4" t="s">
        <v>2580</v>
      </c>
      <c r="B1100" s="5" t="s">
        <v>2581</v>
      </c>
      <c r="C1100" s="5" t="s">
        <v>18</v>
      </c>
      <c r="D1100" s="5" t="s">
        <v>19</v>
      </c>
      <c r="E1100" s="5" t="s">
        <v>240</v>
      </c>
      <c r="F1100" s="9">
        <v>26</v>
      </c>
      <c r="G1100" s="9">
        <v>269</v>
      </c>
      <c r="H1100" s="5" t="s">
        <v>21</v>
      </c>
      <c r="I1100" s="5" t="s">
        <v>2582</v>
      </c>
      <c r="J1100" s="12" t="str">
        <f>HYPERLINK("https://www.boe.es/gazeta/dias/1800/04/01/pdfs/GMD-1800-26.pdf#page=9","Abrir facsímil")</f>
        <v>Abrir facsímil</v>
      </c>
      <c r="K1100" s="15" t="s">
        <v>23</v>
      </c>
    </row>
    <row r="1101" spans="1:11" ht="42" customHeight="1">
      <c r="A1101" s="4" t="s">
        <v>2583</v>
      </c>
      <c r="B1101" s="5" t="s">
        <v>2583</v>
      </c>
      <c r="C1101" s="5" t="s">
        <v>84</v>
      </c>
      <c r="D1101" s="5" t="s">
        <v>85</v>
      </c>
      <c r="E1101" s="5" t="s">
        <v>131</v>
      </c>
      <c r="F1101" s="9">
        <v>8</v>
      </c>
      <c r="G1101" s="9">
        <v>76</v>
      </c>
      <c r="H1101" s="5" t="s">
        <v>21</v>
      </c>
      <c r="I1101" s="5" t="s">
        <v>2584</v>
      </c>
      <c r="J1101" s="12" t="str">
        <f>HYPERLINK("https://www.boe.es/gazeta/dias/1800/01/28/pdfs/GMD-1800-8.pdf#page=8","Abrir facsímil")</f>
        <v>Abrir facsímil</v>
      </c>
      <c r="K1101" s="15" t="s">
        <v>23</v>
      </c>
    </row>
    <row r="1102" spans="1:11" ht="42" customHeight="1">
      <c r="A1102" s="4" t="s">
        <v>2585</v>
      </c>
      <c r="B1102" s="5" t="s">
        <v>2586</v>
      </c>
      <c r="C1102" s="5" t="s">
        <v>18</v>
      </c>
      <c r="D1102" s="5" t="s">
        <v>19</v>
      </c>
      <c r="E1102" s="5" t="s">
        <v>135</v>
      </c>
      <c r="F1102" s="9">
        <v>73</v>
      </c>
      <c r="G1102" s="9">
        <v>817</v>
      </c>
      <c r="H1102" s="5" t="s">
        <v>21</v>
      </c>
      <c r="I1102" s="5" t="s">
        <v>2587</v>
      </c>
      <c r="J1102" s="12" t="str">
        <f>HYPERLINK("https://www.boe.es/gazeta/dias/1800/09/09/pdfs/GMD-1800-73.pdf#page=11","Abrir facsímil")</f>
        <v>Abrir facsímil</v>
      </c>
      <c r="K1102" s="15" t="s">
        <v>23</v>
      </c>
    </row>
    <row r="1103" spans="1:11" ht="42" customHeight="1">
      <c r="A1103" s="4" t="s">
        <v>2588</v>
      </c>
      <c r="B1103" s="5" t="s">
        <v>2589</v>
      </c>
      <c r="C1103" s="5" t="s">
        <v>25</v>
      </c>
      <c r="D1103" s="5" t="s">
        <v>26</v>
      </c>
      <c r="E1103" s="5" t="s">
        <v>143</v>
      </c>
      <c r="F1103" s="9">
        <v>22</v>
      </c>
      <c r="G1103" s="9">
        <v>221</v>
      </c>
      <c r="H1103" s="5" t="s">
        <v>21</v>
      </c>
      <c r="I1103" s="5" t="s">
        <v>2590</v>
      </c>
      <c r="J1103" s="12" t="str">
        <f>HYPERLINK("https://www.boe.es/gazeta/dias/1800/03/18/pdfs/GMD-1800-22.pdf#page=13","Abrir facsímil")</f>
        <v>Abrir facsímil</v>
      </c>
      <c r="K1103" s="15" t="s">
        <v>23</v>
      </c>
    </row>
    <row r="1104" spans="1:11" ht="42" customHeight="1">
      <c r="A1104" s="4" t="s">
        <v>2591</v>
      </c>
      <c r="B1104" s="5" t="s">
        <v>2592</v>
      </c>
      <c r="C1104" s="5" t="s">
        <v>207</v>
      </c>
      <c r="D1104" s="5" t="s">
        <v>55</v>
      </c>
      <c r="E1104" s="5" t="s">
        <v>184</v>
      </c>
      <c r="F1104" s="9">
        <v>82</v>
      </c>
      <c r="G1104" s="9">
        <v>951</v>
      </c>
      <c r="H1104" s="5" t="s">
        <v>21</v>
      </c>
      <c r="I1104" s="5" t="s">
        <v>2593</v>
      </c>
      <c r="J1104" s="12" t="str">
        <f>HYPERLINK("https://www.boe.es/gazeta/dias/1800/10/10/pdfs/GMD-1800-82.pdf#page=9","Abrir facsímil")</f>
        <v>Abrir facsímil</v>
      </c>
      <c r="K1104" s="15" t="s">
        <v>23</v>
      </c>
    </row>
    <row r="1105" spans="1:11" ht="42" customHeight="1">
      <c r="A1105" s="4" t="s">
        <v>2594</v>
      </c>
      <c r="B1105" s="5" t="s">
        <v>2595</v>
      </c>
      <c r="C1105" s="5" t="s">
        <v>25</v>
      </c>
      <c r="D1105" s="5" t="s">
        <v>26</v>
      </c>
      <c r="E1105" s="5" t="s">
        <v>576</v>
      </c>
      <c r="F1105" s="9">
        <v>91</v>
      </c>
      <c r="G1105" s="9">
        <v>1070</v>
      </c>
      <c r="H1105" s="5" t="s">
        <v>21</v>
      </c>
      <c r="I1105" s="5" t="s">
        <v>2596</v>
      </c>
      <c r="J1105" s="12" t="str">
        <f>HYPERLINK("https://www.boe.es/gazeta/dias/1800/11/11/pdfs/GMD-1800-91.pdf#page=12","Abrir facsímil")</f>
        <v>Abrir facsímil</v>
      </c>
      <c r="K1105" s="15" t="s">
        <v>23</v>
      </c>
    </row>
    <row r="1106" spans="1:11" ht="42" customHeight="1">
      <c r="A1106" s="4" t="s">
        <v>2597</v>
      </c>
      <c r="B1106" s="5" t="s">
        <v>2598</v>
      </c>
      <c r="C1106" s="5" t="s">
        <v>18</v>
      </c>
      <c r="D1106" s="5" t="s">
        <v>19</v>
      </c>
      <c r="E1106" s="5" t="s">
        <v>218</v>
      </c>
      <c r="F1106" s="9">
        <v>5</v>
      </c>
      <c r="G1106" s="9">
        <v>47</v>
      </c>
      <c r="H1106" s="5" t="s">
        <v>21</v>
      </c>
      <c r="I1106" s="5" t="s">
        <v>2599</v>
      </c>
      <c r="J1106" s="12" t="str">
        <f>HYPERLINK("https://www.boe.es/gazeta/dias/1800/01/17/pdfs/GMD-1800-5.pdf#page=7","Abrir facsímil")</f>
        <v>Abrir facsímil</v>
      </c>
      <c r="K1106" s="15" t="s">
        <v>23</v>
      </c>
    </row>
    <row r="1107" spans="1:11" ht="42" customHeight="1">
      <c r="A1107" s="4" t="s">
        <v>2600</v>
      </c>
      <c r="B1107" s="5" t="s">
        <v>2601</v>
      </c>
      <c r="C1107" s="5" t="s">
        <v>18</v>
      </c>
      <c r="D1107" s="5" t="s">
        <v>19</v>
      </c>
      <c r="E1107" s="5" t="s">
        <v>314</v>
      </c>
      <c r="F1107" s="9">
        <v>74</v>
      </c>
      <c r="G1107" s="9">
        <v>832</v>
      </c>
      <c r="H1107" s="5" t="s">
        <v>21</v>
      </c>
      <c r="I1107" s="5" t="s">
        <v>2602</v>
      </c>
      <c r="J1107" s="12" t="str">
        <f>HYPERLINK("https://www.boe.es/gazeta/dias/1800/09/12/pdfs/GMD-1800-74.pdf#page=10","Abrir facsímil")</f>
        <v>Abrir facsímil</v>
      </c>
      <c r="K1107" s="15" t="s">
        <v>23</v>
      </c>
    </row>
    <row r="1108" spans="1:11" ht="42" customHeight="1">
      <c r="A1108" s="4" t="s">
        <v>2603</v>
      </c>
      <c r="B1108" s="5" t="s">
        <v>2603</v>
      </c>
      <c r="C1108" s="5" t="s">
        <v>18</v>
      </c>
      <c r="D1108" s="5" t="s">
        <v>19</v>
      </c>
      <c r="E1108" s="5" t="s">
        <v>478</v>
      </c>
      <c r="F1108" s="9">
        <v>34</v>
      </c>
      <c r="G1108" s="9">
        <v>347</v>
      </c>
      <c r="H1108" s="5" t="s">
        <v>21</v>
      </c>
      <c r="I1108" s="5" t="s">
        <v>2604</v>
      </c>
      <c r="J1108" s="12" t="str">
        <f>HYPERLINK("https://www.boe.es/gazeta/dias/1800/04/29/pdfs/GMD-1800-34.pdf#page=11","Abrir facsímil")</f>
        <v>Abrir facsímil</v>
      </c>
      <c r="K1108" s="15" t="s">
        <v>23</v>
      </c>
    </row>
    <row r="1109" spans="1:11" ht="42" customHeight="1">
      <c r="A1109" s="4" t="s">
        <v>2605</v>
      </c>
      <c r="B1109" s="5" t="s">
        <v>2605</v>
      </c>
      <c r="C1109" s="5" t="s">
        <v>207</v>
      </c>
      <c r="D1109" s="5" t="s">
        <v>55</v>
      </c>
      <c r="E1109" s="5" t="s">
        <v>595</v>
      </c>
      <c r="F1109" s="9">
        <v>72</v>
      </c>
      <c r="G1109" s="9">
        <v>798</v>
      </c>
      <c r="H1109" s="5" t="s">
        <v>21</v>
      </c>
      <c r="I1109" s="5" t="s">
        <v>2606</v>
      </c>
      <c r="J1109" s="12" t="str">
        <f>HYPERLINK("https://www.boe.es/gazeta/dias/1800/09/05/pdfs/GMD-1800-72.pdf#page=8","Abrir facsímil")</f>
        <v>Abrir facsímil</v>
      </c>
      <c r="K1109" s="15" t="s">
        <v>23</v>
      </c>
    </row>
    <row r="1110" spans="1:11" ht="42" customHeight="1">
      <c r="A1110" s="4" t="s">
        <v>2607</v>
      </c>
      <c r="B1110" s="5" t="s">
        <v>2607</v>
      </c>
      <c r="C1110" s="5" t="s">
        <v>18</v>
      </c>
      <c r="D1110" s="5" t="s">
        <v>19</v>
      </c>
      <c r="E1110" s="5" t="s">
        <v>124</v>
      </c>
      <c r="F1110" s="9">
        <v>16</v>
      </c>
      <c r="G1110" s="9">
        <v>152</v>
      </c>
      <c r="H1110" s="5" t="s">
        <v>21</v>
      </c>
      <c r="I1110" s="5" t="s">
        <v>2608</v>
      </c>
      <c r="J1110" s="12" t="str">
        <f>HYPERLINK("https://www.boe.es/gazeta/dias/1800/02/25/pdfs/GMD-1800-16.pdf#page=8","Abrir facsímil")</f>
        <v>Abrir facsímil</v>
      </c>
      <c r="K1110" s="15" t="s">
        <v>23</v>
      </c>
    </row>
    <row r="1111" spans="1:11" ht="42" customHeight="1">
      <c r="A1111" s="4" t="s">
        <v>2609</v>
      </c>
      <c r="B1111" s="5" t="s">
        <v>2609</v>
      </c>
      <c r="C1111" s="5" t="s">
        <v>171</v>
      </c>
      <c r="D1111" s="5" t="s">
        <v>172</v>
      </c>
      <c r="E1111" s="5" t="s">
        <v>465</v>
      </c>
      <c r="F1111" s="9">
        <v>49</v>
      </c>
      <c r="G1111" s="9">
        <v>534</v>
      </c>
      <c r="H1111" s="5" t="s">
        <v>21</v>
      </c>
      <c r="I1111" s="5" t="s">
        <v>2610</v>
      </c>
      <c r="J1111" s="12" t="str">
        <f>HYPERLINK("https://www.boe.es/gazeta/dias/1800/06/20/pdfs/GMD-C-1800-49.pdf#page=2","Abrir facsímil")</f>
        <v>Abrir facsímil</v>
      </c>
      <c r="K1111" s="15" t="s">
        <v>23</v>
      </c>
    </row>
    <row r="1112" spans="1:11" ht="42" customHeight="1">
      <c r="A1112" s="4" t="s">
        <v>2611</v>
      </c>
      <c r="B1112" s="5" t="s">
        <v>2611</v>
      </c>
      <c r="C1112" s="5" t="s">
        <v>25</v>
      </c>
      <c r="D1112" s="5" t="s">
        <v>26</v>
      </c>
      <c r="E1112" s="5" t="s">
        <v>1287</v>
      </c>
      <c r="F1112" s="9">
        <v>57</v>
      </c>
      <c r="G1112" s="9">
        <v>650</v>
      </c>
      <c r="H1112" s="5" t="s">
        <v>21</v>
      </c>
      <c r="I1112" s="5" t="s">
        <v>2612</v>
      </c>
      <c r="J1112" s="12" t="str">
        <f>HYPERLINK("https://www.boe.es/gazeta/dias/1800/07/18/pdfs/GMD-1800-57.pdf#page=14","Abrir facsímil")</f>
        <v>Abrir facsímil</v>
      </c>
      <c r="K1112" s="15" t="s">
        <v>23</v>
      </c>
    </row>
    <row r="1113" spans="1:11" ht="42" customHeight="1">
      <c r="A1113" s="4" t="s">
        <v>2613</v>
      </c>
      <c r="B1113" s="5" t="s">
        <v>2614</v>
      </c>
      <c r="C1113" s="5" t="s">
        <v>54</v>
      </c>
      <c r="D1113" s="5" t="s">
        <v>55</v>
      </c>
      <c r="E1113" s="5" t="s">
        <v>310</v>
      </c>
      <c r="F1113" s="9">
        <v>56</v>
      </c>
      <c r="G1113" s="9">
        <v>634</v>
      </c>
      <c r="H1113" s="5" t="s">
        <v>21</v>
      </c>
      <c r="I1113" s="5" t="s">
        <v>2615</v>
      </c>
      <c r="J1113" s="12" t="str">
        <f>HYPERLINK("https://www.boe.es/gazeta/dias/1800/07/15/pdfs/GMD-1800-56.pdf#page=10","Abrir facsímil")</f>
        <v>Abrir facsímil</v>
      </c>
      <c r="K1113" s="15" t="s">
        <v>23</v>
      </c>
    </row>
    <row r="1114" spans="1:11" ht="42" customHeight="1">
      <c r="A1114" s="4" t="s">
        <v>2616</v>
      </c>
      <c r="B1114" s="5" t="s">
        <v>2617</v>
      </c>
      <c r="C1114" s="5" t="s">
        <v>18</v>
      </c>
      <c r="D1114" s="5" t="s">
        <v>19</v>
      </c>
      <c r="E1114" s="5" t="s">
        <v>56</v>
      </c>
      <c r="F1114" s="9">
        <v>90</v>
      </c>
      <c r="G1114" s="9">
        <v>1056</v>
      </c>
      <c r="H1114" s="5" t="s">
        <v>21</v>
      </c>
      <c r="I1114" s="5" t="s">
        <v>2618</v>
      </c>
      <c r="J1114" s="12" t="str">
        <f>HYPERLINK("https://www.boe.es/gazeta/dias/1800/11/07/pdfs/GMD-1800-90.pdf#page=10","Abrir facsímil")</f>
        <v>Abrir facsímil</v>
      </c>
      <c r="K1114" s="15" t="s">
        <v>23</v>
      </c>
    </row>
    <row r="1115" spans="1:11" ht="42" customHeight="1">
      <c r="A1115" s="4" t="s">
        <v>2619</v>
      </c>
      <c r="B1115" s="5" t="s">
        <v>2620</v>
      </c>
      <c r="C1115" s="5" t="s">
        <v>18</v>
      </c>
      <c r="D1115" s="5" t="s">
        <v>19</v>
      </c>
      <c r="E1115" s="5" t="s">
        <v>56</v>
      </c>
      <c r="F1115" s="9">
        <v>90</v>
      </c>
      <c r="G1115" s="9">
        <v>1056</v>
      </c>
      <c r="H1115" s="5" t="s">
        <v>21</v>
      </c>
      <c r="I1115" s="5" t="s">
        <v>2621</v>
      </c>
      <c r="J1115" s="12" t="str">
        <f>HYPERLINK("https://www.boe.es/gazeta/dias/1800/11/07/pdfs/GMD-1800-90.pdf#page=10","Abrir facsímil")</f>
        <v>Abrir facsímil</v>
      </c>
      <c r="K1115" s="15" t="s">
        <v>23</v>
      </c>
    </row>
    <row r="1116" spans="1:11" ht="42" customHeight="1">
      <c r="A1116" s="4" t="s">
        <v>2622</v>
      </c>
      <c r="B1116" s="5" t="s">
        <v>2623</v>
      </c>
      <c r="C1116" s="5" t="s">
        <v>18</v>
      </c>
      <c r="D1116" s="5" t="s">
        <v>19</v>
      </c>
      <c r="E1116" s="5" t="s">
        <v>139</v>
      </c>
      <c r="F1116" s="9">
        <v>2</v>
      </c>
      <c r="G1116" s="9">
        <v>17</v>
      </c>
      <c r="H1116" s="5" t="s">
        <v>21</v>
      </c>
      <c r="I1116" s="5" t="s">
        <v>2624</v>
      </c>
      <c r="J1116" s="12" t="str">
        <f>HYPERLINK("https://www.boe.es/gazeta/dias/1800/01/07/pdfs/GMD-1800-2.pdf#page=9","Abrir facsímil")</f>
        <v>Abrir facsímil</v>
      </c>
      <c r="K1116" s="15" t="s">
        <v>23</v>
      </c>
    </row>
    <row r="1117" spans="1:11" ht="42" customHeight="1">
      <c r="A1117" s="4" t="s">
        <v>2625</v>
      </c>
      <c r="B1117" s="5" t="s">
        <v>2626</v>
      </c>
      <c r="C1117" s="5" t="s">
        <v>18</v>
      </c>
      <c r="D1117" s="5" t="s">
        <v>19</v>
      </c>
      <c r="E1117" s="5" t="s">
        <v>283</v>
      </c>
      <c r="F1117" s="9">
        <v>68</v>
      </c>
      <c r="G1117" s="9">
        <v>765</v>
      </c>
      <c r="H1117" s="5" t="s">
        <v>21</v>
      </c>
      <c r="I1117" s="5" t="s">
        <v>2627</v>
      </c>
      <c r="J1117" s="12" t="str">
        <f>HYPERLINK("https://www.boe.es/gazeta/dias/1800/08/26/pdfs/GMD-1800-68.pdf#page=9","Abrir facsímil")</f>
        <v>Abrir facsímil</v>
      </c>
      <c r="K1117" s="15" t="s">
        <v>23</v>
      </c>
    </row>
    <row r="1118" spans="1:11" ht="42" customHeight="1">
      <c r="A1118" s="4" t="s">
        <v>2625</v>
      </c>
      <c r="B1118" s="5" t="s">
        <v>2626</v>
      </c>
      <c r="C1118" s="5" t="s">
        <v>207</v>
      </c>
      <c r="D1118" s="5" t="s">
        <v>55</v>
      </c>
      <c r="E1118" s="5" t="s">
        <v>572</v>
      </c>
      <c r="F1118" s="9">
        <v>76</v>
      </c>
      <c r="G1118" s="9">
        <v>867</v>
      </c>
      <c r="H1118" s="5" t="s">
        <v>21</v>
      </c>
      <c r="I1118" s="5" t="s">
        <v>2628</v>
      </c>
      <c r="J1118" s="12" t="str">
        <f>HYPERLINK("https://www.boe.es/gazeta/dias/1800/09/19/pdfs/GMD-1800-76.pdf#page=9","Abrir facsímil")</f>
        <v>Abrir facsímil</v>
      </c>
      <c r="K1118" s="15" t="s">
        <v>23</v>
      </c>
    </row>
    <row r="1119" spans="1:11" ht="42" customHeight="1">
      <c r="A1119" s="4" t="s">
        <v>2629</v>
      </c>
      <c r="B1119" s="5" t="s">
        <v>2629</v>
      </c>
      <c r="C1119" s="5" t="s">
        <v>25</v>
      </c>
      <c r="D1119" s="5" t="s">
        <v>26</v>
      </c>
      <c r="E1119" s="5" t="s">
        <v>545</v>
      </c>
      <c r="F1119" s="9">
        <v>14</v>
      </c>
      <c r="G1119" s="9">
        <v>135</v>
      </c>
      <c r="H1119" s="5" t="s">
        <v>21</v>
      </c>
      <c r="I1119" s="5" t="s">
        <v>2630</v>
      </c>
      <c r="J1119" s="12" t="str">
        <f>HYPERLINK("https://www.boe.es/gazeta/dias/1800/02/18/pdfs/GMD-1800-14.pdf#page=7","Abrir facsímil")</f>
        <v>Abrir facsímil</v>
      </c>
      <c r="K1119" s="15" t="s">
        <v>23</v>
      </c>
    </row>
    <row r="1120" spans="1:11" ht="42" customHeight="1">
      <c r="A1120" s="4" t="s">
        <v>2631</v>
      </c>
      <c r="B1120" s="5" t="s">
        <v>2632</v>
      </c>
      <c r="C1120" s="5" t="s">
        <v>25</v>
      </c>
      <c r="D1120" s="5" t="s">
        <v>26</v>
      </c>
      <c r="E1120" s="5" t="s">
        <v>406</v>
      </c>
      <c r="F1120" s="9">
        <v>44</v>
      </c>
      <c r="G1120" s="9">
        <v>464</v>
      </c>
      <c r="H1120" s="5" t="s">
        <v>21</v>
      </c>
      <c r="I1120" s="5" t="s">
        <v>2633</v>
      </c>
      <c r="J1120" s="12" t="str">
        <f>HYPERLINK("https://www.boe.es/gazeta/dias/1800/06/03/pdfs/GMD-1800-44.pdf#page=12","Abrir facsímil")</f>
        <v>Abrir facsímil</v>
      </c>
      <c r="K1120" s="15" t="s">
        <v>23</v>
      </c>
    </row>
    <row r="1121" spans="1:11" ht="42" customHeight="1">
      <c r="A1121" s="4" t="s">
        <v>2634</v>
      </c>
      <c r="B1121" s="5" t="s">
        <v>2635</v>
      </c>
      <c r="C1121" s="5" t="s">
        <v>41</v>
      </c>
      <c r="D1121" s="5" t="s">
        <v>42</v>
      </c>
      <c r="E1121" s="5" t="s">
        <v>143</v>
      </c>
      <c r="F1121" s="9">
        <v>22</v>
      </c>
      <c r="G1121" s="9">
        <v>218</v>
      </c>
      <c r="H1121" s="5" t="s">
        <v>21</v>
      </c>
      <c r="I1121" s="5" t="s">
        <v>2636</v>
      </c>
      <c r="J1121" s="12" t="str">
        <f>HYPERLINK("https://www.boe.es/gazeta/dias/1800/03/18/pdfs/GMD-1800-22.pdf#page=10","Abrir facsímil")</f>
        <v>Abrir facsímil</v>
      </c>
      <c r="K1121" s="15" t="s">
        <v>23</v>
      </c>
    </row>
    <row r="1122" spans="1:11" ht="42" customHeight="1">
      <c r="A1122" s="4" t="s">
        <v>2637</v>
      </c>
      <c r="B1122" s="5" t="s">
        <v>2638</v>
      </c>
      <c r="C1122" s="5" t="s">
        <v>18</v>
      </c>
      <c r="D1122" s="5" t="s">
        <v>19</v>
      </c>
      <c r="E1122" s="5" t="s">
        <v>50</v>
      </c>
      <c r="F1122" s="9">
        <v>81</v>
      </c>
      <c r="G1122" s="9">
        <v>918</v>
      </c>
      <c r="H1122" s="5" t="s">
        <v>21</v>
      </c>
      <c r="I1122" s="5" t="s">
        <v>2639</v>
      </c>
      <c r="J1122" s="12" t="str">
        <f>HYPERLINK("https://www.boe.es/gazeta/dias/1800/10/07/pdfs/GMD-1800-81.pdf#page=8","Abrir facsímil")</f>
        <v>Abrir facsímil</v>
      </c>
      <c r="K1122" s="15" t="s">
        <v>23</v>
      </c>
    </row>
    <row r="1123" spans="1:11" ht="42" customHeight="1">
      <c r="A1123" s="4" t="s">
        <v>2640</v>
      </c>
      <c r="B1123" s="5" t="s">
        <v>2640</v>
      </c>
      <c r="C1123" s="5" t="s">
        <v>41</v>
      </c>
      <c r="D1123" s="5" t="s">
        <v>42</v>
      </c>
      <c r="E1123" s="5" t="s">
        <v>1231</v>
      </c>
      <c r="F1123" s="9">
        <v>36</v>
      </c>
      <c r="G1123" s="9">
        <v>364</v>
      </c>
      <c r="H1123" s="5" t="s">
        <v>21</v>
      </c>
      <c r="I1123" s="5" t="s">
        <v>2641</v>
      </c>
      <c r="J1123" s="12" t="str">
        <f>HYPERLINK("https://www.boe.es/gazeta/dias/1800/05/06/pdfs/GMD-1800-36.pdf#page=8","Abrir facsímil")</f>
        <v>Abrir facsímil</v>
      </c>
      <c r="K1123" s="15" t="s">
        <v>23</v>
      </c>
    </row>
    <row r="1124" spans="1:11" ht="42" customHeight="1">
      <c r="A1124" s="4" t="s">
        <v>2642</v>
      </c>
      <c r="B1124" s="5" t="s">
        <v>2643</v>
      </c>
      <c r="C1124" s="5" t="s">
        <v>84</v>
      </c>
      <c r="D1124" s="5" t="s">
        <v>85</v>
      </c>
      <c r="E1124" s="5" t="s">
        <v>600</v>
      </c>
      <c r="F1124" s="9">
        <v>45</v>
      </c>
      <c r="G1124" s="9">
        <v>475</v>
      </c>
      <c r="H1124" s="5" t="s">
        <v>21</v>
      </c>
      <c r="I1124" s="5" t="s">
        <v>2644</v>
      </c>
      <c r="J1124" s="12" t="str">
        <f>HYPERLINK("https://www.boe.es/gazeta/dias/1800/06/06/pdfs/GMD-1800-45.pdf#page=11","Abrir facsímil")</f>
        <v>Abrir facsímil</v>
      </c>
      <c r="K1124" s="15" t="s">
        <v>23</v>
      </c>
    </row>
    <row r="1125" spans="1:11" ht="42" customHeight="1">
      <c r="A1125" s="4" t="s">
        <v>2642</v>
      </c>
      <c r="B1125" s="5" t="s">
        <v>2643</v>
      </c>
      <c r="C1125" s="5" t="s">
        <v>84</v>
      </c>
      <c r="D1125" s="5" t="s">
        <v>85</v>
      </c>
      <c r="E1125" s="5" t="s">
        <v>90</v>
      </c>
      <c r="F1125" s="9">
        <v>58</v>
      </c>
      <c r="G1125" s="9">
        <v>664</v>
      </c>
      <c r="H1125" s="5" t="s">
        <v>21</v>
      </c>
      <c r="I1125" s="5" t="s">
        <v>2645</v>
      </c>
      <c r="J1125" s="12" t="str">
        <f>HYPERLINK("https://www.boe.es/gazeta/dias/1800/07/22/pdfs/GMD-1800-58.pdf#page=12","Abrir facsímil")</f>
        <v>Abrir facsímil</v>
      </c>
      <c r="K1125" s="15" t="s">
        <v>23</v>
      </c>
    </row>
    <row r="1126" spans="1:11" ht="42" customHeight="1">
      <c r="A1126" s="4" t="s">
        <v>2646</v>
      </c>
      <c r="B1126" s="5" t="s">
        <v>2647</v>
      </c>
      <c r="C1126" s="5" t="s">
        <v>25</v>
      </c>
      <c r="D1126" s="5" t="s">
        <v>26</v>
      </c>
      <c r="E1126" s="5" t="s">
        <v>135</v>
      </c>
      <c r="F1126" s="9">
        <v>73</v>
      </c>
      <c r="G1126" s="9">
        <v>818</v>
      </c>
      <c r="H1126" s="5" t="s">
        <v>21</v>
      </c>
      <c r="I1126" s="5" t="s">
        <v>2648</v>
      </c>
      <c r="J1126" s="12" t="str">
        <f>HYPERLINK("https://www.boe.es/gazeta/dias/1800/09/09/pdfs/GMD-1800-73.pdf#page=12","Abrir facsímil")</f>
        <v>Abrir facsímil</v>
      </c>
      <c r="K1126" s="15" t="s">
        <v>23</v>
      </c>
    </row>
    <row r="1127" spans="1:11" ht="42" customHeight="1">
      <c r="A1127" s="4" t="s">
        <v>2649</v>
      </c>
      <c r="B1127" s="5" t="s">
        <v>2650</v>
      </c>
      <c r="C1127" s="5" t="s">
        <v>25</v>
      </c>
      <c r="D1127" s="5" t="s">
        <v>26</v>
      </c>
      <c r="E1127" s="5" t="s">
        <v>20</v>
      </c>
      <c r="F1127" s="9">
        <v>104</v>
      </c>
      <c r="G1127" s="9">
        <v>1212</v>
      </c>
      <c r="H1127" s="5" t="s">
        <v>21</v>
      </c>
      <c r="I1127" s="5" t="s">
        <v>2651</v>
      </c>
      <c r="J1127" s="12" t="str">
        <f>HYPERLINK("https://www.boe.es/gazeta/dias/1800/12/26/pdfs/GMD-1800-104.pdf#page=12","Abrir facsímil")</f>
        <v>Abrir facsímil</v>
      </c>
      <c r="K1127" s="15" t="s">
        <v>23</v>
      </c>
    </row>
    <row r="1128" spans="1:11" ht="42" customHeight="1">
      <c r="A1128" s="4" t="s">
        <v>2652</v>
      </c>
      <c r="B1128" s="5" t="s">
        <v>2653</v>
      </c>
      <c r="C1128" s="5" t="s">
        <v>25</v>
      </c>
      <c r="D1128" s="5" t="s">
        <v>26</v>
      </c>
      <c r="E1128" s="5" t="s">
        <v>410</v>
      </c>
      <c r="F1128" s="9">
        <v>87</v>
      </c>
      <c r="G1128" s="9">
        <v>1010</v>
      </c>
      <c r="H1128" s="5" t="s">
        <v>21</v>
      </c>
      <c r="I1128" s="5" t="s">
        <v>2654</v>
      </c>
      <c r="J1128" s="12" t="str">
        <f>HYPERLINK("https://www.boe.es/gazeta/dias/1800/10/28/pdfs/GMD-1800-87.pdf#page=8","Abrir facsímil")</f>
        <v>Abrir facsímil</v>
      </c>
      <c r="K1128" s="15" t="s">
        <v>23</v>
      </c>
    </row>
    <row r="1129" spans="1:11" ht="42" customHeight="1">
      <c r="A1129" s="4" t="s">
        <v>2655</v>
      </c>
      <c r="B1129" s="5" t="s">
        <v>2656</v>
      </c>
      <c r="C1129" s="5" t="s">
        <v>25</v>
      </c>
      <c r="D1129" s="5" t="s">
        <v>26</v>
      </c>
      <c r="E1129" s="5" t="s">
        <v>530</v>
      </c>
      <c r="F1129" s="9">
        <v>55</v>
      </c>
      <c r="G1129" s="9">
        <v>621</v>
      </c>
      <c r="H1129" s="5" t="s">
        <v>21</v>
      </c>
      <c r="I1129" s="5" t="s">
        <v>2657</v>
      </c>
      <c r="J1129" s="12" t="str">
        <f>HYPERLINK("https://www.boe.es/gazeta/dias/1800/07/11/pdfs/GMD-1800-55.pdf#page=9","Abrir facsímil")</f>
        <v>Abrir facsímil</v>
      </c>
      <c r="K1129" s="15" t="s">
        <v>23</v>
      </c>
    </row>
    <row r="1130" spans="1:11" ht="42" customHeight="1">
      <c r="A1130" s="4" t="s">
        <v>2658</v>
      </c>
      <c r="B1130" s="5" t="s">
        <v>2659</v>
      </c>
      <c r="C1130" s="5" t="s">
        <v>18</v>
      </c>
      <c r="D1130" s="5" t="s">
        <v>19</v>
      </c>
      <c r="E1130" s="5" t="s">
        <v>56</v>
      </c>
      <c r="F1130" s="9">
        <v>90</v>
      </c>
      <c r="G1130" s="9">
        <v>1055</v>
      </c>
      <c r="H1130" s="5" t="s">
        <v>21</v>
      </c>
      <c r="I1130" s="5" t="s">
        <v>2660</v>
      </c>
      <c r="J1130" s="12" t="str">
        <f>HYPERLINK("https://www.boe.es/gazeta/dias/1800/11/07/pdfs/GMD-1800-90.pdf#page=9","Abrir facsímil")</f>
        <v>Abrir facsímil</v>
      </c>
      <c r="K1130" s="15" t="s">
        <v>23</v>
      </c>
    </row>
    <row r="1131" spans="1:11" ht="42" customHeight="1">
      <c r="A1131" s="4" t="s">
        <v>2661</v>
      </c>
      <c r="B1131" s="5" t="s">
        <v>2661</v>
      </c>
      <c r="C1131" s="5" t="s">
        <v>18</v>
      </c>
      <c r="D1131" s="5" t="s">
        <v>19</v>
      </c>
      <c r="E1131" s="5" t="s">
        <v>64</v>
      </c>
      <c r="F1131" s="9">
        <v>54</v>
      </c>
      <c r="G1131" s="9">
        <v>606</v>
      </c>
      <c r="H1131" s="5" t="s">
        <v>21</v>
      </c>
      <c r="I1131" s="5" t="s">
        <v>2662</v>
      </c>
      <c r="J1131" s="12" t="str">
        <f>HYPERLINK("https://www.boe.es/gazeta/dias/1800/07/08/pdfs/GMD-1800-54.pdf#page=10","Abrir facsímil")</f>
        <v>Abrir facsímil</v>
      </c>
      <c r="K1131" s="15" t="s">
        <v>23</v>
      </c>
    </row>
    <row r="1132" spans="1:11" ht="42" customHeight="1">
      <c r="A1132" s="4" t="s">
        <v>2663</v>
      </c>
      <c r="B1132" s="5" t="s">
        <v>2664</v>
      </c>
      <c r="C1132" s="5" t="s">
        <v>171</v>
      </c>
      <c r="D1132" s="5" t="s">
        <v>172</v>
      </c>
      <c r="E1132" s="5" t="s">
        <v>64</v>
      </c>
      <c r="F1132" s="9">
        <v>54</v>
      </c>
      <c r="G1132" s="9">
        <v>612</v>
      </c>
      <c r="H1132" s="5" t="s">
        <v>21</v>
      </c>
      <c r="I1132" s="5" t="s">
        <v>2665</v>
      </c>
      <c r="J1132" s="12" t="str">
        <f>HYPERLINK("https://www.boe.es/gazeta/dias/1800/07/08/pdfs/GMD-C-1800-54.pdf#page=4","Abrir facsímil")</f>
        <v>Abrir facsímil</v>
      </c>
      <c r="K1132" s="15" t="s">
        <v>23</v>
      </c>
    </row>
    <row r="1133" spans="1:11" ht="42" customHeight="1">
      <c r="A1133" s="4" t="s">
        <v>2666</v>
      </c>
      <c r="B1133" s="5" t="s">
        <v>2666</v>
      </c>
      <c r="C1133" s="5" t="s">
        <v>25</v>
      </c>
      <c r="D1133" s="5" t="s">
        <v>26</v>
      </c>
      <c r="E1133" s="5" t="s">
        <v>52</v>
      </c>
      <c r="F1133" s="9">
        <v>83</v>
      </c>
      <c r="G1133" s="9">
        <v>963</v>
      </c>
      <c r="H1133" s="5" t="s">
        <v>21</v>
      </c>
      <c r="I1133" s="5" t="s">
        <v>2667</v>
      </c>
      <c r="J1133" s="12" t="str">
        <f>HYPERLINK("https://www.boe.es/gazeta/dias/1800/10/14/pdfs/GMD-1800-83.pdf#page=9","Abrir facsímil")</f>
        <v>Abrir facsímil</v>
      </c>
      <c r="K1133" s="15" t="s">
        <v>23</v>
      </c>
    </row>
    <row r="1134" spans="1:11" ht="42" customHeight="1">
      <c r="A1134" s="4" t="s">
        <v>2668</v>
      </c>
      <c r="B1134" s="5" t="s">
        <v>2669</v>
      </c>
      <c r="C1134" s="5" t="s">
        <v>18</v>
      </c>
      <c r="D1134" s="5" t="s">
        <v>19</v>
      </c>
      <c r="E1134" s="5" t="s">
        <v>262</v>
      </c>
      <c r="F1134" s="9">
        <v>39</v>
      </c>
      <c r="G1134" s="9">
        <v>400</v>
      </c>
      <c r="H1134" s="5" t="s">
        <v>21</v>
      </c>
      <c r="I1134" s="5" t="s">
        <v>2670</v>
      </c>
      <c r="J1134" s="12" t="str">
        <f>HYPERLINK("https://www.boe.es/gazeta/dias/1800/05/16/pdfs/GMD-1800-39.pdf#page=8","Abrir facsímil")</f>
        <v>Abrir facsímil</v>
      </c>
      <c r="K1134" s="15" t="s">
        <v>23</v>
      </c>
    </row>
    <row r="1135" spans="1:11" ht="42" customHeight="1">
      <c r="A1135" s="4" t="s">
        <v>2671</v>
      </c>
      <c r="B1135" s="5" t="s">
        <v>2672</v>
      </c>
      <c r="C1135" s="5" t="s">
        <v>207</v>
      </c>
      <c r="D1135" s="5" t="s">
        <v>55</v>
      </c>
      <c r="E1135" s="5" t="s">
        <v>836</v>
      </c>
      <c r="F1135" s="9">
        <v>71</v>
      </c>
      <c r="G1135" s="9">
        <v>789</v>
      </c>
      <c r="H1135" s="5" t="s">
        <v>21</v>
      </c>
      <c r="I1135" s="5" t="s">
        <v>2673</v>
      </c>
      <c r="J1135" s="12" t="str">
        <f>HYPERLINK("https://www.boe.es/gazeta/dias/1800/09/02/pdfs/GMD-1800-71.pdf#page=7","Abrir facsímil")</f>
        <v>Abrir facsímil</v>
      </c>
      <c r="K1135" s="15" t="s">
        <v>23</v>
      </c>
    </row>
    <row r="1136" spans="1:11" ht="42" customHeight="1">
      <c r="A1136" s="4" t="s">
        <v>2674</v>
      </c>
      <c r="B1136" s="5" t="s">
        <v>2675</v>
      </c>
      <c r="C1136" s="5" t="s">
        <v>18</v>
      </c>
      <c r="D1136" s="5" t="s">
        <v>19</v>
      </c>
      <c r="E1136" s="5" t="s">
        <v>583</v>
      </c>
      <c r="F1136" s="9">
        <v>77</v>
      </c>
      <c r="G1136" s="9">
        <v>878</v>
      </c>
      <c r="H1136" s="5" t="s">
        <v>21</v>
      </c>
      <c r="I1136" s="5" t="s">
        <v>2676</v>
      </c>
      <c r="J1136" s="12" t="str">
        <f>HYPERLINK("https://www.boe.es/gazeta/dias/1800/09/23/pdfs/GMD-1800-77.pdf#page=8","Abrir facsímil")</f>
        <v>Abrir facsímil</v>
      </c>
      <c r="K1136" s="15" t="s">
        <v>23</v>
      </c>
    </row>
    <row r="1137" spans="1:11" ht="42" customHeight="1">
      <c r="A1137" s="4" t="s">
        <v>2677</v>
      </c>
      <c r="B1137" s="5" t="s">
        <v>2677</v>
      </c>
      <c r="C1137" s="5" t="s">
        <v>41</v>
      </c>
      <c r="D1137" s="5" t="s">
        <v>42</v>
      </c>
      <c r="E1137" s="5" t="s">
        <v>88</v>
      </c>
      <c r="F1137" s="9">
        <v>23</v>
      </c>
      <c r="G1137" s="9">
        <v>231</v>
      </c>
      <c r="H1137" s="5" t="s">
        <v>21</v>
      </c>
      <c r="I1137" s="5" t="s">
        <v>2678</v>
      </c>
      <c r="J1137" s="12" t="str">
        <f>HYPERLINK("https://www.boe.es/gazeta/dias/1800/03/21/pdfs/GMD-1800-23.pdf#page=7","Abrir facsímil")</f>
        <v>Abrir facsímil</v>
      </c>
      <c r="K1137" s="15" t="s">
        <v>23</v>
      </c>
    </row>
    <row r="1138" spans="1:11" ht="42" customHeight="1">
      <c r="A1138" s="4" t="s">
        <v>2679</v>
      </c>
      <c r="B1138" s="5" t="s">
        <v>2680</v>
      </c>
      <c r="C1138" s="5" t="s">
        <v>207</v>
      </c>
      <c r="D1138" s="5" t="s">
        <v>55</v>
      </c>
      <c r="E1138" s="5" t="s">
        <v>240</v>
      </c>
      <c r="F1138" s="9">
        <v>26</v>
      </c>
      <c r="G1138" s="9">
        <v>270</v>
      </c>
      <c r="H1138" s="5" t="s">
        <v>21</v>
      </c>
      <c r="I1138" s="5" t="s">
        <v>2681</v>
      </c>
      <c r="J1138" s="12" t="str">
        <f>HYPERLINK("https://www.boe.es/gazeta/dias/1800/04/01/pdfs/GMD-1800-26.pdf#page=10","Abrir facsímil")</f>
        <v>Abrir facsímil</v>
      </c>
      <c r="K1138" s="15" t="s">
        <v>23</v>
      </c>
    </row>
    <row r="1139" spans="1:11" ht="42" customHeight="1">
      <c r="A1139" s="4" t="s">
        <v>2682</v>
      </c>
      <c r="B1139" s="5" t="s">
        <v>2683</v>
      </c>
      <c r="C1139" s="5" t="s">
        <v>18</v>
      </c>
      <c r="D1139" s="5" t="s">
        <v>19</v>
      </c>
      <c r="E1139" s="5" t="s">
        <v>530</v>
      </c>
      <c r="F1139" s="9">
        <v>55</v>
      </c>
      <c r="G1139" s="9">
        <v>622</v>
      </c>
      <c r="H1139" s="5" t="s">
        <v>21</v>
      </c>
      <c r="I1139" s="5" t="s">
        <v>2684</v>
      </c>
      <c r="J1139" s="12" t="str">
        <f>HYPERLINK("https://www.boe.es/gazeta/dias/1800/07/11/pdfs/GMD-1800-55.pdf#page=10","Abrir facsímil")</f>
        <v>Abrir facsímil</v>
      </c>
      <c r="K1139" s="15" t="s">
        <v>23</v>
      </c>
    </row>
    <row r="1140" spans="1:11" ht="42" customHeight="1">
      <c r="A1140" s="4" t="s">
        <v>2685</v>
      </c>
      <c r="B1140" s="5" t="s">
        <v>2686</v>
      </c>
      <c r="C1140" s="5" t="s">
        <v>18</v>
      </c>
      <c r="D1140" s="5" t="s">
        <v>19</v>
      </c>
      <c r="E1140" s="5" t="s">
        <v>314</v>
      </c>
      <c r="F1140" s="9">
        <v>74</v>
      </c>
      <c r="G1140" s="9">
        <v>832</v>
      </c>
      <c r="H1140" s="5" t="s">
        <v>21</v>
      </c>
      <c r="I1140" s="5" t="s">
        <v>2687</v>
      </c>
      <c r="J1140" s="12" t="str">
        <f>HYPERLINK("https://www.boe.es/gazeta/dias/1800/09/12/pdfs/GMD-1800-74.pdf#page=10","Abrir facsímil")</f>
        <v>Abrir facsímil</v>
      </c>
      <c r="K1140" s="15" t="s">
        <v>23</v>
      </c>
    </row>
    <row r="1141" spans="1:11" ht="42" customHeight="1">
      <c r="A1141" s="4" t="s">
        <v>2688</v>
      </c>
      <c r="B1141" s="5" t="s">
        <v>2689</v>
      </c>
      <c r="C1141" s="5" t="s">
        <v>25</v>
      </c>
      <c r="D1141" s="5" t="s">
        <v>26</v>
      </c>
      <c r="E1141" s="5" t="s">
        <v>43</v>
      </c>
      <c r="F1141" s="9">
        <v>46</v>
      </c>
      <c r="G1141" s="9">
        <v>487</v>
      </c>
      <c r="H1141" s="5" t="s">
        <v>21</v>
      </c>
      <c r="I1141" s="5" t="s">
        <v>2690</v>
      </c>
      <c r="J1141" s="12" t="str">
        <f>HYPERLINK("https://www.boe.es/gazeta/dias/1800/06/10/pdfs/GMD-1800-46.pdf#page=11","Abrir facsímil")</f>
        <v>Abrir facsímil</v>
      </c>
      <c r="K1141" s="15" t="s">
        <v>23</v>
      </c>
    </row>
    <row r="1142" spans="1:11" ht="42" customHeight="1">
      <c r="A1142" s="4" t="s">
        <v>2691</v>
      </c>
      <c r="B1142" s="5" t="s">
        <v>2692</v>
      </c>
      <c r="C1142" s="5" t="s">
        <v>84</v>
      </c>
      <c r="D1142" s="5" t="s">
        <v>85</v>
      </c>
      <c r="E1142" s="5" t="s">
        <v>214</v>
      </c>
      <c r="F1142" s="9">
        <v>41</v>
      </c>
      <c r="G1142" s="9">
        <v>423</v>
      </c>
      <c r="H1142" s="5" t="s">
        <v>21</v>
      </c>
      <c r="I1142" s="5" t="s">
        <v>2693</v>
      </c>
      <c r="J1142" s="12" t="str">
        <f>HYPERLINK("https://www.boe.es/gazeta/dias/1800/05/23/pdfs/GMD-1800-41.pdf#page=7","Abrir facsímil")</f>
        <v>Abrir facsímil</v>
      </c>
      <c r="K1142" s="15" t="s">
        <v>23</v>
      </c>
    </row>
    <row r="1143" spans="1:11" ht="42" customHeight="1">
      <c r="A1143" s="4" t="s">
        <v>2694</v>
      </c>
      <c r="B1143" s="5" t="s">
        <v>2695</v>
      </c>
      <c r="C1143" s="5" t="s">
        <v>18</v>
      </c>
      <c r="D1143" s="5" t="s">
        <v>19</v>
      </c>
      <c r="E1143" s="5" t="s">
        <v>836</v>
      </c>
      <c r="F1143" s="9">
        <v>71</v>
      </c>
      <c r="G1143" s="9">
        <v>789</v>
      </c>
      <c r="H1143" s="5" t="s">
        <v>21</v>
      </c>
      <c r="I1143" s="5" t="s">
        <v>2696</v>
      </c>
      <c r="J1143" s="12" t="str">
        <f>HYPERLINK("https://www.boe.es/gazeta/dias/1800/09/02/pdfs/GMD-1800-71.pdf#page=7","Abrir facsímil")</f>
        <v>Abrir facsímil</v>
      </c>
      <c r="K1143" s="15" t="s">
        <v>23</v>
      </c>
    </row>
    <row r="1144" spans="1:11" ht="42" customHeight="1">
      <c r="A1144" s="4" t="s">
        <v>2697</v>
      </c>
      <c r="B1144" s="5" t="s">
        <v>2698</v>
      </c>
      <c r="C1144" s="5" t="s">
        <v>18</v>
      </c>
      <c r="D1144" s="5" t="s">
        <v>19</v>
      </c>
      <c r="E1144" s="5" t="s">
        <v>1213</v>
      </c>
      <c r="F1144" s="9">
        <v>4</v>
      </c>
      <c r="G1144" s="9">
        <v>36</v>
      </c>
      <c r="H1144" s="5" t="s">
        <v>21</v>
      </c>
      <c r="I1144" s="5" t="s">
        <v>2699</v>
      </c>
      <c r="J1144" s="12" t="str">
        <f>HYPERLINK("https://www.boe.es/gazeta/dias/1800/01/14/pdfs/GMD-1800-4.pdf#page=8","Abrir facsímil")</f>
        <v>Abrir facsímil</v>
      </c>
      <c r="K1144" s="15" t="s">
        <v>23</v>
      </c>
    </row>
    <row r="1145" spans="1:11" ht="42" customHeight="1">
      <c r="A1145" s="4" t="s">
        <v>2700</v>
      </c>
      <c r="B1145" s="5" t="s">
        <v>2701</v>
      </c>
      <c r="C1145" s="5" t="s">
        <v>18</v>
      </c>
      <c r="D1145" s="5" t="s">
        <v>19</v>
      </c>
      <c r="E1145" s="5" t="s">
        <v>306</v>
      </c>
      <c r="F1145" s="9">
        <v>79</v>
      </c>
      <c r="G1145" s="9">
        <v>900</v>
      </c>
      <c r="H1145" s="5" t="s">
        <v>21</v>
      </c>
      <c r="I1145" s="5" t="s">
        <v>2702</v>
      </c>
      <c r="J1145" s="12" t="str">
        <f>HYPERLINK("https://www.boe.es/gazeta/dias/1800/09/30/pdfs/GMD-1800-79.pdf#page=10","Abrir facsímil")</f>
        <v>Abrir facsímil</v>
      </c>
      <c r="K1145" s="15" t="s">
        <v>23</v>
      </c>
    </row>
    <row r="1146" spans="1:11" ht="42" customHeight="1">
      <c r="A1146" s="4" t="s">
        <v>2703</v>
      </c>
      <c r="B1146" s="5" t="s">
        <v>2704</v>
      </c>
      <c r="C1146" s="5" t="s">
        <v>18</v>
      </c>
      <c r="D1146" s="5" t="s">
        <v>19</v>
      </c>
      <c r="E1146" s="5" t="s">
        <v>836</v>
      </c>
      <c r="F1146" s="9">
        <v>71</v>
      </c>
      <c r="G1146" s="9">
        <v>789</v>
      </c>
      <c r="H1146" s="5" t="s">
        <v>21</v>
      </c>
      <c r="I1146" s="5" t="s">
        <v>2705</v>
      </c>
      <c r="J1146" s="12" t="str">
        <f>HYPERLINK("https://www.boe.es/gazeta/dias/1800/09/02/pdfs/GMD-1800-71.pdf#page=7","Abrir facsímil")</f>
        <v>Abrir facsímil</v>
      </c>
      <c r="K1146" s="15" t="s">
        <v>23</v>
      </c>
    </row>
    <row r="1147" spans="1:11" ht="42" customHeight="1">
      <c r="A1147" s="4" t="s">
        <v>2706</v>
      </c>
      <c r="B1147" s="5" t="s">
        <v>2707</v>
      </c>
      <c r="C1147" s="5" t="s">
        <v>25</v>
      </c>
      <c r="D1147" s="5" t="s">
        <v>26</v>
      </c>
      <c r="E1147" s="5" t="s">
        <v>184</v>
      </c>
      <c r="F1147" s="9">
        <v>82</v>
      </c>
      <c r="G1147" s="9">
        <v>950</v>
      </c>
      <c r="H1147" s="5" t="s">
        <v>21</v>
      </c>
      <c r="I1147" s="5" t="s">
        <v>2708</v>
      </c>
      <c r="J1147" s="12" t="str">
        <f>HYPERLINK("https://www.boe.es/gazeta/dias/1800/10/10/pdfs/GMD-1800-82.pdf#page=8","Abrir facsímil")</f>
        <v>Abrir facsímil</v>
      </c>
      <c r="K1147" s="15" t="s">
        <v>23</v>
      </c>
    </row>
    <row r="1148" spans="1:11" ht="42" customHeight="1">
      <c r="A1148" s="4" t="s">
        <v>2709</v>
      </c>
      <c r="B1148" s="5" t="s">
        <v>2709</v>
      </c>
      <c r="C1148" s="5" t="s">
        <v>41</v>
      </c>
      <c r="D1148" s="5" t="s">
        <v>42</v>
      </c>
      <c r="E1148" s="5" t="s">
        <v>590</v>
      </c>
      <c r="F1148" s="9">
        <v>69</v>
      </c>
      <c r="G1148" s="9">
        <v>770</v>
      </c>
      <c r="H1148" s="5" t="s">
        <v>21</v>
      </c>
      <c r="I1148" s="5" t="s">
        <v>2710</v>
      </c>
      <c r="J1148" s="12" t="str">
        <f>HYPERLINK("https://www.boe.es/gazeta/dias/1800/08/29/pdfs/GMD-1800-69.pdf#page=2","Abrir facsímil")</f>
        <v>Abrir facsímil</v>
      </c>
      <c r="K1148" s="15" t="s">
        <v>23</v>
      </c>
    </row>
    <row r="1149" spans="1:11" ht="42" customHeight="1">
      <c r="A1149" s="4" t="s">
        <v>2709</v>
      </c>
      <c r="B1149" s="5" t="s">
        <v>2709</v>
      </c>
      <c r="C1149" s="5" t="s">
        <v>41</v>
      </c>
      <c r="D1149" s="5" t="s">
        <v>42</v>
      </c>
      <c r="E1149" s="5" t="s">
        <v>279</v>
      </c>
      <c r="F1149" s="9">
        <v>103</v>
      </c>
      <c r="G1149" s="9">
        <v>1191</v>
      </c>
      <c r="H1149" s="5" t="s">
        <v>21</v>
      </c>
      <c r="I1149" s="5" t="s">
        <v>2711</v>
      </c>
      <c r="J1149" s="12" t="str">
        <f>HYPERLINK("https://www.boe.es/gazeta/dias/1800/12/23/pdfs/GMD-1800-103.pdf#page=3","Abrir facsímil")</f>
        <v>Abrir facsímil</v>
      </c>
      <c r="K1149" s="15" t="s">
        <v>23</v>
      </c>
    </row>
    <row r="1150" spans="1:11" ht="42" customHeight="1">
      <c r="A1150" s="4" t="s">
        <v>2712</v>
      </c>
      <c r="B1150" s="5" t="s">
        <v>2713</v>
      </c>
      <c r="C1150" s="5" t="s">
        <v>25</v>
      </c>
      <c r="D1150" s="5" t="s">
        <v>26</v>
      </c>
      <c r="E1150" s="5" t="s">
        <v>139</v>
      </c>
      <c r="F1150" s="9">
        <v>2</v>
      </c>
      <c r="G1150" s="9">
        <v>17</v>
      </c>
      <c r="H1150" s="5" t="s">
        <v>21</v>
      </c>
      <c r="I1150" s="5" t="s">
        <v>2714</v>
      </c>
      <c r="J1150" s="12" t="str">
        <f>HYPERLINK("https://www.boe.es/gazeta/dias/1800/01/07/pdfs/GMD-1800-2.pdf#page=9","Abrir facsímil")</f>
        <v>Abrir facsímil</v>
      </c>
      <c r="K1150" s="15" t="s">
        <v>23</v>
      </c>
    </row>
    <row r="1151" spans="1:11" ht="42" customHeight="1">
      <c r="A1151" s="4" t="s">
        <v>2715</v>
      </c>
      <c r="B1151" s="5" t="s">
        <v>2716</v>
      </c>
      <c r="C1151" s="5" t="s">
        <v>18</v>
      </c>
      <c r="D1151" s="5" t="s">
        <v>19</v>
      </c>
      <c r="E1151" s="5" t="s">
        <v>567</v>
      </c>
      <c r="F1151" s="9">
        <v>3</v>
      </c>
      <c r="G1151" s="9">
        <v>28</v>
      </c>
      <c r="H1151" s="5" t="s">
        <v>21</v>
      </c>
      <c r="I1151" s="5" t="s">
        <v>2717</v>
      </c>
      <c r="J1151" s="12" t="str">
        <f>HYPERLINK("https://www.boe.es/gazeta/dias/1800/01/10/pdfs/GMD-1800-3.pdf#page=8","Abrir facsímil")</f>
        <v>Abrir facsímil</v>
      </c>
      <c r="K1151" s="15" t="s">
        <v>23</v>
      </c>
    </row>
    <row r="1152" spans="1:11" ht="42" customHeight="1">
      <c r="A1152" s="4" t="s">
        <v>2718</v>
      </c>
      <c r="B1152" s="5" t="s">
        <v>2719</v>
      </c>
      <c r="C1152" s="5" t="s">
        <v>41</v>
      </c>
      <c r="D1152" s="5" t="s">
        <v>42</v>
      </c>
      <c r="E1152" s="5" t="s">
        <v>147</v>
      </c>
      <c r="F1152" s="9">
        <v>84</v>
      </c>
      <c r="G1152" s="9">
        <v>972</v>
      </c>
      <c r="H1152" s="5" t="s">
        <v>21</v>
      </c>
      <c r="I1152" s="5" t="s">
        <v>2720</v>
      </c>
      <c r="J1152" s="12" t="str">
        <f>HYPERLINK("https://www.boe.es/gazeta/dias/1800/10/17/pdfs/GMD-1800-84.pdf#page=6","Abrir facsímil")</f>
        <v>Abrir facsímil</v>
      </c>
      <c r="K1152" s="15" t="s">
        <v>23</v>
      </c>
    </row>
    <row r="1153" spans="1:11" ht="42" customHeight="1">
      <c r="A1153" s="4" t="s">
        <v>2721</v>
      </c>
      <c r="B1153" s="5" t="s">
        <v>2722</v>
      </c>
      <c r="C1153" s="5" t="s">
        <v>18</v>
      </c>
      <c r="D1153" s="5" t="s">
        <v>19</v>
      </c>
      <c r="E1153" s="5" t="s">
        <v>31</v>
      </c>
      <c r="F1153" s="9">
        <v>20</v>
      </c>
      <c r="G1153" s="9">
        <v>192</v>
      </c>
      <c r="H1153" s="5" t="s">
        <v>21</v>
      </c>
      <c r="I1153" s="5" t="s">
        <v>2723</v>
      </c>
      <c r="J1153" s="12" t="str">
        <f>HYPERLINK("https://www.boe.es/gazeta/dias/1800/03/11/pdfs/GMD-1800-20.pdf#page=8","Abrir facsímil")</f>
        <v>Abrir facsímil</v>
      </c>
      <c r="K1153" s="15" t="s">
        <v>23</v>
      </c>
    </row>
    <row r="1154" spans="1:11" ht="42" customHeight="1">
      <c r="A1154" s="4" t="s">
        <v>2724</v>
      </c>
      <c r="B1154" s="5" t="s">
        <v>2725</v>
      </c>
      <c r="C1154" s="5" t="s">
        <v>18</v>
      </c>
      <c r="D1154" s="5" t="s">
        <v>19</v>
      </c>
      <c r="E1154" s="5" t="s">
        <v>124</v>
      </c>
      <c r="F1154" s="9">
        <v>16</v>
      </c>
      <c r="G1154" s="9">
        <v>148</v>
      </c>
      <c r="H1154" s="5" t="s">
        <v>21</v>
      </c>
      <c r="I1154" s="5" t="s">
        <v>2726</v>
      </c>
      <c r="J1154" s="12" t="str">
        <f>HYPERLINK("https://www.boe.es/gazeta/dias/1800/02/25/pdfs/GMD-1800-16.pdf#page=4","Abrir facsímil")</f>
        <v>Abrir facsímil</v>
      </c>
      <c r="K1154" s="15" t="s">
        <v>23</v>
      </c>
    </row>
    <row r="1155" spans="1:11" ht="42" customHeight="1">
      <c r="A1155" s="4" t="s">
        <v>2727</v>
      </c>
      <c r="B1155" s="5" t="s">
        <v>2728</v>
      </c>
      <c r="C1155" s="5" t="s">
        <v>18</v>
      </c>
      <c r="D1155" s="5" t="s">
        <v>19</v>
      </c>
      <c r="E1155" s="5" t="s">
        <v>465</v>
      </c>
      <c r="F1155" s="9">
        <v>49</v>
      </c>
      <c r="G1155" s="9">
        <v>530</v>
      </c>
      <c r="H1155" s="5" t="s">
        <v>21</v>
      </c>
      <c r="I1155" s="5" t="s">
        <v>2729</v>
      </c>
      <c r="J1155" s="12" t="str">
        <f>HYPERLINK("https://www.boe.es/gazeta/dias/1800/06/20/pdfs/GMD-1800-49.pdf#page=6","Abrir facsímil")</f>
        <v>Abrir facsímil</v>
      </c>
      <c r="K1155" s="15" t="s">
        <v>23</v>
      </c>
    </row>
    <row r="1156" spans="1:11" ht="42" customHeight="1">
      <c r="A1156" s="4" t="s">
        <v>2727</v>
      </c>
      <c r="B1156" s="5" t="s">
        <v>2728</v>
      </c>
      <c r="C1156" s="5" t="s">
        <v>41</v>
      </c>
      <c r="D1156" s="5" t="s">
        <v>42</v>
      </c>
      <c r="E1156" s="5" t="s">
        <v>120</v>
      </c>
      <c r="F1156" s="9">
        <v>52</v>
      </c>
      <c r="G1156" s="9">
        <v>569</v>
      </c>
      <c r="H1156" s="5" t="s">
        <v>21</v>
      </c>
      <c r="I1156" s="5" t="s">
        <v>2730</v>
      </c>
      <c r="J1156" s="12" t="str">
        <f>HYPERLINK("https://www.boe.es/gazeta/dias/1800/07/01/pdfs/GMD-1800-52.pdf#page=5","Abrir facsímil")</f>
        <v>Abrir facsímil</v>
      </c>
      <c r="K1156" s="15" t="s">
        <v>23</v>
      </c>
    </row>
    <row r="1157" spans="1:11" ht="42" customHeight="1">
      <c r="A1157" s="4" t="s">
        <v>2727</v>
      </c>
      <c r="B1157" s="5" t="s">
        <v>2728</v>
      </c>
      <c r="C1157" s="5" t="s">
        <v>54</v>
      </c>
      <c r="D1157" s="5" t="s">
        <v>55</v>
      </c>
      <c r="E1157" s="5" t="s">
        <v>120</v>
      </c>
      <c r="F1157" s="9">
        <v>52</v>
      </c>
      <c r="G1157" s="9">
        <v>574</v>
      </c>
      <c r="H1157" s="5" t="s">
        <v>21</v>
      </c>
      <c r="I1157" s="5" t="s">
        <v>2731</v>
      </c>
      <c r="J1157" s="12" t="str">
        <f>HYPERLINK("https://www.boe.es/gazeta/dias/1800/07/01/pdfs/GMD-1800-52.pdf#page=10","Abrir facsímil")</f>
        <v>Abrir facsímil</v>
      </c>
      <c r="K1157" s="15" t="s">
        <v>23</v>
      </c>
    </row>
    <row r="1158" spans="1:11" ht="42" customHeight="1">
      <c r="A1158" s="4" t="s">
        <v>2727</v>
      </c>
      <c r="B1158" s="5" t="s">
        <v>2728</v>
      </c>
      <c r="C1158" s="5" t="s">
        <v>41</v>
      </c>
      <c r="D1158" s="5" t="s">
        <v>42</v>
      </c>
      <c r="E1158" s="5" t="s">
        <v>176</v>
      </c>
      <c r="F1158" s="9">
        <v>88</v>
      </c>
      <c r="G1158" s="9">
        <v>1028</v>
      </c>
      <c r="H1158" s="5" t="s">
        <v>21</v>
      </c>
      <c r="I1158" s="5" t="s">
        <v>2732</v>
      </c>
      <c r="J1158" s="12" t="str">
        <f>HYPERLINK("https://www.boe.es/gazeta/dias/1800/10/31/pdfs/GMD-1800-88.pdf#page=10","Abrir facsímil")</f>
        <v>Abrir facsímil</v>
      </c>
      <c r="K1158" s="15" t="s">
        <v>23</v>
      </c>
    </row>
    <row r="1159" spans="1:11" ht="42" customHeight="1">
      <c r="A1159" s="4" t="s">
        <v>2733</v>
      </c>
      <c r="B1159" s="5" t="s">
        <v>2734</v>
      </c>
      <c r="C1159" s="5" t="s">
        <v>207</v>
      </c>
      <c r="D1159" s="5" t="s">
        <v>55</v>
      </c>
      <c r="E1159" s="5" t="s">
        <v>190</v>
      </c>
      <c r="F1159" s="9">
        <v>93</v>
      </c>
      <c r="G1159" s="9">
        <v>1066</v>
      </c>
      <c r="H1159" s="5" t="s">
        <v>21</v>
      </c>
      <c r="I1159" s="5" t="s">
        <v>2735</v>
      </c>
      <c r="J1159" s="12" t="str">
        <f>HYPERLINK("https://www.boe.es/gazeta/dias/1800/11/18/pdfs/GMD-1800-93.pdf#page=12","Abrir facsímil")</f>
        <v>Abrir facsímil</v>
      </c>
      <c r="K1159" s="15" t="s">
        <v>23</v>
      </c>
    </row>
    <row r="1160" spans="1:11" ht="42" customHeight="1">
      <c r="A1160" s="4" t="s">
        <v>2736</v>
      </c>
      <c r="B1160" s="5" t="s">
        <v>2737</v>
      </c>
      <c r="C1160" s="5" t="s">
        <v>41</v>
      </c>
      <c r="D1160" s="5" t="s">
        <v>42</v>
      </c>
      <c r="E1160" s="5" t="s">
        <v>143</v>
      </c>
      <c r="F1160" s="9">
        <v>22</v>
      </c>
      <c r="G1160" s="9">
        <v>216</v>
      </c>
      <c r="H1160" s="5" t="s">
        <v>21</v>
      </c>
      <c r="I1160" s="5" t="s">
        <v>2738</v>
      </c>
      <c r="J1160" s="12" t="str">
        <f>HYPERLINK("https://www.boe.es/gazeta/dias/1800/03/18/pdfs/GMD-1800-22.pdf#page=8","Abrir facsímil")</f>
        <v>Abrir facsímil</v>
      </c>
      <c r="K1160" s="15" t="s">
        <v>23</v>
      </c>
    </row>
    <row r="1161" spans="1:11" ht="42" customHeight="1">
      <c r="A1161" s="4" t="s">
        <v>2739</v>
      </c>
      <c r="B1161" s="5" t="s">
        <v>2740</v>
      </c>
      <c r="C1161" s="5" t="s">
        <v>18</v>
      </c>
      <c r="D1161" s="5" t="s">
        <v>19</v>
      </c>
      <c r="E1161" s="5" t="s">
        <v>86</v>
      </c>
      <c r="F1161" s="9">
        <v>17</v>
      </c>
      <c r="G1161" s="9">
        <v>159</v>
      </c>
      <c r="H1161" s="5" t="s">
        <v>21</v>
      </c>
      <c r="I1161" s="5" t="s">
        <v>2741</v>
      </c>
      <c r="J1161" s="12" t="str">
        <f>HYPERLINK("https://www.boe.es/gazeta/dias/1800/02/28/pdfs/GMD-1800-17.pdf#page=7","Abrir facsímil")</f>
        <v>Abrir facsímil</v>
      </c>
      <c r="K1161" s="15" t="s">
        <v>23</v>
      </c>
    </row>
    <row r="1162" spans="1:11" ht="42" customHeight="1">
      <c r="A1162" s="4" t="s">
        <v>2742</v>
      </c>
      <c r="B1162" s="5" t="s">
        <v>2743</v>
      </c>
      <c r="C1162" s="5" t="s">
        <v>41</v>
      </c>
      <c r="D1162" s="5" t="s">
        <v>42</v>
      </c>
      <c r="E1162" s="5" t="s">
        <v>310</v>
      </c>
      <c r="F1162" s="9">
        <v>56</v>
      </c>
      <c r="G1162" s="9">
        <v>630</v>
      </c>
      <c r="H1162" s="5" t="s">
        <v>21</v>
      </c>
      <c r="I1162" s="5" t="s">
        <v>2744</v>
      </c>
      <c r="J1162" s="12" t="str">
        <f>HYPERLINK("https://www.boe.es/gazeta/dias/1800/07/15/pdfs/GMD-1800-56.pdf#page=6","Abrir facsímil")</f>
        <v>Abrir facsímil</v>
      </c>
      <c r="K1162" s="15" t="s">
        <v>23</v>
      </c>
    </row>
    <row r="1163" spans="1:11" ht="42" customHeight="1">
      <c r="A1163" s="4" t="s">
        <v>2745</v>
      </c>
      <c r="B1163" s="5" t="s">
        <v>2746</v>
      </c>
      <c r="C1163" s="5" t="s">
        <v>41</v>
      </c>
      <c r="D1163" s="5" t="s">
        <v>42</v>
      </c>
      <c r="E1163" s="5" t="s">
        <v>465</v>
      </c>
      <c r="F1163" s="9">
        <v>49</v>
      </c>
      <c r="G1163" s="9">
        <v>529</v>
      </c>
      <c r="H1163" s="5" t="s">
        <v>21</v>
      </c>
      <c r="I1163" s="5" t="s">
        <v>2747</v>
      </c>
      <c r="J1163" s="12" t="str">
        <f>HYPERLINK("https://www.boe.es/gazeta/dias/1800/06/20/pdfs/GMD-1800-49.pdf#page=5","Abrir facsímil")</f>
        <v>Abrir facsímil</v>
      </c>
      <c r="K1163" s="15" t="s">
        <v>23</v>
      </c>
    </row>
    <row r="1164" spans="1:11" ht="42" customHeight="1">
      <c r="A1164" s="4" t="s">
        <v>2748</v>
      </c>
      <c r="B1164" s="5" t="s">
        <v>2749</v>
      </c>
      <c r="C1164" s="5" t="s">
        <v>41</v>
      </c>
      <c r="D1164" s="5" t="s">
        <v>42</v>
      </c>
      <c r="E1164" s="5" t="s">
        <v>31</v>
      </c>
      <c r="F1164" s="9">
        <v>20</v>
      </c>
      <c r="G1164" s="9">
        <v>189</v>
      </c>
      <c r="H1164" s="5" t="s">
        <v>21</v>
      </c>
      <c r="I1164" s="5" t="s">
        <v>2750</v>
      </c>
      <c r="J1164" s="12" t="str">
        <f>HYPERLINK("https://www.boe.es/gazeta/dias/1800/03/11/pdfs/GMD-1800-20.pdf#page=5","Abrir facsímil")</f>
        <v>Abrir facsímil</v>
      </c>
      <c r="K1164" s="15" t="s">
        <v>23</v>
      </c>
    </row>
    <row r="1165" spans="1:11" ht="42" customHeight="1">
      <c r="A1165" s="4" t="s">
        <v>2748</v>
      </c>
      <c r="B1165" s="5" t="s">
        <v>2749</v>
      </c>
      <c r="C1165" s="5" t="s">
        <v>41</v>
      </c>
      <c r="D1165" s="5" t="s">
        <v>42</v>
      </c>
      <c r="E1165" s="5" t="s">
        <v>35</v>
      </c>
      <c r="F1165" s="9">
        <v>21</v>
      </c>
      <c r="G1165" s="9">
        <v>203</v>
      </c>
      <c r="H1165" s="5" t="s">
        <v>21</v>
      </c>
      <c r="I1165" s="5" t="s">
        <v>2751</v>
      </c>
      <c r="J1165" s="12" t="str">
        <f>HYPERLINK("https://www.boe.es/gazeta/dias/1800/03/14/pdfs/GMD-1800-21.pdf#page=7","Abrir facsímil")</f>
        <v>Abrir facsímil</v>
      </c>
      <c r="K1165" s="15" t="s">
        <v>23</v>
      </c>
    </row>
    <row r="1166" spans="1:11" ht="42" customHeight="1">
      <c r="A1166" s="4" t="s">
        <v>2752</v>
      </c>
      <c r="B1166" s="5" t="s">
        <v>2753</v>
      </c>
      <c r="C1166" s="5" t="s">
        <v>54</v>
      </c>
      <c r="D1166" s="5" t="s">
        <v>55</v>
      </c>
      <c r="E1166" s="5" t="s">
        <v>31</v>
      </c>
      <c r="F1166" s="9">
        <v>20</v>
      </c>
      <c r="G1166" s="9">
        <v>190</v>
      </c>
      <c r="H1166" s="5" t="s">
        <v>21</v>
      </c>
      <c r="I1166" s="5" t="s">
        <v>2754</v>
      </c>
      <c r="J1166" s="12" t="str">
        <f>HYPERLINK("https://www.boe.es/gazeta/dias/1800/03/11/pdfs/GMD-1800-20.pdf#page=6","Abrir facsímil")</f>
        <v>Abrir facsímil</v>
      </c>
      <c r="K1166" s="15" t="s">
        <v>23</v>
      </c>
    </row>
    <row r="1167" spans="1:11" ht="42" customHeight="1">
      <c r="A1167" s="4" t="s">
        <v>2755</v>
      </c>
      <c r="B1167" s="5" t="s">
        <v>2756</v>
      </c>
      <c r="C1167" s="5" t="s">
        <v>54</v>
      </c>
      <c r="D1167" s="5" t="s">
        <v>55</v>
      </c>
      <c r="E1167" s="5" t="s">
        <v>244</v>
      </c>
      <c r="F1167" s="9">
        <v>9</v>
      </c>
      <c r="G1167" s="9">
        <v>82</v>
      </c>
      <c r="H1167" s="5" t="s">
        <v>21</v>
      </c>
      <c r="I1167" s="5" t="s">
        <v>2757</v>
      </c>
      <c r="J1167" s="12" t="str">
        <f>HYPERLINK("https://www.boe.es/gazeta/dias/1800/01/31/pdfs/GMD-1800-9.pdf#page=6","Abrir facsímil")</f>
        <v>Abrir facsímil</v>
      </c>
      <c r="K1167" s="15" t="s">
        <v>23</v>
      </c>
    </row>
    <row r="1168" spans="1:11" ht="42" customHeight="1">
      <c r="A1168" s="4" t="s">
        <v>2755</v>
      </c>
      <c r="B1168" s="5" t="s">
        <v>2756</v>
      </c>
      <c r="C1168" s="5" t="s">
        <v>41</v>
      </c>
      <c r="D1168" s="5" t="s">
        <v>42</v>
      </c>
      <c r="E1168" s="5" t="s">
        <v>503</v>
      </c>
      <c r="F1168" s="9">
        <v>13</v>
      </c>
      <c r="G1168" s="9">
        <v>122</v>
      </c>
      <c r="H1168" s="5" t="s">
        <v>21</v>
      </c>
      <c r="I1168" s="5" t="s">
        <v>2758</v>
      </c>
      <c r="J1168" s="12" t="str">
        <f>HYPERLINK("https://www.boe.es/gazeta/dias/1800/02/14/pdfs/GMD-1800-13.pdf#page=6","Abrir facsímil")</f>
        <v>Abrir facsímil</v>
      </c>
      <c r="K1168" s="15" t="s">
        <v>23</v>
      </c>
    </row>
    <row r="1169" spans="1:11" ht="42" customHeight="1">
      <c r="A1169" s="4" t="s">
        <v>2755</v>
      </c>
      <c r="B1169" s="5" t="s">
        <v>2756</v>
      </c>
      <c r="C1169" s="5" t="s">
        <v>41</v>
      </c>
      <c r="D1169" s="5" t="s">
        <v>42</v>
      </c>
      <c r="E1169" s="5" t="s">
        <v>158</v>
      </c>
      <c r="F1169" s="9">
        <v>25</v>
      </c>
      <c r="G1169" s="9">
        <v>252</v>
      </c>
      <c r="H1169" s="5" t="s">
        <v>21</v>
      </c>
      <c r="I1169" s="5" t="s">
        <v>2759</v>
      </c>
      <c r="J1169" s="12" t="str">
        <f>HYPERLINK("https://www.boe.es/gazeta/dias/1800/03/28/pdfs/GMD-1800-25.pdf#page=4","Abrir facsímil")</f>
        <v>Abrir facsímil</v>
      </c>
      <c r="K1169" s="15" t="s">
        <v>23</v>
      </c>
    </row>
    <row r="1170" spans="1:11" ht="42" customHeight="1">
      <c r="A1170" s="4" t="s">
        <v>2760</v>
      </c>
      <c r="B1170" s="5" t="s">
        <v>2761</v>
      </c>
      <c r="C1170" s="5" t="s">
        <v>18</v>
      </c>
      <c r="D1170" s="5" t="s">
        <v>19</v>
      </c>
      <c r="E1170" s="5" t="s">
        <v>230</v>
      </c>
      <c r="F1170" s="9">
        <v>35</v>
      </c>
      <c r="G1170" s="9">
        <v>349</v>
      </c>
      <c r="H1170" s="5" t="s">
        <v>21</v>
      </c>
      <c r="I1170" s="5" t="s">
        <v>2762</v>
      </c>
      <c r="J1170" s="12" t="str">
        <f>HYPERLINK("https://www.boe.es/gazeta/dias/1800/05/02/pdfs/GMD-1800-35.pdf#page=1","Abrir facsímil")</f>
        <v>Abrir facsímil</v>
      </c>
      <c r="K1170" s="15" t="s">
        <v>23</v>
      </c>
    </row>
    <row r="1171" spans="1:11" ht="42" customHeight="1">
      <c r="A1171" s="4" t="s">
        <v>2760</v>
      </c>
      <c r="B1171" s="5" t="s">
        <v>2761</v>
      </c>
      <c r="C1171" s="5" t="s">
        <v>18</v>
      </c>
      <c r="D1171" s="5" t="s">
        <v>19</v>
      </c>
      <c r="E1171" s="5" t="s">
        <v>255</v>
      </c>
      <c r="F1171" s="9">
        <v>75</v>
      </c>
      <c r="G1171" s="9">
        <v>847</v>
      </c>
      <c r="H1171" s="5" t="s">
        <v>21</v>
      </c>
      <c r="I1171" s="5" t="s">
        <v>2763</v>
      </c>
      <c r="J1171" s="12" t="str">
        <f>HYPERLINK("https://www.boe.es/gazeta/dias/1800/09/16/pdfs/GMD-1800-75.pdf#page=1","Abrir facsímil")</f>
        <v>Abrir facsímil</v>
      </c>
      <c r="K1171" s="15" t="s">
        <v>23</v>
      </c>
    </row>
    <row r="1172" spans="1:11" ht="42" customHeight="1">
      <c r="A1172" s="4" t="s">
        <v>2760</v>
      </c>
      <c r="B1172" s="5" t="s">
        <v>2761</v>
      </c>
      <c r="C1172" s="5" t="s">
        <v>54</v>
      </c>
      <c r="D1172" s="5" t="s">
        <v>55</v>
      </c>
      <c r="E1172" s="5" t="s">
        <v>410</v>
      </c>
      <c r="F1172" s="9">
        <v>87</v>
      </c>
      <c r="G1172" s="9">
        <v>1003</v>
      </c>
      <c r="H1172" s="5" t="s">
        <v>21</v>
      </c>
      <c r="I1172" s="5" t="s">
        <v>2764</v>
      </c>
      <c r="J1172" s="12" t="str">
        <f>HYPERLINK("https://www.boe.es/gazeta/dias/1800/10/28/pdfs/GMD-1800-87.pdf#page=1","Abrir facsímil")</f>
        <v>Abrir facsímil</v>
      </c>
      <c r="K1172" s="15" t="s">
        <v>23</v>
      </c>
    </row>
    <row r="1173" spans="1:11" ht="42" customHeight="1">
      <c r="A1173" s="4" t="s">
        <v>2760</v>
      </c>
      <c r="B1173" s="5" t="s">
        <v>2761</v>
      </c>
      <c r="C1173" s="5" t="s">
        <v>18</v>
      </c>
      <c r="D1173" s="5" t="s">
        <v>19</v>
      </c>
      <c r="E1173" s="5" t="s">
        <v>176</v>
      </c>
      <c r="F1173" s="9">
        <v>88</v>
      </c>
      <c r="G1173" s="9">
        <v>1020</v>
      </c>
      <c r="H1173" s="5" t="s">
        <v>21</v>
      </c>
      <c r="I1173" s="5" t="s">
        <v>2765</v>
      </c>
      <c r="J1173" s="12" t="str">
        <f>HYPERLINK("https://www.boe.es/gazeta/dias/1800/10/31/pdfs/GMD-1800-88.pdf#page=2","Abrir facsímil")</f>
        <v>Abrir facsímil</v>
      </c>
      <c r="K1173" s="15" t="s">
        <v>23</v>
      </c>
    </row>
    <row r="1174" spans="1:11" ht="42" customHeight="1">
      <c r="A1174" s="4" t="s">
        <v>2766</v>
      </c>
      <c r="B1174" s="5" t="s">
        <v>2767</v>
      </c>
      <c r="C1174" s="5" t="s">
        <v>41</v>
      </c>
      <c r="D1174" s="5" t="s">
        <v>42</v>
      </c>
      <c r="E1174" s="5" t="s">
        <v>48</v>
      </c>
      <c r="F1174" s="9">
        <v>66</v>
      </c>
      <c r="G1174" s="9">
        <v>737</v>
      </c>
      <c r="H1174" s="5" t="s">
        <v>21</v>
      </c>
      <c r="I1174" s="5" t="s">
        <v>2768</v>
      </c>
      <c r="J1174" s="12" t="str">
        <f>HYPERLINK("https://www.boe.es/gazeta/dias/1800/08/19/pdfs/GMD-1800-66.pdf#page=1","Abrir facsímil")</f>
        <v>Abrir facsímil</v>
      </c>
      <c r="K1174" s="15" t="s">
        <v>23</v>
      </c>
    </row>
    <row r="1175" spans="1:11" ht="42" customHeight="1">
      <c r="A1175" s="4" t="s">
        <v>2769</v>
      </c>
      <c r="B1175" s="5" t="s">
        <v>2769</v>
      </c>
      <c r="C1175" s="5" t="s">
        <v>84</v>
      </c>
      <c r="D1175" s="5" t="s">
        <v>85</v>
      </c>
      <c r="E1175" s="5" t="s">
        <v>356</v>
      </c>
      <c r="F1175" s="9">
        <v>31</v>
      </c>
      <c r="G1175" s="9">
        <v>316</v>
      </c>
      <c r="H1175" s="5" t="s">
        <v>21</v>
      </c>
      <c r="I1175" s="5" t="s">
        <v>2770</v>
      </c>
      <c r="J1175" s="12" t="str">
        <f>HYPERLINK("https://www.boe.es/gazeta/dias/1800/04/18/pdfs/GMD-1800-31.pdf#page=8","Abrir facsímil")</f>
        <v>Abrir facsímil</v>
      </c>
      <c r="K1175" s="15" t="s">
        <v>23</v>
      </c>
    </row>
    <row r="1176" spans="1:11" ht="42" customHeight="1">
      <c r="A1176" s="4" t="s">
        <v>2769</v>
      </c>
      <c r="B1176" s="5" t="s">
        <v>2769</v>
      </c>
      <c r="C1176" s="5" t="s">
        <v>54</v>
      </c>
      <c r="D1176" s="5" t="s">
        <v>55</v>
      </c>
      <c r="E1176" s="5" t="s">
        <v>534</v>
      </c>
      <c r="F1176" s="9">
        <v>100</v>
      </c>
      <c r="G1176" s="9">
        <v>1157</v>
      </c>
      <c r="H1176" s="5" t="s">
        <v>21</v>
      </c>
      <c r="I1176" s="5" t="s">
        <v>2771</v>
      </c>
      <c r="J1176" s="12" t="str">
        <f>HYPERLINK("https://www.boe.es/gazeta/dias/1800/12/12/pdfs/GMD-1800-100.pdf#page=9","Abrir facsímil")</f>
        <v>Abrir facsímil</v>
      </c>
      <c r="K1176" s="15" t="s">
        <v>23</v>
      </c>
    </row>
    <row r="1177" spans="1:11" ht="42" customHeight="1">
      <c r="A1177" s="4" t="s">
        <v>2772</v>
      </c>
      <c r="B1177" s="5" t="s">
        <v>2772</v>
      </c>
      <c r="C1177" s="5" t="s">
        <v>41</v>
      </c>
      <c r="D1177" s="5" t="s">
        <v>42</v>
      </c>
      <c r="E1177" s="5" t="s">
        <v>162</v>
      </c>
      <c r="F1177" s="9">
        <v>15</v>
      </c>
      <c r="G1177" s="9">
        <v>140</v>
      </c>
      <c r="H1177" s="5" t="s">
        <v>21</v>
      </c>
      <c r="I1177" s="5" t="s">
        <v>1792</v>
      </c>
      <c r="J1177" s="12" t="str">
        <f>HYPERLINK("https://www.boe.es/gazeta/dias/1800/02/21/pdfs/GMD-1800-15.pdf#page=4","Abrir facsímil")</f>
        <v>Abrir facsímil</v>
      </c>
      <c r="K1177" s="15" t="s">
        <v>23</v>
      </c>
    </row>
    <row r="1178" spans="1:11" ht="42" customHeight="1">
      <c r="A1178" s="4" t="s">
        <v>2773</v>
      </c>
      <c r="B1178" s="5" t="s">
        <v>2774</v>
      </c>
      <c r="C1178" s="5" t="s">
        <v>18</v>
      </c>
      <c r="D1178" s="5" t="s">
        <v>19</v>
      </c>
      <c r="E1178" s="5" t="s">
        <v>190</v>
      </c>
      <c r="F1178" s="9">
        <v>93</v>
      </c>
      <c r="G1178" s="9">
        <v>1066</v>
      </c>
      <c r="H1178" s="5" t="s">
        <v>21</v>
      </c>
      <c r="I1178" s="5" t="s">
        <v>2775</v>
      </c>
      <c r="J1178" s="12" t="str">
        <f>HYPERLINK("https://www.boe.es/gazeta/dias/1800/11/18/pdfs/GMD-1800-93.pdf#page=12","Abrir facsímil")</f>
        <v>Abrir facsímil</v>
      </c>
      <c r="K1178" s="15" t="s">
        <v>23</v>
      </c>
    </row>
    <row r="1179" spans="1:11" ht="42" customHeight="1">
      <c r="A1179" s="4" t="s">
        <v>2776</v>
      </c>
      <c r="B1179" s="5" t="s">
        <v>2777</v>
      </c>
      <c r="C1179" s="5" t="s">
        <v>18</v>
      </c>
      <c r="D1179" s="5" t="s">
        <v>19</v>
      </c>
      <c r="E1179" s="5" t="s">
        <v>673</v>
      </c>
      <c r="F1179" s="9">
        <v>89</v>
      </c>
      <c r="G1179" s="9">
        <v>1043</v>
      </c>
      <c r="H1179" s="5" t="s">
        <v>21</v>
      </c>
      <c r="I1179" s="5" t="s">
        <v>2778</v>
      </c>
      <c r="J1179" s="12" t="str">
        <f>HYPERLINK("https://www.boe.es/gazeta/dias/1800/11/04/pdfs/GMD-1800-89.pdf#page=9","Abrir facsímil")</f>
        <v>Abrir facsímil</v>
      </c>
      <c r="K1179" s="15" t="s">
        <v>23</v>
      </c>
    </row>
    <row r="1180" spans="1:11" ht="42" customHeight="1">
      <c r="A1180" s="4" t="s">
        <v>2779</v>
      </c>
      <c r="B1180" s="5" t="s">
        <v>2780</v>
      </c>
      <c r="C1180" s="5" t="s">
        <v>18</v>
      </c>
      <c r="D1180" s="5" t="s">
        <v>19</v>
      </c>
      <c r="E1180" s="5" t="s">
        <v>194</v>
      </c>
      <c r="F1180" s="9">
        <v>48</v>
      </c>
      <c r="G1180" s="9">
        <v>518</v>
      </c>
      <c r="H1180" s="5" t="s">
        <v>21</v>
      </c>
      <c r="I1180" s="5" t="s">
        <v>2781</v>
      </c>
      <c r="J1180" s="12" t="str">
        <f>HYPERLINK("https://www.boe.es/gazeta/dias/1800/06/17/pdfs/GMD-1800-48.pdf#page=10","Abrir facsímil")</f>
        <v>Abrir facsímil</v>
      </c>
      <c r="K1180" s="15" t="s">
        <v>23</v>
      </c>
    </row>
    <row r="1181" spans="1:11" ht="42" customHeight="1">
      <c r="A1181" s="4" t="s">
        <v>2782</v>
      </c>
      <c r="B1181" s="5" t="s">
        <v>2783</v>
      </c>
      <c r="C1181" s="5" t="s">
        <v>41</v>
      </c>
      <c r="D1181" s="5" t="s">
        <v>42</v>
      </c>
      <c r="E1181" s="5" t="s">
        <v>135</v>
      </c>
      <c r="F1181" s="9">
        <v>73</v>
      </c>
      <c r="G1181" s="9">
        <v>813</v>
      </c>
      <c r="H1181" s="5" t="s">
        <v>21</v>
      </c>
      <c r="I1181" s="5" t="s">
        <v>2784</v>
      </c>
      <c r="J1181" s="12" t="str">
        <f>HYPERLINK("https://www.boe.es/gazeta/dias/1800/09/09/pdfs/GMD-1800-73.pdf#page=7","Abrir facsímil")</f>
        <v>Abrir facsímil</v>
      </c>
      <c r="K1181" s="15" t="s">
        <v>23</v>
      </c>
    </row>
    <row r="1182" spans="1:11" ht="42" customHeight="1">
      <c r="A1182" s="4" t="s">
        <v>2785</v>
      </c>
      <c r="B1182" s="5" t="s">
        <v>2786</v>
      </c>
      <c r="C1182" s="5" t="s">
        <v>18</v>
      </c>
      <c r="D1182" s="5" t="s">
        <v>19</v>
      </c>
      <c r="E1182" s="5" t="s">
        <v>190</v>
      </c>
      <c r="F1182" s="9">
        <v>93</v>
      </c>
      <c r="G1182" s="9">
        <v>1066</v>
      </c>
      <c r="H1182" s="5" t="s">
        <v>21</v>
      </c>
      <c r="I1182" s="5" t="s">
        <v>2787</v>
      </c>
      <c r="J1182" s="12" t="str">
        <f>HYPERLINK("https://www.boe.es/gazeta/dias/1800/11/18/pdfs/GMD-1800-93.pdf#page=12","Abrir facsímil")</f>
        <v>Abrir facsímil</v>
      </c>
      <c r="K1182" s="15" t="s">
        <v>23</v>
      </c>
    </row>
    <row r="1183" spans="1:11" ht="42" customHeight="1">
      <c r="A1183" s="4" t="s">
        <v>2788</v>
      </c>
      <c r="B1183" s="5" t="s">
        <v>2788</v>
      </c>
      <c r="C1183" s="5" t="s">
        <v>84</v>
      </c>
      <c r="D1183" s="5" t="s">
        <v>85</v>
      </c>
      <c r="E1183" s="5" t="s">
        <v>1213</v>
      </c>
      <c r="F1183" s="9">
        <v>4</v>
      </c>
      <c r="G1183" s="9">
        <v>40</v>
      </c>
      <c r="H1183" s="5" t="s">
        <v>21</v>
      </c>
      <c r="I1183" s="5" t="s">
        <v>2789</v>
      </c>
      <c r="J1183" s="12" t="str">
        <f>HYPERLINK("https://www.boe.es/gazeta/dias/1800/01/14/pdfs/GMD-1800-4.pdf#page=12","Abrir facsímil")</f>
        <v>Abrir facsímil</v>
      </c>
      <c r="K1183" s="15" t="s">
        <v>23</v>
      </c>
    </row>
    <row r="1184" spans="1:11" ht="42" customHeight="1">
      <c r="A1184" s="4" t="s">
        <v>2790</v>
      </c>
      <c r="B1184" s="5" t="s">
        <v>2791</v>
      </c>
      <c r="C1184" s="5" t="s">
        <v>207</v>
      </c>
      <c r="D1184" s="5" t="s">
        <v>55</v>
      </c>
      <c r="E1184" s="5" t="s">
        <v>190</v>
      </c>
      <c r="F1184" s="9">
        <v>93</v>
      </c>
      <c r="G1184" s="9">
        <v>1066</v>
      </c>
      <c r="H1184" s="5" t="s">
        <v>21</v>
      </c>
      <c r="I1184" s="5" t="s">
        <v>2792</v>
      </c>
      <c r="J1184" s="12" t="str">
        <f>HYPERLINK("https://www.boe.es/gazeta/dias/1800/11/18/pdfs/GMD-1800-93.pdf#page=12","Abrir facsímil")</f>
        <v>Abrir facsímil</v>
      </c>
      <c r="K1184" s="15" t="s">
        <v>23</v>
      </c>
    </row>
    <row r="1185" spans="1:11" ht="42" customHeight="1">
      <c r="A1185" s="4" t="s">
        <v>2793</v>
      </c>
      <c r="B1185" s="5" t="s">
        <v>2794</v>
      </c>
      <c r="C1185" s="5" t="s">
        <v>18</v>
      </c>
      <c r="D1185" s="5" t="s">
        <v>19</v>
      </c>
      <c r="E1185" s="5" t="s">
        <v>567</v>
      </c>
      <c r="F1185" s="9">
        <v>3</v>
      </c>
      <c r="G1185" s="9">
        <v>27</v>
      </c>
      <c r="H1185" s="5" t="s">
        <v>21</v>
      </c>
      <c r="I1185" s="5" t="s">
        <v>2795</v>
      </c>
      <c r="J1185" s="12" t="str">
        <f>HYPERLINK("https://www.boe.es/gazeta/dias/1800/01/10/pdfs/GMD-1800-3.pdf#page=7","Abrir facsímil")</f>
        <v>Abrir facsímil</v>
      </c>
      <c r="K1185" s="15" t="s">
        <v>23</v>
      </c>
    </row>
    <row r="1186" spans="1:11" ht="42" customHeight="1">
      <c r="A1186" s="4" t="s">
        <v>2796</v>
      </c>
      <c r="B1186" s="5" t="s">
        <v>2797</v>
      </c>
      <c r="C1186" s="5" t="s">
        <v>18</v>
      </c>
      <c r="D1186" s="5" t="s">
        <v>19</v>
      </c>
      <c r="E1186" s="5" t="s">
        <v>75</v>
      </c>
      <c r="F1186" s="9">
        <v>64</v>
      </c>
      <c r="G1186" s="9">
        <v>733</v>
      </c>
      <c r="H1186" s="5" t="s">
        <v>21</v>
      </c>
      <c r="I1186" s="5" t="s">
        <v>2798</v>
      </c>
      <c r="J1186" s="12" t="str">
        <f>HYPERLINK("https://www.boe.es/gazeta/dias/1800/08/12/pdfs/GMD-1800-64.pdf#page=9","Abrir facsímil")</f>
        <v>Abrir facsímil</v>
      </c>
      <c r="K1186" s="15" t="s">
        <v>23</v>
      </c>
    </row>
    <row r="1187" spans="1:11" ht="42" customHeight="1">
      <c r="A1187" s="4" t="s">
        <v>2796</v>
      </c>
      <c r="B1187" s="5" t="s">
        <v>2797</v>
      </c>
      <c r="C1187" s="5" t="s">
        <v>18</v>
      </c>
      <c r="D1187" s="5" t="s">
        <v>19</v>
      </c>
      <c r="E1187" s="5" t="s">
        <v>56</v>
      </c>
      <c r="F1187" s="9">
        <v>90</v>
      </c>
      <c r="G1187" s="9">
        <v>1054</v>
      </c>
      <c r="H1187" s="5" t="s">
        <v>21</v>
      </c>
      <c r="I1187" s="5" t="s">
        <v>2799</v>
      </c>
      <c r="J1187" s="12" t="str">
        <f>HYPERLINK("https://www.boe.es/gazeta/dias/1800/11/07/pdfs/GMD-1800-90.pdf#page=8","Abrir facsímil")</f>
        <v>Abrir facsímil</v>
      </c>
      <c r="K1187" s="15" t="s">
        <v>23</v>
      </c>
    </row>
    <row r="1188" spans="1:11" ht="42" customHeight="1">
      <c r="A1188" s="4" t="s">
        <v>2800</v>
      </c>
      <c r="B1188" s="5" t="s">
        <v>2800</v>
      </c>
      <c r="C1188" s="5" t="s">
        <v>18</v>
      </c>
      <c r="D1188" s="5" t="s">
        <v>19</v>
      </c>
      <c r="E1188" s="5" t="s">
        <v>194</v>
      </c>
      <c r="F1188" s="9">
        <v>48</v>
      </c>
      <c r="G1188" s="9">
        <v>519</v>
      </c>
      <c r="H1188" s="5" t="s">
        <v>21</v>
      </c>
      <c r="I1188" s="5" t="s">
        <v>2801</v>
      </c>
      <c r="J1188" s="12" t="str">
        <f>HYPERLINK("https://www.boe.es/gazeta/dias/1800/06/17/pdfs/GMD-1800-48.pdf#page=11","Abrir facsímil")</f>
        <v>Abrir facsímil</v>
      </c>
      <c r="K1188" s="15" t="s">
        <v>23</v>
      </c>
    </row>
    <row r="1189" spans="1:11" ht="42" customHeight="1">
      <c r="A1189" s="4" t="s">
        <v>2802</v>
      </c>
      <c r="B1189" s="5" t="s">
        <v>2803</v>
      </c>
      <c r="C1189" s="5" t="s">
        <v>207</v>
      </c>
      <c r="D1189" s="5" t="s">
        <v>55</v>
      </c>
      <c r="E1189" s="5" t="s">
        <v>283</v>
      </c>
      <c r="F1189" s="9">
        <v>68</v>
      </c>
      <c r="G1189" s="9">
        <v>765</v>
      </c>
      <c r="H1189" s="5" t="s">
        <v>21</v>
      </c>
      <c r="I1189" s="5" t="s">
        <v>2804</v>
      </c>
      <c r="J1189" s="12" t="str">
        <f>HYPERLINK("https://www.boe.es/gazeta/dias/1800/08/26/pdfs/GMD-1800-68.pdf#page=9","Abrir facsímil")</f>
        <v>Abrir facsímil</v>
      </c>
      <c r="K1189" s="15" t="s">
        <v>23</v>
      </c>
    </row>
    <row r="1190" spans="1:11" ht="42" customHeight="1">
      <c r="A1190" s="4" t="s">
        <v>2805</v>
      </c>
      <c r="B1190" s="5" t="s">
        <v>2805</v>
      </c>
      <c r="C1190" s="5" t="s">
        <v>25</v>
      </c>
      <c r="D1190" s="5" t="s">
        <v>26</v>
      </c>
      <c r="E1190" s="5" t="s">
        <v>615</v>
      </c>
      <c r="F1190" s="9">
        <v>95</v>
      </c>
      <c r="G1190" s="9">
        <v>1088</v>
      </c>
      <c r="H1190" s="5" t="s">
        <v>21</v>
      </c>
      <c r="I1190" s="5" t="s">
        <v>2806</v>
      </c>
      <c r="J1190" s="12" t="str">
        <f>HYPERLINK("https://www.boe.es/gazeta/dias/1800/11/25/pdfs/GMD-1800-95.pdf#page=6","Abrir facsímil")</f>
        <v>Abrir facsímil</v>
      </c>
      <c r="K1190" s="15" t="s">
        <v>23</v>
      </c>
    </row>
    <row r="1191" spans="1:11" ht="42" customHeight="1">
      <c r="A1191" s="4" t="s">
        <v>2807</v>
      </c>
      <c r="B1191" s="5" t="s">
        <v>2808</v>
      </c>
      <c r="C1191" s="5" t="s">
        <v>84</v>
      </c>
      <c r="D1191" s="5" t="s">
        <v>85</v>
      </c>
      <c r="E1191" s="5" t="s">
        <v>143</v>
      </c>
      <c r="F1191" s="9">
        <v>22</v>
      </c>
      <c r="G1191" s="9">
        <v>224</v>
      </c>
      <c r="H1191" s="5" t="s">
        <v>21</v>
      </c>
      <c r="I1191" s="5" t="s">
        <v>2809</v>
      </c>
      <c r="J1191" s="12" t="str">
        <f>HYPERLINK("https://www.boe.es/gazeta/dias/1800/03/18/pdfs/GMD-1800-22.pdf#page=16","Abrir facsímil")</f>
        <v>Abrir facsímil</v>
      </c>
      <c r="K1191" s="15" t="s">
        <v>23</v>
      </c>
    </row>
    <row r="1192" spans="1:11" ht="42" customHeight="1">
      <c r="A1192" s="4" t="s">
        <v>2810</v>
      </c>
      <c r="B1192" s="5" t="s">
        <v>2811</v>
      </c>
      <c r="C1192" s="5" t="s">
        <v>207</v>
      </c>
      <c r="D1192" s="5" t="s">
        <v>55</v>
      </c>
      <c r="E1192" s="5" t="s">
        <v>135</v>
      </c>
      <c r="F1192" s="9">
        <v>73</v>
      </c>
      <c r="G1192" s="9">
        <v>814</v>
      </c>
      <c r="H1192" s="5" t="s">
        <v>21</v>
      </c>
      <c r="I1192" s="5" t="s">
        <v>2812</v>
      </c>
      <c r="J1192" s="12" t="str">
        <f>HYPERLINK("https://www.boe.es/gazeta/dias/1800/09/09/pdfs/GMD-1800-73.pdf#page=8","Abrir facsímil")</f>
        <v>Abrir facsímil</v>
      </c>
      <c r="K1192" s="15" t="s">
        <v>23</v>
      </c>
    </row>
    <row r="1193" spans="1:11" ht="42" customHeight="1">
      <c r="A1193" s="4" t="s">
        <v>2813</v>
      </c>
      <c r="B1193" s="5" t="s">
        <v>2814</v>
      </c>
      <c r="C1193" s="5" t="s">
        <v>18</v>
      </c>
      <c r="D1193" s="5" t="s">
        <v>19</v>
      </c>
      <c r="E1193" s="5" t="s">
        <v>306</v>
      </c>
      <c r="F1193" s="9">
        <v>79</v>
      </c>
      <c r="G1193" s="9">
        <v>893</v>
      </c>
      <c r="H1193" s="5" t="s">
        <v>21</v>
      </c>
      <c r="I1193" s="5" t="s">
        <v>2815</v>
      </c>
      <c r="J1193" s="12" t="str">
        <f>HYPERLINK("https://www.boe.es/gazeta/dias/1800/09/30/pdfs/GMD-1800-79.pdf#page=3","Abrir facsímil")</f>
        <v>Abrir facsímil</v>
      </c>
      <c r="K1193" s="15" t="s">
        <v>23</v>
      </c>
    </row>
    <row r="1194" spans="1:11" ht="42" customHeight="1">
      <c r="A1194" s="4" t="s">
        <v>2816</v>
      </c>
      <c r="B1194" s="5" t="s">
        <v>2816</v>
      </c>
      <c r="C1194" s="5" t="s">
        <v>25</v>
      </c>
      <c r="D1194" s="5" t="s">
        <v>26</v>
      </c>
      <c r="E1194" s="5" t="s">
        <v>52</v>
      </c>
      <c r="F1194" s="9">
        <v>83</v>
      </c>
      <c r="G1194" s="9">
        <v>964</v>
      </c>
      <c r="H1194" s="5" t="s">
        <v>21</v>
      </c>
      <c r="I1194" s="5" t="s">
        <v>2817</v>
      </c>
      <c r="J1194" s="12" t="str">
        <f>HYPERLINK("https://www.boe.es/gazeta/dias/1800/10/14/pdfs/GMD-1800-83.pdf#page=10","Abrir facsímil")</f>
        <v>Abrir facsímil</v>
      </c>
      <c r="K1194" s="15" t="s">
        <v>23</v>
      </c>
    </row>
    <row r="1195" spans="1:11" ht="42" customHeight="1">
      <c r="A1195" s="4" t="s">
        <v>2818</v>
      </c>
      <c r="B1195" s="5" t="s">
        <v>2818</v>
      </c>
      <c r="C1195" s="5" t="s">
        <v>25</v>
      </c>
      <c r="D1195" s="5" t="s">
        <v>26</v>
      </c>
      <c r="E1195" s="5" t="s">
        <v>143</v>
      </c>
      <c r="F1195" s="9">
        <v>22</v>
      </c>
      <c r="G1195" s="9">
        <v>221</v>
      </c>
      <c r="H1195" s="5" t="s">
        <v>21</v>
      </c>
      <c r="I1195" s="5" t="s">
        <v>2819</v>
      </c>
      <c r="J1195" s="12" t="str">
        <f>HYPERLINK("https://www.boe.es/gazeta/dias/1800/03/18/pdfs/GMD-1800-22.pdf#page=13","Abrir facsímil")</f>
        <v>Abrir facsímil</v>
      </c>
      <c r="K1195" s="15" t="s">
        <v>23</v>
      </c>
    </row>
    <row r="1196" spans="1:11" ht="42" customHeight="1">
      <c r="A1196" s="4" t="s">
        <v>2820</v>
      </c>
      <c r="B1196" s="5" t="s">
        <v>2820</v>
      </c>
      <c r="C1196" s="5" t="s">
        <v>18</v>
      </c>
      <c r="D1196" s="5" t="s">
        <v>19</v>
      </c>
      <c r="E1196" s="5" t="s">
        <v>196</v>
      </c>
      <c r="F1196" s="9">
        <v>97</v>
      </c>
      <c r="G1196" s="9">
        <v>1117</v>
      </c>
      <c r="H1196" s="5" t="s">
        <v>21</v>
      </c>
      <c r="I1196" s="5" t="s">
        <v>2821</v>
      </c>
      <c r="J1196" s="12" t="str">
        <f>HYPERLINK("https://www.boe.es/gazeta/dias/1800/12/02/pdfs/GMD-1800-97.pdf#page=9","Abrir facsímil")</f>
        <v>Abrir facsímil</v>
      </c>
      <c r="K1196" s="15" t="s">
        <v>23</v>
      </c>
    </row>
    <row r="1197" spans="1:11" ht="42" customHeight="1">
      <c r="A1197" s="4" t="s">
        <v>2822</v>
      </c>
      <c r="B1197" s="5" t="s">
        <v>2822</v>
      </c>
      <c r="C1197" s="5" t="s">
        <v>18</v>
      </c>
      <c r="D1197" s="5" t="s">
        <v>19</v>
      </c>
      <c r="E1197" s="5" t="s">
        <v>111</v>
      </c>
      <c r="F1197" s="9">
        <v>98</v>
      </c>
      <c r="G1197" s="9">
        <v>1129</v>
      </c>
      <c r="H1197" s="5" t="s">
        <v>21</v>
      </c>
      <c r="I1197" s="5" t="s">
        <v>2823</v>
      </c>
      <c r="J1197" s="12" t="str">
        <f>HYPERLINK("https://www.boe.es/gazeta/dias/1800/12/05/pdfs/GMD-1800-98.pdf#page=9","Abrir facsímil")</f>
        <v>Abrir facsímil</v>
      </c>
      <c r="K1197" s="15" t="s">
        <v>23</v>
      </c>
    </row>
    <row r="1198" spans="1:11" ht="42" customHeight="1">
      <c r="A1198" s="4" t="s">
        <v>2824</v>
      </c>
      <c r="B1198" s="5" t="s">
        <v>2824</v>
      </c>
      <c r="C1198" s="5" t="s">
        <v>207</v>
      </c>
      <c r="D1198" s="5" t="s">
        <v>55</v>
      </c>
      <c r="E1198" s="5" t="s">
        <v>64</v>
      </c>
      <c r="F1198" s="9">
        <v>54</v>
      </c>
      <c r="G1198" s="9">
        <v>607</v>
      </c>
      <c r="H1198" s="5" t="s">
        <v>21</v>
      </c>
      <c r="I1198" s="5" t="s">
        <v>2825</v>
      </c>
      <c r="J1198" s="12" t="str">
        <f>HYPERLINK("https://www.boe.es/gazeta/dias/1800/07/08/pdfs/GMD-1800-54.pdf#page=11","Abrir facsímil")</f>
        <v>Abrir facsímil</v>
      </c>
      <c r="K1198" s="15" t="s">
        <v>23</v>
      </c>
    </row>
    <row r="1199" spans="1:11" ht="42" customHeight="1">
      <c r="A1199" s="4" t="s">
        <v>2826</v>
      </c>
      <c r="B1199" s="5" t="s">
        <v>2827</v>
      </c>
      <c r="C1199" s="5" t="s">
        <v>41</v>
      </c>
      <c r="D1199" s="5" t="s">
        <v>42</v>
      </c>
      <c r="E1199" s="5" t="s">
        <v>101</v>
      </c>
      <c r="F1199" s="9">
        <v>37</v>
      </c>
      <c r="G1199" s="9">
        <v>376</v>
      </c>
      <c r="H1199" s="5" t="s">
        <v>21</v>
      </c>
      <c r="I1199" s="5" t="s">
        <v>2828</v>
      </c>
      <c r="J1199" s="12" t="str">
        <f>HYPERLINK("https://www.boe.es/gazeta/dias/1800/05/09/pdfs/GMD-1800-37.pdf#page=8","Abrir facsímil")</f>
        <v>Abrir facsímil</v>
      </c>
      <c r="K1199" s="15" t="s">
        <v>23</v>
      </c>
    </row>
    <row r="1200" spans="1:11" ht="42" customHeight="1">
      <c r="A1200" s="4" t="s">
        <v>2829</v>
      </c>
      <c r="B1200" s="5" t="s">
        <v>2829</v>
      </c>
      <c r="C1200" s="5" t="s">
        <v>54</v>
      </c>
      <c r="D1200" s="5" t="s">
        <v>55</v>
      </c>
      <c r="E1200" s="5" t="s">
        <v>534</v>
      </c>
      <c r="F1200" s="9">
        <v>100</v>
      </c>
      <c r="G1200" s="9">
        <v>1162</v>
      </c>
      <c r="H1200" s="5" t="s">
        <v>21</v>
      </c>
      <c r="I1200" s="5" t="s">
        <v>2830</v>
      </c>
      <c r="J1200" s="12" t="str">
        <f>HYPERLINK("https://www.boe.es/gazeta/dias/1800/12/12/pdfs/GMD-1800-100.pdf#page=14","Abrir facsímil")</f>
        <v>Abrir facsímil</v>
      </c>
      <c r="K1200" s="15" t="s">
        <v>23</v>
      </c>
    </row>
    <row r="1201" spans="1:11" ht="42" customHeight="1">
      <c r="A1201" s="4" t="s">
        <v>2831</v>
      </c>
      <c r="B1201" s="5" t="s">
        <v>2832</v>
      </c>
      <c r="C1201" s="5" t="s">
        <v>18</v>
      </c>
      <c r="D1201" s="5" t="s">
        <v>19</v>
      </c>
      <c r="E1201" s="5" t="s">
        <v>176</v>
      </c>
      <c r="F1201" s="9">
        <v>88</v>
      </c>
      <c r="G1201" s="9">
        <v>1029</v>
      </c>
      <c r="H1201" s="5" t="s">
        <v>21</v>
      </c>
      <c r="I1201" s="5" t="s">
        <v>2833</v>
      </c>
      <c r="J1201" s="12" t="str">
        <f>HYPERLINK("https://www.boe.es/gazeta/dias/1800/10/31/pdfs/GMD-1800-88.pdf#page=11","Abrir facsímil")</f>
        <v>Abrir facsímil</v>
      </c>
      <c r="K1201" s="15" t="s">
        <v>23</v>
      </c>
    </row>
    <row r="1202" spans="1:11" ht="42" customHeight="1">
      <c r="A1202" s="4" t="s">
        <v>2834</v>
      </c>
      <c r="B1202" s="5" t="s">
        <v>2835</v>
      </c>
      <c r="C1202" s="5" t="s">
        <v>18</v>
      </c>
      <c r="D1202" s="5" t="s">
        <v>19</v>
      </c>
      <c r="E1202" s="5" t="s">
        <v>422</v>
      </c>
      <c r="F1202" s="9">
        <v>85</v>
      </c>
      <c r="G1202" s="9">
        <v>985</v>
      </c>
      <c r="H1202" s="5" t="s">
        <v>21</v>
      </c>
      <c r="I1202" s="5" t="s">
        <v>2836</v>
      </c>
      <c r="J1202" s="12" t="str">
        <f>HYPERLINK("https://www.boe.es/gazeta/dias/1800/10/21/pdfs/GMD-1800-85.pdf#page=7","Abrir facsímil")</f>
        <v>Abrir facsímil</v>
      </c>
      <c r="K1202" s="15" t="s">
        <v>23</v>
      </c>
    </row>
    <row r="1203" spans="1:11" ht="42" customHeight="1">
      <c r="A1203" s="4" t="s">
        <v>2837</v>
      </c>
      <c r="B1203" s="5" t="s">
        <v>2838</v>
      </c>
      <c r="C1203" s="5" t="s">
        <v>18</v>
      </c>
      <c r="D1203" s="5" t="s">
        <v>19</v>
      </c>
      <c r="E1203" s="5" t="s">
        <v>143</v>
      </c>
      <c r="F1203" s="9">
        <v>22</v>
      </c>
      <c r="G1203" s="9">
        <v>218</v>
      </c>
      <c r="H1203" s="5" t="s">
        <v>21</v>
      </c>
      <c r="I1203" s="5" t="s">
        <v>2839</v>
      </c>
      <c r="J1203" s="12" t="str">
        <f>HYPERLINK("https://www.boe.es/gazeta/dias/1800/03/18/pdfs/GMD-1800-22.pdf#page=10","Abrir facsímil")</f>
        <v>Abrir facsímil</v>
      </c>
      <c r="K1203" s="15" t="s">
        <v>23</v>
      </c>
    </row>
    <row r="1204" spans="1:11" ht="42" customHeight="1">
      <c r="A1204" s="4" t="s">
        <v>2840</v>
      </c>
      <c r="B1204" s="5" t="s">
        <v>2841</v>
      </c>
      <c r="C1204" s="5" t="s">
        <v>54</v>
      </c>
      <c r="D1204" s="5" t="s">
        <v>55</v>
      </c>
      <c r="E1204" s="5" t="s">
        <v>45</v>
      </c>
      <c r="F1204" s="9">
        <v>47</v>
      </c>
      <c r="G1204" s="9">
        <v>502</v>
      </c>
      <c r="H1204" s="5" t="s">
        <v>21</v>
      </c>
      <c r="I1204" s="5" t="s">
        <v>2842</v>
      </c>
      <c r="J1204" s="12" t="str">
        <f>HYPERLINK("https://www.boe.es/gazeta/dias/1800/06/13/pdfs/GMD-1800-47.pdf#page=10","Abrir facsímil")</f>
        <v>Abrir facsímil</v>
      </c>
      <c r="K1204" s="15" t="s">
        <v>23</v>
      </c>
    </row>
    <row r="1205" spans="1:11" ht="42" customHeight="1">
      <c r="A1205" s="4" t="s">
        <v>2843</v>
      </c>
      <c r="B1205" s="5" t="s">
        <v>2844</v>
      </c>
      <c r="C1205" s="5" t="s">
        <v>18</v>
      </c>
      <c r="D1205" s="5" t="s">
        <v>19</v>
      </c>
      <c r="E1205" s="5" t="s">
        <v>314</v>
      </c>
      <c r="F1205" s="9">
        <v>74</v>
      </c>
      <c r="G1205" s="9">
        <v>832</v>
      </c>
      <c r="H1205" s="5" t="s">
        <v>21</v>
      </c>
      <c r="I1205" s="5" t="s">
        <v>2845</v>
      </c>
      <c r="J1205" s="12" t="str">
        <f>HYPERLINK("https://www.boe.es/gazeta/dias/1800/09/12/pdfs/GMD-1800-74.pdf#page=10","Abrir facsímil")</f>
        <v>Abrir facsímil</v>
      </c>
      <c r="K1205" s="15" t="s">
        <v>23</v>
      </c>
    </row>
    <row r="1206" spans="1:11" ht="42" customHeight="1">
      <c r="A1206" s="4" t="s">
        <v>2846</v>
      </c>
      <c r="B1206" s="5" t="s">
        <v>2847</v>
      </c>
      <c r="C1206" s="5" t="s">
        <v>84</v>
      </c>
      <c r="D1206" s="5" t="s">
        <v>85</v>
      </c>
      <c r="E1206" s="5" t="s">
        <v>143</v>
      </c>
      <c r="F1206" s="9">
        <v>22</v>
      </c>
      <c r="G1206" s="9">
        <v>219</v>
      </c>
      <c r="H1206" s="5" t="s">
        <v>21</v>
      </c>
      <c r="I1206" s="5" t="s">
        <v>2848</v>
      </c>
      <c r="J1206" s="12" t="str">
        <f>HYPERLINK("https://www.boe.es/gazeta/dias/1800/03/18/pdfs/GMD-1800-22.pdf#page=11","Abrir facsímil")</f>
        <v>Abrir facsímil</v>
      </c>
      <c r="K1206" s="15" t="s">
        <v>23</v>
      </c>
    </row>
    <row r="1207" spans="1:11" ht="42" customHeight="1">
      <c r="A1207" s="4" t="s">
        <v>2846</v>
      </c>
      <c r="B1207" s="5" t="s">
        <v>2847</v>
      </c>
      <c r="C1207" s="5" t="s">
        <v>18</v>
      </c>
      <c r="D1207" s="5" t="s">
        <v>19</v>
      </c>
      <c r="E1207" s="5" t="s">
        <v>143</v>
      </c>
      <c r="F1207" s="9">
        <v>22</v>
      </c>
      <c r="G1207" s="9">
        <v>220</v>
      </c>
      <c r="H1207" s="5" t="s">
        <v>21</v>
      </c>
      <c r="I1207" s="5" t="s">
        <v>2849</v>
      </c>
      <c r="J1207" s="12" t="str">
        <f>HYPERLINK("https://www.boe.es/gazeta/dias/1800/03/18/pdfs/GMD-1800-22.pdf#page=12","Abrir facsímil")</f>
        <v>Abrir facsímil</v>
      </c>
      <c r="K1207" s="15" t="s">
        <v>23</v>
      </c>
    </row>
    <row r="1208" spans="1:11" ht="42" customHeight="1">
      <c r="A1208" s="4" t="s">
        <v>2850</v>
      </c>
      <c r="B1208" s="5" t="s">
        <v>2850</v>
      </c>
      <c r="C1208" s="5" t="s">
        <v>54</v>
      </c>
      <c r="D1208" s="5" t="s">
        <v>55</v>
      </c>
      <c r="E1208" s="5" t="s">
        <v>139</v>
      </c>
      <c r="F1208" s="9">
        <v>2</v>
      </c>
      <c r="G1208" s="9">
        <v>19</v>
      </c>
      <c r="H1208" s="5" t="s">
        <v>21</v>
      </c>
      <c r="I1208" s="5" t="s">
        <v>2851</v>
      </c>
      <c r="J1208" s="12" t="str">
        <f>HYPERLINK("https://www.boe.es/gazeta/dias/1800/01/07/pdfs/GMD-1800-2.pdf#page=11","Abrir facsímil")</f>
        <v>Abrir facsímil</v>
      </c>
      <c r="K1208" s="15" t="s">
        <v>23</v>
      </c>
    </row>
    <row r="1209" spans="1:11" ht="42" customHeight="1">
      <c r="A1209" s="4" t="s">
        <v>2852</v>
      </c>
      <c r="B1209" s="5" t="s">
        <v>2852</v>
      </c>
      <c r="C1209" s="5" t="s">
        <v>25</v>
      </c>
      <c r="D1209" s="5" t="s">
        <v>26</v>
      </c>
      <c r="E1209" s="5" t="s">
        <v>58</v>
      </c>
      <c r="F1209" s="9">
        <v>92</v>
      </c>
      <c r="G1209" s="9">
        <v>1052</v>
      </c>
      <c r="H1209" s="5" t="s">
        <v>21</v>
      </c>
      <c r="I1209" s="5" t="s">
        <v>2853</v>
      </c>
      <c r="J1209" s="12" t="str">
        <f>HYPERLINK("https://www.boe.es/gazeta/dias/1800/11/14/pdfs/GMD-1800-92.pdf#page=6","Abrir facsímil")</f>
        <v>Abrir facsímil</v>
      </c>
      <c r="K1209" s="15" t="s">
        <v>23</v>
      </c>
    </row>
    <row r="1210" spans="1:11" ht="42" customHeight="1">
      <c r="A1210" s="4" t="s">
        <v>2854</v>
      </c>
      <c r="B1210" s="5" t="s">
        <v>2855</v>
      </c>
      <c r="C1210" s="5" t="s">
        <v>18</v>
      </c>
      <c r="D1210" s="5" t="s">
        <v>19</v>
      </c>
      <c r="E1210" s="5" t="s">
        <v>583</v>
      </c>
      <c r="F1210" s="9">
        <v>77</v>
      </c>
      <c r="G1210" s="9">
        <v>879</v>
      </c>
      <c r="H1210" s="5" t="s">
        <v>21</v>
      </c>
      <c r="I1210" s="5" t="s">
        <v>2856</v>
      </c>
      <c r="J1210" s="12" t="str">
        <f>HYPERLINK("https://www.boe.es/gazeta/dias/1800/09/23/pdfs/GMD-1800-77.pdf#page=9","Abrir facsímil")</f>
        <v>Abrir facsímil</v>
      </c>
      <c r="K1210" s="15" t="s">
        <v>23</v>
      </c>
    </row>
    <row r="1211" spans="1:11" ht="42" customHeight="1">
      <c r="A1211" s="4" t="s">
        <v>2857</v>
      </c>
      <c r="B1211" s="5" t="s">
        <v>2857</v>
      </c>
      <c r="C1211" s="5" t="s">
        <v>25</v>
      </c>
      <c r="D1211" s="5" t="s">
        <v>26</v>
      </c>
      <c r="E1211" s="5" t="s">
        <v>356</v>
      </c>
      <c r="F1211" s="9">
        <v>31</v>
      </c>
      <c r="G1211" s="9">
        <v>315</v>
      </c>
      <c r="H1211" s="5" t="s">
        <v>21</v>
      </c>
      <c r="I1211" s="5" t="s">
        <v>2858</v>
      </c>
      <c r="J1211" s="12" t="str">
        <f>HYPERLINK("https://www.boe.es/gazeta/dias/1800/04/18/pdfs/GMD-1800-31.pdf#page=7","Abrir facsímil")</f>
        <v>Abrir facsímil</v>
      </c>
      <c r="K1211" s="15" t="s">
        <v>23</v>
      </c>
    </row>
    <row r="1212" spans="1:11" ht="42" customHeight="1">
      <c r="A1212" s="4" t="s">
        <v>2859</v>
      </c>
      <c r="B1212" s="5" t="s">
        <v>2859</v>
      </c>
      <c r="C1212" s="5" t="s">
        <v>18</v>
      </c>
      <c r="D1212" s="5" t="s">
        <v>19</v>
      </c>
      <c r="E1212" s="5" t="s">
        <v>314</v>
      </c>
      <c r="F1212" s="9">
        <v>74</v>
      </c>
      <c r="G1212" s="9">
        <v>831</v>
      </c>
      <c r="H1212" s="5" t="s">
        <v>21</v>
      </c>
      <c r="I1212" s="5" t="s">
        <v>2860</v>
      </c>
      <c r="J1212" s="12" t="str">
        <f>HYPERLINK("https://www.boe.es/gazeta/dias/1800/09/12/pdfs/GMD-1800-74.pdf#page=9","Abrir facsímil")</f>
        <v>Abrir facsímil</v>
      </c>
      <c r="K1212" s="15" t="s">
        <v>23</v>
      </c>
    </row>
    <row r="1213" spans="1:11" ht="42" customHeight="1">
      <c r="A1213" s="4" t="s">
        <v>2861</v>
      </c>
      <c r="B1213" s="5" t="s">
        <v>2861</v>
      </c>
      <c r="C1213" s="5" t="s">
        <v>84</v>
      </c>
      <c r="D1213" s="5" t="s">
        <v>85</v>
      </c>
      <c r="E1213" s="5" t="s">
        <v>184</v>
      </c>
      <c r="F1213" s="9">
        <v>82</v>
      </c>
      <c r="G1213" s="9">
        <v>954</v>
      </c>
      <c r="H1213" s="5" t="s">
        <v>21</v>
      </c>
      <c r="I1213" s="5" t="s">
        <v>2862</v>
      </c>
      <c r="J1213" s="12" t="str">
        <f>HYPERLINK("https://www.boe.es/gazeta/dias/1800/10/10/pdfs/GMD-1800-82.pdf#page=12","Abrir facsímil")</f>
        <v>Abrir facsímil</v>
      </c>
      <c r="K1213" s="15" t="s">
        <v>23</v>
      </c>
    </row>
    <row r="1214" spans="1:11" ht="42" customHeight="1">
      <c r="A1214" s="4" t="s">
        <v>2863</v>
      </c>
      <c r="B1214" s="5" t="s">
        <v>2864</v>
      </c>
      <c r="C1214" s="5" t="s">
        <v>84</v>
      </c>
      <c r="D1214" s="5" t="s">
        <v>85</v>
      </c>
      <c r="E1214" s="5" t="s">
        <v>88</v>
      </c>
      <c r="F1214" s="9">
        <v>23</v>
      </c>
      <c r="G1214" s="9">
        <v>235</v>
      </c>
      <c r="H1214" s="5" t="s">
        <v>21</v>
      </c>
      <c r="I1214" s="5" t="s">
        <v>2865</v>
      </c>
      <c r="J1214" s="12" t="str">
        <f>HYPERLINK("https://www.boe.es/gazeta/dias/1800/03/21/pdfs/GMD-1800-23.pdf#page=11","Abrir facsímil")</f>
        <v>Abrir facsímil</v>
      </c>
      <c r="K1214" s="15" t="s">
        <v>23</v>
      </c>
    </row>
    <row r="1215" spans="1:11" ht="42" customHeight="1">
      <c r="A1215" s="4" t="s">
        <v>2863</v>
      </c>
      <c r="B1215" s="5" t="s">
        <v>2864</v>
      </c>
      <c r="C1215" s="5" t="s">
        <v>25</v>
      </c>
      <c r="D1215" s="5" t="s">
        <v>26</v>
      </c>
      <c r="E1215" s="5" t="s">
        <v>314</v>
      </c>
      <c r="F1215" s="9">
        <v>74</v>
      </c>
      <c r="G1215" s="9">
        <v>830</v>
      </c>
      <c r="H1215" s="5" t="s">
        <v>21</v>
      </c>
      <c r="I1215" s="5" t="s">
        <v>2866</v>
      </c>
      <c r="J1215" s="12" t="str">
        <f>HYPERLINK("https://www.boe.es/gazeta/dias/1800/09/12/pdfs/GMD-1800-74.pdf#page=8","Abrir facsímil")</f>
        <v>Abrir facsímil</v>
      </c>
      <c r="K1215" s="15" t="s">
        <v>23</v>
      </c>
    </row>
    <row r="1216" spans="1:11" ht="42" customHeight="1">
      <c r="A1216" s="4" t="s">
        <v>2867</v>
      </c>
      <c r="B1216" s="5" t="s">
        <v>2868</v>
      </c>
      <c r="C1216" s="5" t="s">
        <v>207</v>
      </c>
      <c r="D1216" s="5" t="s">
        <v>55</v>
      </c>
      <c r="E1216" s="5" t="s">
        <v>445</v>
      </c>
      <c r="F1216" s="9">
        <v>96</v>
      </c>
      <c r="G1216" s="9">
        <v>1105</v>
      </c>
      <c r="H1216" s="5" t="s">
        <v>21</v>
      </c>
      <c r="I1216" s="5" t="s">
        <v>2869</v>
      </c>
      <c r="J1216" s="12" t="str">
        <f>HYPERLINK("https://www.boe.es/gazeta/dias/1800/11/28/pdfs/GMD-1800-96.pdf#page=9","Abrir facsímil")</f>
        <v>Abrir facsímil</v>
      </c>
      <c r="K1216" s="15" t="s">
        <v>23</v>
      </c>
    </row>
    <row r="1217" spans="1:11" ht="42" customHeight="1">
      <c r="A1217" s="4" t="s">
        <v>2870</v>
      </c>
      <c r="B1217" s="5" t="s">
        <v>2871</v>
      </c>
      <c r="C1217" s="5" t="s">
        <v>18</v>
      </c>
      <c r="D1217" s="5" t="s">
        <v>19</v>
      </c>
      <c r="E1217" s="5" t="s">
        <v>39</v>
      </c>
      <c r="F1217" s="9">
        <v>43</v>
      </c>
      <c r="G1217" s="9">
        <v>449</v>
      </c>
      <c r="H1217" s="5" t="s">
        <v>21</v>
      </c>
      <c r="I1217" s="5" t="s">
        <v>2872</v>
      </c>
      <c r="J1217" s="12" t="str">
        <f>HYPERLINK("https://www.boe.es/gazeta/dias/1800/05/30/pdfs/GMD-1800-43.pdf#page=9","Abrir facsímil")</f>
        <v>Abrir facsímil</v>
      </c>
      <c r="K1217" s="15" t="s">
        <v>23</v>
      </c>
    </row>
    <row r="1218" spans="1:11" ht="42" customHeight="1">
      <c r="A1218" s="4" t="s">
        <v>2873</v>
      </c>
      <c r="B1218" s="5" t="s">
        <v>2874</v>
      </c>
      <c r="C1218" s="5" t="s">
        <v>25</v>
      </c>
      <c r="D1218" s="5" t="s">
        <v>26</v>
      </c>
      <c r="E1218" s="5" t="s">
        <v>101</v>
      </c>
      <c r="F1218" s="9">
        <v>37</v>
      </c>
      <c r="G1218" s="9">
        <v>377</v>
      </c>
      <c r="H1218" s="5" t="s">
        <v>21</v>
      </c>
      <c r="I1218" s="5" t="s">
        <v>2875</v>
      </c>
      <c r="J1218" s="12" t="str">
        <f>HYPERLINK("https://www.boe.es/gazeta/dias/1800/05/09/pdfs/GMD-1800-37.pdf#page=9","Abrir facsímil")</f>
        <v>Abrir facsímil</v>
      </c>
      <c r="K1218" s="15" t="s">
        <v>23</v>
      </c>
    </row>
    <row r="1219" spans="1:11" ht="42" customHeight="1">
      <c r="A1219" s="4" t="s">
        <v>2876</v>
      </c>
      <c r="B1219" s="5" t="s">
        <v>2877</v>
      </c>
      <c r="C1219" s="5" t="s">
        <v>25</v>
      </c>
      <c r="D1219" s="5" t="s">
        <v>26</v>
      </c>
      <c r="E1219" s="5" t="s">
        <v>101</v>
      </c>
      <c r="F1219" s="9">
        <v>37</v>
      </c>
      <c r="G1219" s="9">
        <v>377</v>
      </c>
      <c r="H1219" s="5" t="s">
        <v>21</v>
      </c>
      <c r="I1219" s="5" t="s">
        <v>2878</v>
      </c>
      <c r="J1219" s="12" t="str">
        <f>HYPERLINK("https://www.boe.es/gazeta/dias/1800/05/09/pdfs/GMD-1800-37.pdf#page=9","Abrir facsímil")</f>
        <v>Abrir facsímil</v>
      </c>
      <c r="K1219" s="15" t="s">
        <v>23</v>
      </c>
    </row>
    <row r="1220" spans="1:11" ht="42" customHeight="1">
      <c r="A1220" s="4" t="s">
        <v>2879</v>
      </c>
      <c r="B1220" s="5" t="s">
        <v>2880</v>
      </c>
      <c r="C1220" s="5" t="s">
        <v>171</v>
      </c>
      <c r="D1220" s="5" t="s">
        <v>172</v>
      </c>
      <c r="E1220" s="5" t="s">
        <v>214</v>
      </c>
      <c r="F1220" s="9">
        <v>41</v>
      </c>
      <c r="G1220" s="9">
        <v>425</v>
      </c>
      <c r="H1220" s="5" t="s">
        <v>21</v>
      </c>
      <c r="I1220" s="5" t="s">
        <v>2881</v>
      </c>
      <c r="J1220" s="12" t="str">
        <f>HYPERLINK("https://www.boe.es/gazeta/dias/1800/05/23/pdfs/GMD-C-1800-41.pdf#page=1","Abrir facsímil")</f>
        <v>Abrir facsímil</v>
      </c>
      <c r="K1220" s="15" t="s">
        <v>23</v>
      </c>
    </row>
    <row r="1221" spans="1:11" ht="42" customHeight="1">
      <c r="A1221" s="4" t="s">
        <v>2882</v>
      </c>
      <c r="B1221" s="5" t="s">
        <v>2882</v>
      </c>
      <c r="C1221" s="5" t="s">
        <v>54</v>
      </c>
      <c r="D1221" s="5" t="s">
        <v>55</v>
      </c>
      <c r="E1221" s="5" t="s">
        <v>618</v>
      </c>
      <c r="F1221" s="9">
        <v>1</v>
      </c>
      <c r="G1221" s="9">
        <v>8</v>
      </c>
      <c r="H1221" s="5" t="s">
        <v>21</v>
      </c>
      <c r="I1221" s="5" t="s">
        <v>2883</v>
      </c>
      <c r="J1221" s="12" t="str">
        <f>HYPERLINK("https://www.boe.es/gazeta/dias/1800/01/03/pdfs/GMD-1800-1.pdf#page=8","Abrir facsímil")</f>
        <v>Abrir facsímil</v>
      </c>
      <c r="K1221" s="15" t="s">
        <v>23</v>
      </c>
    </row>
    <row r="1222" spans="1:11" ht="42" customHeight="1">
      <c r="A1222" s="4" t="s">
        <v>2884</v>
      </c>
      <c r="B1222" s="5" t="s">
        <v>2885</v>
      </c>
      <c r="C1222" s="5" t="s">
        <v>114</v>
      </c>
      <c r="D1222" s="5" t="s">
        <v>115</v>
      </c>
      <c r="E1222" s="5" t="s">
        <v>116</v>
      </c>
      <c r="F1222" s="9">
        <v>86</v>
      </c>
      <c r="G1222" s="9" t="s">
        <v>1501</v>
      </c>
      <c r="H1222" s="5" t="s">
        <v>21</v>
      </c>
      <c r="I1222" s="5" t="s">
        <v>2886</v>
      </c>
      <c r="J1222" s="12" t="str">
        <f>HYPERLINK("https://www.boe.es/gazeta/dias/1800/10/24/pdfs/GMD-D-1800-86.pdf#page=2","Abrir facsímil")</f>
        <v>Abrir facsímil</v>
      </c>
      <c r="K1222" s="15" t="s">
        <v>23</v>
      </c>
    </row>
    <row r="1223" spans="1:11" ht="42" customHeight="1">
      <c r="A1223" s="4" t="s">
        <v>2887</v>
      </c>
      <c r="B1223" s="5" t="s">
        <v>2888</v>
      </c>
      <c r="C1223" s="5" t="s">
        <v>41</v>
      </c>
      <c r="D1223" s="5" t="s">
        <v>42</v>
      </c>
      <c r="E1223" s="5" t="s">
        <v>491</v>
      </c>
      <c r="F1223" s="9">
        <v>29</v>
      </c>
      <c r="G1223" s="9">
        <v>296</v>
      </c>
      <c r="H1223" s="5" t="s">
        <v>21</v>
      </c>
      <c r="I1223" s="5" t="s">
        <v>2889</v>
      </c>
      <c r="J1223" s="12" t="str">
        <f>HYPERLINK("https://www.boe.es/gazeta/dias/1800/04/11/pdfs/GMD-1800-29.pdf#page=4","Abrir facsímil")</f>
        <v>Abrir facsímil</v>
      </c>
      <c r="K1223" s="15" t="s">
        <v>23</v>
      </c>
    </row>
    <row r="1224" spans="1:11" ht="42" customHeight="1">
      <c r="A1224" s="4" t="s">
        <v>2890</v>
      </c>
      <c r="B1224" s="5" t="s">
        <v>2891</v>
      </c>
      <c r="C1224" s="5" t="s">
        <v>41</v>
      </c>
      <c r="D1224" s="5" t="s">
        <v>42</v>
      </c>
      <c r="E1224" s="5" t="s">
        <v>240</v>
      </c>
      <c r="F1224" s="9">
        <v>26</v>
      </c>
      <c r="G1224" s="9">
        <v>265</v>
      </c>
      <c r="H1224" s="5" t="s">
        <v>21</v>
      </c>
      <c r="I1224" s="5" t="s">
        <v>2892</v>
      </c>
      <c r="J1224" s="12" t="str">
        <f>HYPERLINK("https://www.boe.es/gazeta/dias/1800/04/01/pdfs/GMD-1800-26.pdf#page=5","Abrir facsímil")</f>
        <v>Abrir facsímil</v>
      </c>
      <c r="K1224" s="15" t="s">
        <v>23</v>
      </c>
    </row>
    <row r="1225" spans="1:11" ht="42" customHeight="1">
      <c r="A1225" s="4" t="s">
        <v>2893</v>
      </c>
      <c r="B1225" s="5" t="s">
        <v>2894</v>
      </c>
      <c r="C1225" s="5" t="s">
        <v>18</v>
      </c>
      <c r="D1225" s="5" t="s">
        <v>19</v>
      </c>
      <c r="E1225" s="5" t="s">
        <v>598</v>
      </c>
      <c r="F1225" s="9">
        <v>32</v>
      </c>
      <c r="G1225" s="9">
        <v>320</v>
      </c>
      <c r="H1225" s="5" t="s">
        <v>21</v>
      </c>
      <c r="I1225" s="5" t="s">
        <v>2895</v>
      </c>
      <c r="J1225" s="12" t="str">
        <f>HYPERLINK("https://www.boe.es/gazeta/dias/1800/04/22/pdfs/GMD-1800-32.pdf#page=4","Abrir facsímil")</f>
        <v>Abrir facsímil</v>
      </c>
      <c r="K1225" s="15" t="s">
        <v>23</v>
      </c>
    </row>
    <row r="1226" spans="1:11" ht="42" customHeight="1">
      <c r="A1226" s="4" t="s">
        <v>2893</v>
      </c>
      <c r="B1226" s="5" t="s">
        <v>2894</v>
      </c>
      <c r="C1226" s="5" t="s">
        <v>41</v>
      </c>
      <c r="D1226" s="5" t="s">
        <v>42</v>
      </c>
      <c r="E1226" s="5" t="s">
        <v>478</v>
      </c>
      <c r="F1226" s="9">
        <v>34</v>
      </c>
      <c r="G1226" s="9">
        <v>342</v>
      </c>
      <c r="H1226" s="5" t="s">
        <v>21</v>
      </c>
      <c r="I1226" s="5" t="s">
        <v>2896</v>
      </c>
      <c r="J1226" s="12" t="str">
        <f>HYPERLINK("https://www.boe.es/gazeta/dias/1800/04/29/pdfs/GMD-1800-34.pdf#page=6","Abrir facsímil")</f>
        <v>Abrir facsímil</v>
      </c>
      <c r="K1226" s="15" t="s">
        <v>23</v>
      </c>
    </row>
    <row r="1227" spans="1:11" ht="42" customHeight="1">
      <c r="A1227" s="4" t="s">
        <v>2893</v>
      </c>
      <c r="B1227" s="5" t="s">
        <v>2894</v>
      </c>
      <c r="C1227" s="5" t="s">
        <v>41</v>
      </c>
      <c r="D1227" s="5" t="s">
        <v>42</v>
      </c>
      <c r="E1227" s="5" t="s">
        <v>410</v>
      </c>
      <c r="F1227" s="9">
        <v>87</v>
      </c>
      <c r="G1227" s="9">
        <v>1006</v>
      </c>
      <c r="H1227" s="5" t="s">
        <v>21</v>
      </c>
      <c r="I1227" s="5" t="s">
        <v>2897</v>
      </c>
      <c r="J1227" s="12" t="str">
        <f>HYPERLINK("https://www.boe.es/gazeta/dias/1800/10/28/pdfs/GMD-1800-87.pdf#page=4","Abrir facsímil")</f>
        <v>Abrir facsímil</v>
      </c>
      <c r="K1227" s="15" t="s">
        <v>23</v>
      </c>
    </row>
    <row r="1228" spans="1:11" ht="42" customHeight="1">
      <c r="A1228" s="4" t="s">
        <v>2893</v>
      </c>
      <c r="B1228" s="5" t="s">
        <v>2894</v>
      </c>
      <c r="C1228" s="5" t="s">
        <v>41</v>
      </c>
      <c r="D1228" s="5" t="s">
        <v>42</v>
      </c>
      <c r="E1228" s="5" t="s">
        <v>203</v>
      </c>
      <c r="F1228" s="9">
        <v>94</v>
      </c>
      <c r="G1228" s="9">
        <v>1075</v>
      </c>
      <c r="H1228" s="5" t="s">
        <v>21</v>
      </c>
      <c r="I1228" s="5" t="s">
        <v>2898</v>
      </c>
      <c r="J1228" s="12" t="str">
        <f>HYPERLINK("https://www.boe.es/gazeta/dias/1800/11/21/pdfs/GMD-1800-94.pdf#page=5","Abrir facsímil")</f>
        <v>Abrir facsímil</v>
      </c>
      <c r="K1228" s="15" t="s">
        <v>23</v>
      </c>
    </row>
    <row r="1229" spans="1:11" ht="42" customHeight="1">
      <c r="A1229" s="4" t="s">
        <v>2893</v>
      </c>
      <c r="B1229" s="5" t="s">
        <v>2894</v>
      </c>
      <c r="C1229" s="5" t="s">
        <v>41</v>
      </c>
      <c r="D1229" s="5" t="s">
        <v>42</v>
      </c>
      <c r="E1229" s="5" t="s">
        <v>329</v>
      </c>
      <c r="F1229" s="9">
        <v>99</v>
      </c>
      <c r="G1229" s="9">
        <v>1136</v>
      </c>
      <c r="H1229" s="5" t="s">
        <v>21</v>
      </c>
      <c r="I1229" s="5" t="s">
        <v>2899</v>
      </c>
      <c r="J1229" s="12" t="str">
        <f>HYPERLINK("https://www.boe.es/gazeta/dias/1800/12/09/pdfs/GMD-1800-99.pdf#page=4","Abrir facsímil")</f>
        <v>Abrir facsímil</v>
      </c>
      <c r="K1229" s="15" t="s">
        <v>23</v>
      </c>
    </row>
    <row r="1230" spans="1:11" ht="42" customHeight="1">
      <c r="A1230" s="4" t="s">
        <v>2893</v>
      </c>
      <c r="B1230" s="5" t="s">
        <v>2894</v>
      </c>
      <c r="C1230" s="5" t="s">
        <v>41</v>
      </c>
      <c r="D1230" s="5" t="s">
        <v>42</v>
      </c>
      <c r="E1230" s="5" t="s">
        <v>20</v>
      </c>
      <c r="F1230" s="9">
        <v>104</v>
      </c>
      <c r="G1230" s="9">
        <v>1207</v>
      </c>
      <c r="H1230" s="5" t="s">
        <v>21</v>
      </c>
      <c r="I1230" s="5" t="s">
        <v>2900</v>
      </c>
      <c r="J1230" s="12" t="str">
        <f>HYPERLINK("https://www.boe.es/gazeta/dias/1800/12/26/pdfs/GMD-1800-104.pdf#page=7","Abrir facsímil")</f>
        <v>Abrir facsímil</v>
      </c>
      <c r="K1230" s="15" t="s">
        <v>23</v>
      </c>
    </row>
    <row r="1231" spans="1:11" ht="42" customHeight="1">
      <c r="A1231" s="4" t="s">
        <v>2901</v>
      </c>
      <c r="B1231" s="5" t="s">
        <v>2902</v>
      </c>
      <c r="C1231" s="5" t="s">
        <v>41</v>
      </c>
      <c r="D1231" s="5" t="s">
        <v>42</v>
      </c>
      <c r="E1231" s="5" t="s">
        <v>576</v>
      </c>
      <c r="F1231" s="9">
        <v>91</v>
      </c>
      <c r="G1231" s="9">
        <v>1064</v>
      </c>
      <c r="H1231" s="5" t="s">
        <v>21</v>
      </c>
      <c r="I1231" s="5" t="s">
        <v>2903</v>
      </c>
      <c r="J1231" s="12" t="str">
        <f>HYPERLINK("https://www.boe.es/gazeta/dias/1800/11/11/pdfs/GMD-1800-91.pdf#page=6","Abrir facsímil")</f>
        <v>Abrir facsímil</v>
      </c>
      <c r="K1231" s="15" t="s">
        <v>23</v>
      </c>
    </row>
    <row r="1232" spans="1:11" ht="42" customHeight="1">
      <c r="A1232" s="4" t="s">
        <v>2904</v>
      </c>
      <c r="B1232" s="5" t="s">
        <v>2904</v>
      </c>
      <c r="C1232" s="5" t="s">
        <v>41</v>
      </c>
      <c r="D1232" s="5" t="s">
        <v>42</v>
      </c>
      <c r="E1232" s="5" t="s">
        <v>88</v>
      </c>
      <c r="F1232" s="9">
        <v>23</v>
      </c>
      <c r="G1232" s="9">
        <v>231</v>
      </c>
      <c r="H1232" s="5" t="s">
        <v>21</v>
      </c>
      <c r="I1232" s="5" t="s">
        <v>2905</v>
      </c>
      <c r="J1232" s="12" t="str">
        <f>HYPERLINK("https://www.boe.es/gazeta/dias/1800/03/21/pdfs/GMD-1800-23.pdf#page=7","Abrir facsímil")</f>
        <v>Abrir facsímil</v>
      </c>
      <c r="K1232" s="15" t="s">
        <v>23</v>
      </c>
    </row>
    <row r="1233" spans="1:11" ht="42" customHeight="1">
      <c r="A1233" s="4" t="s">
        <v>2906</v>
      </c>
      <c r="B1233" s="5" t="s">
        <v>2906</v>
      </c>
      <c r="C1233" s="5" t="s">
        <v>207</v>
      </c>
      <c r="D1233" s="5" t="s">
        <v>55</v>
      </c>
      <c r="E1233" s="5" t="s">
        <v>598</v>
      </c>
      <c r="F1233" s="9">
        <v>32</v>
      </c>
      <c r="G1233" s="9">
        <v>323</v>
      </c>
      <c r="H1233" s="5" t="s">
        <v>21</v>
      </c>
      <c r="I1233" s="5" t="s">
        <v>2907</v>
      </c>
      <c r="J1233" s="12" t="str">
        <f>HYPERLINK("https://www.boe.es/gazeta/dias/1800/04/22/pdfs/GMD-1800-32.pdf#page=7","Abrir facsímil")</f>
        <v>Abrir facsímil</v>
      </c>
      <c r="K1233" s="15" t="s">
        <v>23</v>
      </c>
    </row>
    <row r="1234" spans="1:11" ht="42" customHeight="1">
      <c r="A1234" s="4" t="s">
        <v>2908</v>
      </c>
      <c r="B1234" s="5" t="s">
        <v>2909</v>
      </c>
      <c r="C1234" s="5" t="s">
        <v>41</v>
      </c>
      <c r="D1234" s="5" t="s">
        <v>42</v>
      </c>
      <c r="E1234" s="5" t="s">
        <v>828</v>
      </c>
      <c r="F1234" s="9">
        <v>53</v>
      </c>
      <c r="G1234" s="9">
        <v>587</v>
      </c>
      <c r="H1234" s="5" t="s">
        <v>21</v>
      </c>
      <c r="I1234" s="5" t="s">
        <v>2910</v>
      </c>
      <c r="J1234" s="12" t="str">
        <f>HYPERLINK("https://www.boe.es/gazeta/dias/1800/07/04/pdfs/GMD-1800-53.pdf#page=7","Abrir facsímil")</f>
        <v>Abrir facsímil</v>
      </c>
      <c r="K1234" s="15" t="s">
        <v>23</v>
      </c>
    </row>
    <row r="1235" spans="1:11" ht="42" customHeight="1">
      <c r="A1235" s="4" t="s">
        <v>2911</v>
      </c>
      <c r="B1235" s="5" t="s">
        <v>2912</v>
      </c>
      <c r="C1235" s="5" t="s">
        <v>54</v>
      </c>
      <c r="D1235" s="5" t="s">
        <v>55</v>
      </c>
      <c r="E1235" s="5" t="s">
        <v>139</v>
      </c>
      <c r="F1235" s="9">
        <v>2</v>
      </c>
      <c r="G1235" s="9">
        <v>15</v>
      </c>
      <c r="H1235" s="5" t="s">
        <v>21</v>
      </c>
      <c r="I1235" s="5" t="s">
        <v>2913</v>
      </c>
      <c r="J1235" s="12" t="str">
        <f>HYPERLINK("https://www.boe.es/gazeta/dias/1800/01/07/pdfs/GMD-1800-2.pdf#page=7","Abrir facsímil")</f>
        <v>Abrir facsímil</v>
      </c>
      <c r="K1235" s="15" t="s">
        <v>23</v>
      </c>
    </row>
    <row r="1236" spans="1:11" ht="42" customHeight="1">
      <c r="A1236" s="4" t="s">
        <v>2911</v>
      </c>
      <c r="B1236" s="5" t="s">
        <v>2912</v>
      </c>
      <c r="C1236" s="5" t="s">
        <v>54</v>
      </c>
      <c r="D1236" s="5" t="s">
        <v>55</v>
      </c>
      <c r="E1236" s="5" t="s">
        <v>299</v>
      </c>
      <c r="F1236" s="9">
        <v>40</v>
      </c>
      <c r="G1236" s="9">
        <v>410</v>
      </c>
      <c r="H1236" s="5" t="s">
        <v>21</v>
      </c>
      <c r="I1236" s="5" t="s">
        <v>2914</v>
      </c>
      <c r="J1236" s="12" t="str">
        <f>HYPERLINK("https://www.boe.es/gazeta/dias/1800/05/20/pdfs/GMD-1800-40.pdf#page=6","Abrir facsímil")</f>
        <v>Abrir facsímil</v>
      </c>
      <c r="K1236" s="15" t="s">
        <v>23</v>
      </c>
    </row>
    <row r="1237" spans="1:11" ht="42" customHeight="1">
      <c r="A1237" s="4" t="s">
        <v>2911</v>
      </c>
      <c r="B1237" s="5" t="s">
        <v>2912</v>
      </c>
      <c r="C1237" s="5" t="s">
        <v>41</v>
      </c>
      <c r="D1237" s="5" t="s">
        <v>42</v>
      </c>
      <c r="E1237" s="5" t="s">
        <v>2338</v>
      </c>
      <c r="F1237" s="9">
        <v>42</v>
      </c>
      <c r="G1237" s="9">
        <v>433</v>
      </c>
      <c r="H1237" s="5" t="s">
        <v>21</v>
      </c>
      <c r="I1237" s="5" t="s">
        <v>2915</v>
      </c>
      <c r="J1237" s="12" t="str">
        <f>HYPERLINK("https://www.boe.es/gazeta/dias/1800/05/27/pdfs/GMD-1800-42.pdf#page=5","Abrir facsímil")</f>
        <v>Abrir facsímil</v>
      </c>
      <c r="K1237" s="15" t="s">
        <v>23</v>
      </c>
    </row>
    <row r="1238" spans="1:11" ht="42" customHeight="1">
      <c r="A1238" s="4" t="s">
        <v>2916</v>
      </c>
      <c r="B1238" s="5" t="s">
        <v>2917</v>
      </c>
      <c r="C1238" s="5" t="s">
        <v>84</v>
      </c>
      <c r="D1238" s="5" t="s">
        <v>85</v>
      </c>
      <c r="E1238" s="5" t="s">
        <v>406</v>
      </c>
      <c r="F1238" s="9">
        <v>44</v>
      </c>
      <c r="G1238" s="9">
        <v>464</v>
      </c>
      <c r="H1238" s="5" t="s">
        <v>21</v>
      </c>
      <c r="I1238" s="5" t="s">
        <v>2918</v>
      </c>
      <c r="J1238" s="12" t="str">
        <f>HYPERLINK("https://www.boe.es/gazeta/dias/1800/06/03/pdfs/GMD-1800-44.pdf#page=12","Abrir facsímil")</f>
        <v>Abrir facsímil</v>
      </c>
      <c r="K1238" s="15" t="s">
        <v>23</v>
      </c>
    </row>
    <row r="1239" spans="1:11" ht="42" customHeight="1">
      <c r="A1239" s="4" t="s">
        <v>2919</v>
      </c>
      <c r="B1239" s="5" t="s">
        <v>2920</v>
      </c>
      <c r="C1239" s="5" t="s">
        <v>1179</v>
      </c>
      <c r="D1239" s="5" t="s">
        <v>1180</v>
      </c>
      <c r="E1239" s="5" t="s">
        <v>314</v>
      </c>
      <c r="F1239" s="9">
        <v>74</v>
      </c>
      <c r="G1239" s="9">
        <v>844</v>
      </c>
      <c r="H1239" s="5" t="s">
        <v>21</v>
      </c>
      <c r="I1239" s="5" t="s">
        <v>2921</v>
      </c>
      <c r="J1239" s="12" t="str">
        <f>HYPERLINK("https://www.boe.es/gazeta/dias/1800/09/12/pdfs/GMD-C-1800-74.pdf#page=6","Abrir facsímil")</f>
        <v>Abrir facsímil</v>
      </c>
      <c r="K1239" s="15" t="s">
        <v>23</v>
      </c>
    </row>
    <row r="1240" spans="1:11" ht="42" customHeight="1">
      <c r="A1240" s="4" t="s">
        <v>2922</v>
      </c>
      <c r="B1240" s="5" t="s">
        <v>2923</v>
      </c>
      <c r="C1240" s="5" t="s">
        <v>18</v>
      </c>
      <c r="D1240" s="5" t="s">
        <v>19</v>
      </c>
      <c r="E1240" s="5" t="s">
        <v>31</v>
      </c>
      <c r="F1240" s="9">
        <v>20</v>
      </c>
      <c r="G1240" s="9">
        <v>192</v>
      </c>
      <c r="H1240" s="5" t="s">
        <v>21</v>
      </c>
      <c r="I1240" s="5" t="s">
        <v>2924</v>
      </c>
      <c r="J1240" s="12" t="str">
        <f>HYPERLINK("https://www.boe.es/gazeta/dias/1800/03/11/pdfs/GMD-1800-20.pdf#page=8","Abrir facsímil")</f>
        <v>Abrir facsímil</v>
      </c>
      <c r="K1240" s="15" t="s">
        <v>23</v>
      </c>
    </row>
    <row r="1241" spans="1:11" ht="42" customHeight="1">
      <c r="A1241" s="4" t="s">
        <v>2925</v>
      </c>
      <c r="B1241" s="5" t="s">
        <v>2926</v>
      </c>
      <c r="C1241" s="5" t="s">
        <v>84</v>
      </c>
      <c r="D1241" s="5" t="s">
        <v>85</v>
      </c>
      <c r="E1241" s="5" t="s">
        <v>143</v>
      </c>
      <c r="F1241" s="9">
        <v>22</v>
      </c>
      <c r="G1241" s="9">
        <v>223</v>
      </c>
      <c r="H1241" s="5" t="s">
        <v>21</v>
      </c>
      <c r="I1241" s="5" t="s">
        <v>2927</v>
      </c>
      <c r="J1241" s="12" t="str">
        <f>HYPERLINK("https://www.boe.es/gazeta/dias/1800/03/18/pdfs/GMD-1800-22.pdf#page=15","Abrir facsímil")</f>
        <v>Abrir facsímil</v>
      </c>
      <c r="K1241" s="15" t="s">
        <v>23</v>
      </c>
    </row>
    <row r="1242" spans="1:11" ht="42" customHeight="1">
      <c r="A1242" s="4" t="s">
        <v>2928</v>
      </c>
      <c r="B1242" s="5" t="s">
        <v>2929</v>
      </c>
      <c r="C1242" s="5" t="s">
        <v>41</v>
      </c>
      <c r="D1242" s="5" t="s">
        <v>42</v>
      </c>
      <c r="E1242" s="5" t="s">
        <v>567</v>
      </c>
      <c r="F1242" s="9">
        <v>3</v>
      </c>
      <c r="G1242" s="9">
        <v>26</v>
      </c>
      <c r="H1242" s="5" t="s">
        <v>21</v>
      </c>
      <c r="I1242" s="5" t="s">
        <v>2930</v>
      </c>
      <c r="J1242" s="12" t="str">
        <f>HYPERLINK("https://www.boe.es/gazeta/dias/1800/01/10/pdfs/GMD-1800-3.pdf#page=6","Abrir facsímil")</f>
        <v>Abrir facsímil</v>
      </c>
      <c r="K1242" s="15" t="s">
        <v>23</v>
      </c>
    </row>
    <row r="1243" spans="1:11" ht="42" customHeight="1">
      <c r="A1243" s="4" t="s">
        <v>2928</v>
      </c>
      <c r="B1243" s="5" t="s">
        <v>2929</v>
      </c>
      <c r="C1243" s="5" t="s">
        <v>41</v>
      </c>
      <c r="D1243" s="5" t="s">
        <v>42</v>
      </c>
      <c r="E1243" s="5" t="s">
        <v>402</v>
      </c>
      <c r="F1243" s="9">
        <v>101</v>
      </c>
      <c r="G1243" s="9">
        <v>1171</v>
      </c>
      <c r="H1243" s="5" t="s">
        <v>21</v>
      </c>
      <c r="I1243" s="5" t="s">
        <v>2931</v>
      </c>
      <c r="J1243" s="12" t="str">
        <f>HYPERLINK("https://www.boe.es/gazeta/dias/1800/12/16/pdfs/GMD-1800-101.pdf#page=7","Abrir facsímil")</f>
        <v>Abrir facsímil</v>
      </c>
      <c r="K1243" s="15" t="s">
        <v>23</v>
      </c>
    </row>
    <row r="1244" spans="1:11" ht="42" customHeight="1">
      <c r="A1244" s="4" t="s">
        <v>2928</v>
      </c>
      <c r="B1244" s="5" t="s">
        <v>2929</v>
      </c>
      <c r="C1244" s="5" t="s">
        <v>18</v>
      </c>
      <c r="D1244" s="5" t="s">
        <v>19</v>
      </c>
      <c r="E1244" s="5" t="s">
        <v>20</v>
      </c>
      <c r="F1244" s="9">
        <v>104</v>
      </c>
      <c r="G1244" s="9">
        <v>1206</v>
      </c>
      <c r="H1244" s="5" t="s">
        <v>21</v>
      </c>
      <c r="I1244" s="5" t="s">
        <v>2932</v>
      </c>
      <c r="J1244" s="12" t="str">
        <f>HYPERLINK("https://www.boe.es/gazeta/dias/1800/12/26/pdfs/GMD-1800-104.pdf#page=6","Abrir facsímil")</f>
        <v>Abrir facsímil</v>
      </c>
      <c r="K1244" s="15" t="s">
        <v>23</v>
      </c>
    </row>
    <row r="1245" spans="1:11" ht="42" customHeight="1">
      <c r="A1245" s="4" t="s">
        <v>2933</v>
      </c>
      <c r="B1245" s="5" t="s">
        <v>2933</v>
      </c>
      <c r="C1245" s="5" t="s">
        <v>207</v>
      </c>
      <c r="D1245" s="5" t="s">
        <v>55</v>
      </c>
      <c r="E1245" s="5" t="s">
        <v>20</v>
      </c>
      <c r="F1245" s="9">
        <v>104</v>
      </c>
      <c r="G1245" s="9">
        <v>1212</v>
      </c>
      <c r="H1245" s="5" t="s">
        <v>21</v>
      </c>
      <c r="I1245" s="5" t="s">
        <v>2934</v>
      </c>
      <c r="J1245" s="12" t="str">
        <f>HYPERLINK("https://www.boe.es/gazeta/dias/1800/12/26/pdfs/GMD-1800-104.pdf#page=12","Abrir facsímil")</f>
        <v>Abrir facsímil</v>
      </c>
      <c r="K1245" s="15" t="s">
        <v>23</v>
      </c>
    </row>
    <row r="1246" spans="1:11" ht="42" customHeight="1">
      <c r="A1246" s="4" t="s">
        <v>2935</v>
      </c>
      <c r="B1246" s="5" t="s">
        <v>2935</v>
      </c>
      <c r="C1246" s="5" t="s">
        <v>54</v>
      </c>
      <c r="D1246" s="5" t="s">
        <v>55</v>
      </c>
      <c r="E1246" s="5" t="s">
        <v>244</v>
      </c>
      <c r="F1246" s="9">
        <v>9</v>
      </c>
      <c r="G1246" s="9">
        <v>87</v>
      </c>
      <c r="H1246" s="5" t="s">
        <v>21</v>
      </c>
      <c r="I1246" s="5" t="s">
        <v>2936</v>
      </c>
      <c r="J1246" s="12" t="str">
        <f>HYPERLINK("https://www.boe.es/gazeta/dias/1800/01/31/pdfs/GMD-1800-9.pdf#page=11","Abrir facsímil")</f>
        <v>Abrir facsímil</v>
      </c>
      <c r="K1246" s="15" t="s">
        <v>23</v>
      </c>
    </row>
    <row r="1247" spans="1:11" ht="42" customHeight="1">
      <c r="A1247" s="4" t="s">
        <v>2937</v>
      </c>
      <c r="B1247" s="5" t="s">
        <v>2938</v>
      </c>
      <c r="C1247" s="5" t="s">
        <v>207</v>
      </c>
      <c r="D1247" s="5" t="s">
        <v>55</v>
      </c>
      <c r="E1247" s="5" t="s">
        <v>230</v>
      </c>
      <c r="F1247" s="9">
        <v>35</v>
      </c>
      <c r="G1247" s="9">
        <v>354</v>
      </c>
      <c r="H1247" s="5" t="s">
        <v>21</v>
      </c>
      <c r="I1247" s="5" t="s">
        <v>2939</v>
      </c>
      <c r="J1247" s="12" t="str">
        <f>HYPERLINK("https://www.boe.es/gazeta/dias/1800/05/02/pdfs/GMD-1800-35.pdf#page=6","Abrir facsímil")</f>
        <v>Abrir facsímil</v>
      </c>
      <c r="K1247" s="15" t="s">
        <v>23</v>
      </c>
    </row>
    <row r="1248" spans="1:11" ht="42" customHeight="1">
      <c r="A1248" s="4" t="s">
        <v>2940</v>
      </c>
      <c r="B1248" s="5" t="s">
        <v>2940</v>
      </c>
      <c r="C1248" s="5" t="s">
        <v>18</v>
      </c>
      <c r="D1248" s="5" t="s">
        <v>19</v>
      </c>
      <c r="E1248" s="5" t="s">
        <v>583</v>
      </c>
      <c r="F1248" s="9">
        <v>77</v>
      </c>
      <c r="G1248" s="9">
        <v>879</v>
      </c>
      <c r="H1248" s="5" t="s">
        <v>21</v>
      </c>
      <c r="I1248" s="5" t="s">
        <v>2941</v>
      </c>
      <c r="J1248" s="12" t="str">
        <f>HYPERLINK("https://www.boe.es/gazeta/dias/1800/09/23/pdfs/GMD-1800-77.pdf#page=9","Abrir facsímil")</f>
        <v>Abrir facsímil</v>
      </c>
      <c r="K1248" s="15" t="s">
        <v>23</v>
      </c>
    </row>
    <row r="1249" spans="1:11" ht="42" customHeight="1">
      <c r="A1249" s="4" t="s">
        <v>2942</v>
      </c>
      <c r="B1249" s="5" t="s">
        <v>2942</v>
      </c>
      <c r="C1249" s="5" t="s">
        <v>207</v>
      </c>
      <c r="D1249" s="5" t="s">
        <v>55</v>
      </c>
      <c r="E1249" s="5" t="s">
        <v>836</v>
      </c>
      <c r="F1249" s="9">
        <v>71</v>
      </c>
      <c r="G1249" s="9">
        <v>789</v>
      </c>
      <c r="H1249" s="5" t="s">
        <v>21</v>
      </c>
      <c r="I1249" s="5" t="s">
        <v>2943</v>
      </c>
      <c r="J1249" s="12" t="str">
        <f>HYPERLINK("https://www.boe.es/gazeta/dias/1800/09/02/pdfs/GMD-1800-71.pdf#page=7","Abrir facsímil")</f>
        <v>Abrir facsímil</v>
      </c>
      <c r="K1249" s="15" t="s">
        <v>23</v>
      </c>
    </row>
    <row r="1250" spans="1:11" ht="42" customHeight="1">
      <c r="A1250" s="4" t="s">
        <v>2944</v>
      </c>
      <c r="B1250" s="5" t="s">
        <v>2944</v>
      </c>
      <c r="C1250" s="5" t="s">
        <v>18</v>
      </c>
      <c r="D1250" s="5" t="s">
        <v>19</v>
      </c>
      <c r="E1250" s="5" t="s">
        <v>56</v>
      </c>
      <c r="F1250" s="9">
        <v>90</v>
      </c>
      <c r="G1250" s="9">
        <v>1056</v>
      </c>
      <c r="H1250" s="5" t="s">
        <v>21</v>
      </c>
      <c r="I1250" s="5" t="s">
        <v>2945</v>
      </c>
      <c r="J1250" s="12" t="str">
        <f>HYPERLINK("https://www.boe.es/gazeta/dias/1800/11/07/pdfs/GMD-1800-90.pdf#page=10","Abrir facsímil")</f>
        <v>Abrir facsímil</v>
      </c>
      <c r="K1250" s="15" t="s">
        <v>23</v>
      </c>
    </row>
    <row r="1251" spans="1:11" ht="42" customHeight="1">
      <c r="A1251" s="4" t="s">
        <v>2944</v>
      </c>
      <c r="B1251" s="5" t="s">
        <v>2944</v>
      </c>
      <c r="C1251" s="5" t="s">
        <v>18</v>
      </c>
      <c r="D1251" s="5" t="s">
        <v>19</v>
      </c>
      <c r="E1251" s="5" t="s">
        <v>180</v>
      </c>
      <c r="F1251" s="9">
        <v>102</v>
      </c>
      <c r="G1251" s="9">
        <v>1185</v>
      </c>
      <c r="H1251" s="5" t="s">
        <v>21</v>
      </c>
      <c r="I1251" s="5" t="s">
        <v>2946</v>
      </c>
      <c r="J1251" s="12" t="str">
        <f>HYPERLINK("https://www.boe.es/gazeta/dias/1800/12/19/pdfs/GMD-1800-102.pdf#page=9","Abrir facsímil")</f>
        <v>Abrir facsímil</v>
      </c>
      <c r="K1251" s="15" t="s">
        <v>23</v>
      </c>
    </row>
    <row r="1252" spans="1:11" ht="42" customHeight="1">
      <c r="A1252" s="4" t="s">
        <v>2947</v>
      </c>
      <c r="B1252" s="5" t="s">
        <v>2947</v>
      </c>
      <c r="C1252" s="5" t="s">
        <v>18</v>
      </c>
      <c r="D1252" s="5" t="s">
        <v>19</v>
      </c>
      <c r="E1252" s="5" t="s">
        <v>534</v>
      </c>
      <c r="F1252" s="9">
        <v>100</v>
      </c>
      <c r="G1252" s="9">
        <v>1161</v>
      </c>
      <c r="H1252" s="5" t="s">
        <v>21</v>
      </c>
      <c r="I1252" s="5" t="s">
        <v>2948</v>
      </c>
      <c r="J1252" s="12" t="str">
        <f>HYPERLINK("https://www.boe.es/gazeta/dias/1800/12/12/pdfs/GMD-1800-100.pdf#page=13","Abrir facsímil")</f>
        <v>Abrir facsímil</v>
      </c>
      <c r="K1252" s="15" t="s">
        <v>23</v>
      </c>
    </row>
    <row r="1253" spans="1:11" ht="42" customHeight="1">
      <c r="A1253" s="4" t="s">
        <v>2949</v>
      </c>
      <c r="B1253" s="5" t="s">
        <v>2950</v>
      </c>
      <c r="C1253" s="5" t="s">
        <v>18</v>
      </c>
      <c r="D1253" s="5" t="s">
        <v>19</v>
      </c>
      <c r="E1253" s="5" t="s">
        <v>310</v>
      </c>
      <c r="F1253" s="9">
        <v>56</v>
      </c>
      <c r="G1253" s="9">
        <v>633</v>
      </c>
      <c r="H1253" s="5" t="s">
        <v>21</v>
      </c>
      <c r="I1253" s="5" t="s">
        <v>2951</v>
      </c>
      <c r="J1253" s="12" t="str">
        <f>HYPERLINK("https://www.boe.es/gazeta/dias/1800/07/15/pdfs/GMD-1800-56.pdf#page=9","Abrir facsímil")</f>
        <v>Abrir facsímil</v>
      </c>
      <c r="K1253" s="15" t="s">
        <v>23</v>
      </c>
    </row>
    <row r="1254" spans="1:11" ht="42" customHeight="1">
      <c r="A1254" s="4" t="s">
        <v>2952</v>
      </c>
      <c r="B1254" s="5" t="s">
        <v>2953</v>
      </c>
      <c r="C1254" s="5" t="s">
        <v>18</v>
      </c>
      <c r="D1254" s="5" t="s">
        <v>19</v>
      </c>
      <c r="E1254" s="5" t="s">
        <v>20</v>
      </c>
      <c r="F1254" s="9">
        <v>104</v>
      </c>
      <c r="G1254" s="9">
        <v>1206</v>
      </c>
      <c r="H1254" s="5" t="s">
        <v>21</v>
      </c>
      <c r="I1254" s="5" t="s">
        <v>2954</v>
      </c>
      <c r="J1254" s="12" t="str">
        <f>HYPERLINK("https://www.boe.es/gazeta/dias/1800/12/26/pdfs/GMD-1800-104.pdf#page=6","Abrir facsímil")</f>
        <v>Abrir facsímil</v>
      </c>
      <c r="K1254" s="15" t="s">
        <v>23</v>
      </c>
    </row>
    <row r="1255" spans="1:11" ht="42" customHeight="1">
      <c r="A1255" s="4" t="s">
        <v>2955</v>
      </c>
      <c r="B1255" s="5" t="s">
        <v>2956</v>
      </c>
      <c r="C1255" s="5" t="s">
        <v>18</v>
      </c>
      <c r="D1255" s="5" t="s">
        <v>19</v>
      </c>
      <c r="E1255" s="5" t="s">
        <v>255</v>
      </c>
      <c r="F1255" s="9">
        <v>75</v>
      </c>
      <c r="G1255" s="9">
        <v>853</v>
      </c>
      <c r="H1255" s="5" t="s">
        <v>21</v>
      </c>
      <c r="I1255" s="5" t="s">
        <v>2957</v>
      </c>
      <c r="J1255" s="12" t="str">
        <f>HYPERLINK("https://www.boe.es/gazeta/dias/1800/09/16/pdfs/GMD-1800-75.pdf#page=7","Abrir facsímil")</f>
        <v>Abrir facsímil</v>
      </c>
      <c r="K1255" s="15" t="s">
        <v>23</v>
      </c>
    </row>
    <row r="1256" spans="1:11" ht="42" customHeight="1">
      <c r="A1256" s="4" t="s">
        <v>2958</v>
      </c>
      <c r="B1256" s="5" t="s">
        <v>2959</v>
      </c>
      <c r="C1256" s="5" t="s">
        <v>25</v>
      </c>
      <c r="D1256" s="5" t="s">
        <v>26</v>
      </c>
      <c r="E1256" s="5" t="s">
        <v>45</v>
      </c>
      <c r="F1256" s="9">
        <v>47</v>
      </c>
      <c r="G1256" s="9">
        <v>502</v>
      </c>
      <c r="H1256" s="5" t="s">
        <v>21</v>
      </c>
      <c r="I1256" s="5" t="s">
        <v>2960</v>
      </c>
      <c r="J1256" s="12" t="str">
        <f>HYPERLINK("https://www.boe.es/gazeta/dias/1800/06/13/pdfs/GMD-1800-47.pdf#page=10","Abrir facsímil")</f>
        <v>Abrir facsímil</v>
      </c>
      <c r="K1256" s="15" t="s">
        <v>23</v>
      </c>
    </row>
    <row r="1257" spans="1:11" ht="42" customHeight="1">
      <c r="A1257" s="4" t="s">
        <v>2961</v>
      </c>
      <c r="B1257" s="5" t="s">
        <v>2962</v>
      </c>
      <c r="C1257" s="5" t="s">
        <v>25</v>
      </c>
      <c r="D1257" s="5" t="s">
        <v>26</v>
      </c>
      <c r="E1257" s="5" t="s">
        <v>600</v>
      </c>
      <c r="F1257" s="9">
        <v>45</v>
      </c>
      <c r="G1257" s="9">
        <v>476</v>
      </c>
      <c r="H1257" s="5" t="s">
        <v>21</v>
      </c>
      <c r="I1257" s="5" t="s">
        <v>2963</v>
      </c>
      <c r="J1257" s="12" t="str">
        <f>HYPERLINK("https://www.boe.es/gazeta/dias/1800/06/06/pdfs/GMD-1800-45.pdf#page=12","Abrir facsímil")</f>
        <v>Abrir facsímil</v>
      </c>
      <c r="K1257" s="15" t="s">
        <v>23</v>
      </c>
    </row>
    <row r="1258" spans="1:11" ht="42" customHeight="1">
      <c r="A1258" s="4" t="s">
        <v>2964</v>
      </c>
      <c r="B1258" s="5" t="s">
        <v>2965</v>
      </c>
      <c r="C1258" s="5" t="s">
        <v>41</v>
      </c>
      <c r="D1258" s="5" t="s">
        <v>42</v>
      </c>
      <c r="E1258" s="5" t="s">
        <v>583</v>
      </c>
      <c r="F1258" s="9">
        <v>77</v>
      </c>
      <c r="G1258" s="9">
        <v>873</v>
      </c>
      <c r="H1258" s="5" t="s">
        <v>21</v>
      </c>
      <c r="I1258" s="5" t="s">
        <v>2966</v>
      </c>
      <c r="J1258" s="12" t="str">
        <f>HYPERLINK("https://www.boe.es/gazeta/dias/1800/09/23/pdfs/GMD-1800-77.pdf#page=3","Abrir facsímil")</f>
        <v>Abrir facsímil</v>
      </c>
      <c r="K1258" s="15" t="s">
        <v>23</v>
      </c>
    </row>
    <row r="1259" spans="1:11" ht="42" customHeight="1">
      <c r="A1259" s="4" t="s">
        <v>2967</v>
      </c>
      <c r="B1259" s="5" t="s">
        <v>2967</v>
      </c>
      <c r="C1259" s="5" t="s">
        <v>18</v>
      </c>
      <c r="D1259" s="5" t="s">
        <v>19</v>
      </c>
      <c r="E1259" s="5" t="s">
        <v>454</v>
      </c>
      <c r="F1259" s="9">
        <v>63</v>
      </c>
      <c r="G1259" s="9">
        <v>717</v>
      </c>
      <c r="H1259" s="5" t="s">
        <v>21</v>
      </c>
      <c r="I1259" s="5" t="s">
        <v>2968</v>
      </c>
      <c r="J1259" s="12" t="str">
        <f>HYPERLINK("https://www.boe.es/gazeta/dias/1800/08/08/pdfs/GMD-1800-63.pdf#page=5","Abrir facsímil")</f>
        <v>Abrir facsímil</v>
      </c>
      <c r="K1259" s="15" t="s">
        <v>23</v>
      </c>
    </row>
    <row r="1260" spans="1:11" ht="42" customHeight="1">
      <c r="A1260" s="4" t="s">
        <v>2969</v>
      </c>
      <c r="B1260" s="5" t="s">
        <v>2969</v>
      </c>
      <c r="C1260" s="5" t="s">
        <v>18</v>
      </c>
      <c r="D1260" s="5" t="s">
        <v>19</v>
      </c>
      <c r="E1260" s="5" t="s">
        <v>143</v>
      </c>
      <c r="F1260" s="9">
        <v>22</v>
      </c>
      <c r="G1260" s="9">
        <v>209</v>
      </c>
      <c r="H1260" s="5" t="s">
        <v>21</v>
      </c>
      <c r="I1260" s="5" t="s">
        <v>2970</v>
      </c>
      <c r="J1260" s="12" t="str">
        <f>HYPERLINK("https://www.boe.es/gazeta/dias/1800/03/18/pdfs/GMD-1800-22.pdf#page=1","Abrir facsímil")</f>
        <v>Abrir facsímil</v>
      </c>
      <c r="K1260" s="15" t="s">
        <v>23</v>
      </c>
    </row>
    <row r="1261" spans="1:11" ht="42" customHeight="1">
      <c r="A1261" s="4" t="s">
        <v>2969</v>
      </c>
      <c r="B1261" s="5" t="s">
        <v>2969</v>
      </c>
      <c r="C1261" s="5" t="s">
        <v>41</v>
      </c>
      <c r="D1261" s="5" t="s">
        <v>42</v>
      </c>
      <c r="E1261" s="5" t="s">
        <v>56</v>
      </c>
      <c r="F1261" s="9">
        <v>90</v>
      </c>
      <c r="G1261" s="9">
        <v>1049</v>
      </c>
      <c r="H1261" s="5" t="s">
        <v>21</v>
      </c>
      <c r="I1261" s="5" t="s">
        <v>2971</v>
      </c>
      <c r="J1261" s="12" t="str">
        <f>HYPERLINK("https://www.boe.es/gazeta/dias/1800/11/07/pdfs/GMD-1800-90.pdf#page=3","Abrir facsímil")</f>
        <v>Abrir facsímil</v>
      </c>
      <c r="K1261" s="15" t="s">
        <v>23</v>
      </c>
    </row>
    <row r="1262" spans="1:11" ht="42" customHeight="1">
      <c r="A1262" s="4" t="s">
        <v>2969</v>
      </c>
      <c r="B1262" s="5" t="s">
        <v>2969</v>
      </c>
      <c r="C1262" s="5" t="s">
        <v>25</v>
      </c>
      <c r="D1262" s="5" t="s">
        <v>26</v>
      </c>
      <c r="E1262" s="5" t="s">
        <v>615</v>
      </c>
      <c r="F1262" s="9">
        <v>95</v>
      </c>
      <c r="G1262" s="9">
        <v>1088</v>
      </c>
      <c r="H1262" s="5" t="s">
        <v>21</v>
      </c>
      <c r="I1262" s="5" t="s">
        <v>2972</v>
      </c>
      <c r="J1262" s="12" t="str">
        <f>HYPERLINK("https://www.boe.es/gazeta/dias/1800/11/25/pdfs/GMD-1800-95.pdf#page=6","Abrir facsímil")</f>
        <v>Abrir facsímil</v>
      </c>
      <c r="K1262" s="15" t="s">
        <v>23</v>
      </c>
    </row>
    <row r="1263" spans="1:11" ht="42" customHeight="1">
      <c r="A1263" s="4" t="s">
        <v>2969</v>
      </c>
      <c r="B1263" s="5" t="s">
        <v>2969</v>
      </c>
      <c r="C1263" s="5" t="s">
        <v>41</v>
      </c>
      <c r="D1263" s="5" t="s">
        <v>42</v>
      </c>
      <c r="E1263" s="5" t="s">
        <v>402</v>
      </c>
      <c r="F1263" s="9">
        <v>101</v>
      </c>
      <c r="G1263" s="9">
        <v>1170</v>
      </c>
      <c r="H1263" s="5" t="s">
        <v>21</v>
      </c>
      <c r="I1263" s="5" t="s">
        <v>2973</v>
      </c>
      <c r="J1263" s="12" t="str">
        <f>HYPERLINK("https://www.boe.es/gazeta/dias/1800/12/16/pdfs/GMD-1800-101.pdf#page=6","Abrir facsímil")</f>
        <v>Abrir facsímil</v>
      </c>
      <c r="K1263" s="15" t="s">
        <v>23</v>
      </c>
    </row>
    <row r="1264" spans="1:11" ht="42" customHeight="1">
      <c r="A1264" s="4" t="s">
        <v>2969</v>
      </c>
      <c r="B1264" s="5" t="s">
        <v>2969</v>
      </c>
      <c r="C1264" s="5" t="s">
        <v>41</v>
      </c>
      <c r="D1264" s="5" t="s">
        <v>42</v>
      </c>
      <c r="E1264" s="5" t="s">
        <v>20</v>
      </c>
      <c r="F1264" s="9">
        <v>104</v>
      </c>
      <c r="G1264" s="9">
        <v>1207</v>
      </c>
      <c r="H1264" s="5" t="s">
        <v>21</v>
      </c>
      <c r="I1264" s="5" t="s">
        <v>2974</v>
      </c>
      <c r="J1264" s="12" t="str">
        <f>HYPERLINK("https://www.boe.es/gazeta/dias/1800/12/26/pdfs/GMD-1800-104.pdf#page=7","Abrir facsímil")</f>
        <v>Abrir facsímil</v>
      </c>
      <c r="K1264" s="15" t="s">
        <v>23</v>
      </c>
    </row>
    <row r="1265" spans="1:11" ht="42" customHeight="1">
      <c r="A1265" s="4" t="s">
        <v>2975</v>
      </c>
      <c r="B1265" s="5" t="s">
        <v>2975</v>
      </c>
      <c r="C1265" s="5" t="s">
        <v>25</v>
      </c>
      <c r="D1265" s="5" t="s">
        <v>26</v>
      </c>
      <c r="E1265" s="5" t="s">
        <v>1287</v>
      </c>
      <c r="F1265" s="9">
        <v>57</v>
      </c>
      <c r="G1265" s="9">
        <v>652</v>
      </c>
      <c r="H1265" s="5" t="s">
        <v>21</v>
      </c>
      <c r="I1265" s="5" t="s">
        <v>2976</v>
      </c>
      <c r="J1265" s="12" t="str">
        <f>HYPERLINK("https://www.boe.es/gazeta/dias/1800/07/18/pdfs/GMD-1800-57.pdf#page=16","Abrir facsímil")</f>
        <v>Abrir facsímil</v>
      </c>
      <c r="K1265" s="15" t="s">
        <v>23</v>
      </c>
    </row>
    <row r="1266" spans="1:11" ht="42" customHeight="1">
      <c r="A1266" s="4" t="s">
        <v>2977</v>
      </c>
      <c r="B1266" s="5" t="s">
        <v>2977</v>
      </c>
      <c r="C1266" s="5" t="s">
        <v>25</v>
      </c>
      <c r="D1266" s="5" t="s">
        <v>26</v>
      </c>
      <c r="E1266" s="5" t="s">
        <v>158</v>
      </c>
      <c r="F1266" s="9">
        <v>25</v>
      </c>
      <c r="G1266" s="9">
        <v>259</v>
      </c>
      <c r="H1266" s="5" t="s">
        <v>21</v>
      </c>
      <c r="I1266" s="5" t="s">
        <v>2978</v>
      </c>
      <c r="J1266" s="12" t="str">
        <f>HYPERLINK("https://www.boe.es/gazeta/dias/1800/03/28/pdfs/GMD-1800-25.pdf#page=11","Abrir facsímil")</f>
        <v>Abrir facsímil</v>
      </c>
      <c r="K1266" s="15" t="s">
        <v>23</v>
      </c>
    </row>
    <row r="1267" spans="1:11" ht="42" customHeight="1">
      <c r="A1267" s="4" t="s">
        <v>2977</v>
      </c>
      <c r="B1267" s="5" t="s">
        <v>2977</v>
      </c>
      <c r="C1267" s="5" t="s">
        <v>84</v>
      </c>
      <c r="D1267" s="5" t="s">
        <v>85</v>
      </c>
      <c r="E1267" s="5" t="s">
        <v>64</v>
      </c>
      <c r="F1267" s="9">
        <v>54</v>
      </c>
      <c r="G1267" s="9">
        <v>608</v>
      </c>
      <c r="H1267" s="5" t="s">
        <v>21</v>
      </c>
      <c r="I1267" s="5" t="s">
        <v>2979</v>
      </c>
      <c r="J1267" s="12" t="str">
        <f>HYPERLINK("https://www.boe.es/gazeta/dias/1800/07/08/pdfs/GMD-1800-54.pdf#page=12","Abrir facsímil")</f>
        <v>Abrir facsímil</v>
      </c>
      <c r="K1267" s="15" t="s">
        <v>23</v>
      </c>
    </row>
    <row r="1268" spans="1:11" ht="42" customHeight="1">
      <c r="A1268" s="4" t="s">
        <v>2977</v>
      </c>
      <c r="B1268" s="5" t="s">
        <v>2977</v>
      </c>
      <c r="C1268" s="5" t="s">
        <v>18</v>
      </c>
      <c r="D1268" s="5" t="s">
        <v>19</v>
      </c>
      <c r="E1268" s="5" t="s">
        <v>190</v>
      </c>
      <c r="F1268" s="9">
        <v>93</v>
      </c>
      <c r="G1268" s="9">
        <v>1070</v>
      </c>
      <c r="H1268" s="5" t="s">
        <v>21</v>
      </c>
      <c r="I1268" s="5" t="s">
        <v>2980</v>
      </c>
      <c r="J1268" s="12" t="str">
        <f>HYPERLINK("https://www.boe.es/gazeta/dias/1800/11/18/pdfs/GMD-1800-93.pdf#page=16","Abrir facsímil")</f>
        <v>Abrir facsímil</v>
      </c>
      <c r="K1268" s="15" t="s">
        <v>23</v>
      </c>
    </row>
    <row r="1269" spans="1:11" ht="42" customHeight="1">
      <c r="A1269" s="4" t="s">
        <v>2981</v>
      </c>
      <c r="B1269" s="5" t="s">
        <v>2982</v>
      </c>
      <c r="C1269" s="5" t="s">
        <v>84</v>
      </c>
      <c r="D1269" s="5" t="s">
        <v>85</v>
      </c>
      <c r="E1269" s="5" t="s">
        <v>27</v>
      </c>
      <c r="F1269" s="9">
        <v>65</v>
      </c>
      <c r="G1269" s="9">
        <v>734</v>
      </c>
      <c r="H1269" s="5" t="s">
        <v>21</v>
      </c>
      <c r="I1269" s="5" t="s">
        <v>2983</v>
      </c>
      <c r="J1269" s="12" t="str">
        <f>HYPERLINK("https://www.boe.es/gazeta/dias/1800/08/15/pdfs/GMD-1800-65.pdf#page=10","Abrir facsímil")</f>
        <v>Abrir facsímil</v>
      </c>
      <c r="K1269" s="15" t="s">
        <v>23</v>
      </c>
    </row>
    <row r="1270" spans="1:11" ht="42" customHeight="1">
      <c r="A1270" s="4" t="s">
        <v>2984</v>
      </c>
      <c r="B1270" s="5" t="s">
        <v>2985</v>
      </c>
      <c r="C1270" s="5" t="s">
        <v>171</v>
      </c>
      <c r="D1270" s="5" t="s">
        <v>172</v>
      </c>
      <c r="E1270" s="5" t="s">
        <v>90</v>
      </c>
      <c r="F1270" s="9">
        <v>58</v>
      </c>
      <c r="G1270" s="9">
        <v>668</v>
      </c>
      <c r="H1270" s="5" t="s">
        <v>21</v>
      </c>
      <c r="I1270" s="5" t="s">
        <v>2986</v>
      </c>
      <c r="J1270" s="12" t="str">
        <f>HYPERLINK("https://www.boe.es/gazeta/dias/1800/07/22/pdfs/GMD-C-1800-58.pdf#page=4","Abrir facsímil")</f>
        <v>Abrir facsímil</v>
      </c>
      <c r="K1270" s="15" t="s">
        <v>23</v>
      </c>
    </row>
    <row r="1271" spans="1:11" ht="42" customHeight="1">
      <c r="A1271" s="4" t="s">
        <v>2987</v>
      </c>
      <c r="B1271" s="5" t="s">
        <v>2988</v>
      </c>
      <c r="C1271" s="5" t="s">
        <v>18</v>
      </c>
      <c r="D1271" s="5" t="s">
        <v>19</v>
      </c>
      <c r="E1271" s="5" t="s">
        <v>50</v>
      </c>
      <c r="F1271" s="9">
        <v>81</v>
      </c>
      <c r="G1271" s="9">
        <v>918</v>
      </c>
      <c r="H1271" s="5" t="s">
        <v>21</v>
      </c>
      <c r="I1271" s="5" t="s">
        <v>2989</v>
      </c>
      <c r="J1271" s="12" t="str">
        <f>HYPERLINK("https://www.boe.es/gazeta/dias/1800/10/07/pdfs/GMD-1800-81.pdf#page=8","Abrir facsímil")</f>
        <v>Abrir facsímil</v>
      </c>
      <c r="K1271" s="15" t="s">
        <v>23</v>
      </c>
    </row>
    <row r="1272" spans="1:11" ht="42" customHeight="1">
      <c r="A1272" s="4" t="s">
        <v>2990</v>
      </c>
      <c r="B1272" s="5" t="s">
        <v>2990</v>
      </c>
      <c r="C1272" s="5" t="s">
        <v>41</v>
      </c>
      <c r="D1272" s="5" t="s">
        <v>42</v>
      </c>
      <c r="E1272" s="5" t="s">
        <v>306</v>
      </c>
      <c r="F1272" s="9">
        <v>79</v>
      </c>
      <c r="G1272" s="9">
        <v>892</v>
      </c>
      <c r="H1272" s="5" t="s">
        <v>21</v>
      </c>
      <c r="I1272" s="5" t="s">
        <v>2991</v>
      </c>
      <c r="J1272" s="12" t="str">
        <f>HYPERLINK("https://www.boe.es/gazeta/dias/1800/09/30/pdfs/GMD-1800-79.pdf#page=2","Abrir facsímil")</f>
        <v>Abrir facsímil</v>
      </c>
      <c r="K1272" s="15" t="s">
        <v>23</v>
      </c>
    </row>
    <row r="1273" spans="1:11" ht="42" customHeight="1">
      <c r="A1273" s="4" t="s">
        <v>2992</v>
      </c>
      <c r="B1273" s="5" t="s">
        <v>2992</v>
      </c>
      <c r="C1273" s="5" t="s">
        <v>41</v>
      </c>
      <c r="D1273" s="5" t="s">
        <v>42</v>
      </c>
      <c r="E1273" s="5" t="s">
        <v>828</v>
      </c>
      <c r="F1273" s="9">
        <v>53</v>
      </c>
      <c r="G1273" s="9">
        <v>585</v>
      </c>
      <c r="H1273" s="5" t="s">
        <v>21</v>
      </c>
      <c r="I1273" s="5" t="s">
        <v>2993</v>
      </c>
      <c r="J1273" s="12" t="str">
        <f>HYPERLINK("https://www.boe.es/gazeta/dias/1800/07/04/pdfs/GMD-1800-53.pdf#page=5","Abrir facsímil")</f>
        <v>Abrir facsímil</v>
      </c>
      <c r="K1273" s="15" t="s">
        <v>23</v>
      </c>
    </row>
    <row r="1274" spans="1:11" ht="42" customHeight="1">
      <c r="A1274" s="4" t="s">
        <v>2992</v>
      </c>
      <c r="B1274" s="5" t="s">
        <v>2992</v>
      </c>
      <c r="C1274" s="5" t="s">
        <v>18</v>
      </c>
      <c r="D1274" s="5" t="s">
        <v>19</v>
      </c>
      <c r="E1274" s="5" t="s">
        <v>68</v>
      </c>
      <c r="F1274" s="9">
        <v>67</v>
      </c>
      <c r="G1274" s="9">
        <v>750</v>
      </c>
      <c r="H1274" s="5" t="s">
        <v>21</v>
      </c>
      <c r="I1274" s="5" t="s">
        <v>2994</v>
      </c>
      <c r="J1274" s="12" t="str">
        <f>HYPERLINK("https://www.boe.es/gazeta/dias/1800/08/22/pdfs/GMD-1800-67.pdf#page=2","Abrir facsímil")</f>
        <v>Abrir facsímil</v>
      </c>
      <c r="K1274" s="15" t="s">
        <v>23</v>
      </c>
    </row>
    <row r="1275" spans="1:11" ht="42" customHeight="1">
      <c r="A1275" s="4" t="s">
        <v>2995</v>
      </c>
      <c r="B1275" s="5" t="s">
        <v>2996</v>
      </c>
      <c r="C1275" s="5" t="s">
        <v>41</v>
      </c>
      <c r="D1275" s="5" t="s">
        <v>42</v>
      </c>
      <c r="E1275" s="5" t="s">
        <v>50</v>
      </c>
      <c r="F1275" s="9">
        <v>81</v>
      </c>
      <c r="G1275" s="9">
        <v>914</v>
      </c>
      <c r="H1275" s="5" t="s">
        <v>21</v>
      </c>
      <c r="I1275" s="5" t="s">
        <v>2997</v>
      </c>
      <c r="J1275" s="12" t="str">
        <f>HYPERLINK("https://www.boe.es/gazeta/dias/1800/10/07/pdfs/GMD-1800-81.pdf#page=4","Abrir facsímil")</f>
        <v>Abrir facsímil</v>
      </c>
      <c r="K1275" s="15" t="s">
        <v>23</v>
      </c>
    </row>
    <row r="1276" spans="1:11" ht="42" customHeight="1">
      <c r="A1276" s="4" t="s">
        <v>2998</v>
      </c>
      <c r="B1276" s="5" t="s">
        <v>2999</v>
      </c>
      <c r="C1276" s="5" t="s">
        <v>41</v>
      </c>
      <c r="D1276" s="5" t="s">
        <v>42</v>
      </c>
      <c r="E1276" s="5" t="s">
        <v>75</v>
      </c>
      <c r="F1276" s="9">
        <v>64</v>
      </c>
      <c r="G1276" s="9">
        <v>727</v>
      </c>
      <c r="H1276" s="5" t="s">
        <v>21</v>
      </c>
      <c r="I1276" s="5" t="s">
        <v>3000</v>
      </c>
      <c r="J1276" s="12" t="str">
        <f>HYPERLINK("https://www.boe.es/gazeta/dias/1800/08/12/pdfs/GMD-1800-64.pdf#page=3","Abrir facsímil")</f>
        <v>Abrir facsímil</v>
      </c>
      <c r="K1276" s="15" t="s">
        <v>23</v>
      </c>
    </row>
    <row r="1277" spans="1:11" ht="42" customHeight="1">
      <c r="A1277" s="4" t="s">
        <v>2998</v>
      </c>
      <c r="B1277" s="5" t="s">
        <v>2999</v>
      </c>
      <c r="C1277" s="5" t="s">
        <v>41</v>
      </c>
      <c r="D1277" s="5" t="s">
        <v>42</v>
      </c>
      <c r="E1277" s="5" t="s">
        <v>68</v>
      </c>
      <c r="F1277" s="9">
        <v>67</v>
      </c>
      <c r="G1277" s="9">
        <v>753</v>
      </c>
      <c r="H1277" s="5" t="s">
        <v>21</v>
      </c>
      <c r="I1277" s="5" t="s">
        <v>3001</v>
      </c>
      <c r="J1277" s="12" t="str">
        <f>HYPERLINK("https://www.boe.es/gazeta/dias/1800/08/22/pdfs/GMD-1800-67.pdf#page=5","Abrir facsímil")</f>
        <v>Abrir facsímil</v>
      </c>
      <c r="K1277" s="15" t="s">
        <v>23</v>
      </c>
    </row>
    <row r="1278" spans="1:11" ht="42" customHeight="1">
      <c r="A1278" s="4" t="s">
        <v>3002</v>
      </c>
      <c r="B1278" s="5" t="s">
        <v>3003</v>
      </c>
      <c r="C1278" s="5" t="s">
        <v>41</v>
      </c>
      <c r="D1278" s="5" t="s">
        <v>42</v>
      </c>
      <c r="E1278" s="5" t="s">
        <v>226</v>
      </c>
      <c r="F1278" s="9">
        <v>27</v>
      </c>
      <c r="G1278" s="9">
        <v>275</v>
      </c>
      <c r="H1278" s="5" t="s">
        <v>21</v>
      </c>
      <c r="I1278" s="5" t="s">
        <v>3004</v>
      </c>
      <c r="J1278" s="12" t="str">
        <f>HYPERLINK("https://www.boe.es/gazeta/dias/1800/04/04/pdfs/GMD-1800-27.pdf#page=3","Abrir facsímil")</f>
        <v>Abrir facsímil</v>
      </c>
      <c r="K1278" s="15" t="s">
        <v>23</v>
      </c>
    </row>
    <row r="1279" spans="1:11" ht="42" customHeight="1">
      <c r="A1279" s="4" t="s">
        <v>3005</v>
      </c>
      <c r="B1279" s="5" t="s">
        <v>3006</v>
      </c>
      <c r="C1279" s="5" t="s">
        <v>18</v>
      </c>
      <c r="D1279" s="5" t="s">
        <v>19</v>
      </c>
      <c r="E1279" s="5" t="s">
        <v>31</v>
      </c>
      <c r="F1279" s="9">
        <v>20</v>
      </c>
      <c r="G1279" s="9">
        <v>192</v>
      </c>
      <c r="H1279" s="5" t="s">
        <v>21</v>
      </c>
      <c r="I1279" s="5" t="s">
        <v>3007</v>
      </c>
      <c r="J1279" s="12" t="str">
        <f>HYPERLINK("https://www.boe.es/gazeta/dias/1800/03/11/pdfs/GMD-1800-20.pdf#page=8","Abrir facsímil")</f>
        <v>Abrir facsímil</v>
      </c>
      <c r="K1279" s="15" t="s">
        <v>23</v>
      </c>
    </row>
    <row r="1280" spans="1:11" ht="42" customHeight="1">
      <c r="A1280" s="4" t="s">
        <v>3008</v>
      </c>
      <c r="B1280" s="5" t="s">
        <v>3009</v>
      </c>
      <c r="C1280" s="5" t="s">
        <v>18</v>
      </c>
      <c r="D1280" s="5" t="s">
        <v>19</v>
      </c>
      <c r="E1280" s="5" t="s">
        <v>90</v>
      </c>
      <c r="F1280" s="9">
        <v>58</v>
      </c>
      <c r="G1280" s="9">
        <v>663</v>
      </c>
      <c r="H1280" s="5" t="s">
        <v>21</v>
      </c>
      <c r="I1280" s="5" t="s">
        <v>3010</v>
      </c>
      <c r="J1280" s="12" t="str">
        <f>HYPERLINK("https://www.boe.es/gazeta/dias/1800/07/22/pdfs/GMD-1800-58.pdf#page=11","Abrir facsímil")</f>
        <v>Abrir facsímil</v>
      </c>
      <c r="K1280" s="15" t="s">
        <v>23</v>
      </c>
    </row>
    <row r="1281" spans="1:11" ht="42" customHeight="1">
      <c r="A1281" s="4" t="s">
        <v>3011</v>
      </c>
      <c r="B1281" s="5" t="s">
        <v>3012</v>
      </c>
      <c r="C1281" s="5" t="s">
        <v>18</v>
      </c>
      <c r="D1281" s="5" t="s">
        <v>19</v>
      </c>
      <c r="E1281" s="5" t="s">
        <v>45</v>
      </c>
      <c r="F1281" s="9">
        <v>47</v>
      </c>
      <c r="G1281" s="9">
        <v>503</v>
      </c>
      <c r="H1281" s="5" t="s">
        <v>21</v>
      </c>
      <c r="I1281" s="5" t="s">
        <v>3013</v>
      </c>
      <c r="J1281" s="12" t="str">
        <f>HYPERLINK("https://www.boe.es/gazeta/dias/1800/06/13/pdfs/GMD-1800-47.pdf#page=11","Abrir facsímil")</f>
        <v>Abrir facsímil</v>
      </c>
      <c r="K1281" s="15" t="s">
        <v>23</v>
      </c>
    </row>
    <row r="1282" spans="1:11" ht="42" customHeight="1">
      <c r="A1282" s="4" t="s">
        <v>3014</v>
      </c>
      <c r="B1282" s="5" t="s">
        <v>3014</v>
      </c>
      <c r="C1282" s="5" t="s">
        <v>41</v>
      </c>
      <c r="D1282" s="5" t="s">
        <v>42</v>
      </c>
      <c r="E1282" s="5" t="s">
        <v>402</v>
      </c>
      <c r="F1282" s="9">
        <v>101</v>
      </c>
      <c r="G1282" s="9">
        <v>1169</v>
      </c>
      <c r="H1282" s="5" t="s">
        <v>21</v>
      </c>
      <c r="I1282" s="5" t="s">
        <v>3015</v>
      </c>
      <c r="J1282" s="12" t="str">
        <f>HYPERLINK("https://www.boe.es/gazeta/dias/1800/12/16/pdfs/GMD-1800-101.pdf#page=5","Abrir facsímil")</f>
        <v>Abrir facsímil</v>
      </c>
      <c r="K1282" s="15" t="s">
        <v>23</v>
      </c>
    </row>
    <row r="1283" spans="1:11" ht="42" customHeight="1">
      <c r="A1283" s="4" t="s">
        <v>3016</v>
      </c>
      <c r="B1283" s="5" t="s">
        <v>3017</v>
      </c>
      <c r="C1283" s="5" t="s">
        <v>207</v>
      </c>
      <c r="D1283" s="5" t="s">
        <v>55</v>
      </c>
      <c r="E1283" s="5" t="s">
        <v>306</v>
      </c>
      <c r="F1283" s="9">
        <v>79</v>
      </c>
      <c r="G1283" s="9">
        <v>899</v>
      </c>
      <c r="H1283" s="5" t="s">
        <v>21</v>
      </c>
      <c r="I1283" s="5" t="s">
        <v>3018</v>
      </c>
      <c r="J1283" s="12" t="str">
        <f>HYPERLINK("https://www.boe.es/gazeta/dias/1800/09/30/pdfs/GMD-1800-79.pdf#page=9","Abrir facsímil")</f>
        <v>Abrir facsímil</v>
      </c>
      <c r="K1283" s="15" t="s">
        <v>23</v>
      </c>
    </row>
    <row r="1284" spans="1:11" ht="42" customHeight="1">
      <c r="A1284" s="4" t="s">
        <v>3019</v>
      </c>
      <c r="B1284" s="5" t="s">
        <v>3020</v>
      </c>
      <c r="C1284" s="5" t="s">
        <v>18</v>
      </c>
      <c r="D1284" s="5" t="s">
        <v>19</v>
      </c>
      <c r="E1284" s="5" t="s">
        <v>314</v>
      </c>
      <c r="F1284" s="9">
        <v>74</v>
      </c>
      <c r="G1284" s="9">
        <v>831</v>
      </c>
      <c r="H1284" s="5" t="s">
        <v>21</v>
      </c>
      <c r="I1284" s="5" t="s">
        <v>3021</v>
      </c>
      <c r="J1284" s="12" t="str">
        <f>HYPERLINK("https://www.boe.es/gazeta/dias/1800/09/12/pdfs/GMD-1800-74.pdf#page=9","Abrir facsímil")</f>
        <v>Abrir facsímil</v>
      </c>
      <c r="K1284" s="15" t="s">
        <v>23</v>
      </c>
    </row>
    <row r="1285" spans="1:11" ht="42" customHeight="1">
      <c r="A1285" s="4" t="s">
        <v>3022</v>
      </c>
      <c r="B1285" s="5" t="s">
        <v>3022</v>
      </c>
      <c r="C1285" s="5" t="s">
        <v>41</v>
      </c>
      <c r="D1285" s="5" t="s">
        <v>42</v>
      </c>
      <c r="E1285" s="5" t="s">
        <v>116</v>
      </c>
      <c r="F1285" s="9">
        <v>86</v>
      </c>
      <c r="G1285" s="9">
        <v>994</v>
      </c>
      <c r="H1285" s="5" t="s">
        <v>21</v>
      </c>
      <c r="I1285" s="5" t="s">
        <v>3023</v>
      </c>
      <c r="J1285" s="12" t="str">
        <f>HYPERLINK("https://www.boe.es/gazeta/dias/1800/10/24/pdfs/GMD-1800-86.pdf#page=4","Abrir facsímil")</f>
        <v>Abrir facsímil</v>
      </c>
      <c r="K1285" s="15" t="s">
        <v>23</v>
      </c>
    </row>
    <row r="1286" spans="1:11" ht="42" customHeight="1">
      <c r="A1286" s="4" t="s">
        <v>3022</v>
      </c>
      <c r="B1286" s="5" t="s">
        <v>3022</v>
      </c>
      <c r="C1286" s="5" t="s">
        <v>41</v>
      </c>
      <c r="D1286" s="5" t="s">
        <v>42</v>
      </c>
      <c r="E1286" s="5" t="s">
        <v>116</v>
      </c>
      <c r="F1286" s="9">
        <v>86</v>
      </c>
      <c r="G1286" s="9">
        <v>995</v>
      </c>
      <c r="H1286" s="5" t="s">
        <v>21</v>
      </c>
      <c r="I1286" s="5" t="s">
        <v>3024</v>
      </c>
      <c r="J1286" s="12" t="str">
        <f>HYPERLINK("https://www.boe.es/gazeta/dias/1800/10/24/pdfs/GMD-1800-86.pdf#page=5","Abrir facsímil")</f>
        <v>Abrir facsímil</v>
      </c>
      <c r="K1286" s="15" t="s">
        <v>23</v>
      </c>
    </row>
    <row r="1287" spans="1:11" ht="42" customHeight="1">
      <c r="A1287" s="4" t="s">
        <v>3025</v>
      </c>
      <c r="B1287" s="5" t="s">
        <v>3026</v>
      </c>
      <c r="C1287" s="5" t="s">
        <v>41</v>
      </c>
      <c r="D1287" s="5" t="s">
        <v>42</v>
      </c>
      <c r="E1287" s="5" t="s">
        <v>143</v>
      </c>
      <c r="F1287" s="9">
        <v>22</v>
      </c>
      <c r="G1287" s="9">
        <v>210</v>
      </c>
      <c r="H1287" s="5" t="s">
        <v>21</v>
      </c>
      <c r="I1287" s="5" t="s">
        <v>3027</v>
      </c>
      <c r="J1287" s="12" t="str">
        <f>HYPERLINK("https://www.boe.es/gazeta/dias/1800/03/18/pdfs/GMD-1800-22.pdf#page=2","Abrir facsímil")</f>
        <v>Abrir facsímil</v>
      </c>
      <c r="K1287" s="15" t="s">
        <v>23</v>
      </c>
    </row>
    <row r="1288" spans="1:11" ht="42" customHeight="1">
      <c r="A1288" s="4" t="s">
        <v>3028</v>
      </c>
      <c r="B1288" s="5" t="s">
        <v>3029</v>
      </c>
      <c r="C1288" s="5" t="s">
        <v>41</v>
      </c>
      <c r="D1288" s="5" t="s">
        <v>42</v>
      </c>
      <c r="E1288" s="5" t="s">
        <v>836</v>
      </c>
      <c r="F1288" s="9">
        <v>71</v>
      </c>
      <c r="G1288" s="9">
        <v>783</v>
      </c>
      <c r="H1288" s="5" t="s">
        <v>21</v>
      </c>
      <c r="I1288" s="5" t="s">
        <v>3030</v>
      </c>
      <c r="J1288" s="12" t="str">
        <f>HYPERLINK("https://www.boe.es/gazeta/dias/1800/09/02/pdfs/GMD-1800-71.pdf#page=1","Abrir facsímil")</f>
        <v>Abrir facsímil</v>
      </c>
      <c r="K1288" s="15" t="s">
        <v>23</v>
      </c>
    </row>
    <row r="1289" spans="1:11" ht="42" customHeight="1">
      <c r="A1289" s="4" t="s">
        <v>3031</v>
      </c>
      <c r="B1289" s="5" t="s">
        <v>3032</v>
      </c>
      <c r="C1289" s="5" t="s">
        <v>18</v>
      </c>
      <c r="D1289" s="5" t="s">
        <v>19</v>
      </c>
      <c r="E1289" s="5" t="s">
        <v>255</v>
      </c>
      <c r="F1289" s="9">
        <v>75</v>
      </c>
      <c r="G1289" s="9">
        <v>848</v>
      </c>
      <c r="H1289" s="5" t="s">
        <v>21</v>
      </c>
      <c r="I1289" s="5" t="s">
        <v>3033</v>
      </c>
      <c r="J1289" s="12" t="str">
        <f>HYPERLINK("https://www.boe.es/gazeta/dias/1800/09/16/pdfs/GMD-1800-75.pdf#page=2","Abrir facsímil")</f>
        <v>Abrir facsímil</v>
      </c>
      <c r="K1289" s="15" t="s">
        <v>23</v>
      </c>
    </row>
    <row r="1290" spans="1:11" ht="42" customHeight="1">
      <c r="A1290" s="4" t="s">
        <v>3034</v>
      </c>
      <c r="B1290" s="5" t="s">
        <v>3035</v>
      </c>
      <c r="C1290" s="5" t="s">
        <v>25</v>
      </c>
      <c r="D1290" s="5" t="s">
        <v>26</v>
      </c>
      <c r="E1290" s="5" t="s">
        <v>101</v>
      </c>
      <c r="F1290" s="9">
        <v>37</v>
      </c>
      <c r="G1290" s="9">
        <v>377</v>
      </c>
      <c r="H1290" s="5" t="s">
        <v>21</v>
      </c>
      <c r="I1290" s="5" t="s">
        <v>3036</v>
      </c>
      <c r="J1290" s="12" t="str">
        <f>HYPERLINK("https://www.boe.es/gazeta/dias/1800/05/09/pdfs/GMD-1800-37.pdf#page=9","Abrir facsímil")</f>
        <v>Abrir facsímil</v>
      </c>
      <c r="K1290" s="15" t="s">
        <v>23</v>
      </c>
    </row>
    <row r="1291" spans="1:11" ht="42" customHeight="1">
      <c r="A1291" s="4" t="s">
        <v>3037</v>
      </c>
      <c r="B1291" s="5" t="s">
        <v>3038</v>
      </c>
      <c r="C1291" s="5" t="s">
        <v>25</v>
      </c>
      <c r="D1291" s="5" t="s">
        <v>26</v>
      </c>
      <c r="E1291" s="5" t="s">
        <v>48</v>
      </c>
      <c r="F1291" s="9">
        <v>66</v>
      </c>
      <c r="G1291" s="9">
        <v>746</v>
      </c>
      <c r="H1291" s="5" t="s">
        <v>21</v>
      </c>
      <c r="I1291" s="5" t="s">
        <v>3039</v>
      </c>
      <c r="J1291" s="12" t="str">
        <f>HYPERLINK("https://www.boe.es/gazeta/dias/1800/08/19/pdfs/GMD-1800-66.pdf#page=10","Abrir facsímil")</f>
        <v>Abrir facsímil</v>
      </c>
      <c r="K1291" s="15" t="s">
        <v>23</v>
      </c>
    </row>
    <row r="1292" spans="1:11" ht="42" customHeight="1">
      <c r="A1292" s="4" t="s">
        <v>3040</v>
      </c>
      <c r="B1292" s="5" t="s">
        <v>3041</v>
      </c>
      <c r="C1292" s="5" t="s">
        <v>114</v>
      </c>
      <c r="D1292" s="5" t="s">
        <v>115</v>
      </c>
      <c r="E1292" s="5" t="s">
        <v>116</v>
      </c>
      <c r="F1292" s="9">
        <v>86</v>
      </c>
      <c r="G1292" s="9" t="s">
        <v>1501</v>
      </c>
      <c r="H1292" s="5" t="s">
        <v>21</v>
      </c>
      <c r="I1292" s="5" t="s">
        <v>3042</v>
      </c>
      <c r="J1292" s="12" t="str">
        <f>HYPERLINK("https://www.boe.es/gazeta/dias/1800/10/24/pdfs/GMD-D-1800-86.pdf#page=2","Abrir facsímil")</f>
        <v>Abrir facsímil</v>
      </c>
      <c r="K1292" s="15" t="s">
        <v>23</v>
      </c>
    </row>
    <row r="1293" spans="1:11" ht="42" customHeight="1">
      <c r="A1293" s="4" t="s">
        <v>3043</v>
      </c>
      <c r="B1293" s="5" t="s">
        <v>3044</v>
      </c>
      <c r="C1293" s="5" t="s">
        <v>54</v>
      </c>
      <c r="D1293" s="5" t="s">
        <v>55</v>
      </c>
      <c r="E1293" s="5" t="s">
        <v>618</v>
      </c>
      <c r="F1293" s="9">
        <v>1</v>
      </c>
      <c r="G1293" s="9">
        <v>8</v>
      </c>
      <c r="H1293" s="5" t="s">
        <v>21</v>
      </c>
      <c r="I1293" s="5" t="s">
        <v>3045</v>
      </c>
      <c r="J1293" s="12" t="str">
        <f>HYPERLINK("https://www.boe.es/gazeta/dias/1800/01/03/pdfs/GMD-1800-1.pdf#page=8","Abrir facsímil")</f>
        <v>Abrir facsímil</v>
      </c>
      <c r="K1293" s="15" t="s">
        <v>23</v>
      </c>
    </row>
    <row r="1294" spans="1:11" ht="42" customHeight="1">
      <c r="A1294" s="4" t="s">
        <v>3046</v>
      </c>
      <c r="B1294" s="5" t="s">
        <v>3047</v>
      </c>
      <c r="C1294" s="5" t="s">
        <v>18</v>
      </c>
      <c r="D1294" s="5" t="s">
        <v>19</v>
      </c>
      <c r="E1294" s="5" t="s">
        <v>1287</v>
      </c>
      <c r="F1294" s="9">
        <v>57</v>
      </c>
      <c r="G1294" s="9">
        <v>648</v>
      </c>
      <c r="H1294" s="5" t="s">
        <v>21</v>
      </c>
      <c r="I1294" s="5" t="s">
        <v>3048</v>
      </c>
      <c r="J1294" s="12" t="str">
        <f>HYPERLINK("https://www.boe.es/gazeta/dias/1800/07/18/pdfs/GMD-1800-57.pdf#page=12","Abrir facsímil")</f>
        <v>Abrir facsímil</v>
      </c>
      <c r="K1294" s="15" t="s">
        <v>23</v>
      </c>
    </row>
    <row r="1295" spans="1:11" ht="42" customHeight="1">
      <c r="A1295" s="4" t="s">
        <v>3049</v>
      </c>
      <c r="B1295" s="5" t="s">
        <v>3050</v>
      </c>
      <c r="C1295" s="5" t="s">
        <v>18</v>
      </c>
      <c r="D1295" s="5" t="s">
        <v>19</v>
      </c>
      <c r="E1295" s="5" t="s">
        <v>1213</v>
      </c>
      <c r="F1295" s="9">
        <v>4</v>
      </c>
      <c r="G1295" s="9">
        <v>38</v>
      </c>
      <c r="H1295" s="5" t="s">
        <v>21</v>
      </c>
      <c r="I1295" s="5" t="s">
        <v>3051</v>
      </c>
      <c r="J1295" s="12" t="str">
        <f>HYPERLINK("https://www.boe.es/gazeta/dias/1800/01/14/pdfs/GMD-1800-4.pdf#page=10","Abrir facsímil")</f>
        <v>Abrir facsímil</v>
      </c>
      <c r="K1295" s="15" t="s">
        <v>23</v>
      </c>
    </row>
    <row r="1296" spans="1:11" ht="42" customHeight="1">
      <c r="A1296" s="4" t="s">
        <v>3049</v>
      </c>
      <c r="B1296" s="5" t="s">
        <v>3050</v>
      </c>
      <c r="C1296" s="5" t="s">
        <v>18</v>
      </c>
      <c r="D1296" s="5" t="s">
        <v>19</v>
      </c>
      <c r="E1296" s="5" t="s">
        <v>600</v>
      </c>
      <c r="F1296" s="9">
        <v>45</v>
      </c>
      <c r="G1296" s="9">
        <v>472</v>
      </c>
      <c r="H1296" s="5" t="s">
        <v>21</v>
      </c>
      <c r="I1296" s="5" t="s">
        <v>3052</v>
      </c>
      <c r="J1296" s="12" t="str">
        <f>HYPERLINK("https://www.boe.es/gazeta/dias/1800/06/06/pdfs/GMD-1800-45.pdf#page=8","Abrir facsímil")</f>
        <v>Abrir facsímil</v>
      </c>
      <c r="K1296" s="15" t="s">
        <v>23</v>
      </c>
    </row>
    <row r="1297" spans="1:11" ht="42" customHeight="1">
      <c r="A1297" s="4" t="s">
        <v>3053</v>
      </c>
      <c r="B1297" s="5" t="s">
        <v>3054</v>
      </c>
      <c r="C1297" s="5" t="s">
        <v>18</v>
      </c>
      <c r="D1297" s="5" t="s">
        <v>19</v>
      </c>
      <c r="E1297" s="5" t="s">
        <v>310</v>
      </c>
      <c r="F1297" s="9">
        <v>56</v>
      </c>
      <c r="G1297" s="9">
        <v>633</v>
      </c>
      <c r="H1297" s="5" t="s">
        <v>21</v>
      </c>
      <c r="I1297" s="5" t="s">
        <v>3055</v>
      </c>
      <c r="J1297" s="12" t="str">
        <f>HYPERLINK("https://www.boe.es/gazeta/dias/1800/07/15/pdfs/GMD-1800-56.pdf#page=9","Abrir facsímil")</f>
        <v>Abrir facsímil</v>
      </c>
      <c r="K1297" s="15" t="s">
        <v>23</v>
      </c>
    </row>
    <row r="1298" spans="1:11" ht="42" customHeight="1">
      <c r="A1298" s="4" t="s">
        <v>3056</v>
      </c>
      <c r="B1298" s="5" t="s">
        <v>3056</v>
      </c>
      <c r="C1298" s="5" t="s">
        <v>41</v>
      </c>
      <c r="D1298" s="5" t="s">
        <v>42</v>
      </c>
      <c r="E1298" s="5" t="s">
        <v>503</v>
      </c>
      <c r="F1298" s="9">
        <v>13</v>
      </c>
      <c r="G1298" s="9">
        <v>122</v>
      </c>
      <c r="H1298" s="5" t="s">
        <v>21</v>
      </c>
      <c r="I1298" s="5" t="s">
        <v>3057</v>
      </c>
      <c r="J1298" s="12" t="str">
        <f>HYPERLINK("https://www.boe.es/gazeta/dias/1800/02/14/pdfs/GMD-1800-13.pdf#page=6","Abrir facsímil")</f>
        <v>Abrir facsímil</v>
      </c>
      <c r="K1298" s="15" t="s">
        <v>23</v>
      </c>
    </row>
    <row r="1299" spans="1:11" ht="42" customHeight="1">
      <c r="A1299" s="4" t="s">
        <v>3058</v>
      </c>
      <c r="B1299" s="5" t="s">
        <v>3059</v>
      </c>
      <c r="C1299" s="5" t="s">
        <v>18</v>
      </c>
      <c r="D1299" s="5" t="s">
        <v>19</v>
      </c>
      <c r="E1299" s="5" t="s">
        <v>162</v>
      </c>
      <c r="F1299" s="9">
        <v>15</v>
      </c>
      <c r="G1299" s="9">
        <v>137</v>
      </c>
      <c r="H1299" s="5" t="s">
        <v>21</v>
      </c>
      <c r="I1299" s="5" t="s">
        <v>3060</v>
      </c>
      <c r="J1299" s="12" t="str">
        <f>HYPERLINK("https://www.boe.es/gazeta/dias/1800/02/21/pdfs/GMD-1800-15.pdf#page=1","Abrir facsímil")</f>
        <v>Abrir facsímil</v>
      </c>
      <c r="K1299" s="15" t="s">
        <v>23</v>
      </c>
    </row>
    <row r="1300" spans="1:11" ht="42" customHeight="1">
      <c r="A1300" s="4" t="s">
        <v>3061</v>
      </c>
      <c r="B1300" s="5" t="s">
        <v>3061</v>
      </c>
      <c r="C1300" s="5" t="s">
        <v>18</v>
      </c>
      <c r="D1300" s="5" t="s">
        <v>19</v>
      </c>
      <c r="E1300" s="5" t="s">
        <v>576</v>
      </c>
      <c r="F1300" s="9">
        <v>91</v>
      </c>
      <c r="G1300" s="9">
        <v>1068</v>
      </c>
      <c r="H1300" s="5" t="s">
        <v>21</v>
      </c>
      <c r="I1300" s="5" t="s">
        <v>3062</v>
      </c>
      <c r="J1300" s="12" t="str">
        <f>HYPERLINK("https://www.boe.es/gazeta/dias/1800/11/11/pdfs/GMD-1800-91.pdf#page=10","Abrir facsímil")</f>
        <v>Abrir facsímil</v>
      </c>
      <c r="K1300" s="15" t="s">
        <v>23</v>
      </c>
    </row>
    <row r="1301" spans="1:11" ht="42" customHeight="1">
      <c r="A1301" s="4" t="s">
        <v>3063</v>
      </c>
      <c r="B1301" s="5" t="s">
        <v>3064</v>
      </c>
      <c r="C1301" s="5" t="s">
        <v>25</v>
      </c>
      <c r="D1301" s="5" t="s">
        <v>26</v>
      </c>
      <c r="E1301" s="5" t="s">
        <v>45</v>
      </c>
      <c r="F1301" s="9">
        <v>47</v>
      </c>
      <c r="G1301" s="9">
        <v>502</v>
      </c>
      <c r="H1301" s="5" t="s">
        <v>21</v>
      </c>
      <c r="I1301" s="5" t="s">
        <v>3065</v>
      </c>
      <c r="J1301" s="12" t="str">
        <f>HYPERLINK("https://www.boe.es/gazeta/dias/1800/06/13/pdfs/GMD-1800-47.pdf#page=10","Abrir facsímil")</f>
        <v>Abrir facsímil</v>
      </c>
      <c r="K1301" s="15" t="s">
        <v>23</v>
      </c>
    </row>
    <row r="1302" spans="1:11" ht="42" customHeight="1">
      <c r="A1302" s="4" t="s">
        <v>3066</v>
      </c>
      <c r="B1302" s="5" t="s">
        <v>3067</v>
      </c>
      <c r="C1302" s="5" t="s">
        <v>41</v>
      </c>
      <c r="D1302" s="5" t="s">
        <v>42</v>
      </c>
      <c r="E1302" s="5" t="s">
        <v>2338</v>
      </c>
      <c r="F1302" s="9">
        <v>42</v>
      </c>
      <c r="G1302" s="9">
        <v>433</v>
      </c>
      <c r="H1302" s="5" t="s">
        <v>21</v>
      </c>
      <c r="I1302" s="5" t="s">
        <v>3068</v>
      </c>
      <c r="J1302" s="12" t="str">
        <f>HYPERLINK("https://www.boe.es/gazeta/dias/1800/05/27/pdfs/GMD-1800-42.pdf#page=5","Abrir facsímil")</f>
        <v>Abrir facsímil</v>
      </c>
      <c r="K1302" s="15" t="s">
        <v>23</v>
      </c>
    </row>
    <row r="1303" spans="1:11" ht="42" customHeight="1">
      <c r="A1303" s="4" t="s">
        <v>3069</v>
      </c>
      <c r="B1303" s="5" t="s">
        <v>3070</v>
      </c>
      <c r="C1303" s="5" t="s">
        <v>41</v>
      </c>
      <c r="D1303" s="5" t="s">
        <v>42</v>
      </c>
      <c r="E1303" s="5" t="s">
        <v>299</v>
      </c>
      <c r="F1303" s="9">
        <v>40</v>
      </c>
      <c r="G1303" s="9">
        <v>410</v>
      </c>
      <c r="H1303" s="5" t="s">
        <v>21</v>
      </c>
      <c r="I1303" s="5" t="s">
        <v>3071</v>
      </c>
      <c r="J1303" s="12" t="str">
        <f>HYPERLINK("https://www.boe.es/gazeta/dias/1800/05/20/pdfs/GMD-1800-40.pdf#page=6","Abrir facsímil")</f>
        <v>Abrir facsímil</v>
      </c>
      <c r="K1303" s="15" t="s">
        <v>23</v>
      </c>
    </row>
    <row r="1304" spans="1:11" ht="42" customHeight="1">
      <c r="A1304" s="4" t="s">
        <v>3072</v>
      </c>
      <c r="B1304" s="5" t="s">
        <v>3073</v>
      </c>
      <c r="C1304" s="5" t="s">
        <v>84</v>
      </c>
      <c r="D1304" s="5" t="s">
        <v>85</v>
      </c>
      <c r="E1304" s="5" t="s">
        <v>68</v>
      </c>
      <c r="F1304" s="9">
        <v>67</v>
      </c>
      <c r="G1304" s="9">
        <v>749</v>
      </c>
      <c r="H1304" s="5" t="s">
        <v>21</v>
      </c>
      <c r="I1304" s="5" t="s">
        <v>3074</v>
      </c>
      <c r="J1304" s="12" t="str">
        <f>HYPERLINK("https://www.boe.es/gazeta/dias/1800/08/22/pdfs/GMD-1800-67.pdf#page=1","Abrir facsímil")</f>
        <v>Abrir facsímil</v>
      </c>
      <c r="K1304" s="15" t="s">
        <v>23</v>
      </c>
    </row>
    <row r="1305" spans="1:11" ht="42" customHeight="1">
      <c r="A1305" s="4" t="s">
        <v>3075</v>
      </c>
      <c r="B1305" s="5" t="s">
        <v>3076</v>
      </c>
      <c r="C1305" s="5" t="s">
        <v>207</v>
      </c>
      <c r="D1305" s="5" t="s">
        <v>55</v>
      </c>
      <c r="E1305" s="5" t="s">
        <v>196</v>
      </c>
      <c r="F1305" s="9">
        <v>97</v>
      </c>
      <c r="G1305" s="9">
        <v>1111</v>
      </c>
      <c r="H1305" s="5" t="s">
        <v>21</v>
      </c>
      <c r="I1305" s="5" t="s">
        <v>3077</v>
      </c>
      <c r="J1305" s="12" t="str">
        <f>HYPERLINK("https://www.boe.es/gazeta/dias/1800/12/02/pdfs/GMD-1800-97.pdf#page=3","Abrir facsímil")</f>
        <v>Abrir facsímil</v>
      </c>
      <c r="K1305" s="15" t="s">
        <v>23</v>
      </c>
    </row>
    <row r="1306" spans="1:11" ht="42" customHeight="1">
      <c r="A1306" s="4" t="s">
        <v>3075</v>
      </c>
      <c r="B1306" s="5" t="s">
        <v>3076</v>
      </c>
      <c r="C1306" s="5" t="s">
        <v>41</v>
      </c>
      <c r="D1306" s="5" t="s">
        <v>42</v>
      </c>
      <c r="E1306" s="5" t="s">
        <v>402</v>
      </c>
      <c r="F1306" s="9">
        <v>101</v>
      </c>
      <c r="G1306" s="9">
        <v>1167</v>
      </c>
      <c r="H1306" s="5" t="s">
        <v>21</v>
      </c>
      <c r="I1306" s="5" t="s">
        <v>3078</v>
      </c>
      <c r="J1306" s="12" t="str">
        <f>HYPERLINK("https://www.boe.es/gazeta/dias/1800/12/16/pdfs/GMD-1800-101.pdf#page=3","Abrir facsímil")</f>
        <v>Abrir facsímil</v>
      </c>
      <c r="K1306" s="15" t="s">
        <v>23</v>
      </c>
    </row>
    <row r="1307" spans="1:11" ht="42" customHeight="1">
      <c r="A1307" s="4" t="s">
        <v>3079</v>
      </c>
      <c r="B1307" s="5" t="s">
        <v>3080</v>
      </c>
      <c r="C1307" s="5" t="s">
        <v>18</v>
      </c>
      <c r="D1307" s="5" t="s">
        <v>19</v>
      </c>
      <c r="E1307" s="5" t="s">
        <v>503</v>
      </c>
      <c r="F1307" s="9">
        <v>13</v>
      </c>
      <c r="G1307" s="9">
        <v>117</v>
      </c>
      <c r="H1307" s="5" t="s">
        <v>21</v>
      </c>
      <c r="I1307" s="5" t="s">
        <v>3081</v>
      </c>
      <c r="J1307" s="12" t="str">
        <f>HYPERLINK("https://www.boe.es/gazeta/dias/1800/02/14/pdfs/GMD-1800-13.pdf#page=1","Abrir facsímil")</f>
        <v>Abrir facsímil</v>
      </c>
      <c r="K1307" s="15" t="s">
        <v>23</v>
      </c>
    </row>
    <row r="1308" spans="1:11" ht="42" customHeight="1">
      <c r="A1308" s="4" t="s">
        <v>3082</v>
      </c>
      <c r="B1308" s="5" t="s">
        <v>3083</v>
      </c>
      <c r="C1308" s="5" t="s">
        <v>18</v>
      </c>
      <c r="D1308" s="5" t="s">
        <v>19</v>
      </c>
      <c r="E1308" s="5" t="s">
        <v>39</v>
      </c>
      <c r="F1308" s="9">
        <v>43</v>
      </c>
      <c r="G1308" s="9">
        <v>450</v>
      </c>
      <c r="H1308" s="5" t="s">
        <v>21</v>
      </c>
      <c r="I1308" s="5" t="s">
        <v>3084</v>
      </c>
      <c r="J1308" s="12" t="str">
        <f>HYPERLINK("https://www.boe.es/gazeta/dias/1800/05/30/pdfs/GMD-1800-43.pdf#page=10","Abrir facsímil")</f>
        <v>Abrir facsímil</v>
      </c>
      <c r="K1308" s="15" t="s">
        <v>23</v>
      </c>
    </row>
    <row r="1309" spans="1:11" ht="42" customHeight="1">
      <c r="A1309" s="4" t="s">
        <v>3085</v>
      </c>
      <c r="B1309" s="5" t="s">
        <v>3086</v>
      </c>
      <c r="C1309" s="5" t="s">
        <v>41</v>
      </c>
      <c r="D1309" s="5" t="s">
        <v>42</v>
      </c>
      <c r="E1309" s="5" t="s">
        <v>319</v>
      </c>
      <c r="F1309" s="9">
        <v>62</v>
      </c>
      <c r="G1309" s="9">
        <v>701</v>
      </c>
      <c r="H1309" s="5" t="s">
        <v>21</v>
      </c>
      <c r="I1309" s="5" t="s">
        <v>3087</v>
      </c>
      <c r="J1309" s="12" t="str">
        <f>HYPERLINK("https://www.boe.es/gazeta/dias/1800/08/05/pdfs/GMD-1800-62.pdf#page=1","Abrir facsímil")</f>
        <v>Abrir facsímil</v>
      </c>
      <c r="K1309" s="15" t="s">
        <v>23</v>
      </c>
    </row>
    <row r="1310" spans="1:11" ht="42" customHeight="1">
      <c r="A1310" s="4" t="s">
        <v>3088</v>
      </c>
      <c r="B1310" s="5" t="s">
        <v>3089</v>
      </c>
      <c r="C1310" s="5" t="s">
        <v>25</v>
      </c>
      <c r="D1310" s="5" t="s">
        <v>26</v>
      </c>
      <c r="E1310" s="5" t="s">
        <v>214</v>
      </c>
      <c r="F1310" s="9">
        <v>41</v>
      </c>
      <c r="G1310" s="9">
        <v>423</v>
      </c>
      <c r="H1310" s="5" t="s">
        <v>21</v>
      </c>
      <c r="I1310" s="5" t="s">
        <v>3090</v>
      </c>
      <c r="J1310" s="12" t="str">
        <f>HYPERLINK("https://www.boe.es/gazeta/dias/1800/05/23/pdfs/GMD-1800-41.pdf#page=7","Abrir facsímil")</f>
        <v>Abrir facsímil</v>
      </c>
      <c r="K1310" s="15" t="s">
        <v>23</v>
      </c>
    </row>
    <row r="1311" spans="1:11" ht="42" customHeight="1">
      <c r="A1311" s="4" t="s">
        <v>3091</v>
      </c>
      <c r="B1311" s="5" t="s">
        <v>3092</v>
      </c>
      <c r="C1311" s="5" t="s">
        <v>41</v>
      </c>
      <c r="D1311" s="5" t="s">
        <v>42</v>
      </c>
      <c r="E1311" s="5" t="s">
        <v>503</v>
      </c>
      <c r="F1311" s="9">
        <v>13</v>
      </c>
      <c r="G1311" s="9">
        <v>125</v>
      </c>
      <c r="H1311" s="5" t="s">
        <v>21</v>
      </c>
      <c r="I1311" s="5" t="s">
        <v>3093</v>
      </c>
      <c r="J1311" s="12" t="str">
        <f>HYPERLINK("https://www.boe.es/gazeta/dias/1800/02/14/pdfs/GMD-1800-13.pdf#page=9","Abrir facsímil")</f>
        <v>Abrir facsímil</v>
      </c>
      <c r="K1311" s="15" t="s">
        <v>23</v>
      </c>
    </row>
    <row r="1312" spans="1:11" ht="42" customHeight="1">
      <c r="A1312" s="4" t="s">
        <v>3094</v>
      </c>
      <c r="B1312" s="5" t="s">
        <v>3095</v>
      </c>
      <c r="C1312" s="5" t="s">
        <v>41</v>
      </c>
      <c r="D1312" s="5" t="s">
        <v>42</v>
      </c>
      <c r="E1312" s="5" t="s">
        <v>2338</v>
      </c>
      <c r="F1312" s="9">
        <v>42</v>
      </c>
      <c r="G1312" s="9">
        <v>432</v>
      </c>
      <c r="H1312" s="5" t="s">
        <v>21</v>
      </c>
      <c r="I1312" s="5" t="s">
        <v>3096</v>
      </c>
      <c r="J1312" s="12" t="str">
        <f>HYPERLINK("https://www.boe.es/gazeta/dias/1800/05/27/pdfs/GMD-1800-42.pdf#page=4","Abrir facsímil")</f>
        <v>Abrir facsímil</v>
      </c>
      <c r="K1312" s="15" t="s">
        <v>23</v>
      </c>
    </row>
    <row r="1313" spans="1:11" ht="42" customHeight="1">
      <c r="A1313" s="4" t="s">
        <v>3097</v>
      </c>
      <c r="B1313" s="5" t="s">
        <v>3098</v>
      </c>
      <c r="C1313" s="5" t="s">
        <v>207</v>
      </c>
      <c r="D1313" s="5" t="s">
        <v>55</v>
      </c>
      <c r="E1313" s="5" t="s">
        <v>545</v>
      </c>
      <c r="F1313" s="9">
        <v>14</v>
      </c>
      <c r="G1313" s="9">
        <v>129</v>
      </c>
      <c r="H1313" s="5" t="s">
        <v>21</v>
      </c>
      <c r="I1313" s="5" t="s">
        <v>3099</v>
      </c>
      <c r="J1313" s="12" t="str">
        <f>HYPERLINK("https://www.boe.es/gazeta/dias/1800/02/18/pdfs/GMD-1800-14.pdf#page=1","Abrir facsímil")</f>
        <v>Abrir facsímil</v>
      </c>
      <c r="K1313" s="15" t="s">
        <v>23</v>
      </c>
    </row>
    <row r="1314" spans="1:11" ht="42" customHeight="1">
      <c r="A1314" s="4" t="s">
        <v>3100</v>
      </c>
      <c r="B1314" s="5" t="s">
        <v>3101</v>
      </c>
      <c r="C1314" s="5" t="s">
        <v>18</v>
      </c>
      <c r="D1314" s="5" t="s">
        <v>19</v>
      </c>
      <c r="E1314" s="5" t="s">
        <v>255</v>
      </c>
      <c r="F1314" s="9">
        <v>75</v>
      </c>
      <c r="G1314" s="9">
        <v>847</v>
      </c>
      <c r="H1314" s="5" t="s">
        <v>21</v>
      </c>
      <c r="I1314" s="5" t="s">
        <v>3102</v>
      </c>
      <c r="J1314" s="12" t="str">
        <f>HYPERLINK("https://www.boe.es/gazeta/dias/1800/09/16/pdfs/GMD-1800-75.pdf#page=1","Abrir facsímil")</f>
        <v>Abrir facsímil</v>
      </c>
      <c r="K1314" s="15" t="s">
        <v>23</v>
      </c>
    </row>
    <row r="1315" spans="1:11" ht="42" customHeight="1">
      <c r="A1315" s="4" t="s">
        <v>3103</v>
      </c>
      <c r="B1315" s="5" t="s">
        <v>3104</v>
      </c>
      <c r="C1315" s="5" t="s">
        <v>18</v>
      </c>
      <c r="D1315" s="5" t="s">
        <v>19</v>
      </c>
      <c r="E1315" s="5" t="s">
        <v>598</v>
      </c>
      <c r="F1315" s="9">
        <v>32</v>
      </c>
      <c r="G1315" s="9">
        <v>318</v>
      </c>
      <c r="H1315" s="5" t="s">
        <v>21</v>
      </c>
      <c r="I1315" s="5" t="s">
        <v>3105</v>
      </c>
      <c r="J1315" s="12" t="str">
        <f>HYPERLINK("https://www.boe.es/gazeta/dias/1800/04/22/pdfs/GMD-1800-32.pdf#page=2","Abrir facsímil")</f>
        <v>Abrir facsímil</v>
      </c>
      <c r="K1315" s="15" t="s">
        <v>23</v>
      </c>
    </row>
    <row r="1316" spans="1:11" ht="42" customHeight="1">
      <c r="A1316" s="4" t="s">
        <v>3106</v>
      </c>
      <c r="B1316" s="5" t="s">
        <v>3107</v>
      </c>
      <c r="C1316" s="5" t="s">
        <v>41</v>
      </c>
      <c r="D1316" s="5" t="s">
        <v>42</v>
      </c>
      <c r="E1316" s="5" t="s">
        <v>319</v>
      </c>
      <c r="F1316" s="9">
        <v>62</v>
      </c>
      <c r="G1316" s="9">
        <v>703</v>
      </c>
      <c r="H1316" s="5" t="s">
        <v>21</v>
      </c>
      <c r="I1316" s="5" t="s">
        <v>3108</v>
      </c>
      <c r="J1316" s="12" t="str">
        <f>HYPERLINK("https://www.boe.es/gazeta/dias/1800/08/05/pdfs/GMD-1800-62.pdf#page=3","Abrir facsímil")</f>
        <v>Abrir facsímil</v>
      </c>
      <c r="K1316" s="15" t="s">
        <v>23</v>
      </c>
    </row>
    <row r="1317" spans="1:11" ht="42" customHeight="1">
      <c r="A1317" s="4" t="s">
        <v>3109</v>
      </c>
      <c r="B1317" s="5" t="s">
        <v>3110</v>
      </c>
      <c r="C1317" s="5" t="s">
        <v>18</v>
      </c>
      <c r="D1317" s="5" t="s">
        <v>19</v>
      </c>
      <c r="E1317" s="5" t="s">
        <v>105</v>
      </c>
      <c r="F1317" s="9">
        <v>28</v>
      </c>
      <c r="G1317" s="9">
        <v>285</v>
      </c>
      <c r="H1317" s="5" t="s">
        <v>21</v>
      </c>
      <c r="I1317" s="5" t="s">
        <v>3111</v>
      </c>
      <c r="J1317" s="12" t="str">
        <f>HYPERLINK("https://www.boe.es/gazeta/dias/1800/04/08/pdfs/GMD-1800-28.pdf#page=1","Abrir facsímil")</f>
        <v>Abrir facsímil</v>
      </c>
      <c r="K1317" s="15" t="s">
        <v>23</v>
      </c>
    </row>
    <row r="1318" spans="1:11" ht="42" customHeight="1">
      <c r="A1318" s="4" t="s">
        <v>3112</v>
      </c>
      <c r="B1318" s="5" t="s">
        <v>3113</v>
      </c>
      <c r="C1318" s="5" t="s">
        <v>18</v>
      </c>
      <c r="D1318" s="5" t="s">
        <v>19</v>
      </c>
      <c r="E1318" s="5" t="s">
        <v>120</v>
      </c>
      <c r="F1318" s="9">
        <v>52</v>
      </c>
      <c r="G1318" s="9">
        <v>565</v>
      </c>
      <c r="H1318" s="5" t="s">
        <v>21</v>
      </c>
      <c r="I1318" s="5" t="s">
        <v>3114</v>
      </c>
      <c r="J1318" s="12" t="str">
        <f>HYPERLINK("https://www.boe.es/gazeta/dias/1800/07/01/pdfs/GMD-1800-52.pdf#page=1","Abrir facsímil")</f>
        <v>Abrir facsímil</v>
      </c>
      <c r="K1318" s="15" t="s">
        <v>23</v>
      </c>
    </row>
    <row r="1319" spans="1:11" ht="42" customHeight="1">
      <c r="A1319" s="4" t="s">
        <v>3115</v>
      </c>
      <c r="B1319" s="5" t="s">
        <v>3116</v>
      </c>
      <c r="C1319" s="5" t="s">
        <v>18</v>
      </c>
      <c r="D1319" s="5" t="s">
        <v>19</v>
      </c>
      <c r="E1319" s="5" t="s">
        <v>248</v>
      </c>
      <c r="F1319" s="9">
        <v>33</v>
      </c>
      <c r="G1319" s="9">
        <v>332</v>
      </c>
      <c r="H1319" s="5" t="s">
        <v>21</v>
      </c>
      <c r="I1319" s="5" t="s">
        <v>3117</v>
      </c>
      <c r="J1319" s="12" t="str">
        <f>HYPERLINK("https://www.boe.es/gazeta/dias/1800/04/25/pdfs/GMD-1800-33.pdf#page=8","Abrir facsímil")</f>
        <v>Abrir facsímil</v>
      </c>
      <c r="K1319" s="15" t="s">
        <v>23</v>
      </c>
    </row>
    <row r="1320" spans="1:11" ht="42" customHeight="1">
      <c r="A1320" s="4" t="s">
        <v>3118</v>
      </c>
      <c r="B1320" s="5" t="s">
        <v>3119</v>
      </c>
      <c r="C1320" s="5" t="s">
        <v>18</v>
      </c>
      <c r="D1320" s="5" t="s">
        <v>19</v>
      </c>
      <c r="E1320" s="5" t="s">
        <v>68</v>
      </c>
      <c r="F1320" s="9">
        <v>67</v>
      </c>
      <c r="G1320" s="9">
        <v>749</v>
      </c>
      <c r="H1320" s="5" t="s">
        <v>21</v>
      </c>
      <c r="I1320" s="5" t="s">
        <v>3120</v>
      </c>
      <c r="J1320" s="12" t="str">
        <f>HYPERLINK("https://www.boe.es/gazeta/dias/1800/08/22/pdfs/GMD-1800-67.pdf#page=1","Abrir facsímil")</f>
        <v>Abrir facsímil</v>
      </c>
      <c r="K1320" s="15" t="s">
        <v>23</v>
      </c>
    </row>
    <row r="1321" spans="1:11" ht="42" customHeight="1">
      <c r="A1321" s="4" t="s">
        <v>3118</v>
      </c>
      <c r="B1321" s="5" t="s">
        <v>3119</v>
      </c>
      <c r="C1321" s="5" t="s">
        <v>41</v>
      </c>
      <c r="D1321" s="5" t="s">
        <v>42</v>
      </c>
      <c r="E1321" s="5" t="s">
        <v>314</v>
      </c>
      <c r="F1321" s="9">
        <v>74</v>
      </c>
      <c r="G1321" s="9">
        <v>824</v>
      </c>
      <c r="H1321" s="5" t="s">
        <v>21</v>
      </c>
      <c r="I1321" s="5" t="s">
        <v>3121</v>
      </c>
      <c r="J1321" s="12" t="str">
        <f>HYPERLINK("https://www.boe.es/gazeta/dias/1800/09/12/pdfs/GMD-1800-74.pdf#page=2","Abrir facsímil")</f>
        <v>Abrir facsímil</v>
      </c>
      <c r="K1321" s="15" t="s">
        <v>23</v>
      </c>
    </row>
    <row r="1322" spans="1:11" ht="42" customHeight="1">
      <c r="A1322" s="4" t="s">
        <v>3122</v>
      </c>
      <c r="B1322" s="5" t="s">
        <v>3123</v>
      </c>
      <c r="C1322" s="5" t="s">
        <v>207</v>
      </c>
      <c r="D1322" s="5" t="s">
        <v>55</v>
      </c>
      <c r="E1322" s="5" t="s">
        <v>184</v>
      </c>
      <c r="F1322" s="9">
        <v>82</v>
      </c>
      <c r="G1322" s="9">
        <v>945</v>
      </c>
      <c r="H1322" s="5" t="s">
        <v>21</v>
      </c>
      <c r="I1322" s="5" t="s">
        <v>3124</v>
      </c>
      <c r="J1322" s="12" t="str">
        <f>HYPERLINK("https://www.boe.es/gazeta/dias/1800/10/10/pdfs/GMD-1800-82.pdf#page=3","Abrir facsímil")</f>
        <v>Abrir facsímil</v>
      </c>
      <c r="K1322" s="15" t="s">
        <v>23</v>
      </c>
    </row>
    <row r="1323" spans="1:11" ht="42" customHeight="1">
      <c r="A1323" s="4" t="s">
        <v>3125</v>
      </c>
      <c r="B1323" s="5" t="s">
        <v>3126</v>
      </c>
      <c r="C1323" s="5" t="s">
        <v>18</v>
      </c>
      <c r="D1323" s="5" t="s">
        <v>19</v>
      </c>
      <c r="E1323" s="5" t="s">
        <v>120</v>
      </c>
      <c r="F1323" s="9">
        <v>52</v>
      </c>
      <c r="G1323" s="9">
        <v>575</v>
      </c>
      <c r="H1323" s="5" t="s">
        <v>21</v>
      </c>
      <c r="I1323" s="5" t="s">
        <v>3127</v>
      </c>
      <c r="J1323" s="12" t="str">
        <f>HYPERLINK("https://www.boe.es/gazeta/dias/1800/07/01/pdfs/GMD-1800-52.pdf#page=11","Abrir facsímil")</f>
        <v>Abrir facsímil</v>
      </c>
      <c r="K1323" s="15" t="s">
        <v>23</v>
      </c>
    </row>
    <row r="1324" spans="1:11" ht="42" customHeight="1">
      <c r="A1324" s="4" t="s">
        <v>3128</v>
      </c>
      <c r="B1324" s="5" t="s">
        <v>3129</v>
      </c>
      <c r="C1324" s="5" t="s">
        <v>41</v>
      </c>
      <c r="D1324" s="5" t="s">
        <v>42</v>
      </c>
      <c r="E1324" s="5" t="s">
        <v>503</v>
      </c>
      <c r="F1324" s="9">
        <v>13</v>
      </c>
      <c r="G1324" s="9">
        <v>125</v>
      </c>
      <c r="H1324" s="5" t="s">
        <v>21</v>
      </c>
      <c r="I1324" s="5" t="s">
        <v>3130</v>
      </c>
      <c r="J1324" s="12" t="str">
        <f>HYPERLINK("https://www.boe.es/gazeta/dias/1800/02/14/pdfs/GMD-1800-13.pdf#page=9","Abrir facsímil")</f>
        <v>Abrir facsímil</v>
      </c>
      <c r="K1324" s="15" t="s">
        <v>23</v>
      </c>
    </row>
    <row r="1325" spans="1:11" ht="42" customHeight="1">
      <c r="A1325" s="4" t="s">
        <v>3131</v>
      </c>
      <c r="B1325" s="5" t="s">
        <v>3132</v>
      </c>
      <c r="C1325" s="5" t="s">
        <v>18</v>
      </c>
      <c r="D1325" s="5" t="s">
        <v>19</v>
      </c>
      <c r="E1325" s="5" t="s">
        <v>64</v>
      </c>
      <c r="F1325" s="9">
        <v>54</v>
      </c>
      <c r="G1325" s="9">
        <v>604</v>
      </c>
      <c r="H1325" s="5" t="s">
        <v>21</v>
      </c>
      <c r="I1325" s="5" t="s">
        <v>3133</v>
      </c>
      <c r="J1325" s="12" t="str">
        <f>HYPERLINK("https://www.boe.es/gazeta/dias/1800/07/08/pdfs/GMD-1800-54.pdf#page=8","Abrir facsímil")</f>
        <v>Abrir facsímil</v>
      </c>
      <c r="K1325" s="15" t="s">
        <v>23</v>
      </c>
    </row>
    <row r="1326" spans="1:11" ht="42" customHeight="1">
      <c r="A1326" s="4" t="s">
        <v>3134</v>
      </c>
      <c r="B1326" s="5" t="s">
        <v>3135</v>
      </c>
      <c r="C1326" s="5" t="s">
        <v>18</v>
      </c>
      <c r="D1326" s="5" t="s">
        <v>19</v>
      </c>
      <c r="E1326" s="5" t="s">
        <v>567</v>
      </c>
      <c r="F1326" s="9">
        <v>3</v>
      </c>
      <c r="G1326" s="9">
        <v>23</v>
      </c>
      <c r="H1326" s="5" t="s">
        <v>21</v>
      </c>
      <c r="I1326" s="5" t="s">
        <v>3136</v>
      </c>
      <c r="J1326" s="12" t="str">
        <f>HYPERLINK("https://www.boe.es/gazeta/dias/1800/01/10/pdfs/GMD-1800-3.pdf#page=3","Abrir facsímil")</f>
        <v>Abrir facsímil</v>
      </c>
      <c r="K1326" s="15" t="s">
        <v>23</v>
      </c>
    </row>
    <row r="1327" spans="1:11" ht="42" customHeight="1">
      <c r="A1327" s="4" t="s">
        <v>3134</v>
      </c>
      <c r="B1327" s="5" t="s">
        <v>3135</v>
      </c>
      <c r="C1327" s="5" t="s">
        <v>18</v>
      </c>
      <c r="D1327" s="5" t="s">
        <v>19</v>
      </c>
      <c r="E1327" s="5" t="s">
        <v>319</v>
      </c>
      <c r="F1327" s="9">
        <v>62</v>
      </c>
      <c r="G1327" s="9">
        <v>702</v>
      </c>
      <c r="H1327" s="5" t="s">
        <v>21</v>
      </c>
      <c r="I1327" s="5" t="s">
        <v>3137</v>
      </c>
      <c r="J1327" s="12" t="str">
        <f>HYPERLINK("https://www.boe.es/gazeta/dias/1800/08/05/pdfs/GMD-1800-62.pdf#page=2","Abrir facsímil")</f>
        <v>Abrir facsímil</v>
      </c>
      <c r="K1327" s="15" t="s">
        <v>23</v>
      </c>
    </row>
    <row r="1328" spans="1:11" ht="42" customHeight="1">
      <c r="A1328" s="4" t="s">
        <v>3138</v>
      </c>
      <c r="B1328" s="5" t="s">
        <v>3139</v>
      </c>
      <c r="C1328" s="5" t="s">
        <v>18</v>
      </c>
      <c r="D1328" s="5" t="s">
        <v>19</v>
      </c>
      <c r="E1328" s="5" t="s">
        <v>131</v>
      </c>
      <c r="F1328" s="9">
        <v>8</v>
      </c>
      <c r="G1328" s="9">
        <v>69</v>
      </c>
      <c r="H1328" s="5" t="s">
        <v>21</v>
      </c>
      <c r="I1328" s="5" t="s">
        <v>3140</v>
      </c>
      <c r="J1328" s="12" t="str">
        <f>HYPERLINK("https://www.boe.es/gazeta/dias/1800/01/28/pdfs/GMD-1800-8.pdf#page=1","Abrir facsímil")</f>
        <v>Abrir facsímil</v>
      </c>
      <c r="K1328" s="15" t="s">
        <v>23</v>
      </c>
    </row>
    <row r="1329" spans="1:11" ht="42" customHeight="1">
      <c r="A1329" s="4" t="s">
        <v>3138</v>
      </c>
      <c r="B1329" s="5" t="s">
        <v>3139</v>
      </c>
      <c r="C1329" s="5" t="s">
        <v>41</v>
      </c>
      <c r="D1329" s="5" t="s">
        <v>42</v>
      </c>
      <c r="E1329" s="5" t="s">
        <v>226</v>
      </c>
      <c r="F1329" s="9">
        <v>27</v>
      </c>
      <c r="G1329" s="9">
        <v>274</v>
      </c>
      <c r="H1329" s="5" t="s">
        <v>21</v>
      </c>
      <c r="I1329" s="5" t="s">
        <v>3141</v>
      </c>
      <c r="J1329" s="12" t="str">
        <f>HYPERLINK("https://www.boe.es/gazeta/dias/1800/04/04/pdfs/GMD-1800-27.pdf#page=2","Abrir facsímil")</f>
        <v>Abrir facsímil</v>
      </c>
      <c r="K1329" s="15" t="s">
        <v>23</v>
      </c>
    </row>
    <row r="1330" spans="1:11" ht="42" customHeight="1">
      <c r="A1330" s="4" t="s">
        <v>3138</v>
      </c>
      <c r="B1330" s="5" t="s">
        <v>3139</v>
      </c>
      <c r="C1330" s="5" t="s">
        <v>41</v>
      </c>
      <c r="D1330" s="5" t="s">
        <v>42</v>
      </c>
      <c r="E1330" s="5" t="s">
        <v>64</v>
      </c>
      <c r="F1330" s="9">
        <v>54</v>
      </c>
      <c r="G1330" s="9">
        <v>599</v>
      </c>
      <c r="H1330" s="5" t="s">
        <v>21</v>
      </c>
      <c r="I1330" s="5" t="s">
        <v>3142</v>
      </c>
      <c r="J1330" s="12" t="str">
        <f>HYPERLINK("https://www.boe.es/gazeta/dias/1800/07/08/pdfs/GMD-1800-54.pdf#page=3","Abrir facsímil")</f>
        <v>Abrir facsímil</v>
      </c>
      <c r="K1330" s="15" t="s">
        <v>23</v>
      </c>
    </row>
    <row r="1331" spans="1:11" ht="42" customHeight="1">
      <c r="A1331" s="4" t="s">
        <v>3143</v>
      </c>
      <c r="B1331" s="5" t="s">
        <v>3144</v>
      </c>
      <c r="C1331" s="5" t="s">
        <v>41</v>
      </c>
      <c r="D1331" s="5" t="s">
        <v>42</v>
      </c>
      <c r="E1331" s="5" t="s">
        <v>530</v>
      </c>
      <c r="F1331" s="9">
        <v>55</v>
      </c>
      <c r="G1331" s="9">
        <v>619</v>
      </c>
      <c r="H1331" s="5" t="s">
        <v>21</v>
      </c>
      <c r="I1331" s="5" t="s">
        <v>3145</v>
      </c>
      <c r="J1331" s="12" t="str">
        <f>HYPERLINK("https://www.boe.es/gazeta/dias/1800/07/11/pdfs/GMD-1800-55.pdf#page=7","Abrir facsímil")</f>
        <v>Abrir facsímil</v>
      </c>
      <c r="K1331" s="15" t="s">
        <v>23</v>
      </c>
    </row>
    <row r="1332" spans="1:11" ht="42" customHeight="1">
      <c r="A1332" s="4" t="s">
        <v>3146</v>
      </c>
      <c r="B1332" s="5" t="s">
        <v>3147</v>
      </c>
      <c r="C1332" s="5" t="s">
        <v>41</v>
      </c>
      <c r="D1332" s="5" t="s">
        <v>42</v>
      </c>
      <c r="E1332" s="5" t="s">
        <v>828</v>
      </c>
      <c r="F1332" s="9">
        <v>53</v>
      </c>
      <c r="G1332" s="9">
        <v>583</v>
      </c>
      <c r="H1332" s="5" t="s">
        <v>21</v>
      </c>
      <c r="I1332" s="5" t="s">
        <v>3148</v>
      </c>
      <c r="J1332" s="12" t="str">
        <f>HYPERLINK("https://www.boe.es/gazeta/dias/1800/07/04/pdfs/GMD-1800-53.pdf#page=3","Abrir facsímil")</f>
        <v>Abrir facsímil</v>
      </c>
      <c r="K1332" s="15" t="s">
        <v>23</v>
      </c>
    </row>
    <row r="1333" spans="1:11" ht="42" customHeight="1">
      <c r="A1333" s="4" t="s">
        <v>3149</v>
      </c>
      <c r="B1333" s="5" t="s">
        <v>3150</v>
      </c>
      <c r="C1333" s="5" t="s">
        <v>18</v>
      </c>
      <c r="D1333" s="5" t="s">
        <v>19</v>
      </c>
      <c r="E1333" s="5" t="s">
        <v>90</v>
      </c>
      <c r="F1333" s="9">
        <v>58</v>
      </c>
      <c r="G1333" s="9">
        <v>662</v>
      </c>
      <c r="H1333" s="5" t="s">
        <v>21</v>
      </c>
      <c r="I1333" s="5" t="s">
        <v>3151</v>
      </c>
      <c r="J1333" s="12" t="str">
        <f>HYPERLINK("https://www.boe.es/gazeta/dias/1800/07/22/pdfs/GMD-1800-58.pdf#page=10","Abrir facsímil")</f>
        <v>Abrir facsímil</v>
      </c>
      <c r="K1333" s="15" t="s">
        <v>23</v>
      </c>
    </row>
    <row r="1334" spans="1:11" ht="42" customHeight="1">
      <c r="A1334" s="4" t="s">
        <v>3152</v>
      </c>
      <c r="B1334" s="5" t="s">
        <v>3153</v>
      </c>
      <c r="C1334" s="5" t="s">
        <v>18</v>
      </c>
      <c r="D1334" s="5" t="s">
        <v>19</v>
      </c>
      <c r="E1334" s="5" t="s">
        <v>139</v>
      </c>
      <c r="F1334" s="9">
        <v>2</v>
      </c>
      <c r="G1334" s="9">
        <v>10</v>
      </c>
      <c r="H1334" s="5" t="s">
        <v>21</v>
      </c>
      <c r="I1334" s="5" t="s">
        <v>3154</v>
      </c>
      <c r="J1334" s="12" t="str">
        <f>HYPERLINK("https://www.boe.es/gazeta/dias/1800/01/07/pdfs/GMD-1800-2.pdf#page=2","Abrir facsímil")</f>
        <v>Abrir facsímil</v>
      </c>
      <c r="K1334" s="15" t="s">
        <v>23</v>
      </c>
    </row>
    <row r="1335" spans="1:11" ht="42" customHeight="1">
      <c r="A1335" s="4" t="s">
        <v>3155</v>
      </c>
      <c r="B1335" s="5" t="s">
        <v>3156</v>
      </c>
      <c r="C1335" s="5" t="s">
        <v>41</v>
      </c>
      <c r="D1335" s="5" t="s">
        <v>42</v>
      </c>
      <c r="E1335" s="5" t="s">
        <v>534</v>
      </c>
      <c r="F1335" s="9">
        <v>100</v>
      </c>
      <c r="G1335" s="9">
        <v>1151</v>
      </c>
      <c r="H1335" s="5" t="s">
        <v>21</v>
      </c>
      <c r="I1335" s="5" t="s">
        <v>3157</v>
      </c>
      <c r="J1335" s="12" t="str">
        <f>HYPERLINK("https://www.boe.es/gazeta/dias/1800/12/12/pdfs/GMD-1800-100.pdf#page=3","Abrir facsímil")</f>
        <v>Abrir facsímil</v>
      </c>
      <c r="K1335" s="15" t="s">
        <v>23</v>
      </c>
    </row>
    <row r="1336" spans="1:11" ht="42" customHeight="1">
      <c r="A1336" s="4" t="s">
        <v>3158</v>
      </c>
      <c r="B1336" s="5" t="s">
        <v>3159</v>
      </c>
      <c r="C1336" s="5" t="s">
        <v>84</v>
      </c>
      <c r="D1336" s="5" t="s">
        <v>85</v>
      </c>
      <c r="E1336" s="5" t="s">
        <v>68</v>
      </c>
      <c r="F1336" s="9">
        <v>67</v>
      </c>
      <c r="G1336" s="9">
        <v>756</v>
      </c>
      <c r="H1336" s="5" t="s">
        <v>21</v>
      </c>
      <c r="I1336" s="5" t="s">
        <v>3160</v>
      </c>
      <c r="J1336" s="12" t="str">
        <f>HYPERLINK("https://www.boe.es/gazeta/dias/1800/08/22/pdfs/GMD-1800-67.pdf#page=8","Abrir facsímil")</f>
        <v>Abrir facsímil</v>
      </c>
      <c r="K1336" s="15" t="s">
        <v>23</v>
      </c>
    </row>
    <row r="1337" spans="1:11" ht="42" customHeight="1">
      <c r="A1337" s="4" t="s">
        <v>3161</v>
      </c>
      <c r="B1337" s="5" t="s">
        <v>3162</v>
      </c>
      <c r="C1337" s="5" t="s">
        <v>84</v>
      </c>
      <c r="D1337" s="5" t="s">
        <v>85</v>
      </c>
      <c r="E1337" s="5" t="s">
        <v>787</v>
      </c>
      <c r="F1337" s="9">
        <v>6</v>
      </c>
      <c r="G1337" s="9">
        <v>60</v>
      </c>
      <c r="H1337" s="5" t="s">
        <v>21</v>
      </c>
      <c r="I1337" s="5" t="s">
        <v>3163</v>
      </c>
      <c r="J1337" s="12" t="str">
        <f>HYPERLINK("https://www.boe.es/gazeta/dias/1800/01/21/pdfs/GMD-1800-6.pdf#page=12","Abrir facsímil")</f>
        <v>Abrir facsímil</v>
      </c>
      <c r="K1337" s="15" t="s">
        <v>23</v>
      </c>
    </row>
    <row r="1338" spans="1:11" ht="42" customHeight="1">
      <c r="A1338" s="4" t="s">
        <v>3164</v>
      </c>
      <c r="B1338" s="5" t="s">
        <v>3165</v>
      </c>
      <c r="C1338" s="5" t="s">
        <v>54</v>
      </c>
      <c r="D1338" s="5" t="s">
        <v>55</v>
      </c>
      <c r="E1338" s="5" t="s">
        <v>27</v>
      </c>
      <c r="F1338" s="9">
        <v>65</v>
      </c>
      <c r="G1338" s="9">
        <v>733</v>
      </c>
      <c r="H1338" s="5" t="s">
        <v>21</v>
      </c>
      <c r="I1338" s="5" t="s">
        <v>3166</v>
      </c>
      <c r="J1338" s="12" t="str">
        <f>HYPERLINK("https://www.boe.es/gazeta/dias/1800/08/15/pdfs/GMD-1800-65.pdf#page=9","Abrir facsímil")</f>
        <v>Abrir facsímil</v>
      </c>
      <c r="K1338" s="15" t="s">
        <v>23</v>
      </c>
    </row>
    <row r="1339" spans="1:11" ht="42" customHeight="1">
      <c r="A1339" s="4" t="s">
        <v>3167</v>
      </c>
      <c r="B1339" s="5" t="s">
        <v>3168</v>
      </c>
      <c r="C1339" s="5" t="s">
        <v>84</v>
      </c>
      <c r="D1339" s="5" t="s">
        <v>85</v>
      </c>
      <c r="E1339" s="5" t="s">
        <v>314</v>
      </c>
      <c r="F1339" s="9">
        <v>74</v>
      </c>
      <c r="G1339" s="9">
        <v>830</v>
      </c>
      <c r="H1339" s="5" t="s">
        <v>21</v>
      </c>
      <c r="I1339" s="5" t="s">
        <v>3169</v>
      </c>
      <c r="J1339" s="12" t="str">
        <f>HYPERLINK("https://www.boe.es/gazeta/dias/1800/09/12/pdfs/GMD-1800-74.pdf#page=8","Abrir facsímil")</f>
        <v>Abrir facsímil</v>
      </c>
      <c r="K1339" s="15" t="s">
        <v>23</v>
      </c>
    </row>
    <row r="1340" spans="1:11" ht="42" customHeight="1">
      <c r="A1340" s="4" t="s">
        <v>3170</v>
      </c>
      <c r="B1340" s="5" t="s">
        <v>3170</v>
      </c>
      <c r="C1340" s="5" t="s">
        <v>18</v>
      </c>
      <c r="D1340" s="5" t="s">
        <v>19</v>
      </c>
      <c r="E1340" s="5" t="s">
        <v>615</v>
      </c>
      <c r="F1340" s="9">
        <v>95</v>
      </c>
      <c r="G1340" s="9">
        <v>1083</v>
      </c>
      <c r="H1340" s="5" t="s">
        <v>21</v>
      </c>
      <c r="I1340" s="5" t="s">
        <v>3171</v>
      </c>
      <c r="J1340" s="12" t="str">
        <f>HYPERLINK("https://www.boe.es/gazeta/dias/1800/11/25/pdfs/GMD-1800-95.pdf#page=1","Abrir facsímil")</f>
        <v>Abrir facsímil</v>
      </c>
      <c r="K1340" s="15" t="s">
        <v>23</v>
      </c>
    </row>
    <row r="1341" spans="1:11" ht="42" customHeight="1">
      <c r="A1341" s="4" t="s">
        <v>3172</v>
      </c>
      <c r="B1341" s="5" t="s">
        <v>3172</v>
      </c>
      <c r="C1341" s="5" t="s">
        <v>41</v>
      </c>
      <c r="D1341" s="5" t="s">
        <v>42</v>
      </c>
      <c r="E1341" s="5" t="s">
        <v>244</v>
      </c>
      <c r="F1341" s="9">
        <v>9</v>
      </c>
      <c r="G1341" s="9">
        <v>77</v>
      </c>
      <c r="H1341" s="5" t="s">
        <v>21</v>
      </c>
      <c r="I1341" s="5" t="s">
        <v>3173</v>
      </c>
      <c r="J1341" s="12" t="str">
        <f>HYPERLINK("https://www.boe.es/gazeta/dias/1800/01/31/pdfs/GMD-1800-9.pdf#page=1","Abrir facsímil")</f>
        <v>Abrir facsímil</v>
      </c>
      <c r="K1341" s="15" t="s">
        <v>23</v>
      </c>
    </row>
    <row r="1342" spans="1:11" ht="42" customHeight="1">
      <c r="A1342" s="4" t="s">
        <v>3174</v>
      </c>
      <c r="B1342" s="5" t="s">
        <v>3174</v>
      </c>
      <c r="C1342" s="5" t="s">
        <v>18</v>
      </c>
      <c r="D1342" s="5" t="s">
        <v>19</v>
      </c>
      <c r="E1342" s="5" t="s">
        <v>176</v>
      </c>
      <c r="F1342" s="9">
        <v>88</v>
      </c>
      <c r="G1342" s="9">
        <v>1030</v>
      </c>
      <c r="H1342" s="5" t="s">
        <v>21</v>
      </c>
      <c r="I1342" s="5" t="s">
        <v>3175</v>
      </c>
      <c r="J1342" s="12" t="str">
        <f>HYPERLINK("https://www.boe.es/gazeta/dias/1800/10/31/pdfs/GMD-1800-88.pdf#page=12","Abrir facsímil")</f>
        <v>Abrir facsímil</v>
      </c>
      <c r="K1342" s="15" t="s">
        <v>23</v>
      </c>
    </row>
    <row r="1343" spans="1:11" ht="42" customHeight="1">
      <c r="A1343" s="4" t="s">
        <v>3176</v>
      </c>
      <c r="B1343" s="5" t="s">
        <v>3177</v>
      </c>
      <c r="C1343" s="5" t="s">
        <v>41</v>
      </c>
      <c r="D1343" s="5" t="s">
        <v>42</v>
      </c>
      <c r="E1343" s="5" t="s">
        <v>218</v>
      </c>
      <c r="F1343" s="9">
        <v>5</v>
      </c>
      <c r="G1343" s="9">
        <v>43</v>
      </c>
      <c r="H1343" s="5" t="s">
        <v>21</v>
      </c>
      <c r="I1343" s="5" t="s">
        <v>3178</v>
      </c>
      <c r="J1343" s="12" t="str">
        <f>HYPERLINK("https://www.boe.es/gazeta/dias/1800/01/17/pdfs/GMD-1800-5.pdf#page=3","Abrir facsímil")</f>
        <v>Abrir facsímil</v>
      </c>
      <c r="K1343" s="15" t="s">
        <v>23</v>
      </c>
    </row>
    <row r="1344" spans="1:11" ht="42" customHeight="1">
      <c r="A1344" s="4" t="s">
        <v>3176</v>
      </c>
      <c r="B1344" s="5" t="s">
        <v>3177</v>
      </c>
      <c r="C1344" s="5" t="s">
        <v>41</v>
      </c>
      <c r="D1344" s="5" t="s">
        <v>42</v>
      </c>
      <c r="E1344" s="5" t="s">
        <v>86</v>
      </c>
      <c r="F1344" s="9">
        <v>17</v>
      </c>
      <c r="G1344" s="9">
        <v>156</v>
      </c>
      <c r="H1344" s="5" t="s">
        <v>21</v>
      </c>
      <c r="I1344" s="5" t="s">
        <v>3179</v>
      </c>
      <c r="J1344" s="12" t="str">
        <f>HYPERLINK("https://www.boe.es/gazeta/dias/1800/02/28/pdfs/GMD-1800-17.pdf#page=4","Abrir facsímil")</f>
        <v>Abrir facsímil</v>
      </c>
      <c r="K1344" s="15" t="s">
        <v>23</v>
      </c>
    </row>
    <row r="1345" spans="1:11" ht="42" customHeight="1">
      <c r="A1345" s="4" t="s">
        <v>3176</v>
      </c>
      <c r="B1345" s="5" t="s">
        <v>3177</v>
      </c>
      <c r="C1345" s="5" t="s">
        <v>84</v>
      </c>
      <c r="D1345" s="5" t="s">
        <v>85</v>
      </c>
      <c r="E1345" s="5" t="s">
        <v>203</v>
      </c>
      <c r="F1345" s="9">
        <v>94</v>
      </c>
      <c r="G1345" s="9">
        <v>1072</v>
      </c>
      <c r="H1345" s="5" t="s">
        <v>21</v>
      </c>
      <c r="I1345" s="5" t="s">
        <v>3180</v>
      </c>
      <c r="J1345" s="12" t="str">
        <f>HYPERLINK("https://www.boe.es/gazeta/dias/1800/11/21/pdfs/GMD-1800-94.pdf#page=2","Abrir facsímil")</f>
        <v>Abrir facsímil</v>
      </c>
      <c r="K1345" s="15" t="s">
        <v>23</v>
      </c>
    </row>
    <row r="1346" spans="1:11" ht="42" customHeight="1">
      <c r="A1346" s="4" t="s">
        <v>3181</v>
      </c>
      <c r="B1346" s="5" t="s">
        <v>3182</v>
      </c>
      <c r="C1346" s="5" t="s">
        <v>41</v>
      </c>
      <c r="D1346" s="5" t="s">
        <v>42</v>
      </c>
      <c r="E1346" s="5" t="s">
        <v>139</v>
      </c>
      <c r="F1346" s="9">
        <v>2</v>
      </c>
      <c r="G1346" s="9">
        <v>10</v>
      </c>
      <c r="H1346" s="5" t="s">
        <v>21</v>
      </c>
      <c r="I1346" s="5" t="s">
        <v>3183</v>
      </c>
      <c r="J1346" s="12" t="str">
        <f>HYPERLINK("https://www.boe.es/gazeta/dias/1800/01/07/pdfs/GMD-1800-2.pdf#page=2","Abrir facsímil")</f>
        <v>Abrir facsímil</v>
      </c>
      <c r="K1346" s="15" t="s">
        <v>23</v>
      </c>
    </row>
    <row r="1347" spans="1:11" ht="42" customHeight="1">
      <c r="A1347" s="4" t="s">
        <v>3181</v>
      </c>
      <c r="B1347" s="5" t="s">
        <v>3182</v>
      </c>
      <c r="C1347" s="5" t="s">
        <v>41</v>
      </c>
      <c r="D1347" s="5" t="s">
        <v>42</v>
      </c>
      <c r="E1347" s="5" t="s">
        <v>79</v>
      </c>
      <c r="F1347" s="9">
        <v>7</v>
      </c>
      <c r="G1347" s="9">
        <v>61</v>
      </c>
      <c r="H1347" s="5" t="s">
        <v>21</v>
      </c>
      <c r="I1347" s="5" t="s">
        <v>3184</v>
      </c>
      <c r="J1347" s="12" t="str">
        <f>HYPERLINK("https://www.boe.es/gazeta/dias/1800/01/24/pdfs/GMD-1800-7.pdf#page=1","Abrir facsímil")</f>
        <v>Abrir facsímil</v>
      </c>
      <c r="K1347" s="15" t="s">
        <v>23</v>
      </c>
    </row>
    <row r="1348" spans="1:11" ht="42" customHeight="1">
      <c r="A1348" s="4" t="s">
        <v>3181</v>
      </c>
      <c r="B1348" s="5" t="s">
        <v>3182</v>
      </c>
      <c r="C1348" s="5" t="s">
        <v>41</v>
      </c>
      <c r="D1348" s="5" t="s">
        <v>42</v>
      </c>
      <c r="E1348" s="5" t="s">
        <v>1127</v>
      </c>
      <c r="F1348" s="9">
        <v>11</v>
      </c>
      <c r="G1348" s="9">
        <v>101</v>
      </c>
      <c r="H1348" s="5" t="s">
        <v>21</v>
      </c>
      <c r="I1348" s="5" t="s">
        <v>3185</v>
      </c>
      <c r="J1348" s="12" t="str">
        <f>HYPERLINK("https://www.boe.es/gazeta/dias/1800/02/07/pdfs/GMD-1800-11.pdf#page=1","Abrir facsímil")</f>
        <v>Abrir facsímil</v>
      </c>
      <c r="K1348" s="15" t="s">
        <v>23</v>
      </c>
    </row>
    <row r="1349" spans="1:11" ht="42" customHeight="1">
      <c r="A1349" s="4" t="s">
        <v>3181</v>
      </c>
      <c r="B1349" s="5" t="s">
        <v>3182</v>
      </c>
      <c r="C1349" s="5" t="s">
        <v>41</v>
      </c>
      <c r="D1349" s="5" t="s">
        <v>42</v>
      </c>
      <c r="E1349" s="5" t="s">
        <v>845</v>
      </c>
      <c r="F1349" s="9">
        <v>80</v>
      </c>
      <c r="G1349" s="9">
        <v>905</v>
      </c>
      <c r="H1349" s="5" t="s">
        <v>21</v>
      </c>
      <c r="I1349" s="5" t="s">
        <v>3186</v>
      </c>
      <c r="J1349" s="12" t="str">
        <f>HYPERLINK("https://www.boe.es/gazeta/dias/1800/10/03/pdfs/GMD-1800-80.pdf#page=3","Abrir facsímil")</f>
        <v>Abrir facsímil</v>
      </c>
      <c r="K1349" s="15" t="s">
        <v>23</v>
      </c>
    </row>
    <row r="1350" spans="1:11" ht="42" customHeight="1">
      <c r="A1350" s="4" t="s">
        <v>3181</v>
      </c>
      <c r="B1350" s="5" t="s">
        <v>3182</v>
      </c>
      <c r="C1350" s="5" t="s">
        <v>18</v>
      </c>
      <c r="D1350" s="5" t="s">
        <v>19</v>
      </c>
      <c r="E1350" s="5" t="s">
        <v>176</v>
      </c>
      <c r="F1350" s="9">
        <v>88</v>
      </c>
      <c r="G1350" s="9">
        <v>1020</v>
      </c>
      <c r="H1350" s="5" t="s">
        <v>21</v>
      </c>
      <c r="I1350" s="5" t="s">
        <v>3187</v>
      </c>
      <c r="J1350" s="12" t="str">
        <f>HYPERLINK("https://www.boe.es/gazeta/dias/1800/10/31/pdfs/GMD-1800-88.pdf#page=2","Abrir facsímil")</f>
        <v>Abrir facsímil</v>
      </c>
      <c r="K1350" s="15" t="s">
        <v>23</v>
      </c>
    </row>
    <row r="1351" spans="1:11" ht="42" customHeight="1">
      <c r="A1351" s="4" t="s">
        <v>3181</v>
      </c>
      <c r="B1351" s="5" t="s">
        <v>3182</v>
      </c>
      <c r="C1351" s="5" t="s">
        <v>41</v>
      </c>
      <c r="D1351" s="5" t="s">
        <v>42</v>
      </c>
      <c r="E1351" s="5" t="s">
        <v>190</v>
      </c>
      <c r="F1351" s="9">
        <v>93</v>
      </c>
      <c r="G1351" s="9">
        <v>1055</v>
      </c>
      <c r="H1351" s="5" t="s">
        <v>21</v>
      </c>
      <c r="I1351" s="5" t="s">
        <v>3188</v>
      </c>
      <c r="J1351" s="12" t="str">
        <f>HYPERLINK("https://www.boe.es/gazeta/dias/1800/11/18/pdfs/GMD-1800-93.pdf#page=1","Abrir facsímil")</f>
        <v>Abrir facsímil</v>
      </c>
      <c r="K1351" s="15" t="s">
        <v>23</v>
      </c>
    </row>
    <row r="1352" spans="1:11" ht="42" customHeight="1">
      <c r="A1352" s="4" t="s">
        <v>3189</v>
      </c>
      <c r="B1352" s="5" t="s">
        <v>3190</v>
      </c>
      <c r="C1352" s="5" t="s">
        <v>41</v>
      </c>
      <c r="D1352" s="5" t="s">
        <v>42</v>
      </c>
      <c r="E1352" s="5" t="s">
        <v>410</v>
      </c>
      <c r="F1352" s="9">
        <v>87</v>
      </c>
      <c r="G1352" s="9">
        <v>1005</v>
      </c>
      <c r="H1352" s="5" t="s">
        <v>21</v>
      </c>
      <c r="I1352" s="5" t="s">
        <v>3191</v>
      </c>
      <c r="J1352" s="12" t="str">
        <f>HYPERLINK("https://www.boe.es/gazeta/dias/1800/10/28/pdfs/GMD-1800-87.pdf#page=3","Abrir facsímil")</f>
        <v>Abrir facsímil</v>
      </c>
      <c r="K1352" s="15" t="s">
        <v>23</v>
      </c>
    </row>
    <row r="1353" spans="1:11" ht="42" customHeight="1">
      <c r="A1353" s="4" t="s">
        <v>3192</v>
      </c>
      <c r="B1353" s="5" t="s">
        <v>3192</v>
      </c>
      <c r="C1353" s="5" t="s">
        <v>171</v>
      </c>
      <c r="D1353" s="5" t="s">
        <v>172</v>
      </c>
      <c r="E1353" s="5" t="s">
        <v>90</v>
      </c>
      <c r="F1353" s="9">
        <v>58</v>
      </c>
      <c r="G1353" s="9">
        <v>667</v>
      </c>
      <c r="H1353" s="5" t="s">
        <v>21</v>
      </c>
      <c r="I1353" s="5" t="s">
        <v>3193</v>
      </c>
      <c r="J1353" s="12" t="str">
        <f>HYPERLINK("https://www.boe.es/gazeta/dias/1800/07/22/pdfs/GMD-C-1800-58.pdf#page=3","Abrir facsímil")</f>
        <v>Abrir facsímil</v>
      </c>
      <c r="K1353" s="15" t="s">
        <v>23</v>
      </c>
    </row>
    <row r="1354" spans="1:11" ht="42" customHeight="1">
      <c r="A1354" s="4" t="s">
        <v>3194</v>
      </c>
      <c r="B1354" s="5" t="s">
        <v>3194</v>
      </c>
      <c r="C1354" s="5" t="s">
        <v>18</v>
      </c>
      <c r="D1354" s="5" t="s">
        <v>19</v>
      </c>
      <c r="E1354" s="5" t="s">
        <v>86</v>
      </c>
      <c r="F1354" s="9">
        <v>17</v>
      </c>
      <c r="G1354" s="9">
        <v>159</v>
      </c>
      <c r="H1354" s="5" t="s">
        <v>21</v>
      </c>
      <c r="I1354" s="5" t="s">
        <v>3195</v>
      </c>
      <c r="J1354" s="12" t="str">
        <f>HYPERLINK("https://www.boe.es/gazeta/dias/1800/02/28/pdfs/GMD-1800-17.pdf#page=7","Abrir facsímil")</f>
        <v>Abrir facsímil</v>
      </c>
      <c r="K1354" s="15" t="s">
        <v>23</v>
      </c>
    </row>
    <row r="1355" spans="1:11" ht="42" customHeight="1">
      <c r="A1355" s="4" t="s">
        <v>3194</v>
      </c>
      <c r="B1355" s="5" t="s">
        <v>3194</v>
      </c>
      <c r="C1355" s="5" t="s">
        <v>41</v>
      </c>
      <c r="D1355" s="5" t="s">
        <v>42</v>
      </c>
      <c r="E1355" s="5" t="s">
        <v>31</v>
      </c>
      <c r="F1355" s="9">
        <v>20</v>
      </c>
      <c r="G1355" s="9">
        <v>189</v>
      </c>
      <c r="H1355" s="5" t="s">
        <v>21</v>
      </c>
      <c r="I1355" s="5" t="s">
        <v>3196</v>
      </c>
      <c r="J1355" s="12" t="str">
        <f>HYPERLINK("https://www.boe.es/gazeta/dias/1800/03/11/pdfs/GMD-1800-20.pdf#page=5","Abrir facsímil")</f>
        <v>Abrir facsímil</v>
      </c>
      <c r="K1355" s="15" t="s">
        <v>23</v>
      </c>
    </row>
    <row r="1356" spans="1:11" ht="42" customHeight="1">
      <c r="A1356" s="4" t="s">
        <v>3197</v>
      </c>
      <c r="B1356" s="5" t="s">
        <v>3198</v>
      </c>
      <c r="C1356" s="5" t="s">
        <v>18</v>
      </c>
      <c r="D1356" s="5" t="s">
        <v>19</v>
      </c>
      <c r="E1356" s="5" t="s">
        <v>194</v>
      </c>
      <c r="F1356" s="9">
        <v>48</v>
      </c>
      <c r="G1356" s="9">
        <v>519</v>
      </c>
      <c r="H1356" s="5" t="s">
        <v>21</v>
      </c>
      <c r="I1356" s="5" t="s">
        <v>3199</v>
      </c>
      <c r="J1356" s="12" t="str">
        <f>HYPERLINK("https://www.boe.es/gazeta/dias/1800/06/17/pdfs/GMD-1800-48.pdf#page=11","Abrir facsímil")</f>
        <v>Abrir facsímil</v>
      </c>
      <c r="K1356" s="15" t="s">
        <v>23</v>
      </c>
    </row>
    <row r="1357" spans="1:11" ht="42" customHeight="1">
      <c r="A1357" s="4" t="s">
        <v>3200</v>
      </c>
      <c r="B1357" s="5" t="s">
        <v>3201</v>
      </c>
      <c r="C1357" s="5" t="s">
        <v>25</v>
      </c>
      <c r="D1357" s="5" t="s">
        <v>26</v>
      </c>
      <c r="E1357" s="5" t="s">
        <v>184</v>
      </c>
      <c r="F1357" s="9">
        <v>82</v>
      </c>
      <c r="G1357" s="9">
        <v>949</v>
      </c>
      <c r="H1357" s="5" t="s">
        <v>21</v>
      </c>
      <c r="I1357" s="5" t="s">
        <v>3202</v>
      </c>
      <c r="J1357" s="12" t="str">
        <f>HYPERLINK("https://www.boe.es/gazeta/dias/1800/10/10/pdfs/GMD-1800-82.pdf#page=7","Abrir facsímil")</f>
        <v>Abrir facsímil</v>
      </c>
      <c r="K1357" s="15" t="s">
        <v>23</v>
      </c>
    </row>
    <row r="1358" spans="1:11" ht="42" customHeight="1">
      <c r="A1358" s="4" t="s">
        <v>3203</v>
      </c>
      <c r="B1358" s="5" t="s">
        <v>3203</v>
      </c>
      <c r="C1358" s="5" t="s">
        <v>18</v>
      </c>
      <c r="D1358" s="5" t="s">
        <v>19</v>
      </c>
      <c r="E1358" s="5" t="s">
        <v>275</v>
      </c>
      <c r="F1358" s="9">
        <v>60</v>
      </c>
      <c r="G1358" s="9">
        <v>688</v>
      </c>
      <c r="H1358" s="5" t="s">
        <v>21</v>
      </c>
      <c r="I1358" s="5" t="s">
        <v>3204</v>
      </c>
      <c r="J1358" s="12" t="str">
        <f>HYPERLINK("https://www.boe.es/gazeta/dias/1800/07/29/pdfs/GMD-1800-60.pdf#page=8","Abrir facsímil")</f>
        <v>Abrir facsímil</v>
      </c>
      <c r="K1358" s="15" t="s">
        <v>23</v>
      </c>
    </row>
    <row r="1359" spans="1:11" ht="42" customHeight="1">
      <c r="A1359" s="4" t="s">
        <v>3205</v>
      </c>
      <c r="B1359" s="5" t="s">
        <v>3206</v>
      </c>
      <c r="C1359" s="5" t="s">
        <v>54</v>
      </c>
      <c r="D1359" s="5" t="s">
        <v>55</v>
      </c>
      <c r="E1359" s="5" t="s">
        <v>184</v>
      </c>
      <c r="F1359" s="9">
        <v>82</v>
      </c>
      <c r="G1359" s="9">
        <v>953</v>
      </c>
      <c r="H1359" s="5" t="s">
        <v>21</v>
      </c>
      <c r="I1359" s="5" t="s">
        <v>3207</v>
      </c>
      <c r="J1359" s="12" t="str">
        <f>HYPERLINK("https://www.boe.es/gazeta/dias/1800/10/10/pdfs/GMD-1800-82.pdf#page=11","Abrir facsímil")</f>
        <v>Abrir facsímil</v>
      </c>
      <c r="K1359" s="15" t="s">
        <v>23</v>
      </c>
    </row>
    <row r="1360" spans="1:11" ht="42" customHeight="1">
      <c r="A1360" s="4" t="s">
        <v>3208</v>
      </c>
      <c r="B1360" s="5" t="s">
        <v>3209</v>
      </c>
      <c r="C1360" s="5" t="s">
        <v>41</v>
      </c>
      <c r="D1360" s="5" t="s">
        <v>42</v>
      </c>
      <c r="E1360" s="5" t="s">
        <v>465</v>
      </c>
      <c r="F1360" s="9">
        <v>49</v>
      </c>
      <c r="G1360" s="9">
        <v>527</v>
      </c>
      <c r="H1360" s="5" t="s">
        <v>21</v>
      </c>
      <c r="I1360" s="5" t="s">
        <v>3210</v>
      </c>
      <c r="J1360" s="12" t="str">
        <f>HYPERLINK("https://www.boe.es/gazeta/dias/1800/06/20/pdfs/GMD-1800-49.pdf#page=3","Abrir facsímil")</f>
        <v>Abrir facsímil</v>
      </c>
      <c r="K1360" s="15" t="s">
        <v>23</v>
      </c>
    </row>
    <row r="1361" spans="1:11" ht="42" customHeight="1">
      <c r="A1361" s="4" t="s">
        <v>3211</v>
      </c>
      <c r="B1361" s="5" t="s">
        <v>3212</v>
      </c>
      <c r="C1361" s="5" t="s">
        <v>18</v>
      </c>
      <c r="D1361" s="5" t="s">
        <v>19</v>
      </c>
      <c r="E1361" s="5" t="s">
        <v>79</v>
      </c>
      <c r="F1361" s="9">
        <v>7</v>
      </c>
      <c r="G1361" s="9">
        <v>66</v>
      </c>
      <c r="H1361" s="5" t="s">
        <v>21</v>
      </c>
      <c r="I1361" s="5" t="s">
        <v>3213</v>
      </c>
      <c r="J1361" s="12" t="str">
        <f>HYPERLINK("https://www.boe.es/gazeta/dias/1800/01/24/pdfs/GMD-1800-7.pdf#page=6","Abrir facsímil")</f>
        <v>Abrir facsímil</v>
      </c>
      <c r="K1361" s="15" t="s">
        <v>23</v>
      </c>
    </row>
    <row r="1362" spans="1:11" ht="42" customHeight="1">
      <c r="A1362" s="4" t="s">
        <v>3211</v>
      </c>
      <c r="B1362" s="5" t="s">
        <v>3212</v>
      </c>
      <c r="C1362" s="5" t="s">
        <v>18</v>
      </c>
      <c r="D1362" s="5" t="s">
        <v>19</v>
      </c>
      <c r="E1362" s="5" t="s">
        <v>86</v>
      </c>
      <c r="F1362" s="9">
        <v>17</v>
      </c>
      <c r="G1362" s="9">
        <v>162</v>
      </c>
      <c r="H1362" s="5" t="s">
        <v>21</v>
      </c>
      <c r="I1362" s="5" t="s">
        <v>3214</v>
      </c>
      <c r="J1362" s="12" t="str">
        <f>HYPERLINK("https://www.boe.es/gazeta/dias/1800/02/28/pdfs/GMD-1800-17.pdf#page=10","Abrir facsímil")</f>
        <v>Abrir facsímil</v>
      </c>
      <c r="K1362" s="15" t="s">
        <v>23</v>
      </c>
    </row>
    <row r="1363" spans="1:11" ht="42" customHeight="1">
      <c r="A1363" s="4" t="s">
        <v>3215</v>
      </c>
      <c r="B1363" s="5" t="s">
        <v>3216</v>
      </c>
      <c r="C1363" s="5" t="s">
        <v>18</v>
      </c>
      <c r="D1363" s="5" t="s">
        <v>19</v>
      </c>
      <c r="E1363" s="5" t="s">
        <v>105</v>
      </c>
      <c r="F1363" s="9">
        <v>28</v>
      </c>
      <c r="G1363" s="9">
        <v>290</v>
      </c>
      <c r="H1363" s="5" t="s">
        <v>21</v>
      </c>
      <c r="I1363" s="5" t="s">
        <v>3217</v>
      </c>
      <c r="J1363" s="12" t="str">
        <f>HYPERLINK("https://www.boe.es/gazeta/dias/1800/04/08/pdfs/GMD-1800-28.pdf#page=6","Abrir facsímil")</f>
        <v>Abrir facsímil</v>
      </c>
      <c r="K1363" s="15" t="s">
        <v>23</v>
      </c>
    </row>
    <row r="1364" spans="1:11" ht="42" customHeight="1">
      <c r="A1364" s="4" t="s">
        <v>3218</v>
      </c>
      <c r="B1364" s="5" t="s">
        <v>3219</v>
      </c>
      <c r="C1364" s="5" t="s">
        <v>18</v>
      </c>
      <c r="D1364" s="5" t="s">
        <v>19</v>
      </c>
      <c r="E1364" s="5" t="s">
        <v>203</v>
      </c>
      <c r="F1364" s="9">
        <v>94</v>
      </c>
      <c r="G1364" s="9">
        <v>1081</v>
      </c>
      <c r="H1364" s="5" t="s">
        <v>21</v>
      </c>
      <c r="I1364" s="5" t="s">
        <v>3220</v>
      </c>
      <c r="J1364" s="12" t="str">
        <f>HYPERLINK("https://www.boe.es/gazeta/dias/1800/11/21/pdfs/GMD-1800-94.pdf#page=11","Abrir facsímil")</f>
        <v>Abrir facsímil</v>
      </c>
      <c r="K1364" s="15" t="s">
        <v>23</v>
      </c>
    </row>
    <row r="1365" spans="1:11" ht="42" customHeight="1">
      <c r="A1365" s="4" t="s">
        <v>3221</v>
      </c>
      <c r="B1365" s="5" t="s">
        <v>3222</v>
      </c>
      <c r="C1365" s="5" t="s">
        <v>54</v>
      </c>
      <c r="D1365" s="5" t="s">
        <v>55</v>
      </c>
      <c r="E1365" s="5" t="s">
        <v>218</v>
      </c>
      <c r="F1365" s="9">
        <v>5</v>
      </c>
      <c r="G1365" s="9">
        <v>48</v>
      </c>
      <c r="H1365" s="5" t="s">
        <v>21</v>
      </c>
      <c r="I1365" s="5" t="s">
        <v>3223</v>
      </c>
      <c r="J1365" s="12" t="str">
        <f>HYPERLINK("https://www.boe.es/gazeta/dias/1800/01/17/pdfs/GMD-1800-5.pdf#page=8","Abrir facsímil")</f>
        <v>Abrir facsímil</v>
      </c>
      <c r="K1365" s="15" t="s">
        <v>23</v>
      </c>
    </row>
    <row r="1366" spans="1:11" ht="42" customHeight="1">
      <c r="A1366" s="4" t="s">
        <v>3224</v>
      </c>
      <c r="B1366" s="5" t="s">
        <v>3225</v>
      </c>
      <c r="C1366" s="5" t="s">
        <v>18</v>
      </c>
      <c r="D1366" s="5" t="s">
        <v>19</v>
      </c>
      <c r="E1366" s="5" t="s">
        <v>176</v>
      </c>
      <c r="F1366" s="9">
        <v>88</v>
      </c>
      <c r="G1366" s="9">
        <v>1031</v>
      </c>
      <c r="H1366" s="5" t="s">
        <v>21</v>
      </c>
      <c r="I1366" s="5" t="s">
        <v>3226</v>
      </c>
      <c r="J1366" s="12" t="str">
        <f>HYPERLINK("https://www.boe.es/gazeta/dias/1800/10/31/pdfs/GMD-1800-88.pdf#page=13","Abrir facsímil")</f>
        <v>Abrir facsímil</v>
      </c>
      <c r="K1366" s="15" t="s">
        <v>23</v>
      </c>
    </row>
    <row r="1367" spans="1:11" ht="42" customHeight="1">
      <c r="A1367" s="4" t="s">
        <v>3227</v>
      </c>
      <c r="B1367" s="5" t="s">
        <v>3228</v>
      </c>
      <c r="C1367" s="5" t="s">
        <v>18</v>
      </c>
      <c r="D1367" s="5" t="s">
        <v>19</v>
      </c>
      <c r="E1367" s="5" t="s">
        <v>90</v>
      </c>
      <c r="F1367" s="9">
        <v>58</v>
      </c>
      <c r="G1367" s="9">
        <v>662</v>
      </c>
      <c r="H1367" s="5" t="s">
        <v>21</v>
      </c>
      <c r="I1367" s="5" t="s">
        <v>3229</v>
      </c>
      <c r="J1367" s="12" t="str">
        <f>HYPERLINK("https://www.boe.es/gazeta/dias/1800/07/22/pdfs/GMD-1800-58.pdf#page=10","Abrir facsímil")</f>
        <v>Abrir facsímil</v>
      </c>
      <c r="K1367" s="15" t="s">
        <v>23</v>
      </c>
    </row>
    <row r="1368" spans="1:11" ht="42" customHeight="1">
      <c r="A1368" s="4" t="s">
        <v>3230</v>
      </c>
      <c r="B1368" s="5" t="s">
        <v>3231</v>
      </c>
      <c r="C1368" s="5" t="s">
        <v>18</v>
      </c>
      <c r="D1368" s="5" t="s">
        <v>19</v>
      </c>
      <c r="E1368" s="5" t="s">
        <v>673</v>
      </c>
      <c r="F1368" s="9">
        <v>89</v>
      </c>
      <c r="G1368" s="9">
        <v>1042</v>
      </c>
      <c r="H1368" s="5" t="s">
        <v>21</v>
      </c>
      <c r="I1368" s="5" t="s">
        <v>3232</v>
      </c>
      <c r="J1368" s="12" t="str">
        <f>HYPERLINK("https://www.boe.es/gazeta/dias/1800/11/04/pdfs/GMD-1800-89.pdf#page=8","Abrir facsímil")</f>
        <v>Abrir facsímil</v>
      </c>
      <c r="K1368" s="15" t="s">
        <v>23</v>
      </c>
    </row>
    <row r="1369" spans="1:11" ht="42" customHeight="1">
      <c r="A1369" s="4" t="s">
        <v>3233</v>
      </c>
      <c r="B1369" s="5" t="s">
        <v>3234</v>
      </c>
      <c r="C1369" s="5" t="s">
        <v>18</v>
      </c>
      <c r="D1369" s="5" t="s">
        <v>19</v>
      </c>
      <c r="E1369" s="5" t="s">
        <v>1213</v>
      </c>
      <c r="F1369" s="9">
        <v>4</v>
      </c>
      <c r="G1369" s="9">
        <v>38</v>
      </c>
      <c r="H1369" s="5" t="s">
        <v>21</v>
      </c>
      <c r="I1369" s="5" t="s">
        <v>3235</v>
      </c>
      <c r="J1369" s="12" t="str">
        <f>HYPERLINK("https://www.boe.es/gazeta/dias/1800/01/14/pdfs/GMD-1800-4.pdf#page=10","Abrir facsímil")</f>
        <v>Abrir facsímil</v>
      </c>
      <c r="K1369" s="15" t="s">
        <v>23</v>
      </c>
    </row>
    <row r="1370" spans="1:11" ht="42" customHeight="1">
      <c r="A1370" s="4" t="s">
        <v>3233</v>
      </c>
      <c r="B1370" s="5" t="s">
        <v>3234</v>
      </c>
      <c r="C1370" s="5" t="s">
        <v>41</v>
      </c>
      <c r="D1370" s="5" t="s">
        <v>42</v>
      </c>
      <c r="E1370" s="5" t="s">
        <v>478</v>
      </c>
      <c r="F1370" s="9">
        <v>34</v>
      </c>
      <c r="G1370" s="9">
        <v>345</v>
      </c>
      <c r="H1370" s="5" t="s">
        <v>21</v>
      </c>
      <c r="I1370" s="5" t="s">
        <v>3236</v>
      </c>
      <c r="J1370" s="12" t="str">
        <f>HYPERLINK("https://www.boe.es/gazeta/dias/1800/04/29/pdfs/GMD-1800-34.pdf#page=9","Abrir facsímil")</f>
        <v>Abrir facsímil</v>
      </c>
      <c r="K1370" s="15" t="s">
        <v>23</v>
      </c>
    </row>
    <row r="1371" spans="1:11" ht="42" customHeight="1">
      <c r="A1371" s="4" t="s">
        <v>3233</v>
      </c>
      <c r="B1371" s="5" t="s">
        <v>3234</v>
      </c>
      <c r="C1371" s="5" t="s">
        <v>207</v>
      </c>
      <c r="D1371" s="5" t="s">
        <v>55</v>
      </c>
      <c r="E1371" s="5" t="s">
        <v>478</v>
      </c>
      <c r="F1371" s="9">
        <v>34</v>
      </c>
      <c r="G1371" s="9">
        <v>346</v>
      </c>
      <c r="H1371" s="5" t="s">
        <v>21</v>
      </c>
      <c r="I1371" s="5" t="s">
        <v>3237</v>
      </c>
      <c r="J1371" s="12" t="str">
        <f>HYPERLINK("https://www.boe.es/gazeta/dias/1800/04/29/pdfs/GMD-1800-34.pdf#page=10","Abrir facsímil")</f>
        <v>Abrir facsímil</v>
      </c>
      <c r="K1371" s="15" t="s">
        <v>23</v>
      </c>
    </row>
    <row r="1372" spans="1:11" ht="42" customHeight="1">
      <c r="A1372" s="4" t="s">
        <v>3233</v>
      </c>
      <c r="B1372" s="5" t="s">
        <v>3234</v>
      </c>
      <c r="C1372" s="5" t="s">
        <v>18</v>
      </c>
      <c r="D1372" s="5" t="s">
        <v>19</v>
      </c>
      <c r="E1372" s="5" t="s">
        <v>465</v>
      </c>
      <c r="F1372" s="9">
        <v>49</v>
      </c>
      <c r="G1372" s="9">
        <v>532</v>
      </c>
      <c r="H1372" s="5" t="s">
        <v>21</v>
      </c>
      <c r="I1372" s="5" t="s">
        <v>3238</v>
      </c>
      <c r="J1372" s="12" t="str">
        <f>HYPERLINK("https://www.boe.es/gazeta/dias/1800/06/20/pdfs/GMD-1800-49.pdf#page=8","Abrir facsímil")</f>
        <v>Abrir facsímil</v>
      </c>
      <c r="K1372" s="15" t="s">
        <v>23</v>
      </c>
    </row>
    <row r="1373" spans="1:11" ht="42" customHeight="1">
      <c r="A1373" s="4" t="s">
        <v>3233</v>
      </c>
      <c r="B1373" s="5" t="s">
        <v>3234</v>
      </c>
      <c r="C1373" s="5" t="s">
        <v>25</v>
      </c>
      <c r="D1373" s="5" t="s">
        <v>26</v>
      </c>
      <c r="E1373" s="5" t="s">
        <v>828</v>
      </c>
      <c r="F1373" s="9">
        <v>53</v>
      </c>
      <c r="G1373" s="9">
        <v>591</v>
      </c>
      <c r="H1373" s="5" t="s">
        <v>21</v>
      </c>
      <c r="I1373" s="5" t="s">
        <v>3239</v>
      </c>
      <c r="J1373" s="12" t="str">
        <f>HYPERLINK("https://www.boe.es/gazeta/dias/1800/07/04/pdfs/GMD-1800-53.pdf#page=11","Abrir facsímil")</f>
        <v>Abrir facsímil</v>
      </c>
      <c r="K1373" s="15" t="s">
        <v>23</v>
      </c>
    </row>
    <row r="1374" spans="1:11" ht="42" customHeight="1">
      <c r="A1374" s="4" t="s">
        <v>3240</v>
      </c>
      <c r="B1374" s="5" t="s">
        <v>3241</v>
      </c>
      <c r="C1374" s="5" t="s">
        <v>18</v>
      </c>
      <c r="D1374" s="5" t="s">
        <v>19</v>
      </c>
      <c r="E1374" s="5" t="s">
        <v>176</v>
      </c>
      <c r="F1374" s="9">
        <v>88</v>
      </c>
      <c r="G1374" s="9">
        <v>1031</v>
      </c>
      <c r="H1374" s="5" t="s">
        <v>21</v>
      </c>
      <c r="I1374" s="5" t="s">
        <v>3242</v>
      </c>
      <c r="J1374" s="12" t="str">
        <f>HYPERLINK("https://www.boe.es/gazeta/dias/1800/10/31/pdfs/GMD-1800-88.pdf#page=13","Abrir facsímil")</f>
        <v>Abrir facsímil</v>
      </c>
      <c r="K1374" s="15" t="s">
        <v>23</v>
      </c>
    </row>
    <row r="1375" spans="1:11" ht="42" customHeight="1">
      <c r="A1375" s="4" t="s">
        <v>3243</v>
      </c>
      <c r="B1375" s="5" t="s">
        <v>3244</v>
      </c>
      <c r="C1375" s="5" t="s">
        <v>207</v>
      </c>
      <c r="D1375" s="5" t="s">
        <v>55</v>
      </c>
      <c r="E1375" s="5" t="s">
        <v>283</v>
      </c>
      <c r="F1375" s="9">
        <v>68</v>
      </c>
      <c r="G1375" s="9">
        <v>764</v>
      </c>
      <c r="H1375" s="5" t="s">
        <v>21</v>
      </c>
      <c r="I1375" s="5" t="s">
        <v>3245</v>
      </c>
      <c r="J1375" s="12" t="str">
        <f>HYPERLINK("https://www.boe.es/gazeta/dias/1800/08/26/pdfs/GMD-1800-68.pdf#page=8","Abrir facsímil")</f>
        <v>Abrir facsímil</v>
      </c>
      <c r="K1375" s="15" t="s">
        <v>23</v>
      </c>
    </row>
    <row r="1376" spans="1:11" ht="42" customHeight="1">
      <c r="A1376" s="4" t="s">
        <v>3243</v>
      </c>
      <c r="B1376" s="5" t="s">
        <v>3244</v>
      </c>
      <c r="C1376" s="5" t="s">
        <v>18</v>
      </c>
      <c r="D1376" s="5" t="s">
        <v>19</v>
      </c>
      <c r="E1376" s="5" t="s">
        <v>576</v>
      </c>
      <c r="F1376" s="9">
        <v>91</v>
      </c>
      <c r="G1376" s="9">
        <v>1067</v>
      </c>
      <c r="H1376" s="5" t="s">
        <v>21</v>
      </c>
      <c r="I1376" s="5" t="s">
        <v>3246</v>
      </c>
      <c r="J1376" s="12" t="str">
        <f>HYPERLINK("https://www.boe.es/gazeta/dias/1800/11/11/pdfs/GMD-1800-91.pdf#page=9","Abrir facsímil")</f>
        <v>Abrir facsímil</v>
      </c>
      <c r="K1376" s="15" t="s">
        <v>23</v>
      </c>
    </row>
    <row r="1377" spans="1:11" ht="42" customHeight="1">
      <c r="A1377" s="4" t="s">
        <v>3247</v>
      </c>
      <c r="B1377" s="5" t="s">
        <v>3248</v>
      </c>
      <c r="C1377" s="5" t="s">
        <v>18</v>
      </c>
      <c r="D1377" s="5" t="s">
        <v>19</v>
      </c>
      <c r="E1377" s="5" t="s">
        <v>299</v>
      </c>
      <c r="F1377" s="9">
        <v>40</v>
      </c>
      <c r="G1377" s="9">
        <v>412</v>
      </c>
      <c r="H1377" s="5" t="s">
        <v>21</v>
      </c>
      <c r="I1377" s="5" t="s">
        <v>3249</v>
      </c>
      <c r="J1377" s="12" t="str">
        <f>HYPERLINK("https://www.boe.es/gazeta/dias/1800/05/20/pdfs/GMD-1800-40.pdf#page=8","Abrir facsímil")</f>
        <v>Abrir facsímil</v>
      </c>
      <c r="K1377" s="15" t="s">
        <v>23</v>
      </c>
    </row>
    <row r="1378" spans="1:11" ht="42" customHeight="1">
      <c r="A1378" s="4" t="s">
        <v>3250</v>
      </c>
      <c r="B1378" s="5" t="s">
        <v>3251</v>
      </c>
      <c r="C1378" s="5" t="s">
        <v>25</v>
      </c>
      <c r="D1378" s="5" t="s">
        <v>26</v>
      </c>
      <c r="E1378" s="5" t="s">
        <v>203</v>
      </c>
      <c r="F1378" s="9">
        <v>94</v>
      </c>
      <c r="G1378" s="9">
        <v>1078</v>
      </c>
      <c r="H1378" s="5" t="s">
        <v>21</v>
      </c>
      <c r="I1378" s="5" t="s">
        <v>3252</v>
      </c>
      <c r="J1378" s="12" t="str">
        <f>HYPERLINK("https://www.boe.es/gazeta/dias/1800/11/21/pdfs/GMD-1800-94.pdf#page=8","Abrir facsímil")</f>
        <v>Abrir facsímil</v>
      </c>
      <c r="K1378" s="15" t="s">
        <v>23</v>
      </c>
    </row>
    <row r="1379" spans="1:11" ht="42" customHeight="1">
      <c r="A1379" s="4" t="s">
        <v>3253</v>
      </c>
      <c r="B1379" s="5" t="s">
        <v>3254</v>
      </c>
      <c r="C1379" s="5" t="s">
        <v>18</v>
      </c>
      <c r="D1379" s="5" t="s">
        <v>19</v>
      </c>
      <c r="E1379" s="5" t="s">
        <v>56</v>
      </c>
      <c r="F1379" s="9">
        <v>90</v>
      </c>
      <c r="G1379" s="9">
        <v>1055</v>
      </c>
      <c r="H1379" s="5" t="s">
        <v>21</v>
      </c>
      <c r="I1379" s="5" t="s">
        <v>3255</v>
      </c>
      <c r="J1379" s="12" t="str">
        <f>HYPERLINK("https://www.boe.es/gazeta/dias/1800/11/07/pdfs/GMD-1800-90.pdf#page=9","Abrir facsímil")</f>
        <v>Abrir facsímil</v>
      </c>
      <c r="K1379" s="15" t="s">
        <v>23</v>
      </c>
    </row>
    <row r="1380" spans="1:11" ht="42" customHeight="1">
      <c r="A1380" s="4" t="s">
        <v>3256</v>
      </c>
      <c r="B1380" s="5" t="s">
        <v>3257</v>
      </c>
      <c r="C1380" s="5" t="s">
        <v>18</v>
      </c>
      <c r="D1380" s="5" t="s">
        <v>19</v>
      </c>
      <c r="E1380" s="5" t="s">
        <v>135</v>
      </c>
      <c r="F1380" s="9">
        <v>73</v>
      </c>
      <c r="G1380" s="9">
        <v>814</v>
      </c>
      <c r="H1380" s="5" t="s">
        <v>21</v>
      </c>
      <c r="I1380" s="5" t="s">
        <v>3258</v>
      </c>
      <c r="J1380" s="12" t="str">
        <f>HYPERLINK("https://www.boe.es/gazeta/dias/1800/09/09/pdfs/GMD-1800-73.pdf#page=8","Abrir facsímil")</f>
        <v>Abrir facsímil</v>
      </c>
      <c r="K1380" s="15" t="s">
        <v>23</v>
      </c>
    </row>
    <row r="1381" spans="1:11" ht="42" customHeight="1">
      <c r="A1381" s="4" t="s">
        <v>3259</v>
      </c>
      <c r="B1381" s="5" t="s">
        <v>3260</v>
      </c>
      <c r="C1381" s="5" t="s">
        <v>18</v>
      </c>
      <c r="D1381" s="5" t="s">
        <v>19</v>
      </c>
      <c r="E1381" s="5" t="s">
        <v>314</v>
      </c>
      <c r="F1381" s="9">
        <v>74</v>
      </c>
      <c r="G1381" s="9">
        <v>831</v>
      </c>
      <c r="H1381" s="5" t="s">
        <v>21</v>
      </c>
      <c r="I1381" s="5" t="s">
        <v>3261</v>
      </c>
      <c r="J1381" s="12" t="str">
        <f>HYPERLINK("https://www.boe.es/gazeta/dias/1800/09/12/pdfs/GMD-1800-74.pdf#page=9","Abrir facsímil")</f>
        <v>Abrir facsímil</v>
      </c>
      <c r="K1381" s="15" t="s">
        <v>23</v>
      </c>
    </row>
    <row r="1382" spans="1:11" ht="42" customHeight="1">
      <c r="A1382" s="4" t="s">
        <v>3262</v>
      </c>
      <c r="B1382" s="5" t="s">
        <v>3263</v>
      </c>
      <c r="C1382" s="5" t="s">
        <v>18</v>
      </c>
      <c r="D1382" s="5" t="s">
        <v>19</v>
      </c>
      <c r="E1382" s="5" t="s">
        <v>35</v>
      </c>
      <c r="F1382" s="9">
        <v>21</v>
      </c>
      <c r="G1382" s="9">
        <v>205</v>
      </c>
      <c r="H1382" s="5" t="s">
        <v>21</v>
      </c>
      <c r="I1382" s="5" t="s">
        <v>3264</v>
      </c>
      <c r="J1382" s="12" t="str">
        <f>HYPERLINK("https://www.boe.es/gazeta/dias/1800/03/14/pdfs/GMD-1800-21.pdf#page=9","Abrir facsímil")</f>
        <v>Abrir facsímil</v>
      </c>
      <c r="K1382" s="15" t="s">
        <v>23</v>
      </c>
    </row>
    <row r="1383" spans="1:11" ht="42" customHeight="1">
      <c r="A1383" s="4" t="s">
        <v>3265</v>
      </c>
      <c r="B1383" s="5" t="s">
        <v>3266</v>
      </c>
      <c r="C1383" s="5" t="s">
        <v>41</v>
      </c>
      <c r="D1383" s="5" t="s">
        <v>42</v>
      </c>
      <c r="E1383" s="5" t="s">
        <v>90</v>
      </c>
      <c r="F1383" s="9">
        <v>58</v>
      </c>
      <c r="G1383" s="9">
        <v>656</v>
      </c>
      <c r="H1383" s="5" t="s">
        <v>21</v>
      </c>
      <c r="I1383" s="5" t="s">
        <v>3267</v>
      </c>
      <c r="J1383" s="12" t="str">
        <f>HYPERLINK("https://www.boe.es/gazeta/dias/1800/07/22/pdfs/GMD-1800-58.pdf#page=4","Abrir facsímil")</f>
        <v>Abrir facsímil</v>
      </c>
      <c r="K1383" s="15" t="s">
        <v>23</v>
      </c>
    </row>
    <row r="1384" spans="1:11" ht="42" customHeight="1">
      <c r="A1384" s="4" t="s">
        <v>3268</v>
      </c>
      <c r="B1384" s="5" t="s">
        <v>3269</v>
      </c>
      <c r="C1384" s="5" t="s">
        <v>41</v>
      </c>
      <c r="D1384" s="5" t="s">
        <v>42</v>
      </c>
      <c r="E1384" s="5" t="s">
        <v>162</v>
      </c>
      <c r="F1384" s="9">
        <v>15</v>
      </c>
      <c r="G1384" s="9">
        <v>138</v>
      </c>
      <c r="H1384" s="5" t="s">
        <v>21</v>
      </c>
      <c r="I1384" s="5" t="s">
        <v>3270</v>
      </c>
      <c r="J1384" s="12" t="str">
        <f>HYPERLINK("https://www.boe.es/gazeta/dias/1800/02/21/pdfs/GMD-1800-15.pdf#page=2","Abrir facsímil")</f>
        <v>Abrir facsímil</v>
      </c>
      <c r="K1384" s="15" t="s">
        <v>23</v>
      </c>
    </row>
    <row r="1385" spans="1:11" ht="42" customHeight="1">
      <c r="A1385" s="4" t="s">
        <v>3268</v>
      </c>
      <c r="B1385" s="5" t="s">
        <v>3269</v>
      </c>
      <c r="C1385" s="5" t="s">
        <v>41</v>
      </c>
      <c r="D1385" s="5" t="s">
        <v>42</v>
      </c>
      <c r="E1385" s="5" t="s">
        <v>143</v>
      </c>
      <c r="F1385" s="9">
        <v>22</v>
      </c>
      <c r="G1385" s="9">
        <v>213</v>
      </c>
      <c r="H1385" s="5" t="s">
        <v>21</v>
      </c>
      <c r="I1385" s="5" t="s">
        <v>3271</v>
      </c>
      <c r="J1385" s="12" t="str">
        <f>HYPERLINK("https://www.boe.es/gazeta/dias/1800/03/18/pdfs/GMD-1800-22.pdf#page=5","Abrir facsímil")</f>
        <v>Abrir facsímil</v>
      </c>
      <c r="K1385" s="15" t="s">
        <v>23</v>
      </c>
    </row>
    <row r="1386" spans="1:11" ht="42" customHeight="1">
      <c r="A1386" s="4" t="s">
        <v>3268</v>
      </c>
      <c r="B1386" s="5" t="s">
        <v>3269</v>
      </c>
      <c r="C1386" s="5" t="s">
        <v>41</v>
      </c>
      <c r="D1386" s="5" t="s">
        <v>42</v>
      </c>
      <c r="E1386" s="5" t="s">
        <v>226</v>
      </c>
      <c r="F1386" s="9">
        <v>27</v>
      </c>
      <c r="G1386" s="9">
        <v>276</v>
      </c>
      <c r="H1386" s="5" t="s">
        <v>21</v>
      </c>
      <c r="I1386" s="5" t="s">
        <v>3272</v>
      </c>
      <c r="J1386" s="12" t="str">
        <f>HYPERLINK("https://www.boe.es/gazeta/dias/1800/04/04/pdfs/GMD-1800-27.pdf#page=4","Abrir facsímil")</f>
        <v>Abrir facsímil</v>
      </c>
      <c r="K1386" s="15" t="s">
        <v>23</v>
      </c>
    </row>
    <row r="1387" spans="1:11" ht="42" customHeight="1">
      <c r="A1387" s="4" t="s">
        <v>3268</v>
      </c>
      <c r="B1387" s="5" t="s">
        <v>3269</v>
      </c>
      <c r="C1387" s="5" t="s">
        <v>18</v>
      </c>
      <c r="D1387" s="5" t="s">
        <v>19</v>
      </c>
      <c r="E1387" s="5" t="s">
        <v>214</v>
      </c>
      <c r="F1387" s="9">
        <v>41</v>
      </c>
      <c r="G1387" s="9">
        <v>419</v>
      </c>
      <c r="H1387" s="5" t="s">
        <v>21</v>
      </c>
      <c r="I1387" s="5" t="s">
        <v>3273</v>
      </c>
      <c r="J1387" s="12" t="str">
        <f>HYPERLINK("https://www.boe.es/gazeta/dias/1800/05/23/pdfs/GMD-1800-41.pdf#page=3","Abrir facsímil")</f>
        <v>Abrir facsímil</v>
      </c>
      <c r="K1387" s="15" t="s">
        <v>23</v>
      </c>
    </row>
    <row r="1388" spans="1:11" ht="42" customHeight="1">
      <c r="A1388" s="4" t="s">
        <v>3268</v>
      </c>
      <c r="B1388" s="5" t="s">
        <v>3269</v>
      </c>
      <c r="C1388" s="5" t="s">
        <v>41</v>
      </c>
      <c r="D1388" s="5" t="s">
        <v>42</v>
      </c>
      <c r="E1388" s="5" t="s">
        <v>836</v>
      </c>
      <c r="F1388" s="9">
        <v>71</v>
      </c>
      <c r="G1388" s="9">
        <v>786</v>
      </c>
      <c r="H1388" s="5" t="s">
        <v>21</v>
      </c>
      <c r="I1388" s="5" t="s">
        <v>3274</v>
      </c>
      <c r="J1388" s="12" t="str">
        <f>HYPERLINK("https://www.boe.es/gazeta/dias/1800/09/02/pdfs/GMD-1800-71.pdf#page=4","Abrir facsímil")</f>
        <v>Abrir facsímil</v>
      </c>
      <c r="K1388" s="15" t="s">
        <v>23</v>
      </c>
    </row>
    <row r="1389" spans="1:11" ht="42" customHeight="1">
      <c r="A1389" s="4" t="s">
        <v>3268</v>
      </c>
      <c r="B1389" s="5" t="s">
        <v>3269</v>
      </c>
      <c r="C1389" s="5" t="s">
        <v>41</v>
      </c>
      <c r="D1389" s="5" t="s">
        <v>42</v>
      </c>
      <c r="E1389" s="5" t="s">
        <v>58</v>
      </c>
      <c r="F1389" s="9">
        <v>92</v>
      </c>
      <c r="G1389" s="9">
        <v>1048</v>
      </c>
      <c r="H1389" s="5" t="s">
        <v>21</v>
      </c>
      <c r="I1389" s="5" t="s">
        <v>3275</v>
      </c>
      <c r="J1389" s="12" t="str">
        <f>HYPERLINK("https://www.boe.es/gazeta/dias/1800/11/14/pdfs/GMD-1800-92.pdf#page=2","Abrir facsímil")</f>
        <v>Abrir facsímil</v>
      </c>
      <c r="K1389" s="15" t="s">
        <v>23</v>
      </c>
    </row>
    <row r="1390" spans="1:11" ht="42" customHeight="1">
      <c r="A1390" s="4" t="s">
        <v>3268</v>
      </c>
      <c r="B1390" s="5" t="s">
        <v>3269</v>
      </c>
      <c r="C1390" s="5" t="s">
        <v>54</v>
      </c>
      <c r="D1390" s="5" t="s">
        <v>55</v>
      </c>
      <c r="E1390" s="5" t="s">
        <v>615</v>
      </c>
      <c r="F1390" s="9">
        <v>95</v>
      </c>
      <c r="G1390" s="9">
        <v>1085</v>
      </c>
      <c r="H1390" s="5" t="s">
        <v>21</v>
      </c>
      <c r="I1390" s="5" t="s">
        <v>3276</v>
      </c>
      <c r="J1390" s="12" t="str">
        <f>HYPERLINK("https://www.boe.es/gazeta/dias/1800/11/25/pdfs/GMD-1800-95.pdf#page=3","Abrir facsímil")</f>
        <v>Abrir facsímil</v>
      </c>
      <c r="K1390" s="15" t="s">
        <v>23</v>
      </c>
    </row>
    <row r="1391" spans="1:11" ht="42" customHeight="1">
      <c r="A1391" s="4" t="s">
        <v>3277</v>
      </c>
      <c r="B1391" s="5" t="s">
        <v>3277</v>
      </c>
      <c r="C1391" s="5" t="s">
        <v>207</v>
      </c>
      <c r="D1391" s="5" t="s">
        <v>55</v>
      </c>
      <c r="E1391" s="5" t="s">
        <v>105</v>
      </c>
      <c r="F1391" s="9">
        <v>28</v>
      </c>
      <c r="G1391" s="9">
        <v>287</v>
      </c>
      <c r="H1391" s="5" t="s">
        <v>21</v>
      </c>
      <c r="I1391" s="5" t="s">
        <v>3278</v>
      </c>
      <c r="J1391" s="12" t="str">
        <f>HYPERLINK("https://www.boe.es/gazeta/dias/1800/04/08/pdfs/GMD-1800-28.pdf#page=3","Abrir facsímil")</f>
        <v>Abrir facsímil</v>
      </c>
      <c r="K1391" s="15" t="s">
        <v>23</v>
      </c>
    </row>
    <row r="1392" spans="1:11" ht="42" customHeight="1">
      <c r="A1392" s="4" t="s">
        <v>3279</v>
      </c>
      <c r="B1392" s="5" t="s">
        <v>3280</v>
      </c>
      <c r="C1392" s="5" t="s">
        <v>41</v>
      </c>
      <c r="D1392" s="5" t="s">
        <v>42</v>
      </c>
      <c r="E1392" s="5" t="s">
        <v>310</v>
      </c>
      <c r="F1392" s="9">
        <v>56</v>
      </c>
      <c r="G1392" s="9">
        <v>626</v>
      </c>
      <c r="H1392" s="5" t="s">
        <v>21</v>
      </c>
      <c r="I1392" s="5" t="s">
        <v>3281</v>
      </c>
      <c r="J1392" s="12" t="str">
        <f>HYPERLINK("https://www.boe.es/gazeta/dias/1800/07/15/pdfs/GMD-1800-56.pdf#page=2","Abrir facsímil")</f>
        <v>Abrir facsímil</v>
      </c>
      <c r="K1392" s="15" t="s">
        <v>23</v>
      </c>
    </row>
    <row r="1393" spans="1:11" ht="42" customHeight="1">
      <c r="A1393" s="4" t="s">
        <v>3282</v>
      </c>
      <c r="B1393" s="5" t="s">
        <v>3283</v>
      </c>
      <c r="C1393" s="5" t="s">
        <v>18</v>
      </c>
      <c r="D1393" s="5" t="s">
        <v>19</v>
      </c>
      <c r="E1393" s="5" t="s">
        <v>56</v>
      </c>
      <c r="F1393" s="9">
        <v>90</v>
      </c>
      <c r="G1393" s="9">
        <v>1056</v>
      </c>
      <c r="H1393" s="5" t="s">
        <v>21</v>
      </c>
      <c r="I1393" s="5" t="s">
        <v>3284</v>
      </c>
      <c r="J1393" s="12" t="str">
        <f>HYPERLINK("https://www.boe.es/gazeta/dias/1800/11/07/pdfs/GMD-1800-90.pdf#page=10","Abrir facsímil")</f>
        <v>Abrir facsímil</v>
      </c>
      <c r="K1393" s="15" t="s">
        <v>23</v>
      </c>
    </row>
    <row r="1394" spans="1:11" ht="42" customHeight="1">
      <c r="A1394" s="4" t="s">
        <v>3285</v>
      </c>
      <c r="B1394" s="5" t="s">
        <v>3286</v>
      </c>
      <c r="C1394" s="5" t="s">
        <v>207</v>
      </c>
      <c r="D1394" s="5" t="s">
        <v>55</v>
      </c>
      <c r="E1394" s="5" t="s">
        <v>590</v>
      </c>
      <c r="F1394" s="9">
        <v>69</v>
      </c>
      <c r="G1394" s="9">
        <v>775</v>
      </c>
      <c r="H1394" s="5" t="s">
        <v>21</v>
      </c>
      <c r="I1394" s="5" t="s">
        <v>3287</v>
      </c>
      <c r="J1394" s="12" t="str">
        <f>HYPERLINK("https://www.boe.es/gazeta/dias/1800/08/29/pdfs/GMD-1800-69.pdf#page=7","Abrir facsímil")</f>
        <v>Abrir facsímil</v>
      </c>
      <c r="K1394" s="15" t="s">
        <v>23</v>
      </c>
    </row>
    <row r="1395" spans="1:11" ht="42" customHeight="1">
      <c r="A1395" s="4" t="s">
        <v>3288</v>
      </c>
      <c r="B1395" s="5" t="s">
        <v>3289</v>
      </c>
      <c r="C1395" s="5" t="s">
        <v>207</v>
      </c>
      <c r="D1395" s="5" t="s">
        <v>55</v>
      </c>
      <c r="E1395" s="5" t="s">
        <v>306</v>
      </c>
      <c r="F1395" s="9">
        <v>79</v>
      </c>
      <c r="G1395" s="9">
        <v>899</v>
      </c>
      <c r="H1395" s="5" t="s">
        <v>21</v>
      </c>
      <c r="I1395" s="5" t="s">
        <v>3290</v>
      </c>
      <c r="J1395" s="12" t="str">
        <f>HYPERLINK("https://www.boe.es/gazeta/dias/1800/09/30/pdfs/GMD-1800-79.pdf#page=9","Abrir facsímil")</f>
        <v>Abrir facsímil</v>
      </c>
      <c r="K1395" s="15" t="s">
        <v>23</v>
      </c>
    </row>
    <row r="1396" spans="1:11" ht="42" customHeight="1">
      <c r="A1396" s="4" t="s">
        <v>3291</v>
      </c>
      <c r="B1396" s="5" t="s">
        <v>3292</v>
      </c>
      <c r="C1396" s="5" t="s">
        <v>18</v>
      </c>
      <c r="D1396" s="5" t="s">
        <v>19</v>
      </c>
      <c r="E1396" s="5" t="s">
        <v>1213</v>
      </c>
      <c r="F1396" s="9">
        <v>4</v>
      </c>
      <c r="G1396" s="9">
        <v>36</v>
      </c>
      <c r="H1396" s="5" t="s">
        <v>21</v>
      </c>
      <c r="I1396" s="5" t="s">
        <v>3293</v>
      </c>
      <c r="J1396" s="12" t="str">
        <f>HYPERLINK("https://www.boe.es/gazeta/dias/1800/01/14/pdfs/GMD-1800-4.pdf#page=8","Abrir facsímil")</f>
        <v>Abrir facsímil</v>
      </c>
      <c r="K1396" s="15" t="s">
        <v>23</v>
      </c>
    </row>
    <row r="1397" spans="1:11" ht="42" customHeight="1">
      <c r="A1397" s="4" t="s">
        <v>3291</v>
      </c>
      <c r="B1397" s="5" t="s">
        <v>3292</v>
      </c>
      <c r="C1397" s="5" t="s">
        <v>18</v>
      </c>
      <c r="D1397" s="5" t="s">
        <v>19</v>
      </c>
      <c r="E1397" s="5" t="s">
        <v>244</v>
      </c>
      <c r="F1397" s="9">
        <v>9</v>
      </c>
      <c r="G1397" s="9">
        <v>86</v>
      </c>
      <c r="H1397" s="5" t="s">
        <v>21</v>
      </c>
      <c r="I1397" s="5" t="s">
        <v>3294</v>
      </c>
      <c r="J1397" s="12" t="str">
        <f>HYPERLINK("https://www.boe.es/gazeta/dias/1800/01/31/pdfs/GMD-1800-9.pdf#page=10","Abrir facsímil")</f>
        <v>Abrir facsímil</v>
      </c>
      <c r="K1397" s="15" t="s">
        <v>23</v>
      </c>
    </row>
    <row r="1398" spans="1:11" ht="42" customHeight="1">
      <c r="A1398" s="4" t="s">
        <v>3295</v>
      </c>
      <c r="B1398" s="5" t="s">
        <v>3296</v>
      </c>
      <c r="C1398" s="5" t="s">
        <v>18</v>
      </c>
      <c r="D1398" s="5" t="s">
        <v>19</v>
      </c>
      <c r="E1398" s="5" t="s">
        <v>135</v>
      </c>
      <c r="F1398" s="9">
        <v>73</v>
      </c>
      <c r="G1398" s="9">
        <v>815</v>
      </c>
      <c r="H1398" s="5" t="s">
        <v>21</v>
      </c>
      <c r="I1398" s="5" t="s">
        <v>3297</v>
      </c>
      <c r="J1398" s="12" t="str">
        <f>HYPERLINK("https://www.boe.es/gazeta/dias/1800/09/09/pdfs/GMD-1800-73.pdf#page=9","Abrir facsímil")</f>
        <v>Abrir facsímil</v>
      </c>
      <c r="K1398" s="15" t="s">
        <v>23</v>
      </c>
    </row>
    <row r="1399" spans="1:11" ht="42" customHeight="1">
      <c r="A1399" s="4" t="s">
        <v>3298</v>
      </c>
      <c r="B1399" s="5" t="s">
        <v>3299</v>
      </c>
      <c r="C1399" s="5" t="s">
        <v>18</v>
      </c>
      <c r="D1399" s="5" t="s">
        <v>19</v>
      </c>
      <c r="E1399" s="5" t="s">
        <v>314</v>
      </c>
      <c r="F1399" s="9">
        <v>74</v>
      </c>
      <c r="G1399" s="9">
        <v>831</v>
      </c>
      <c r="H1399" s="5" t="s">
        <v>21</v>
      </c>
      <c r="I1399" s="5" t="s">
        <v>3300</v>
      </c>
      <c r="J1399" s="12" t="str">
        <f>HYPERLINK("https://www.boe.es/gazeta/dias/1800/09/12/pdfs/GMD-1800-74.pdf#page=9","Abrir facsímil")</f>
        <v>Abrir facsímil</v>
      </c>
      <c r="K1399" s="15" t="s">
        <v>23</v>
      </c>
    </row>
    <row r="1400" spans="1:11" ht="42" customHeight="1">
      <c r="A1400" s="4" t="s">
        <v>3301</v>
      </c>
      <c r="B1400" s="5" t="s">
        <v>3302</v>
      </c>
      <c r="C1400" s="5" t="s">
        <v>18</v>
      </c>
      <c r="D1400" s="5" t="s">
        <v>19</v>
      </c>
      <c r="E1400" s="5" t="s">
        <v>461</v>
      </c>
      <c r="F1400" s="9">
        <v>18</v>
      </c>
      <c r="G1400" s="9">
        <v>170</v>
      </c>
      <c r="H1400" s="5" t="s">
        <v>21</v>
      </c>
      <c r="I1400" s="5" t="s">
        <v>3303</v>
      </c>
      <c r="J1400" s="12" t="str">
        <f>HYPERLINK("https://www.boe.es/datos/pdfs/BOE//1800/018/C00173-00176.pdf#page=6","Abrir facsímil")</f>
        <v>Abrir facsímil</v>
      </c>
      <c r="K1400" s="15" t="s">
        <v>23</v>
      </c>
    </row>
    <row r="1401" spans="1:11" ht="42" customHeight="1">
      <c r="A1401" s="4" t="s">
        <v>3304</v>
      </c>
      <c r="B1401" s="5" t="s">
        <v>3305</v>
      </c>
      <c r="C1401" s="5" t="s">
        <v>18</v>
      </c>
      <c r="D1401" s="5" t="s">
        <v>19</v>
      </c>
      <c r="E1401" s="5" t="s">
        <v>314</v>
      </c>
      <c r="F1401" s="9">
        <v>74</v>
      </c>
      <c r="G1401" s="9">
        <v>831</v>
      </c>
      <c r="H1401" s="5" t="s">
        <v>21</v>
      </c>
      <c r="I1401" s="5" t="s">
        <v>3306</v>
      </c>
      <c r="J1401" s="12" t="str">
        <f>HYPERLINK("https://www.boe.es/gazeta/dias/1800/09/12/pdfs/GMD-1800-74.pdf#page=9","Abrir facsímil")</f>
        <v>Abrir facsímil</v>
      </c>
      <c r="K1401" s="15" t="s">
        <v>23</v>
      </c>
    </row>
    <row r="1402" spans="1:11" ht="42" customHeight="1">
      <c r="A1402" s="4" t="s">
        <v>3307</v>
      </c>
      <c r="B1402" s="5" t="s">
        <v>3307</v>
      </c>
      <c r="C1402" s="5" t="s">
        <v>41</v>
      </c>
      <c r="D1402" s="5" t="s">
        <v>42</v>
      </c>
      <c r="E1402" s="5" t="s">
        <v>2338</v>
      </c>
      <c r="F1402" s="9">
        <v>42</v>
      </c>
      <c r="G1402" s="9">
        <v>434</v>
      </c>
      <c r="H1402" s="5" t="s">
        <v>21</v>
      </c>
      <c r="I1402" s="5" t="s">
        <v>3308</v>
      </c>
      <c r="J1402" s="12" t="str">
        <f>HYPERLINK("https://www.boe.es/gazeta/dias/1800/05/27/pdfs/GMD-1800-42.pdf#page=6","Abrir facsímil")</f>
        <v>Abrir facsímil</v>
      </c>
      <c r="K1402" s="15" t="s">
        <v>23</v>
      </c>
    </row>
    <row r="1403" spans="1:11" ht="42" customHeight="1">
      <c r="A1403" s="4" t="s">
        <v>3309</v>
      </c>
      <c r="B1403" s="5" t="s">
        <v>3309</v>
      </c>
      <c r="C1403" s="5" t="s">
        <v>18</v>
      </c>
      <c r="D1403" s="5" t="s">
        <v>19</v>
      </c>
      <c r="E1403" s="5" t="s">
        <v>240</v>
      </c>
      <c r="F1403" s="9">
        <v>26</v>
      </c>
      <c r="G1403" s="9">
        <v>267</v>
      </c>
      <c r="H1403" s="5" t="s">
        <v>21</v>
      </c>
      <c r="I1403" s="5" t="s">
        <v>3310</v>
      </c>
      <c r="J1403" s="12" t="str">
        <f>HYPERLINK("https://www.boe.es/gazeta/dias/1800/04/01/pdfs/GMD-1800-26.pdf#page=7","Abrir facsímil")</f>
        <v>Abrir facsímil</v>
      </c>
      <c r="K1403" s="15" t="s">
        <v>23</v>
      </c>
    </row>
    <row r="1404" spans="1:11" ht="42" customHeight="1">
      <c r="A1404" s="4" t="s">
        <v>3311</v>
      </c>
      <c r="B1404" s="5" t="s">
        <v>3312</v>
      </c>
      <c r="C1404" s="5" t="s">
        <v>18</v>
      </c>
      <c r="D1404" s="5" t="s">
        <v>19</v>
      </c>
      <c r="E1404" s="5" t="s">
        <v>583</v>
      </c>
      <c r="F1404" s="9">
        <v>77</v>
      </c>
      <c r="G1404" s="9">
        <v>878</v>
      </c>
      <c r="H1404" s="5" t="s">
        <v>21</v>
      </c>
      <c r="I1404" s="5" t="s">
        <v>3313</v>
      </c>
      <c r="J1404" s="12" t="str">
        <f>HYPERLINK("https://www.boe.es/gazeta/dias/1800/09/23/pdfs/GMD-1800-77.pdf#page=8","Abrir facsímil")</f>
        <v>Abrir facsímil</v>
      </c>
      <c r="K1404" s="15" t="s">
        <v>23</v>
      </c>
    </row>
    <row r="1405" spans="1:11" ht="42" customHeight="1">
      <c r="A1405" s="4" t="s">
        <v>3314</v>
      </c>
      <c r="B1405" s="5" t="s">
        <v>3315</v>
      </c>
      <c r="C1405" s="5" t="s">
        <v>18</v>
      </c>
      <c r="D1405" s="5" t="s">
        <v>19</v>
      </c>
      <c r="E1405" s="5" t="s">
        <v>248</v>
      </c>
      <c r="F1405" s="9">
        <v>33</v>
      </c>
      <c r="G1405" s="9">
        <v>333</v>
      </c>
      <c r="H1405" s="5" t="s">
        <v>21</v>
      </c>
      <c r="I1405" s="5" t="s">
        <v>3316</v>
      </c>
      <c r="J1405" s="12" t="str">
        <f>HYPERLINK("https://www.boe.es/gazeta/dias/1800/04/25/pdfs/GMD-1800-33.pdf#page=9","Abrir facsímil")</f>
        <v>Abrir facsímil</v>
      </c>
      <c r="K1405" s="15" t="s">
        <v>23</v>
      </c>
    </row>
    <row r="1406" spans="1:11" ht="42" customHeight="1">
      <c r="A1406" s="4" t="s">
        <v>3317</v>
      </c>
      <c r="B1406" s="5" t="s">
        <v>3317</v>
      </c>
      <c r="C1406" s="5" t="s">
        <v>54</v>
      </c>
      <c r="D1406" s="5" t="s">
        <v>55</v>
      </c>
      <c r="E1406" s="5" t="s">
        <v>445</v>
      </c>
      <c r="F1406" s="9">
        <v>96</v>
      </c>
      <c r="G1406" s="9">
        <v>1108</v>
      </c>
      <c r="H1406" s="5" t="s">
        <v>21</v>
      </c>
      <c r="I1406" s="5" t="s">
        <v>3318</v>
      </c>
      <c r="J1406" s="12" t="str">
        <f>HYPERLINK("https://www.boe.es/gazeta/dias/1800/11/28/pdfs/GMD-1800-96.pdf#page=12","Abrir facsímil")</f>
        <v>Abrir facsímil</v>
      </c>
      <c r="K1406" s="15" t="s">
        <v>23</v>
      </c>
    </row>
    <row r="1407" spans="1:11" ht="42" customHeight="1">
      <c r="A1407" s="4" t="s">
        <v>3319</v>
      </c>
      <c r="B1407" s="5" t="s">
        <v>3319</v>
      </c>
      <c r="C1407" s="5" t="s">
        <v>41</v>
      </c>
      <c r="D1407" s="5" t="s">
        <v>42</v>
      </c>
      <c r="E1407" s="5" t="s">
        <v>56</v>
      </c>
      <c r="F1407" s="9">
        <v>90</v>
      </c>
      <c r="G1407" s="9">
        <v>1052</v>
      </c>
      <c r="H1407" s="5" t="s">
        <v>21</v>
      </c>
      <c r="I1407" s="5" t="s">
        <v>3320</v>
      </c>
      <c r="J1407" s="12" t="str">
        <f>HYPERLINK("https://www.boe.es/gazeta/dias/1800/11/07/pdfs/GMD-1800-90.pdf#page=6","Abrir facsímil")</f>
        <v>Abrir facsímil</v>
      </c>
      <c r="K1407" s="15" t="s">
        <v>23</v>
      </c>
    </row>
    <row r="1408" spans="1:11" ht="42" customHeight="1">
      <c r="A1408" s="4" t="s">
        <v>3321</v>
      </c>
      <c r="B1408" s="5" t="s">
        <v>3322</v>
      </c>
      <c r="C1408" s="5" t="s">
        <v>18</v>
      </c>
      <c r="D1408" s="5" t="s">
        <v>19</v>
      </c>
      <c r="E1408" s="5" t="s">
        <v>82</v>
      </c>
      <c r="F1408" s="9">
        <v>10</v>
      </c>
      <c r="G1408" s="9">
        <v>97</v>
      </c>
      <c r="H1408" s="5" t="s">
        <v>21</v>
      </c>
      <c r="I1408" s="5" t="s">
        <v>3323</v>
      </c>
      <c r="J1408" s="12" t="str">
        <f>HYPERLINK("https://www.boe.es/gazeta/dias/1800/02/04/pdfs/GMD-1800-10.pdf#page=9","Abrir facsímil")</f>
        <v>Abrir facsímil</v>
      </c>
      <c r="K1408" s="15" t="s">
        <v>23</v>
      </c>
    </row>
    <row r="1409" spans="1:11" ht="42" customHeight="1">
      <c r="A1409" s="4" t="s">
        <v>3321</v>
      </c>
      <c r="B1409" s="5" t="s">
        <v>3322</v>
      </c>
      <c r="C1409" s="5" t="s">
        <v>207</v>
      </c>
      <c r="D1409" s="5" t="s">
        <v>55</v>
      </c>
      <c r="E1409" s="5" t="s">
        <v>124</v>
      </c>
      <c r="F1409" s="9">
        <v>16</v>
      </c>
      <c r="G1409" s="9">
        <v>151</v>
      </c>
      <c r="H1409" s="5" t="s">
        <v>21</v>
      </c>
      <c r="I1409" s="5" t="s">
        <v>3324</v>
      </c>
      <c r="J1409" s="12" t="str">
        <f>HYPERLINK("https://www.boe.es/gazeta/dias/1800/02/25/pdfs/GMD-1800-16.pdf#page=7","Abrir facsímil")</f>
        <v>Abrir facsímil</v>
      </c>
      <c r="K1409" s="15" t="s">
        <v>23</v>
      </c>
    </row>
    <row r="1410" spans="1:11" ht="42" customHeight="1">
      <c r="A1410" s="4" t="s">
        <v>3325</v>
      </c>
      <c r="B1410" s="5" t="s">
        <v>3326</v>
      </c>
      <c r="C1410" s="5" t="s">
        <v>114</v>
      </c>
      <c r="D1410" s="5" t="s">
        <v>115</v>
      </c>
      <c r="E1410" s="5" t="s">
        <v>116</v>
      </c>
      <c r="F1410" s="9">
        <v>86</v>
      </c>
      <c r="G1410" s="9" t="s">
        <v>991</v>
      </c>
      <c r="H1410" s="5" t="s">
        <v>21</v>
      </c>
      <c r="I1410" s="5" t="s">
        <v>3327</v>
      </c>
      <c r="J1410" s="12" t="str">
        <f>HYPERLINK("https://www.boe.es/gazeta/dias/1800/10/24/pdfs/GMD-D-1800-86.pdf#page=4","Abrir facsímil")</f>
        <v>Abrir facsímil</v>
      </c>
      <c r="K1410" s="15" t="s">
        <v>23</v>
      </c>
    </row>
    <row r="1411" spans="1:11" ht="42" customHeight="1">
      <c r="A1411" s="4" t="s">
        <v>3328</v>
      </c>
      <c r="B1411" s="5" t="s">
        <v>3329</v>
      </c>
      <c r="C1411" s="5" t="s">
        <v>18</v>
      </c>
      <c r="D1411" s="5" t="s">
        <v>19</v>
      </c>
      <c r="E1411" s="5" t="s">
        <v>346</v>
      </c>
      <c r="F1411" s="9">
        <v>24</v>
      </c>
      <c r="G1411" s="9">
        <v>243</v>
      </c>
      <c r="H1411" s="5" t="s">
        <v>21</v>
      </c>
      <c r="I1411" s="5" t="s">
        <v>3330</v>
      </c>
      <c r="J1411" s="12" t="str">
        <f>HYPERLINK("https://www.boe.es/gazeta/dias/1800/03/25/pdfs/GMD-1800-24.pdf#page=7","Abrir facsímil")</f>
        <v>Abrir facsímil</v>
      </c>
      <c r="K1411" s="15" t="s">
        <v>23</v>
      </c>
    </row>
    <row r="1412" spans="1:11" ht="42" customHeight="1">
      <c r="A1412" s="4" t="s">
        <v>3331</v>
      </c>
      <c r="B1412" s="5" t="s">
        <v>3332</v>
      </c>
      <c r="C1412" s="5" t="s">
        <v>18</v>
      </c>
      <c r="D1412" s="5" t="s">
        <v>19</v>
      </c>
      <c r="E1412" s="5" t="s">
        <v>314</v>
      </c>
      <c r="F1412" s="9">
        <v>74</v>
      </c>
      <c r="G1412" s="9">
        <v>832</v>
      </c>
      <c r="H1412" s="5" t="s">
        <v>21</v>
      </c>
      <c r="I1412" s="5" t="s">
        <v>3333</v>
      </c>
      <c r="J1412" s="12" t="str">
        <f>HYPERLINK("https://www.boe.es/gazeta/dias/1800/09/12/pdfs/GMD-1800-74.pdf#page=10","Abrir facsímil")</f>
        <v>Abrir facsímil</v>
      </c>
      <c r="K1412" s="15" t="s">
        <v>23</v>
      </c>
    </row>
    <row r="1413" spans="1:11" ht="42" customHeight="1">
      <c r="A1413" s="4" t="s">
        <v>3334</v>
      </c>
      <c r="B1413" s="5" t="s">
        <v>3335</v>
      </c>
      <c r="C1413" s="5" t="s">
        <v>18</v>
      </c>
      <c r="D1413" s="5" t="s">
        <v>19</v>
      </c>
      <c r="E1413" s="5" t="s">
        <v>244</v>
      </c>
      <c r="F1413" s="9">
        <v>9</v>
      </c>
      <c r="G1413" s="9">
        <v>85</v>
      </c>
      <c r="H1413" s="5" t="s">
        <v>21</v>
      </c>
      <c r="I1413" s="5" t="s">
        <v>3336</v>
      </c>
      <c r="J1413" s="12" t="str">
        <f>HYPERLINK("https://www.boe.es/gazeta/dias/1800/01/31/pdfs/GMD-1800-9.pdf#page=9","Abrir facsímil")</f>
        <v>Abrir facsímil</v>
      </c>
      <c r="K1413" s="15" t="s">
        <v>23</v>
      </c>
    </row>
    <row r="1414" spans="1:11" ht="42" customHeight="1">
      <c r="A1414" s="4" t="s">
        <v>3337</v>
      </c>
      <c r="B1414" s="5" t="s">
        <v>3338</v>
      </c>
      <c r="C1414" s="5" t="s">
        <v>114</v>
      </c>
      <c r="D1414" s="5" t="s">
        <v>115</v>
      </c>
      <c r="E1414" s="5" t="s">
        <v>116</v>
      </c>
      <c r="F1414" s="9">
        <v>86</v>
      </c>
      <c r="G1414" s="9" t="s">
        <v>725</v>
      </c>
      <c r="H1414" s="5" t="s">
        <v>21</v>
      </c>
      <c r="I1414" s="5" t="s">
        <v>3339</v>
      </c>
      <c r="J1414" s="12" t="str">
        <f>HYPERLINK("https://www.boe.es/gazeta/dias/1800/10/24/pdfs/GMD-D-1800-86.pdf#page=1","Abrir facsímil")</f>
        <v>Abrir facsímil</v>
      </c>
      <c r="K1414" s="15" t="s">
        <v>23</v>
      </c>
    </row>
    <row r="1415" spans="1:11" ht="42" customHeight="1">
      <c r="A1415" s="4" t="s">
        <v>3340</v>
      </c>
      <c r="B1415" s="5" t="s">
        <v>3341</v>
      </c>
      <c r="C1415" s="5" t="s">
        <v>41</v>
      </c>
      <c r="D1415" s="5" t="s">
        <v>42</v>
      </c>
      <c r="E1415" s="5" t="s">
        <v>162</v>
      </c>
      <c r="F1415" s="9">
        <v>15</v>
      </c>
      <c r="G1415" s="9">
        <v>138</v>
      </c>
      <c r="H1415" s="5" t="s">
        <v>21</v>
      </c>
      <c r="I1415" s="5" t="s">
        <v>3342</v>
      </c>
      <c r="J1415" s="12" t="str">
        <f>HYPERLINK("https://www.boe.es/gazeta/dias/1800/02/21/pdfs/GMD-1800-15.pdf#page=2","Abrir facsímil")</f>
        <v>Abrir facsímil</v>
      </c>
      <c r="K1415" s="15" t="s">
        <v>23</v>
      </c>
    </row>
    <row r="1416" spans="1:11" ht="42" customHeight="1">
      <c r="A1416" s="4" t="s">
        <v>3343</v>
      </c>
      <c r="B1416" s="5" t="s">
        <v>3343</v>
      </c>
      <c r="C1416" s="5" t="s">
        <v>41</v>
      </c>
      <c r="D1416" s="5" t="s">
        <v>42</v>
      </c>
      <c r="E1416" s="5" t="s">
        <v>1294</v>
      </c>
      <c r="F1416" s="9">
        <v>59</v>
      </c>
      <c r="G1416" s="9">
        <v>677</v>
      </c>
      <c r="H1416" s="5" t="s">
        <v>21</v>
      </c>
      <c r="I1416" s="5" t="s">
        <v>3344</v>
      </c>
      <c r="J1416" s="12" t="str">
        <f>HYPERLINK("https://www.boe.es/gazeta/dias/1800/07/25/pdfs/GMD-1800-59.pdf#page=9","Abrir facsímil")</f>
        <v>Abrir facsímil</v>
      </c>
      <c r="K1416" s="15" t="s">
        <v>23</v>
      </c>
    </row>
    <row r="1417" spans="1:11" ht="42" customHeight="1">
      <c r="A1417" s="4" t="s">
        <v>3345</v>
      </c>
      <c r="B1417" s="5" t="s">
        <v>3346</v>
      </c>
      <c r="C1417" s="5" t="s">
        <v>18</v>
      </c>
      <c r="D1417" s="5" t="s">
        <v>19</v>
      </c>
      <c r="E1417" s="5" t="s">
        <v>299</v>
      </c>
      <c r="F1417" s="9">
        <v>40</v>
      </c>
      <c r="G1417" s="9">
        <v>412</v>
      </c>
      <c r="H1417" s="5" t="s">
        <v>21</v>
      </c>
      <c r="I1417" s="5" t="s">
        <v>3347</v>
      </c>
      <c r="J1417" s="12" t="str">
        <f>HYPERLINK("https://www.boe.es/gazeta/dias/1800/05/20/pdfs/GMD-1800-40.pdf#page=8","Abrir facsímil")</f>
        <v>Abrir facsímil</v>
      </c>
      <c r="K1417" s="15" t="s">
        <v>23</v>
      </c>
    </row>
    <row r="1418" spans="1:11" ht="42" customHeight="1">
      <c r="A1418" s="4" t="s">
        <v>3348</v>
      </c>
      <c r="B1418" s="5" t="s">
        <v>3349</v>
      </c>
      <c r="C1418" s="5" t="s">
        <v>41</v>
      </c>
      <c r="D1418" s="5" t="s">
        <v>42</v>
      </c>
      <c r="E1418" s="5" t="s">
        <v>420</v>
      </c>
      <c r="F1418" s="9">
        <v>38</v>
      </c>
      <c r="G1418" s="9">
        <v>381</v>
      </c>
      <c r="H1418" s="5" t="s">
        <v>21</v>
      </c>
      <c r="I1418" s="5" t="s">
        <v>3350</v>
      </c>
      <c r="J1418" s="12" t="str">
        <f>HYPERLINK("https://www.boe.es/gazeta/dias/1800/05/13/pdfs/GMD-1800-38.pdf#page=1","Abrir facsímil")</f>
        <v>Abrir facsímil</v>
      </c>
      <c r="K1418" s="15" t="s">
        <v>23</v>
      </c>
    </row>
    <row r="1419" spans="1:11" ht="42" customHeight="1">
      <c r="A1419" s="4" t="s">
        <v>3351</v>
      </c>
      <c r="B1419" s="5" t="s">
        <v>3352</v>
      </c>
      <c r="C1419" s="5" t="s">
        <v>18</v>
      </c>
      <c r="D1419" s="5" t="s">
        <v>19</v>
      </c>
      <c r="E1419" s="5" t="s">
        <v>190</v>
      </c>
      <c r="F1419" s="9">
        <v>93</v>
      </c>
      <c r="G1419" s="9">
        <v>1066</v>
      </c>
      <c r="H1419" s="5" t="s">
        <v>21</v>
      </c>
      <c r="I1419" s="5" t="s">
        <v>3353</v>
      </c>
      <c r="J1419" s="12" t="str">
        <f>HYPERLINK("https://www.boe.es/gazeta/dias/1800/11/18/pdfs/GMD-1800-93.pdf#page=12","Abrir facsímil")</f>
        <v>Abrir facsímil</v>
      </c>
      <c r="K1419" s="15" t="s">
        <v>23</v>
      </c>
    </row>
    <row r="1420" spans="1:11" ht="42" customHeight="1">
      <c r="A1420" s="4" t="s">
        <v>3354</v>
      </c>
      <c r="B1420" s="5" t="s">
        <v>3355</v>
      </c>
      <c r="C1420" s="5" t="s">
        <v>18</v>
      </c>
      <c r="D1420" s="5" t="s">
        <v>19</v>
      </c>
      <c r="E1420" s="5" t="s">
        <v>143</v>
      </c>
      <c r="F1420" s="9">
        <v>22</v>
      </c>
      <c r="G1420" s="9">
        <v>221</v>
      </c>
      <c r="H1420" s="5" t="s">
        <v>21</v>
      </c>
      <c r="I1420" s="5" t="s">
        <v>3356</v>
      </c>
      <c r="J1420" s="12" t="str">
        <f>HYPERLINK("https://www.boe.es/gazeta/dias/1800/03/18/pdfs/GMD-1800-22.pdf#page=13","Abrir facsímil")</f>
        <v>Abrir facsímil</v>
      </c>
      <c r="K1420" s="15" t="s">
        <v>23</v>
      </c>
    </row>
    <row r="1421" spans="1:11" ht="42" customHeight="1">
      <c r="A1421" s="4" t="s">
        <v>3357</v>
      </c>
      <c r="B1421" s="5" t="s">
        <v>3357</v>
      </c>
      <c r="C1421" s="5" t="s">
        <v>41</v>
      </c>
      <c r="D1421" s="5" t="s">
        <v>42</v>
      </c>
      <c r="E1421" s="5" t="s">
        <v>255</v>
      </c>
      <c r="F1421" s="9">
        <v>75</v>
      </c>
      <c r="G1421" s="9">
        <v>851</v>
      </c>
      <c r="H1421" s="5" t="s">
        <v>21</v>
      </c>
      <c r="I1421" s="5" t="s">
        <v>3358</v>
      </c>
      <c r="J1421" s="12" t="str">
        <f>HYPERLINK("https://www.boe.es/gazeta/dias/1800/09/16/pdfs/GMD-1800-75.pdf#page=5","Abrir facsímil")</f>
        <v>Abrir facsímil</v>
      </c>
      <c r="K1421" s="15" t="s">
        <v>23</v>
      </c>
    </row>
    <row r="1422" spans="1:11" ht="42" customHeight="1">
      <c r="A1422" s="4" t="s">
        <v>3359</v>
      </c>
      <c r="B1422" s="5" t="s">
        <v>3359</v>
      </c>
      <c r="C1422" s="5" t="s">
        <v>41</v>
      </c>
      <c r="D1422" s="5" t="s">
        <v>42</v>
      </c>
      <c r="E1422" s="5" t="s">
        <v>825</v>
      </c>
      <c r="F1422" s="9">
        <v>51</v>
      </c>
      <c r="G1422" s="9">
        <v>553</v>
      </c>
      <c r="H1422" s="5" t="s">
        <v>21</v>
      </c>
      <c r="I1422" s="5" t="s">
        <v>3360</v>
      </c>
      <c r="J1422" s="12" t="str">
        <f>HYPERLINK("https://www.boe.es/gazeta/dias/1800/06/27/pdfs/GMD-1800-51.pdf#page=5","Abrir facsímil")</f>
        <v>Abrir facsímil</v>
      </c>
      <c r="K1422" s="15" t="s">
        <v>23</v>
      </c>
    </row>
    <row r="1423" spans="1:11" ht="42" customHeight="1">
      <c r="A1423" s="4" t="s">
        <v>3361</v>
      </c>
      <c r="B1423" s="5" t="s">
        <v>3362</v>
      </c>
      <c r="C1423" s="5" t="s">
        <v>18</v>
      </c>
      <c r="D1423" s="5" t="s">
        <v>19</v>
      </c>
      <c r="E1423" s="5" t="s">
        <v>478</v>
      </c>
      <c r="F1423" s="9">
        <v>34</v>
      </c>
      <c r="G1423" s="9">
        <v>347</v>
      </c>
      <c r="H1423" s="5" t="s">
        <v>21</v>
      </c>
      <c r="I1423" s="5" t="s">
        <v>3363</v>
      </c>
      <c r="J1423" s="12" t="str">
        <f>HYPERLINK("https://www.boe.es/gazeta/dias/1800/04/29/pdfs/GMD-1800-34.pdf#page=11","Abrir facsímil")</f>
        <v>Abrir facsímil</v>
      </c>
      <c r="K1423" s="15" t="s">
        <v>23</v>
      </c>
    </row>
    <row r="1424" spans="1:11" ht="42" customHeight="1">
      <c r="A1424" s="4" t="s">
        <v>3364</v>
      </c>
      <c r="B1424" s="5" t="s">
        <v>3365</v>
      </c>
      <c r="C1424" s="5" t="s">
        <v>25</v>
      </c>
      <c r="D1424" s="5" t="s">
        <v>26</v>
      </c>
      <c r="E1424" s="5" t="s">
        <v>154</v>
      </c>
      <c r="F1424" s="9">
        <v>61</v>
      </c>
      <c r="G1424" s="9">
        <v>696</v>
      </c>
      <c r="H1424" s="5" t="s">
        <v>21</v>
      </c>
      <c r="I1424" s="5" t="s">
        <v>3366</v>
      </c>
      <c r="J1424" s="12" t="str">
        <f>HYPERLINK("https://www.boe.es/gazeta/dias/1800/08/01/pdfs/GMD-1800-61.pdf#page=8","Abrir facsímil")</f>
        <v>Abrir facsímil</v>
      </c>
      <c r="K1424" s="15" t="s">
        <v>23</v>
      </c>
    </row>
    <row r="1425" spans="1:11" ht="42" customHeight="1">
      <c r="A1425" s="4" t="s">
        <v>3367</v>
      </c>
      <c r="B1425" s="5" t="s">
        <v>3368</v>
      </c>
      <c r="C1425" s="5" t="s">
        <v>54</v>
      </c>
      <c r="D1425" s="5" t="s">
        <v>55</v>
      </c>
      <c r="E1425" s="5" t="s">
        <v>162</v>
      </c>
      <c r="F1425" s="9">
        <v>15</v>
      </c>
      <c r="G1425" s="9">
        <v>143</v>
      </c>
      <c r="H1425" s="5" t="s">
        <v>21</v>
      </c>
      <c r="I1425" s="5" t="s">
        <v>3369</v>
      </c>
      <c r="J1425" s="12" t="str">
        <f>HYPERLINK("https://www.boe.es/gazeta/dias/1800/02/21/pdfs/GMD-1800-15.pdf#page=7","Abrir facsímil")</f>
        <v>Abrir facsímil</v>
      </c>
      <c r="K1425" s="15" t="s">
        <v>23</v>
      </c>
    </row>
    <row r="1426" spans="1:11" ht="42" customHeight="1">
      <c r="A1426" s="4" t="s">
        <v>3370</v>
      </c>
      <c r="B1426" s="5" t="s">
        <v>3371</v>
      </c>
      <c r="C1426" s="5" t="s">
        <v>84</v>
      </c>
      <c r="D1426" s="5" t="s">
        <v>85</v>
      </c>
      <c r="E1426" s="5" t="s">
        <v>194</v>
      </c>
      <c r="F1426" s="9">
        <v>48</v>
      </c>
      <c r="G1426" s="9">
        <v>516</v>
      </c>
      <c r="H1426" s="5" t="s">
        <v>21</v>
      </c>
      <c r="I1426" s="5" t="s">
        <v>3372</v>
      </c>
      <c r="J1426" s="12" t="str">
        <f>HYPERLINK("https://www.boe.es/gazeta/dias/1800/06/17/pdfs/GMD-1800-48.pdf#page=8","Abrir facsímil")</f>
        <v>Abrir facsímil</v>
      </c>
      <c r="K1426" s="15" t="s">
        <v>23</v>
      </c>
    </row>
    <row r="1427" spans="1:11" ht="42" customHeight="1">
      <c r="A1427" s="4" t="s">
        <v>3373</v>
      </c>
      <c r="B1427" s="5" t="s">
        <v>3374</v>
      </c>
      <c r="C1427" s="5" t="s">
        <v>207</v>
      </c>
      <c r="D1427" s="5" t="s">
        <v>55</v>
      </c>
      <c r="E1427" s="5" t="s">
        <v>402</v>
      </c>
      <c r="F1427" s="9">
        <v>101</v>
      </c>
      <c r="G1427" s="9">
        <v>1173</v>
      </c>
      <c r="H1427" s="5" t="s">
        <v>21</v>
      </c>
      <c r="I1427" s="5" t="s">
        <v>3375</v>
      </c>
      <c r="J1427" s="12" t="str">
        <f>HYPERLINK("https://www.boe.es/gazeta/dias/1800/12/16/pdfs/GMD-1800-101.pdf#page=9","Abrir facsímil")</f>
        <v>Abrir facsímil</v>
      </c>
      <c r="K1427" s="15" t="s">
        <v>23</v>
      </c>
    </row>
    <row r="1428" spans="1:11" ht="42" customHeight="1">
      <c r="A1428" s="4" t="s">
        <v>3376</v>
      </c>
      <c r="B1428" s="5" t="s">
        <v>3377</v>
      </c>
      <c r="C1428" s="5" t="s">
        <v>207</v>
      </c>
      <c r="D1428" s="5" t="s">
        <v>55</v>
      </c>
      <c r="E1428" s="5" t="s">
        <v>306</v>
      </c>
      <c r="F1428" s="9">
        <v>79</v>
      </c>
      <c r="G1428" s="9">
        <v>899</v>
      </c>
      <c r="H1428" s="5" t="s">
        <v>21</v>
      </c>
      <c r="I1428" s="5" t="s">
        <v>3378</v>
      </c>
      <c r="J1428" s="12" t="str">
        <f>HYPERLINK("https://www.boe.es/gazeta/dias/1800/09/30/pdfs/GMD-1800-79.pdf#page=9","Abrir facsímil")</f>
        <v>Abrir facsímil</v>
      </c>
      <c r="K1428" s="15" t="s">
        <v>23</v>
      </c>
    </row>
    <row r="1429" spans="1:11" ht="42" customHeight="1">
      <c r="A1429" s="4" t="s">
        <v>3379</v>
      </c>
      <c r="B1429" s="5" t="s">
        <v>3380</v>
      </c>
      <c r="C1429" s="5" t="s">
        <v>41</v>
      </c>
      <c r="D1429" s="5" t="s">
        <v>42</v>
      </c>
      <c r="E1429" s="5" t="s">
        <v>154</v>
      </c>
      <c r="F1429" s="9">
        <v>61</v>
      </c>
      <c r="G1429" s="9">
        <v>689</v>
      </c>
      <c r="H1429" s="5" t="s">
        <v>21</v>
      </c>
      <c r="I1429" s="5" t="s">
        <v>3381</v>
      </c>
      <c r="J1429" s="12" t="str">
        <f>HYPERLINK("https://www.boe.es/gazeta/dias/1800/08/01/pdfs/GMD-1800-61.pdf#page=1","Abrir facsímil")</f>
        <v>Abrir facsímil</v>
      </c>
      <c r="K1429" s="15" t="s">
        <v>23</v>
      </c>
    </row>
    <row r="1430" spans="1:11" ht="42" customHeight="1">
      <c r="A1430" s="4" t="s">
        <v>3382</v>
      </c>
      <c r="B1430" s="5" t="s">
        <v>3382</v>
      </c>
      <c r="C1430" s="5" t="s">
        <v>41</v>
      </c>
      <c r="D1430" s="5" t="s">
        <v>42</v>
      </c>
      <c r="E1430" s="5" t="s">
        <v>1127</v>
      </c>
      <c r="F1430" s="9">
        <v>11</v>
      </c>
      <c r="G1430" s="9">
        <v>102</v>
      </c>
      <c r="H1430" s="5" t="s">
        <v>21</v>
      </c>
      <c r="I1430" s="5" t="s">
        <v>3383</v>
      </c>
      <c r="J1430" s="12" t="str">
        <f>HYPERLINK("https://www.boe.es/gazeta/dias/1800/02/07/pdfs/GMD-1800-11.pdf#page=2","Abrir facsímil")</f>
        <v>Abrir facsímil</v>
      </c>
      <c r="K1430" s="15" t="s">
        <v>23</v>
      </c>
    </row>
    <row r="1431" spans="1:11" ht="42" customHeight="1">
      <c r="A1431" s="4" t="s">
        <v>3384</v>
      </c>
      <c r="B1431" s="5" t="s">
        <v>3385</v>
      </c>
      <c r="C1431" s="5" t="s">
        <v>18</v>
      </c>
      <c r="D1431" s="5" t="s">
        <v>19</v>
      </c>
      <c r="E1431" s="5" t="s">
        <v>176</v>
      </c>
      <c r="F1431" s="9">
        <v>88</v>
      </c>
      <c r="G1431" s="9">
        <v>1032</v>
      </c>
      <c r="H1431" s="5" t="s">
        <v>21</v>
      </c>
      <c r="I1431" s="5" t="s">
        <v>3386</v>
      </c>
      <c r="J1431" s="12" t="str">
        <f>HYPERLINK("https://www.boe.es/gazeta/dias/1800/10/31/pdfs/GMD-1800-88.pdf#page=14","Abrir facsímil")</f>
        <v>Abrir facsímil</v>
      </c>
      <c r="K1431" s="15" t="s">
        <v>23</v>
      </c>
    </row>
    <row r="1432" spans="1:11" ht="42" customHeight="1">
      <c r="A1432" s="4" t="s">
        <v>3387</v>
      </c>
      <c r="B1432" s="5" t="s">
        <v>3388</v>
      </c>
      <c r="C1432" s="5" t="s">
        <v>207</v>
      </c>
      <c r="D1432" s="5" t="s">
        <v>55</v>
      </c>
      <c r="E1432" s="5" t="s">
        <v>1231</v>
      </c>
      <c r="F1432" s="9">
        <v>36</v>
      </c>
      <c r="G1432" s="9">
        <v>366</v>
      </c>
      <c r="H1432" s="5" t="s">
        <v>21</v>
      </c>
      <c r="I1432" s="5" t="s">
        <v>3389</v>
      </c>
      <c r="J1432" s="12" t="str">
        <f>HYPERLINK("https://www.boe.es/gazeta/dias/1800/05/06/pdfs/GMD-1800-36.pdf#page=10","Abrir facsímil")</f>
        <v>Abrir facsímil</v>
      </c>
      <c r="K1432" s="15" t="s">
        <v>23</v>
      </c>
    </row>
    <row r="1433" spans="1:11" ht="42" customHeight="1">
      <c r="A1433" s="4" t="s">
        <v>3390</v>
      </c>
      <c r="B1433" s="5" t="s">
        <v>3391</v>
      </c>
      <c r="C1433" s="5" t="s">
        <v>114</v>
      </c>
      <c r="D1433" s="5" t="s">
        <v>115</v>
      </c>
      <c r="E1433" s="5" t="s">
        <v>116</v>
      </c>
      <c r="F1433" s="9">
        <v>86</v>
      </c>
      <c r="G1433" s="9" t="s">
        <v>725</v>
      </c>
      <c r="H1433" s="5" t="s">
        <v>21</v>
      </c>
      <c r="I1433" s="5" t="s">
        <v>3392</v>
      </c>
      <c r="J1433" s="12" t="str">
        <f>HYPERLINK("https://www.boe.es/gazeta/dias/1800/10/24/pdfs/GMD-D-1800-86.pdf#page=1","Abrir facsímil")</f>
        <v>Abrir facsímil</v>
      </c>
      <c r="K1433" s="15" t="s">
        <v>23</v>
      </c>
    </row>
    <row r="1434" spans="1:11" ht="42" customHeight="1">
      <c r="A1434" s="4" t="s">
        <v>3393</v>
      </c>
      <c r="B1434" s="5" t="s">
        <v>3394</v>
      </c>
      <c r="C1434" s="5" t="s">
        <v>18</v>
      </c>
      <c r="D1434" s="5" t="s">
        <v>19</v>
      </c>
      <c r="E1434" s="5" t="s">
        <v>422</v>
      </c>
      <c r="F1434" s="9">
        <v>85</v>
      </c>
      <c r="G1434" s="9">
        <v>985</v>
      </c>
      <c r="H1434" s="5" t="s">
        <v>21</v>
      </c>
      <c r="I1434" s="5" t="s">
        <v>3395</v>
      </c>
      <c r="J1434" s="12" t="str">
        <f>HYPERLINK("https://www.boe.es/gazeta/dias/1800/10/21/pdfs/GMD-1800-85.pdf#page=7","Abrir facsímil")</f>
        <v>Abrir facsímil</v>
      </c>
      <c r="K1434" s="15" t="s">
        <v>23</v>
      </c>
    </row>
    <row r="1435" spans="1:11" ht="42" customHeight="1">
      <c r="A1435" s="4" t="s">
        <v>3396</v>
      </c>
      <c r="B1435" s="5" t="s">
        <v>3397</v>
      </c>
      <c r="C1435" s="5" t="s">
        <v>41</v>
      </c>
      <c r="D1435" s="5" t="s">
        <v>42</v>
      </c>
      <c r="E1435" s="5" t="s">
        <v>75</v>
      </c>
      <c r="F1435" s="9">
        <v>64</v>
      </c>
      <c r="G1435" s="9">
        <v>726</v>
      </c>
      <c r="H1435" s="5" t="s">
        <v>21</v>
      </c>
      <c r="I1435" s="5" t="s">
        <v>3398</v>
      </c>
      <c r="J1435" s="12" t="str">
        <f>HYPERLINK("https://www.boe.es/gazeta/dias/1800/08/12/pdfs/GMD-1800-64.pdf#page=2","Abrir facsímil")</f>
        <v>Abrir facsímil</v>
      </c>
      <c r="K1435" s="15" t="s">
        <v>23</v>
      </c>
    </row>
    <row r="1436" spans="1:11" ht="42" customHeight="1">
      <c r="A1436" s="4" t="s">
        <v>3399</v>
      </c>
      <c r="B1436" s="5" t="s">
        <v>3399</v>
      </c>
      <c r="C1436" s="5" t="s">
        <v>84</v>
      </c>
      <c r="D1436" s="5" t="s">
        <v>85</v>
      </c>
      <c r="E1436" s="5" t="s">
        <v>583</v>
      </c>
      <c r="F1436" s="9">
        <v>77</v>
      </c>
      <c r="G1436" s="9">
        <v>882</v>
      </c>
      <c r="H1436" s="5" t="s">
        <v>21</v>
      </c>
      <c r="I1436" s="5" t="s">
        <v>3400</v>
      </c>
      <c r="J1436" s="12" t="str">
        <f>HYPERLINK("https://www.boe.es/gazeta/dias/1800/09/23/pdfs/GMD-1800-77.pdf#page=12","Abrir facsímil")</f>
        <v>Abrir facsímil</v>
      </c>
      <c r="K1436" s="15" t="s">
        <v>23</v>
      </c>
    </row>
    <row r="1437" spans="1:11" ht="42" customHeight="1">
      <c r="A1437" s="4" t="s">
        <v>3401</v>
      </c>
      <c r="B1437" s="5" t="s">
        <v>3401</v>
      </c>
      <c r="C1437" s="5" t="s">
        <v>41</v>
      </c>
      <c r="D1437" s="5" t="s">
        <v>42</v>
      </c>
      <c r="E1437" s="5" t="s">
        <v>1231</v>
      </c>
      <c r="F1437" s="9">
        <v>36</v>
      </c>
      <c r="G1437" s="9">
        <v>360</v>
      </c>
      <c r="H1437" s="5" t="s">
        <v>21</v>
      </c>
      <c r="I1437" s="5" t="s">
        <v>3402</v>
      </c>
      <c r="J1437" s="12" t="str">
        <f>HYPERLINK("https://www.boe.es/gazeta/dias/1800/05/06/pdfs/GMD-1800-36.pdf#page=4","Abrir facsímil")</f>
        <v>Abrir facsímil</v>
      </c>
      <c r="K1437" s="15" t="s">
        <v>23</v>
      </c>
    </row>
    <row r="1438" spans="1:11" ht="42" customHeight="1">
      <c r="A1438" s="4" t="s">
        <v>3403</v>
      </c>
      <c r="B1438" s="5" t="s">
        <v>3404</v>
      </c>
      <c r="C1438" s="5" t="s">
        <v>18</v>
      </c>
      <c r="D1438" s="5" t="s">
        <v>19</v>
      </c>
      <c r="E1438" s="5" t="s">
        <v>135</v>
      </c>
      <c r="F1438" s="9">
        <v>73</v>
      </c>
      <c r="G1438" s="9">
        <v>816</v>
      </c>
      <c r="H1438" s="5" t="s">
        <v>21</v>
      </c>
      <c r="I1438" s="5" t="s">
        <v>3405</v>
      </c>
      <c r="J1438" s="12" t="str">
        <f>HYPERLINK("https://www.boe.es/gazeta/dias/1800/09/09/pdfs/GMD-1800-73.pdf#page=10","Abrir facsímil")</f>
        <v>Abrir facsímil</v>
      </c>
      <c r="K1438" s="15" t="s">
        <v>23</v>
      </c>
    </row>
    <row r="1439" spans="1:11" ht="42" customHeight="1">
      <c r="A1439" s="4" t="s">
        <v>3406</v>
      </c>
      <c r="B1439" s="5" t="s">
        <v>3407</v>
      </c>
      <c r="C1439" s="5" t="s">
        <v>54</v>
      </c>
      <c r="D1439" s="5" t="s">
        <v>55</v>
      </c>
      <c r="E1439" s="5" t="s">
        <v>410</v>
      </c>
      <c r="F1439" s="9">
        <v>87</v>
      </c>
      <c r="G1439" s="9">
        <v>1010</v>
      </c>
      <c r="H1439" s="5" t="s">
        <v>21</v>
      </c>
      <c r="I1439" s="5" t="s">
        <v>3408</v>
      </c>
      <c r="J1439" s="12" t="str">
        <f>HYPERLINK("https://www.boe.es/gazeta/dias/1800/10/28/pdfs/GMD-1800-87.pdf#page=8","Abrir facsímil")</f>
        <v>Abrir facsímil</v>
      </c>
      <c r="K1439" s="15" t="s">
        <v>23</v>
      </c>
    </row>
    <row r="1440" spans="1:11" ht="42" customHeight="1">
      <c r="A1440" s="4" t="s">
        <v>3409</v>
      </c>
      <c r="B1440" s="5" t="s">
        <v>3410</v>
      </c>
      <c r="C1440" s="5" t="s">
        <v>84</v>
      </c>
      <c r="D1440" s="5" t="s">
        <v>85</v>
      </c>
      <c r="E1440" s="5" t="s">
        <v>180</v>
      </c>
      <c r="F1440" s="9">
        <v>102</v>
      </c>
      <c r="G1440" s="9">
        <v>1186</v>
      </c>
      <c r="H1440" s="5" t="s">
        <v>21</v>
      </c>
      <c r="I1440" s="5" t="s">
        <v>3411</v>
      </c>
      <c r="J1440" s="12" t="str">
        <f>HYPERLINK("https://www.boe.es/gazeta/dias/1800/12/19/pdfs/GMD-1800-102.pdf#page=10","Abrir facsímil")</f>
        <v>Abrir facsímil</v>
      </c>
      <c r="K1440" s="15" t="s">
        <v>23</v>
      </c>
    </row>
    <row r="1441" spans="1:11" ht="42" customHeight="1">
      <c r="A1441" s="4" t="s">
        <v>3412</v>
      </c>
      <c r="B1441" s="5" t="s">
        <v>3413</v>
      </c>
      <c r="C1441" s="5" t="s">
        <v>18</v>
      </c>
      <c r="D1441" s="5" t="s">
        <v>19</v>
      </c>
      <c r="E1441" s="5" t="s">
        <v>255</v>
      </c>
      <c r="F1441" s="9">
        <v>75</v>
      </c>
      <c r="G1441" s="9">
        <v>856</v>
      </c>
      <c r="H1441" s="5" t="s">
        <v>21</v>
      </c>
      <c r="I1441" s="5" t="s">
        <v>3414</v>
      </c>
      <c r="J1441" s="12" t="str">
        <f>HYPERLINK("https://www.boe.es/gazeta/dias/1800/09/16/pdfs/GMD-1800-75.pdf#page=10","Abrir facsímil")</f>
        <v>Abrir facsímil</v>
      </c>
      <c r="K1441" s="15" t="s">
        <v>23</v>
      </c>
    </row>
    <row r="1442" spans="1:11" ht="42" customHeight="1">
      <c r="A1442" s="4" t="s">
        <v>3415</v>
      </c>
      <c r="B1442" s="5" t="s">
        <v>3416</v>
      </c>
      <c r="C1442" s="5" t="s">
        <v>18</v>
      </c>
      <c r="D1442" s="5" t="s">
        <v>19</v>
      </c>
      <c r="E1442" s="5" t="s">
        <v>583</v>
      </c>
      <c r="F1442" s="9">
        <v>77</v>
      </c>
      <c r="G1442" s="9">
        <v>878</v>
      </c>
      <c r="H1442" s="5" t="s">
        <v>21</v>
      </c>
      <c r="I1442" s="5" t="s">
        <v>3417</v>
      </c>
      <c r="J1442" s="12" t="str">
        <f>HYPERLINK("https://www.boe.es/gazeta/dias/1800/09/23/pdfs/GMD-1800-77.pdf#page=8","Abrir facsímil")</f>
        <v>Abrir facsímil</v>
      </c>
      <c r="K1442" s="15" t="s">
        <v>23</v>
      </c>
    </row>
    <row r="1443" spans="1:11" ht="42" customHeight="1">
      <c r="A1443" s="4" t="s">
        <v>3418</v>
      </c>
      <c r="B1443" s="5" t="s">
        <v>3419</v>
      </c>
      <c r="C1443" s="5" t="s">
        <v>41</v>
      </c>
      <c r="D1443" s="5" t="s">
        <v>42</v>
      </c>
      <c r="E1443" s="5" t="s">
        <v>31</v>
      </c>
      <c r="F1443" s="9">
        <v>20</v>
      </c>
      <c r="G1443" s="9">
        <v>186</v>
      </c>
      <c r="H1443" s="5" t="s">
        <v>21</v>
      </c>
      <c r="I1443" s="5" t="s">
        <v>3420</v>
      </c>
      <c r="J1443" s="12" t="str">
        <f>HYPERLINK("https://www.boe.es/gazeta/dias/1800/03/11/pdfs/GMD-1800-20.pdf#page=2","Abrir facsímil")</f>
        <v>Abrir facsímil</v>
      </c>
      <c r="K1443" s="15" t="s">
        <v>23</v>
      </c>
    </row>
    <row r="1444" spans="1:11" ht="42" customHeight="1">
      <c r="A1444" s="4" t="s">
        <v>3421</v>
      </c>
      <c r="B1444" s="5" t="s">
        <v>3422</v>
      </c>
      <c r="C1444" s="5" t="s">
        <v>18</v>
      </c>
      <c r="D1444" s="5" t="s">
        <v>19</v>
      </c>
      <c r="E1444" s="5" t="s">
        <v>275</v>
      </c>
      <c r="F1444" s="9">
        <v>60</v>
      </c>
      <c r="G1444" s="9">
        <v>688</v>
      </c>
      <c r="H1444" s="5" t="s">
        <v>21</v>
      </c>
      <c r="I1444" s="5" t="s">
        <v>3423</v>
      </c>
      <c r="J1444" s="12" t="str">
        <f>HYPERLINK("https://www.boe.es/gazeta/dias/1800/07/29/pdfs/GMD-1800-60.pdf#page=8","Abrir facsímil")</f>
        <v>Abrir facsímil</v>
      </c>
      <c r="K1444" s="15" t="s">
        <v>23</v>
      </c>
    </row>
    <row r="1445" spans="1:11" ht="42" customHeight="1">
      <c r="A1445" s="4" t="s">
        <v>3424</v>
      </c>
      <c r="B1445" s="5" t="s">
        <v>3425</v>
      </c>
      <c r="C1445" s="5" t="s">
        <v>18</v>
      </c>
      <c r="D1445" s="5" t="s">
        <v>19</v>
      </c>
      <c r="E1445" s="5" t="s">
        <v>184</v>
      </c>
      <c r="F1445" s="9">
        <v>82</v>
      </c>
      <c r="G1445" s="9">
        <v>950</v>
      </c>
      <c r="H1445" s="5" t="s">
        <v>21</v>
      </c>
      <c r="I1445" s="5" t="s">
        <v>3426</v>
      </c>
      <c r="J1445" s="12" t="str">
        <f>HYPERLINK("https://www.boe.es/gazeta/dias/1800/10/10/pdfs/GMD-1800-82.pdf#page=8","Abrir facsímil")</f>
        <v>Abrir facsímil</v>
      </c>
      <c r="K1445" s="15" t="s">
        <v>23</v>
      </c>
    </row>
    <row r="1446" spans="1:11" ht="42" customHeight="1">
      <c r="A1446" s="4" t="s">
        <v>3427</v>
      </c>
      <c r="B1446" s="5" t="s">
        <v>3428</v>
      </c>
      <c r="C1446" s="5" t="s">
        <v>84</v>
      </c>
      <c r="D1446" s="5" t="s">
        <v>85</v>
      </c>
      <c r="E1446" s="5" t="s">
        <v>82</v>
      </c>
      <c r="F1446" s="9">
        <v>10</v>
      </c>
      <c r="G1446" s="9">
        <v>99</v>
      </c>
      <c r="H1446" s="5" t="s">
        <v>21</v>
      </c>
      <c r="I1446" s="5" t="s">
        <v>3429</v>
      </c>
      <c r="J1446" s="12" t="str">
        <f>HYPERLINK("https://www.boe.es/gazeta/dias/1800/02/04/pdfs/GMD-1800-10.pdf#page=11","Abrir facsímil")</f>
        <v>Abrir facsímil</v>
      </c>
      <c r="K1446" s="15" t="s">
        <v>23</v>
      </c>
    </row>
    <row r="1447" spans="1:11" ht="42" customHeight="1">
      <c r="A1447" s="4" t="s">
        <v>3427</v>
      </c>
      <c r="B1447" s="5" t="s">
        <v>3428</v>
      </c>
      <c r="C1447" s="5" t="s">
        <v>84</v>
      </c>
      <c r="D1447" s="5" t="s">
        <v>85</v>
      </c>
      <c r="E1447" s="5" t="s">
        <v>1287</v>
      </c>
      <c r="F1447" s="9">
        <v>57</v>
      </c>
      <c r="G1447" s="9">
        <v>652</v>
      </c>
      <c r="H1447" s="5" t="s">
        <v>21</v>
      </c>
      <c r="I1447" s="5" t="s">
        <v>3430</v>
      </c>
      <c r="J1447" s="12" t="str">
        <f>HYPERLINK("https://www.boe.es/gazeta/dias/1800/07/18/pdfs/GMD-1800-57.pdf#page=16","Abrir facsímil")</f>
        <v>Abrir facsímil</v>
      </c>
      <c r="K1447" s="15" t="s">
        <v>23</v>
      </c>
    </row>
    <row r="1448" spans="1:11" ht="42" customHeight="1">
      <c r="A1448" s="4" t="s">
        <v>3431</v>
      </c>
      <c r="B1448" s="5" t="s">
        <v>3432</v>
      </c>
      <c r="C1448" s="5" t="s">
        <v>41</v>
      </c>
      <c r="D1448" s="5" t="s">
        <v>42</v>
      </c>
      <c r="E1448" s="5" t="s">
        <v>111</v>
      </c>
      <c r="F1448" s="9">
        <v>98</v>
      </c>
      <c r="G1448" s="9">
        <v>1122</v>
      </c>
      <c r="H1448" s="5" t="s">
        <v>21</v>
      </c>
      <c r="I1448" s="5" t="s">
        <v>3433</v>
      </c>
      <c r="J1448" s="12" t="str">
        <f>HYPERLINK("https://www.boe.es/gazeta/dias/1800/12/05/pdfs/GMD-1800-98.pdf#page=2","Abrir facsímil")</f>
        <v>Abrir facsímil</v>
      </c>
      <c r="K1448" s="15" t="s">
        <v>23</v>
      </c>
    </row>
    <row r="1449" spans="1:11" ht="42" customHeight="1">
      <c r="A1449" s="4" t="s">
        <v>3431</v>
      </c>
      <c r="B1449" s="5" t="s">
        <v>3432</v>
      </c>
      <c r="C1449" s="5" t="s">
        <v>41</v>
      </c>
      <c r="D1449" s="5" t="s">
        <v>42</v>
      </c>
      <c r="E1449" s="5" t="s">
        <v>111</v>
      </c>
      <c r="F1449" s="9">
        <v>98</v>
      </c>
      <c r="G1449" s="9">
        <v>1125</v>
      </c>
      <c r="H1449" s="5" t="s">
        <v>21</v>
      </c>
      <c r="I1449" s="5" t="s">
        <v>3434</v>
      </c>
      <c r="J1449" s="12" t="str">
        <f>HYPERLINK("https://www.boe.es/gazeta/dias/1800/12/05/pdfs/GMD-1800-98.pdf#page=5","Abrir facsímil")</f>
        <v>Abrir facsímil</v>
      </c>
      <c r="K1449" s="15" t="s">
        <v>23</v>
      </c>
    </row>
    <row r="1450" spans="1:11" ht="42" customHeight="1">
      <c r="A1450" s="4" t="s">
        <v>3431</v>
      </c>
      <c r="B1450" s="5" t="s">
        <v>3432</v>
      </c>
      <c r="C1450" s="5" t="s">
        <v>41</v>
      </c>
      <c r="D1450" s="5" t="s">
        <v>42</v>
      </c>
      <c r="E1450" s="5" t="s">
        <v>534</v>
      </c>
      <c r="F1450" s="9">
        <v>100</v>
      </c>
      <c r="G1450" s="9">
        <v>1151</v>
      </c>
      <c r="H1450" s="5" t="s">
        <v>21</v>
      </c>
      <c r="I1450" s="5" t="s">
        <v>3435</v>
      </c>
      <c r="J1450" s="12" t="str">
        <f>HYPERLINK("https://www.boe.es/gazeta/dias/1800/12/12/pdfs/GMD-1800-100.pdf#page=3","Abrir facsímil")</f>
        <v>Abrir facsímil</v>
      </c>
      <c r="K1450" s="15" t="s">
        <v>23</v>
      </c>
    </row>
    <row r="1451" spans="1:11" ht="42" customHeight="1">
      <c r="A1451" s="4" t="s">
        <v>3431</v>
      </c>
      <c r="B1451" s="5" t="s">
        <v>3432</v>
      </c>
      <c r="C1451" s="5" t="s">
        <v>18</v>
      </c>
      <c r="D1451" s="5" t="s">
        <v>19</v>
      </c>
      <c r="E1451" s="5" t="s">
        <v>60</v>
      </c>
      <c r="F1451" s="9">
        <v>105</v>
      </c>
      <c r="G1451" s="9">
        <v>1222</v>
      </c>
      <c r="H1451" s="5" t="s">
        <v>21</v>
      </c>
      <c r="I1451" s="5" t="s">
        <v>3436</v>
      </c>
      <c r="J1451" s="12" t="str">
        <f>HYPERLINK("https://www.boe.es/gazeta/dias/1800/12/30/pdfs/GMD-1800-105.pdf#page=6","Abrir facsímil")</f>
        <v>Abrir facsímil</v>
      </c>
      <c r="K1451" s="15" t="s">
        <v>23</v>
      </c>
    </row>
    <row r="1452" spans="1:11" ht="42" customHeight="1">
      <c r="A1452" s="4" t="s">
        <v>3437</v>
      </c>
      <c r="B1452" s="5" t="s">
        <v>3437</v>
      </c>
      <c r="C1452" s="5" t="s">
        <v>25</v>
      </c>
      <c r="D1452" s="5" t="s">
        <v>26</v>
      </c>
      <c r="E1452" s="5" t="s">
        <v>314</v>
      </c>
      <c r="F1452" s="9">
        <v>74</v>
      </c>
      <c r="G1452" s="9">
        <v>830</v>
      </c>
      <c r="H1452" s="5" t="s">
        <v>21</v>
      </c>
      <c r="I1452" s="5" t="s">
        <v>3438</v>
      </c>
      <c r="J1452" s="12" t="str">
        <f>HYPERLINK("https://www.boe.es/gazeta/dias/1800/09/12/pdfs/GMD-1800-74.pdf#page=8","Abrir facsímil")</f>
        <v>Abrir facsímil</v>
      </c>
      <c r="K1452" s="15" t="s">
        <v>23</v>
      </c>
    </row>
    <row r="1453" spans="1:11" ht="42" customHeight="1">
      <c r="A1453" s="4" t="s">
        <v>3439</v>
      </c>
      <c r="B1453" s="5" t="s">
        <v>3439</v>
      </c>
      <c r="C1453" s="5" t="s">
        <v>84</v>
      </c>
      <c r="D1453" s="5" t="s">
        <v>85</v>
      </c>
      <c r="E1453" s="5" t="s">
        <v>60</v>
      </c>
      <c r="F1453" s="9">
        <v>105</v>
      </c>
      <c r="G1453" s="9">
        <v>1228</v>
      </c>
      <c r="H1453" s="5" t="s">
        <v>21</v>
      </c>
      <c r="I1453" s="5" t="s">
        <v>3440</v>
      </c>
      <c r="J1453" s="12" t="str">
        <f>HYPERLINK("https://www.boe.es/gazeta/dias/1800/12/30/pdfs/GMD-1800-105.pdf#page=12","Abrir facsímil")</f>
        <v>Abrir facsímil</v>
      </c>
      <c r="K1453" s="15" t="s">
        <v>23</v>
      </c>
    </row>
    <row r="1454" spans="1:11" ht="42" customHeight="1">
      <c r="A1454" s="4" t="s">
        <v>3441</v>
      </c>
      <c r="B1454" s="5" t="s">
        <v>3441</v>
      </c>
      <c r="C1454" s="5" t="s">
        <v>84</v>
      </c>
      <c r="D1454" s="5" t="s">
        <v>85</v>
      </c>
      <c r="E1454" s="5" t="s">
        <v>48</v>
      </c>
      <c r="F1454" s="9">
        <v>66</v>
      </c>
      <c r="G1454" s="9">
        <v>748</v>
      </c>
      <c r="H1454" s="5" t="s">
        <v>21</v>
      </c>
      <c r="I1454" s="5" t="s">
        <v>3442</v>
      </c>
      <c r="J1454" s="12" t="str">
        <f>HYPERLINK("https://www.boe.es/gazeta/dias/1800/08/19/pdfs/GMD-1800-66.pdf#page=12","Abrir facsímil")</f>
        <v>Abrir facsímil</v>
      </c>
      <c r="K1454" s="15" t="s">
        <v>23</v>
      </c>
    </row>
    <row r="1455" spans="1:11" ht="42" customHeight="1">
      <c r="A1455" s="4" t="s">
        <v>3443</v>
      </c>
      <c r="B1455" s="5" t="s">
        <v>3444</v>
      </c>
      <c r="C1455" s="5" t="s">
        <v>25</v>
      </c>
      <c r="D1455" s="5" t="s">
        <v>26</v>
      </c>
      <c r="E1455" s="5" t="s">
        <v>356</v>
      </c>
      <c r="F1455" s="9">
        <v>31</v>
      </c>
      <c r="G1455" s="9">
        <v>315</v>
      </c>
      <c r="H1455" s="5" t="s">
        <v>21</v>
      </c>
      <c r="I1455" s="5" t="s">
        <v>3445</v>
      </c>
      <c r="J1455" s="12" t="str">
        <f>HYPERLINK("https://www.boe.es/gazeta/dias/1800/04/18/pdfs/GMD-1800-31.pdf#page=7","Abrir facsímil")</f>
        <v>Abrir facsímil</v>
      </c>
      <c r="K1455" s="15" t="s">
        <v>23</v>
      </c>
    </row>
    <row r="1456" spans="1:11" ht="42" customHeight="1">
      <c r="A1456" s="4" t="s">
        <v>3446</v>
      </c>
      <c r="B1456" s="5" t="s">
        <v>3447</v>
      </c>
      <c r="C1456" s="5" t="s">
        <v>18</v>
      </c>
      <c r="D1456" s="5" t="s">
        <v>19</v>
      </c>
      <c r="E1456" s="5" t="s">
        <v>406</v>
      </c>
      <c r="F1456" s="9">
        <v>44</v>
      </c>
      <c r="G1456" s="9">
        <v>462</v>
      </c>
      <c r="H1456" s="5" t="s">
        <v>21</v>
      </c>
      <c r="I1456" s="5" t="s">
        <v>3448</v>
      </c>
      <c r="J1456" s="12" t="str">
        <f>HYPERLINK("https://www.boe.es/gazeta/dias/1800/06/03/pdfs/GMD-1800-44.pdf#page=10","Abrir facsímil")</f>
        <v>Abrir facsímil</v>
      </c>
      <c r="K1456" s="15" t="s">
        <v>23</v>
      </c>
    </row>
    <row r="1457" spans="1:11" ht="42" customHeight="1">
      <c r="A1457" s="4" t="s">
        <v>3449</v>
      </c>
      <c r="B1457" s="5" t="s">
        <v>3450</v>
      </c>
      <c r="C1457" s="5" t="s">
        <v>41</v>
      </c>
      <c r="D1457" s="5" t="s">
        <v>42</v>
      </c>
      <c r="E1457" s="5" t="s">
        <v>79</v>
      </c>
      <c r="F1457" s="9">
        <v>7</v>
      </c>
      <c r="G1457" s="9">
        <v>64</v>
      </c>
      <c r="H1457" s="5" t="s">
        <v>21</v>
      </c>
      <c r="I1457" s="5" t="s">
        <v>3451</v>
      </c>
      <c r="J1457" s="12" t="str">
        <f>HYPERLINK("https://www.boe.es/gazeta/dias/1800/01/24/pdfs/GMD-1800-7.pdf#page=4","Abrir facsímil")</f>
        <v>Abrir facsímil</v>
      </c>
      <c r="K1457" s="15" t="s">
        <v>23</v>
      </c>
    </row>
    <row r="1458" spans="1:11" ht="42" customHeight="1">
      <c r="A1458" s="4" t="s">
        <v>3452</v>
      </c>
      <c r="B1458" s="5" t="s">
        <v>3453</v>
      </c>
      <c r="C1458" s="5" t="s">
        <v>41</v>
      </c>
      <c r="D1458" s="5" t="s">
        <v>42</v>
      </c>
      <c r="E1458" s="5" t="s">
        <v>143</v>
      </c>
      <c r="F1458" s="9">
        <v>22</v>
      </c>
      <c r="G1458" s="9">
        <v>216</v>
      </c>
      <c r="H1458" s="5" t="s">
        <v>21</v>
      </c>
      <c r="I1458" s="5" t="s">
        <v>3454</v>
      </c>
      <c r="J1458" s="12" t="str">
        <f>HYPERLINK("https://www.boe.es/gazeta/dias/1800/03/18/pdfs/GMD-1800-22.pdf#page=8","Abrir facsímil")</f>
        <v>Abrir facsímil</v>
      </c>
      <c r="K1458" s="15" t="s">
        <v>23</v>
      </c>
    </row>
    <row r="1459" spans="1:11" ht="42" customHeight="1">
      <c r="A1459" s="4" t="s">
        <v>3455</v>
      </c>
      <c r="B1459" s="5" t="s">
        <v>3455</v>
      </c>
      <c r="C1459" s="5" t="s">
        <v>41</v>
      </c>
      <c r="D1459" s="5" t="s">
        <v>42</v>
      </c>
      <c r="E1459" s="5" t="s">
        <v>64</v>
      </c>
      <c r="F1459" s="9">
        <v>54</v>
      </c>
      <c r="G1459" s="9">
        <v>598</v>
      </c>
      <c r="H1459" s="5" t="s">
        <v>21</v>
      </c>
      <c r="I1459" s="5" t="s">
        <v>3456</v>
      </c>
      <c r="J1459" s="12" t="str">
        <f>HYPERLINK("https://www.boe.es/gazeta/dias/1800/07/08/pdfs/GMD-1800-54.pdf#page=2","Abrir facsímil")</f>
        <v>Abrir facsímil</v>
      </c>
      <c r="K1459" s="15" t="s">
        <v>23</v>
      </c>
    </row>
    <row r="1460" spans="1:11" ht="42" customHeight="1">
      <c r="A1460" s="4" t="s">
        <v>3457</v>
      </c>
      <c r="B1460" s="5" t="s">
        <v>3458</v>
      </c>
      <c r="C1460" s="5" t="s">
        <v>18</v>
      </c>
      <c r="D1460" s="5" t="s">
        <v>19</v>
      </c>
      <c r="E1460" s="5" t="s">
        <v>1213</v>
      </c>
      <c r="F1460" s="9">
        <v>4</v>
      </c>
      <c r="G1460" s="9">
        <v>36</v>
      </c>
      <c r="H1460" s="5" t="s">
        <v>21</v>
      </c>
      <c r="I1460" s="5" t="s">
        <v>3459</v>
      </c>
      <c r="J1460" s="12" t="str">
        <f>HYPERLINK("https://www.boe.es/gazeta/dias/1800/01/14/pdfs/GMD-1800-4.pdf#page=8","Abrir facsímil")</f>
        <v>Abrir facsímil</v>
      </c>
      <c r="K1460" s="15" t="s">
        <v>23</v>
      </c>
    </row>
    <row r="1461" spans="1:11" ht="42" customHeight="1">
      <c r="A1461" s="4" t="s">
        <v>3460</v>
      </c>
      <c r="B1461" s="5" t="s">
        <v>3461</v>
      </c>
      <c r="C1461" s="5" t="s">
        <v>18</v>
      </c>
      <c r="D1461" s="5" t="s">
        <v>19</v>
      </c>
      <c r="E1461" s="5" t="s">
        <v>255</v>
      </c>
      <c r="F1461" s="9">
        <v>75</v>
      </c>
      <c r="G1461" s="9">
        <v>855</v>
      </c>
      <c r="H1461" s="5" t="s">
        <v>21</v>
      </c>
      <c r="I1461" s="5" t="s">
        <v>3462</v>
      </c>
      <c r="J1461" s="12" t="str">
        <f>HYPERLINK("https://www.boe.es/gazeta/dias/1800/09/16/pdfs/GMD-1800-75.pdf#page=9","Abrir facsímil")</f>
        <v>Abrir facsímil</v>
      </c>
      <c r="K1461" s="15" t="s">
        <v>23</v>
      </c>
    </row>
    <row r="1462" spans="1:11" ht="42" customHeight="1">
      <c r="A1462" s="4" t="s">
        <v>3463</v>
      </c>
      <c r="B1462" s="5" t="s">
        <v>3463</v>
      </c>
      <c r="C1462" s="5" t="s">
        <v>41</v>
      </c>
      <c r="D1462" s="5" t="s">
        <v>42</v>
      </c>
      <c r="E1462" s="5" t="s">
        <v>240</v>
      </c>
      <c r="F1462" s="9">
        <v>26</v>
      </c>
      <c r="G1462" s="9">
        <v>264</v>
      </c>
      <c r="H1462" s="5" t="s">
        <v>21</v>
      </c>
      <c r="I1462" s="5" t="s">
        <v>3464</v>
      </c>
      <c r="J1462" s="12" t="str">
        <f>HYPERLINK("https://www.boe.es/gazeta/dias/1800/04/01/pdfs/GMD-1800-26.pdf#page=4","Abrir facsímil")</f>
        <v>Abrir facsímil</v>
      </c>
      <c r="K1462" s="15" t="s">
        <v>23</v>
      </c>
    </row>
    <row r="1463" spans="1:11" ht="42" customHeight="1">
      <c r="A1463" s="4" t="s">
        <v>3465</v>
      </c>
      <c r="B1463" s="5" t="s">
        <v>3465</v>
      </c>
      <c r="C1463" s="5" t="s">
        <v>84</v>
      </c>
      <c r="D1463" s="5" t="s">
        <v>85</v>
      </c>
      <c r="E1463" s="5" t="s">
        <v>230</v>
      </c>
      <c r="F1463" s="9">
        <v>35</v>
      </c>
      <c r="G1463" s="9">
        <v>355</v>
      </c>
      <c r="H1463" s="5" t="s">
        <v>21</v>
      </c>
      <c r="I1463" s="5" t="s">
        <v>3466</v>
      </c>
      <c r="J1463" s="12" t="str">
        <f>HYPERLINK("https://www.boe.es/gazeta/dias/1800/05/02/pdfs/GMD-1800-35.pdf#page=7","Abrir facsímil")</f>
        <v>Abrir facsímil</v>
      </c>
      <c r="K1463" s="15" t="s">
        <v>23</v>
      </c>
    </row>
    <row r="1464" spans="1:11" ht="42" customHeight="1">
      <c r="A1464" s="4" t="s">
        <v>3467</v>
      </c>
      <c r="B1464" s="5" t="s">
        <v>3468</v>
      </c>
      <c r="C1464" s="5" t="s">
        <v>25</v>
      </c>
      <c r="D1464" s="5" t="s">
        <v>26</v>
      </c>
      <c r="E1464" s="5" t="s">
        <v>101</v>
      </c>
      <c r="F1464" s="9">
        <v>37</v>
      </c>
      <c r="G1464" s="9">
        <v>377</v>
      </c>
      <c r="H1464" s="5" t="s">
        <v>21</v>
      </c>
      <c r="I1464" s="5" t="s">
        <v>3469</v>
      </c>
      <c r="J1464" s="12" t="str">
        <f>HYPERLINK("https://www.boe.es/gazeta/dias/1800/05/09/pdfs/GMD-1800-37.pdf#page=9","Abrir facsímil")</f>
        <v>Abrir facsímil</v>
      </c>
      <c r="K1464" s="15" t="s">
        <v>23</v>
      </c>
    </row>
    <row r="1465" spans="1:11" ht="42" customHeight="1">
      <c r="A1465" s="4" t="s">
        <v>3470</v>
      </c>
      <c r="B1465" s="5" t="s">
        <v>3471</v>
      </c>
      <c r="C1465" s="5" t="s">
        <v>25</v>
      </c>
      <c r="D1465" s="5" t="s">
        <v>26</v>
      </c>
      <c r="E1465" s="5" t="s">
        <v>101</v>
      </c>
      <c r="F1465" s="9">
        <v>37</v>
      </c>
      <c r="G1465" s="9">
        <v>377</v>
      </c>
      <c r="H1465" s="5" t="s">
        <v>21</v>
      </c>
      <c r="I1465" s="5" t="s">
        <v>3472</v>
      </c>
      <c r="J1465" s="12" t="str">
        <f>HYPERLINK("https://www.boe.es/gazeta/dias/1800/05/09/pdfs/GMD-1800-37.pdf#page=9","Abrir facsímil")</f>
        <v>Abrir facsímil</v>
      </c>
      <c r="K1465" s="15" t="s">
        <v>23</v>
      </c>
    </row>
    <row r="1466" spans="1:11" ht="42" customHeight="1">
      <c r="A1466" s="4" t="s">
        <v>3473</v>
      </c>
      <c r="B1466" s="5" t="s">
        <v>3474</v>
      </c>
      <c r="C1466" s="5" t="s">
        <v>25</v>
      </c>
      <c r="D1466" s="5" t="s">
        <v>26</v>
      </c>
      <c r="E1466" s="5" t="s">
        <v>45</v>
      </c>
      <c r="F1466" s="9">
        <v>47</v>
      </c>
      <c r="G1466" s="9">
        <v>502</v>
      </c>
      <c r="H1466" s="5" t="s">
        <v>21</v>
      </c>
      <c r="I1466" s="5" t="s">
        <v>3475</v>
      </c>
      <c r="J1466" s="12" t="str">
        <f>HYPERLINK("https://www.boe.es/gazeta/dias/1800/06/13/pdfs/GMD-1800-47.pdf#page=10","Abrir facsímil")</f>
        <v>Abrir facsímil</v>
      </c>
      <c r="K1466" s="15" t="s">
        <v>23</v>
      </c>
    </row>
    <row r="1467" spans="1:11" ht="42" customHeight="1">
      <c r="A1467" s="4" t="s">
        <v>3476</v>
      </c>
      <c r="B1467" s="5" t="s">
        <v>3477</v>
      </c>
      <c r="C1467" s="5" t="s">
        <v>207</v>
      </c>
      <c r="D1467" s="5" t="s">
        <v>55</v>
      </c>
      <c r="E1467" s="5" t="s">
        <v>306</v>
      </c>
      <c r="F1467" s="9">
        <v>79</v>
      </c>
      <c r="G1467" s="9">
        <v>899</v>
      </c>
      <c r="H1467" s="5" t="s">
        <v>21</v>
      </c>
      <c r="I1467" s="5" t="s">
        <v>3478</v>
      </c>
      <c r="J1467" s="12" t="str">
        <f>HYPERLINK("https://www.boe.es/gazeta/dias/1800/09/30/pdfs/GMD-1800-79.pdf#page=9","Abrir facsímil")</f>
        <v>Abrir facsímil</v>
      </c>
      <c r="K1467" s="15" t="s">
        <v>23</v>
      </c>
    </row>
    <row r="1468" spans="1:11" ht="42" customHeight="1">
      <c r="A1468" s="4" t="s">
        <v>3479</v>
      </c>
      <c r="B1468" s="5" t="s">
        <v>3480</v>
      </c>
      <c r="C1468" s="5" t="s">
        <v>18</v>
      </c>
      <c r="D1468" s="5" t="s">
        <v>19</v>
      </c>
      <c r="E1468" s="5" t="s">
        <v>478</v>
      </c>
      <c r="F1468" s="9">
        <v>34</v>
      </c>
      <c r="G1468" s="9">
        <v>346</v>
      </c>
      <c r="H1468" s="5" t="s">
        <v>21</v>
      </c>
      <c r="I1468" s="5" t="s">
        <v>3481</v>
      </c>
      <c r="J1468" s="12" t="str">
        <f>HYPERLINK("https://www.boe.es/gazeta/dias/1800/04/29/pdfs/GMD-1800-34.pdf#page=10","Abrir facsímil")</f>
        <v>Abrir facsímil</v>
      </c>
      <c r="K1468" s="15" t="s">
        <v>23</v>
      </c>
    </row>
    <row r="1469" spans="1:11" ht="42" customHeight="1">
      <c r="A1469" s="4" t="s">
        <v>3482</v>
      </c>
      <c r="B1469" s="5" t="s">
        <v>3483</v>
      </c>
      <c r="C1469" s="5" t="s">
        <v>18</v>
      </c>
      <c r="D1469" s="5" t="s">
        <v>19</v>
      </c>
      <c r="E1469" s="5" t="s">
        <v>262</v>
      </c>
      <c r="F1469" s="9">
        <v>39</v>
      </c>
      <c r="G1469" s="9">
        <v>400</v>
      </c>
      <c r="H1469" s="5" t="s">
        <v>21</v>
      </c>
      <c r="I1469" s="5" t="s">
        <v>3484</v>
      </c>
      <c r="J1469" s="12" t="str">
        <f>HYPERLINK("https://www.boe.es/gazeta/dias/1800/05/16/pdfs/GMD-1800-39.pdf#page=8","Abrir facsímil")</f>
        <v>Abrir facsímil</v>
      </c>
      <c r="K1469" s="15" t="s">
        <v>23</v>
      </c>
    </row>
    <row r="1470" spans="1:11" ht="42" customHeight="1">
      <c r="A1470" s="4" t="s">
        <v>3485</v>
      </c>
      <c r="B1470" s="5" t="s">
        <v>3486</v>
      </c>
      <c r="C1470" s="5" t="s">
        <v>18</v>
      </c>
      <c r="D1470" s="5" t="s">
        <v>19</v>
      </c>
      <c r="E1470" s="5" t="s">
        <v>27</v>
      </c>
      <c r="F1470" s="9">
        <v>65</v>
      </c>
      <c r="G1470" s="9">
        <v>733</v>
      </c>
      <c r="H1470" s="5" t="s">
        <v>21</v>
      </c>
      <c r="I1470" s="5" t="s">
        <v>3487</v>
      </c>
      <c r="J1470" s="12" t="str">
        <f>HYPERLINK("https://www.boe.es/gazeta/dias/1800/08/15/pdfs/GMD-1800-65.pdf#page=9","Abrir facsímil")</f>
        <v>Abrir facsímil</v>
      </c>
      <c r="K1470" s="15" t="s">
        <v>23</v>
      </c>
    </row>
    <row r="1471" spans="1:11" ht="42" customHeight="1">
      <c r="A1471" s="4" t="s">
        <v>3488</v>
      </c>
      <c r="B1471" s="5" t="s">
        <v>3489</v>
      </c>
      <c r="C1471" s="5" t="s">
        <v>25</v>
      </c>
      <c r="D1471" s="5" t="s">
        <v>26</v>
      </c>
      <c r="E1471" s="5" t="s">
        <v>567</v>
      </c>
      <c r="F1471" s="9">
        <v>3</v>
      </c>
      <c r="G1471" s="9">
        <v>27</v>
      </c>
      <c r="H1471" s="5" t="s">
        <v>21</v>
      </c>
      <c r="I1471" s="5" t="s">
        <v>3490</v>
      </c>
      <c r="J1471" s="12" t="str">
        <f>HYPERLINK("https://www.boe.es/gazeta/dias/1800/01/10/pdfs/GMD-1800-3.pdf#page=7","Abrir facsímil")</f>
        <v>Abrir facsímil</v>
      </c>
      <c r="K1471" s="15" t="s">
        <v>23</v>
      </c>
    </row>
    <row r="1472" spans="1:11" ht="42" customHeight="1">
      <c r="A1472" s="4" t="s">
        <v>3491</v>
      </c>
      <c r="B1472" s="5" t="s">
        <v>3492</v>
      </c>
      <c r="C1472" s="5" t="s">
        <v>18</v>
      </c>
      <c r="D1472" s="5" t="s">
        <v>19</v>
      </c>
      <c r="E1472" s="5" t="s">
        <v>240</v>
      </c>
      <c r="F1472" s="9">
        <v>26</v>
      </c>
      <c r="G1472" s="9">
        <v>270</v>
      </c>
      <c r="H1472" s="5" t="s">
        <v>21</v>
      </c>
      <c r="I1472" s="5" t="s">
        <v>3493</v>
      </c>
      <c r="J1472" s="12" t="str">
        <f>HYPERLINK("https://www.boe.es/gazeta/dias/1800/04/01/pdfs/GMD-1800-26.pdf#page=10","Abrir facsímil")</f>
        <v>Abrir facsímil</v>
      </c>
      <c r="K1472" s="15" t="s">
        <v>23</v>
      </c>
    </row>
    <row r="1473" spans="1:11" ht="42" customHeight="1">
      <c r="A1473" s="4" t="s">
        <v>3494</v>
      </c>
      <c r="B1473" s="5" t="s">
        <v>3495</v>
      </c>
      <c r="C1473" s="5" t="s">
        <v>18</v>
      </c>
      <c r="D1473" s="5" t="s">
        <v>19</v>
      </c>
      <c r="E1473" s="5" t="s">
        <v>1213</v>
      </c>
      <c r="F1473" s="9">
        <v>4</v>
      </c>
      <c r="G1473" s="9">
        <v>36</v>
      </c>
      <c r="H1473" s="5" t="s">
        <v>21</v>
      </c>
      <c r="I1473" s="5" t="s">
        <v>3496</v>
      </c>
      <c r="J1473" s="12" t="str">
        <f>HYPERLINK("https://www.boe.es/gazeta/dias/1800/01/14/pdfs/GMD-1800-4.pdf#page=8","Abrir facsímil")</f>
        <v>Abrir facsímil</v>
      </c>
      <c r="K1473" s="15" t="s">
        <v>23</v>
      </c>
    </row>
    <row r="1474" spans="1:11" ht="42" customHeight="1">
      <c r="A1474" s="4" t="s">
        <v>3497</v>
      </c>
      <c r="B1474" s="5" t="s">
        <v>3498</v>
      </c>
      <c r="C1474" s="5" t="s">
        <v>18</v>
      </c>
      <c r="D1474" s="5" t="s">
        <v>19</v>
      </c>
      <c r="E1474" s="5" t="s">
        <v>158</v>
      </c>
      <c r="F1474" s="9">
        <v>25</v>
      </c>
      <c r="G1474" s="9">
        <v>258</v>
      </c>
      <c r="H1474" s="5" t="s">
        <v>21</v>
      </c>
      <c r="I1474" s="5" t="s">
        <v>3499</v>
      </c>
      <c r="J1474" s="12" t="str">
        <f>HYPERLINK("https://www.boe.es/gazeta/dias/1800/03/28/pdfs/GMD-1800-25.pdf#page=10","Abrir facsímil")</f>
        <v>Abrir facsímil</v>
      </c>
      <c r="K1474" s="15" t="s">
        <v>23</v>
      </c>
    </row>
    <row r="1475" spans="1:11" ht="42" customHeight="1">
      <c r="A1475" s="4" t="s">
        <v>3500</v>
      </c>
      <c r="B1475" s="5" t="s">
        <v>3501</v>
      </c>
      <c r="C1475" s="5" t="s">
        <v>171</v>
      </c>
      <c r="D1475" s="5" t="s">
        <v>172</v>
      </c>
      <c r="E1475" s="5" t="s">
        <v>135</v>
      </c>
      <c r="F1475" s="9">
        <v>73</v>
      </c>
      <c r="G1475" s="9">
        <v>819</v>
      </c>
      <c r="H1475" s="5" t="s">
        <v>21</v>
      </c>
      <c r="I1475" s="5" t="s">
        <v>3502</v>
      </c>
      <c r="J1475" s="12" t="str">
        <f>HYPERLINK("https://www.boe.es/gazeta/dias/1800/09/09/pdfs/GMD-C-1800-73.pdf#page=1","Abrir facsímil")</f>
        <v>Abrir facsímil</v>
      </c>
      <c r="K1475" s="15" t="s">
        <v>23</v>
      </c>
    </row>
    <row r="1476" spans="1:11" ht="42" customHeight="1">
      <c r="A1476" s="4" t="s">
        <v>3500</v>
      </c>
      <c r="B1476" s="5" t="s">
        <v>3501</v>
      </c>
      <c r="C1476" s="5" t="s">
        <v>25</v>
      </c>
      <c r="D1476" s="5" t="s">
        <v>26</v>
      </c>
      <c r="E1476" s="5" t="s">
        <v>410</v>
      </c>
      <c r="F1476" s="9">
        <v>87</v>
      </c>
      <c r="G1476" s="9">
        <v>1010</v>
      </c>
      <c r="H1476" s="5" t="s">
        <v>21</v>
      </c>
      <c r="I1476" s="5" t="s">
        <v>3503</v>
      </c>
      <c r="J1476" s="12" t="str">
        <f>HYPERLINK("https://www.boe.es/gazeta/dias/1800/10/28/pdfs/GMD-1800-87.pdf#page=8","Abrir facsímil")</f>
        <v>Abrir facsímil</v>
      </c>
      <c r="K1476" s="15" t="s">
        <v>23</v>
      </c>
    </row>
    <row r="1477" spans="1:11" ht="42" customHeight="1">
      <c r="A1477" s="4" t="s">
        <v>3504</v>
      </c>
      <c r="B1477" s="5" t="s">
        <v>3505</v>
      </c>
      <c r="C1477" s="5" t="s">
        <v>207</v>
      </c>
      <c r="D1477" s="5" t="s">
        <v>55</v>
      </c>
      <c r="E1477" s="5" t="s">
        <v>244</v>
      </c>
      <c r="F1477" s="9">
        <v>9</v>
      </c>
      <c r="G1477" s="9">
        <v>85</v>
      </c>
      <c r="H1477" s="5" t="s">
        <v>21</v>
      </c>
      <c r="I1477" s="5" t="s">
        <v>3506</v>
      </c>
      <c r="J1477" s="12" t="str">
        <f>HYPERLINK("https://www.boe.es/gazeta/dias/1800/01/31/pdfs/GMD-1800-9.pdf#page=9","Abrir facsímil")</f>
        <v>Abrir facsímil</v>
      </c>
      <c r="K1477" s="15" t="s">
        <v>23</v>
      </c>
    </row>
    <row r="1478" spans="1:11" ht="42" customHeight="1">
      <c r="A1478" s="4" t="s">
        <v>3507</v>
      </c>
      <c r="B1478" s="5" t="s">
        <v>3508</v>
      </c>
      <c r="C1478" s="5" t="s">
        <v>25</v>
      </c>
      <c r="D1478" s="5" t="s">
        <v>26</v>
      </c>
      <c r="E1478" s="5" t="s">
        <v>45</v>
      </c>
      <c r="F1478" s="9">
        <v>47</v>
      </c>
      <c r="G1478" s="9">
        <v>502</v>
      </c>
      <c r="H1478" s="5" t="s">
        <v>21</v>
      </c>
      <c r="I1478" s="5" t="s">
        <v>3509</v>
      </c>
      <c r="J1478" s="12" t="str">
        <f>HYPERLINK("https://www.boe.es/gazeta/dias/1800/06/13/pdfs/GMD-1800-47.pdf#page=10","Abrir facsímil")</f>
        <v>Abrir facsímil</v>
      </c>
      <c r="K1478" s="15" t="s">
        <v>23</v>
      </c>
    </row>
    <row r="1479" spans="1:11" ht="42" customHeight="1">
      <c r="A1479" s="4" t="s">
        <v>3510</v>
      </c>
      <c r="B1479" s="5" t="s">
        <v>3511</v>
      </c>
      <c r="C1479" s="5" t="s">
        <v>54</v>
      </c>
      <c r="D1479" s="5" t="s">
        <v>55</v>
      </c>
      <c r="E1479" s="5" t="s">
        <v>445</v>
      </c>
      <c r="F1479" s="9">
        <v>96</v>
      </c>
      <c r="G1479" s="9">
        <v>1107</v>
      </c>
      <c r="H1479" s="5" t="s">
        <v>21</v>
      </c>
      <c r="I1479" s="5" t="s">
        <v>3512</v>
      </c>
      <c r="J1479" s="12" t="str">
        <f>HYPERLINK("https://www.boe.es/gazeta/dias/1800/11/28/pdfs/GMD-1800-96.pdf#page=11","Abrir facsímil")</f>
        <v>Abrir facsímil</v>
      </c>
      <c r="K1479" s="15" t="s">
        <v>23</v>
      </c>
    </row>
    <row r="1480" spans="1:11" ht="42" customHeight="1">
      <c r="A1480" s="4" t="s">
        <v>3510</v>
      </c>
      <c r="B1480" s="5" t="s">
        <v>3511</v>
      </c>
      <c r="C1480" s="5" t="s">
        <v>54</v>
      </c>
      <c r="D1480" s="5" t="s">
        <v>55</v>
      </c>
      <c r="E1480" s="5" t="s">
        <v>445</v>
      </c>
      <c r="F1480" s="9">
        <v>96</v>
      </c>
      <c r="G1480" s="9">
        <v>1108</v>
      </c>
      <c r="H1480" s="5" t="s">
        <v>21</v>
      </c>
      <c r="I1480" s="5" t="s">
        <v>3513</v>
      </c>
      <c r="J1480" s="12" t="str">
        <f>HYPERLINK("https://www.boe.es/gazeta/dias/1800/11/28/pdfs/GMD-1800-96.pdf#page=12","Abrir facsímil")</f>
        <v>Abrir facsímil</v>
      </c>
      <c r="K1480" s="15" t="s">
        <v>23</v>
      </c>
    </row>
    <row r="1481" spans="1:11" ht="42" customHeight="1">
      <c r="A1481" s="4" t="s">
        <v>3514</v>
      </c>
      <c r="B1481" s="5" t="s">
        <v>3515</v>
      </c>
      <c r="C1481" s="5" t="s">
        <v>18</v>
      </c>
      <c r="D1481" s="5" t="s">
        <v>19</v>
      </c>
      <c r="E1481" s="5" t="s">
        <v>43</v>
      </c>
      <c r="F1481" s="9">
        <v>46</v>
      </c>
      <c r="G1481" s="9">
        <v>488</v>
      </c>
      <c r="H1481" s="5" t="s">
        <v>21</v>
      </c>
      <c r="I1481" s="5" t="s">
        <v>3516</v>
      </c>
      <c r="J1481" s="12" t="str">
        <f>HYPERLINK("https://www.boe.es/gazeta/dias/1800/06/10/pdfs/GMD-1800-46.pdf#page=12","Abrir facsímil")</f>
        <v>Abrir facsímil</v>
      </c>
      <c r="K1481" s="15" t="s">
        <v>23</v>
      </c>
    </row>
    <row r="1482" spans="1:11" ht="42" customHeight="1">
      <c r="A1482" s="4" t="s">
        <v>3517</v>
      </c>
      <c r="B1482" s="5" t="s">
        <v>3518</v>
      </c>
      <c r="C1482" s="5" t="s">
        <v>18</v>
      </c>
      <c r="D1482" s="5" t="s">
        <v>19</v>
      </c>
      <c r="E1482" s="5" t="s">
        <v>190</v>
      </c>
      <c r="F1482" s="9">
        <v>93</v>
      </c>
      <c r="G1482" s="9">
        <v>1066</v>
      </c>
      <c r="H1482" s="5" t="s">
        <v>21</v>
      </c>
      <c r="I1482" s="5" t="s">
        <v>3519</v>
      </c>
      <c r="J1482" s="12" t="str">
        <f>HYPERLINK("https://www.boe.es/gazeta/dias/1800/11/18/pdfs/GMD-1800-93.pdf#page=12","Abrir facsímil")</f>
        <v>Abrir facsímil</v>
      </c>
      <c r="K1482" s="15" t="s">
        <v>23</v>
      </c>
    </row>
    <row r="1483" spans="1:11" ht="42" customHeight="1">
      <c r="A1483" s="4" t="s">
        <v>3520</v>
      </c>
      <c r="B1483" s="5" t="s">
        <v>3521</v>
      </c>
      <c r="C1483" s="5" t="s">
        <v>41</v>
      </c>
      <c r="D1483" s="5" t="s">
        <v>42</v>
      </c>
      <c r="E1483" s="5" t="s">
        <v>422</v>
      </c>
      <c r="F1483" s="9">
        <v>85</v>
      </c>
      <c r="G1483" s="9">
        <v>982</v>
      </c>
      <c r="H1483" s="5" t="s">
        <v>21</v>
      </c>
      <c r="I1483" s="5" t="s">
        <v>3522</v>
      </c>
      <c r="J1483" s="12" t="str">
        <f>HYPERLINK("https://www.boe.es/gazeta/dias/1800/10/21/pdfs/GMD-1800-85.pdf#page=4","Abrir facsímil")</f>
        <v>Abrir facsímil</v>
      </c>
      <c r="K1483" s="15" t="s">
        <v>23</v>
      </c>
    </row>
    <row r="1484" spans="1:11" ht="42" customHeight="1">
      <c r="A1484" s="4" t="s">
        <v>3523</v>
      </c>
      <c r="B1484" s="5" t="s">
        <v>3524</v>
      </c>
      <c r="C1484" s="5" t="s">
        <v>18</v>
      </c>
      <c r="D1484" s="5" t="s">
        <v>19</v>
      </c>
      <c r="E1484" s="5" t="s">
        <v>147</v>
      </c>
      <c r="F1484" s="9">
        <v>84</v>
      </c>
      <c r="G1484" s="9">
        <v>973</v>
      </c>
      <c r="H1484" s="5" t="s">
        <v>21</v>
      </c>
      <c r="I1484" s="5" t="s">
        <v>3525</v>
      </c>
      <c r="J1484" s="12" t="str">
        <f>HYPERLINK("https://www.boe.es/gazeta/dias/1800/10/17/pdfs/GMD-1800-84.pdf#page=7","Abrir facsímil")</f>
        <v>Abrir facsímil</v>
      </c>
      <c r="K1484" s="15" t="s">
        <v>23</v>
      </c>
    </row>
    <row r="1485" spans="1:11" ht="42" customHeight="1">
      <c r="A1485" s="4" t="s">
        <v>3526</v>
      </c>
      <c r="B1485" s="5" t="s">
        <v>3527</v>
      </c>
      <c r="C1485" s="5" t="s">
        <v>18</v>
      </c>
      <c r="D1485" s="5" t="s">
        <v>19</v>
      </c>
      <c r="E1485" s="5" t="s">
        <v>618</v>
      </c>
      <c r="F1485" s="9">
        <v>1</v>
      </c>
      <c r="G1485" s="9">
        <v>6</v>
      </c>
      <c r="H1485" s="5" t="s">
        <v>21</v>
      </c>
      <c r="I1485" s="5" t="s">
        <v>3528</v>
      </c>
      <c r="J1485" s="12" t="str">
        <f>HYPERLINK("https://www.boe.es/gazeta/dias/1800/01/03/pdfs/GMD-1800-1.pdf#page=6","Abrir facsímil")</f>
        <v>Abrir facsímil</v>
      </c>
      <c r="K1485" s="15" t="s">
        <v>23</v>
      </c>
    </row>
    <row r="1486" spans="1:11" ht="42" customHeight="1">
      <c r="A1486" s="4" t="s">
        <v>3529</v>
      </c>
      <c r="B1486" s="5" t="s">
        <v>3530</v>
      </c>
      <c r="C1486" s="5" t="s">
        <v>18</v>
      </c>
      <c r="D1486" s="5" t="s">
        <v>19</v>
      </c>
      <c r="E1486" s="5" t="s">
        <v>39</v>
      </c>
      <c r="F1486" s="9">
        <v>43</v>
      </c>
      <c r="G1486" s="9">
        <v>449</v>
      </c>
      <c r="H1486" s="5" t="s">
        <v>21</v>
      </c>
      <c r="I1486" s="5" t="s">
        <v>3531</v>
      </c>
      <c r="J1486" s="12" t="str">
        <f>HYPERLINK("https://www.boe.es/gazeta/dias/1800/05/30/pdfs/GMD-1800-43.pdf#page=9","Abrir facsímil")</f>
        <v>Abrir facsímil</v>
      </c>
      <c r="K1486" s="15" t="s">
        <v>23</v>
      </c>
    </row>
    <row r="1487" spans="1:11" ht="42" customHeight="1">
      <c r="A1487" s="4" t="s">
        <v>3532</v>
      </c>
      <c r="B1487" s="5" t="s">
        <v>3533</v>
      </c>
      <c r="C1487" s="5" t="s">
        <v>25</v>
      </c>
      <c r="D1487" s="5" t="s">
        <v>26</v>
      </c>
      <c r="E1487" s="5" t="s">
        <v>465</v>
      </c>
      <c r="F1487" s="9">
        <v>49</v>
      </c>
      <c r="G1487" s="9">
        <v>532</v>
      </c>
      <c r="H1487" s="5" t="s">
        <v>21</v>
      </c>
      <c r="I1487" s="5" t="s">
        <v>3534</v>
      </c>
      <c r="J1487" s="12" t="str">
        <f>HYPERLINK("https://www.boe.es/gazeta/dias/1800/06/20/pdfs/GMD-1800-49.pdf#page=8","Abrir facsímil")</f>
        <v>Abrir facsímil</v>
      </c>
      <c r="K1487" s="15" t="s">
        <v>23</v>
      </c>
    </row>
    <row r="1488" spans="1:11" ht="42" customHeight="1">
      <c r="A1488" s="4" t="s">
        <v>3535</v>
      </c>
      <c r="B1488" s="5" t="s">
        <v>3536</v>
      </c>
      <c r="C1488" s="5" t="s">
        <v>18</v>
      </c>
      <c r="D1488" s="5" t="s">
        <v>19</v>
      </c>
      <c r="E1488" s="5" t="s">
        <v>255</v>
      </c>
      <c r="F1488" s="9">
        <v>75</v>
      </c>
      <c r="G1488" s="9">
        <v>855</v>
      </c>
      <c r="H1488" s="5" t="s">
        <v>21</v>
      </c>
      <c r="I1488" s="5" t="s">
        <v>3537</v>
      </c>
      <c r="J1488" s="12" t="str">
        <f>HYPERLINK("https://www.boe.es/gazeta/dias/1800/09/16/pdfs/GMD-1800-75.pdf#page=9","Abrir facsímil")</f>
        <v>Abrir facsímil</v>
      </c>
      <c r="K1488" s="15" t="s">
        <v>23</v>
      </c>
    </row>
    <row r="1489" spans="1:11" ht="42" customHeight="1">
      <c r="A1489" s="4" t="s">
        <v>3538</v>
      </c>
      <c r="B1489" s="5" t="s">
        <v>3539</v>
      </c>
      <c r="C1489" s="5" t="s">
        <v>18</v>
      </c>
      <c r="D1489" s="5" t="s">
        <v>19</v>
      </c>
      <c r="E1489" s="5" t="s">
        <v>595</v>
      </c>
      <c r="F1489" s="9">
        <v>72</v>
      </c>
      <c r="G1489" s="9">
        <v>797</v>
      </c>
      <c r="H1489" s="5" t="s">
        <v>21</v>
      </c>
      <c r="I1489" s="5" t="s">
        <v>3540</v>
      </c>
      <c r="J1489" s="12" t="str">
        <f>HYPERLINK("https://www.boe.es/gazeta/dias/1800/09/05/pdfs/GMD-1800-72.pdf#page=7","Abrir facsímil")</f>
        <v>Abrir facsímil</v>
      </c>
      <c r="K1489" s="15" t="s">
        <v>23</v>
      </c>
    </row>
    <row r="1490" spans="1:11" ht="42" customHeight="1">
      <c r="A1490" s="4" t="s">
        <v>3541</v>
      </c>
      <c r="B1490" s="5" t="s">
        <v>3542</v>
      </c>
      <c r="C1490" s="5" t="s">
        <v>84</v>
      </c>
      <c r="D1490" s="5" t="s">
        <v>85</v>
      </c>
      <c r="E1490" s="5" t="s">
        <v>600</v>
      </c>
      <c r="F1490" s="9">
        <v>45</v>
      </c>
      <c r="G1490" s="9">
        <v>474</v>
      </c>
      <c r="H1490" s="5" t="s">
        <v>21</v>
      </c>
      <c r="I1490" s="5" t="s">
        <v>3543</v>
      </c>
      <c r="J1490" s="12" t="str">
        <f>HYPERLINK("https://www.boe.es/gazeta/dias/1800/06/06/pdfs/GMD-1800-45.pdf#page=10","Abrir facsímil")</f>
        <v>Abrir facsímil</v>
      </c>
      <c r="K1490" s="15" t="s">
        <v>23</v>
      </c>
    </row>
    <row r="1491" spans="1:11" ht="42" customHeight="1">
      <c r="A1491" s="4" t="s">
        <v>3544</v>
      </c>
      <c r="B1491" s="5" t="s">
        <v>3545</v>
      </c>
      <c r="C1491" s="5" t="s">
        <v>171</v>
      </c>
      <c r="D1491" s="5" t="s">
        <v>172</v>
      </c>
      <c r="E1491" s="5" t="s">
        <v>214</v>
      </c>
      <c r="F1491" s="9">
        <v>41</v>
      </c>
      <c r="G1491" s="9">
        <v>425</v>
      </c>
      <c r="H1491" s="5" t="s">
        <v>21</v>
      </c>
      <c r="I1491" s="5" t="s">
        <v>3546</v>
      </c>
      <c r="J1491" s="12" t="str">
        <f>HYPERLINK("https://www.boe.es/gazeta/dias/1800/05/23/pdfs/GMD-C-1800-41.pdf#page=1","Abrir facsímil")</f>
        <v>Abrir facsímil</v>
      </c>
      <c r="K1491" s="15" t="s">
        <v>23</v>
      </c>
    </row>
    <row r="1492" spans="1:11" ht="42" customHeight="1">
      <c r="A1492" s="4" t="s">
        <v>3547</v>
      </c>
      <c r="B1492" s="5" t="s">
        <v>3548</v>
      </c>
      <c r="C1492" s="5" t="s">
        <v>18</v>
      </c>
      <c r="D1492" s="5" t="s">
        <v>19</v>
      </c>
      <c r="E1492" s="5" t="s">
        <v>1231</v>
      </c>
      <c r="F1492" s="9">
        <v>36</v>
      </c>
      <c r="G1492" s="9">
        <v>366</v>
      </c>
      <c r="H1492" s="5" t="s">
        <v>21</v>
      </c>
      <c r="I1492" s="5" t="s">
        <v>3549</v>
      </c>
      <c r="J1492" s="12" t="str">
        <f>HYPERLINK("https://www.boe.es/gazeta/dias/1800/05/06/pdfs/GMD-1800-36.pdf#page=10","Abrir facsímil")</f>
        <v>Abrir facsímil</v>
      </c>
      <c r="K1492" s="15" t="s">
        <v>23</v>
      </c>
    </row>
    <row r="1493" spans="1:11" ht="42" customHeight="1">
      <c r="A1493" s="4" t="s">
        <v>3550</v>
      </c>
      <c r="B1493" s="5" t="s">
        <v>3551</v>
      </c>
      <c r="C1493" s="5" t="s">
        <v>207</v>
      </c>
      <c r="D1493" s="5" t="s">
        <v>55</v>
      </c>
      <c r="E1493" s="5" t="s">
        <v>52</v>
      </c>
      <c r="F1493" s="9">
        <v>83</v>
      </c>
      <c r="G1493" s="9">
        <v>963</v>
      </c>
      <c r="H1493" s="5" t="s">
        <v>21</v>
      </c>
      <c r="I1493" s="5" t="s">
        <v>3552</v>
      </c>
      <c r="J1493" s="12" t="str">
        <f>HYPERLINK("https://www.boe.es/gazeta/dias/1800/10/14/pdfs/GMD-1800-83.pdf#page=9","Abrir facsímil")</f>
        <v>Abrir facsímil</v>
      </c>
      <c r="K1493" s="15" t="s">
        <v>23</v>
      </c>
    </row>
    <row r="1494" spans="1:11" ht="42" customHeight="1">
      <c r="A1494" s="4" t="s">
        <v>3553</v>
      </c>
      <c r="B1494" s="5" t="s">
        <v>3554</v>
      </c>
      <c r="C1494" s="5" t="s">
        <v>18</v>
      </c>
      <c r="D1494" s="5" t="s">
        <v>19</v>
      </c>
      <c r="E1494" s="5" t="s">
        <v>1213</v>
      </c>
      <c r="F1494" s="9">
        <v>4</v>
      </c>
      <c r="G1494" s="9">
        <v>36</v>
      </c>
      <c r="H1494" s="5" t="s">
        <v>21</v>
      </c>
      <c r="I1494" s="5" t="s">
        <v>3555</v>
      </c>
      <c r="J1494" s="12" t="str">
        <f>HYPERLINK("https://www.boe.es/gazeta/dias/1800/01/14/pdfs/GMD-1800-4.pdf#page=8","Abrir facsímil")</f>
        <v>Abrir facsímil</v>
      </c>
      <c r="K1494" s="15" t="s">
        <v>23</v>
      </c>
    </row>
    <row r="1495" spans="1:11" ht="42" customHeight="1">
      <c r="A1495" s="4" t="s">
        <v>3556</v>
      </c>
      <c r="B1495" s="5" t="s">
        <v>3557</v>
      </c>
      <c r="C1495" s="5" t="s">
        <v>171</v>
      </c>
      <c r="D1495" s="5" t="s">
        <v>172</v>
      </c>
      <c r="E1495" s="5" t="s">
        <v>461</v>
      </c>
      <c r="F1495" s="9">
        <v>18</v>
      </c>
      <c r="G1495" s="9">
        <v>176</v>
      </c>
      <c r="H1495" s="5" t="s">
        <v>21</v>
      </c>
      <c r="I1495" s="5" t="s">
        <v>3558</v>
      </c>
      <c r="J1495" s="12" t="str">
        <f>HYPERLINK("https://www.boe.es/datos/pdfs/BOE//1800/018/C00173-00176.pdf#page=4","Abrir facsímil")</f>
        <v>Abrir facsímil</v>
      </c>
      <c r="K1495" s="15" t="s">
        <v>23</v>
      </c>
    </row>
    <row r="1496" spans="1:11" ht="42" customHeight="1">
      <c r="A1496" s="4" t="s">
        <v>3559</v>
      </c>
      <c r="B1496" s="5" t="s">
        <v>3560</v>
      </c>
      <c r="C1496" s="5" t="s">
        <v>54</v>
      </c>
      <c r="D1496" s="5" t="s">
        <v>55</v>
      </c>
      <c r="E1496" s="5" t="s">
        <v>572</v>
      </c>
      <c r="F1496" s="9">
        <v>76</v>
      </c>
      <c r="G1496" s="9">
        <v>868</v>
      </c>
      <c r="H1496" s="5" t="s">
        <v>21</v>
      </c>
      <c r="I1496" s="5" t="s">
        <v>3561</v>
      </c>
      <c r="J1496" s="12" t="str">
        <f>HYPERLINK("https://www.boe.es/gazeta/dias/1800/09/19/pdfs/GMD-1800-76.pdf#page=10","Abrir facsímil")</f>
        <v>Abrir facsímil</v>
      </c>
      <c r="K1496" s="15" t="s">
        <v>23</v>
      </c>
    </row>
    <row r="1497" spans="1:11" ht="42" customHeight="1">
      <c r="A1497" s="4" t="s">
        <v>3562</v>
      </c>
      <c r="B1497" s="5" t="s">
        <v>3563</v>
      </c>
      <c r="C1497" s="5" t="s">
        <v>41</v>
      </c>
      <c r="D1497" s="5" t="s">
        <v>42</v>
      </c>
      <c r="E1497" s="5" t="s">
        <v>836</v>
      </c>
      <c r="F1497" s="9">
        <v>71</v>
      </c>
      <c r="G1497" s="9">
        <v>785</v>
      </c>
      <c r="H1497" s="5" t="s">
        <v>21</v>
      </c>
      <c r="I1497" s="5" t="s">
        <v>3564</v>
      </c>
      <c r="J1497" s="12" t="str">
        <f>HYPERLINK("https://www.boe.es/gazeta/dias/1800/09/02/pdfs/GMD-1800-71.pdf#page=3","Abrir facsímil")</f>
        <v>Abrir facsímil</v>
      </c>
      <c r="K1497" s="15" t="s">
        <v>23</v>
      </c>
    </row>
    <row r="1498" spans="1:11" ht="42" customHeight="1">
      <c r="A1498" s="4" t="s">
        <v>3565</v>
      </c>
      <c r="B1498" s="5" t="s">
        <v>3566</v>
      </c>
      <c r="C1498" s="5" t="s">
        <v>84</v>
      </c>
      <c r="D1498" s="5" t="s">
        <v>85</v>
      </c>
      <c r="E1498" s="5" t="s">
        <v>52</v>
      </c>
      <c r="F1498" s="9">
        <v>83</v>
      </c>
      <c r="G1498" s="9">
        <v>966</v>
      </c>
      <c r="H1498" s="5" t="s">
        <v>21</v>
      </c>
      <c r="I1498" s="5" t="s">
        <v>3567</v>
      </c>
      <c r="J1498" s="12" t="str">
        <f>HYPERLINK("https://www.boe.es/gazeta/dias/1800/10/14/pdfs/GMD-1800-83.pdf#page=12","Abrir facsímil")</f>
        <v>Abrir facsímil</v>
      </c>
      <c r="K1498" s="15" t="s">
        <v>23</v>
      </c>
    </row>
    <row r="1499" spans="1:11" ht="42" customHeight="1">
      <c r="A1499" s="4" t="s">
        <v>3568</v>
      </c>
      <c r="B1499" s="5" t="s">
        <v>3569</v>
      </c>
      <c r="C1499" s="5" t="s">
        <v>18</v>
      </c>
      <c r="D1499" s="5" t="s">
        <v>19</v>
      </c>
      <c r="E1499" s="5" t="s">
        <v>111</v>
      </c>
      <c r="F1499" s="9">
        <v>98</v>
      </c>
      <c r="G1499" s="9">
        <v>1128</v>
      </c>
      <c r="H1499" s="5" t="s">
        <v>21</v>
      </c>
      <c r="I1499" s="5" t="s">
        <v>3570</v>
      </c>
      <c r="J1499" s="12" t="str">
        <f>HYPERLINK("https://www.boe.es/gazeta/dias/1800/12/05/pdfs/GMD-1800-98.pdf#page=8","Abrir facsímil")</f>
        <v>Abrir facsímil</v>
      </c>
      <c r="K1499" s="15" t="s">
        <v>23</v>
      </c>
    </row>
    <row r="1500" spans="1:11" ht="42" customHeight="1">
      <c r="A1500" s="4" t="s">
        <v>3571</v>
      </c>
      <c r="B1500" s="5" t="s">
        <v>3572</v>
      </c>
      <c r="C1500" s="5" t="s">
        <v>18</v>
      </c>
      <c r="D1500" s="5" t="s">
        <v>19</v>
      </c>
      <c r="E1500" s="5" t="s">
        <v>56</v>
      </c>
      <c r="F1500" s="9">
        <v>90</v>
      </c>
      <c r="G1500" s="9">
        <v>1055</v>
      </c>
      <c r="H1500" s="5" t="s">
        <v>21</v>
      </c>
      <c r="I1500" s="5" t="s">
        <v>3573</v>
      </c>
      <c r="J1500" s="12" t="str">
        <f>HYPERLINK("https://www.boe.es/gazeta/dias/1800/11/07/pdfs/GMD-1800-90.pdf#page=9","Abrir facsímil")</f>
        <v>Abrir facsímil</v>
      </c>
      <c r="K1500" s="15" t="s">
        <v>23</v>
      </c>
    </row>
    <row r="1501" spans="1:11" ht="42" customHeight="1">
      <c r="A1501" s="4" t="s">
        <v>3574</v>
      </c>
      <c r="B1501" s="5" t="s">
        <v>3575</v>
      </c>
      <c r="C1501" s="5" t="s">
        <v>84</v>
      </c>
      <c r="D1501" s="5" t="s">
        <v>85</v>
      </c>
      <c r="E1501" s="5" t="s">
        <v>90</v>
      </c>
      <c r="F1501" s="9">
        <v>58</v>
      </c>
      <c r="G1501" s="9">
        <v>664</v>
      </c>
      <c r="H1501" s="5" t="s">
        <v>21</v>
      </c>
      <c r="I1501" s="5" t="s">
        <v>3576</v>
      </c>
      <c r="J1501" s="12" t="str">
        <f>HYPERLINK("https://www.boe.es/gazeta/dias/1800/07/22/pdfs/GMD-1800-58.pdf#page=12","Abrir facsímil")</f>
        <v>Abrir facsímil</v>
      </c>
      <c r="K1501" s="15" t="s">
        <v>23</v>
      </c>
    </row>
    <row r="1502" spans="1:11" ht="42" customHeight="1">
      <c r="A1502" s="4" t="s">
        <v>3577</v>
      </c>
      <c r="B1502" s="5" t="s">
        <v>3578</v>
      </c>
      <c r="C1502" s="5" t="s">
        <v>18</v>
      </c>
      <c r="D1502" s="5" t="s">
        <v>19</v>
      </c>
      <c r="E1502" s="5" t="s">
        <v>190</v>
      </c>
      <c r="F1502" s="9">
        <v>93</v>
      </c>
      <c r="G1502" s="9">
        <v>1066</v>
      </c>
      <c r="H1502" s="5" t="s">
        <v>21</v>
      </c>
      <c r="I1502" s="5" t="s">
        <v>3579</v>
      </c>
      <c r="J1502" s="12" t="str">
        <f>HYPERLINK("https://www.boe.es/gazeta/dias/1800/11/18/pdfs/GMD-1800-93.pdf#page=12","Abrir facsímil")</f>
        <v>Abrir facsímil</v>
      </c>
      <c r="K1502" s="15" t="s">
        <v>23</v>
      </c>
    </row>
    <row r="1503" spans="1:11" ht="42" customHeight="1">
      <c r="A1503" s="4" t="s">
        <v>3580</v>
      </c>
      <c r="B1503" s="5" t="s">
        <v>3581</v>
      </c>
      <c r="C1503" s="5" t="s">
        <v>25</v>
      </c>
      <c r="D1503" s="5" t="s">
        <v>26</v>
      </c>
      <c r="E1503" s="5" t="s">
        <v>226</v>
      </c>
      <c r="F1503" s="9">
        <v>27</v>
      </c>
      <c r="G1503" s="9">
        <v>280</v>
      </c>
      <c r="H1503" s="5" t="s">
        <v>21</v>
      </c>
      <c r="I1503" s="5" t="s">
        <v>3582</v>
      </c>
      <c r="J1503" s="12" t="str">
        <f>HYPERLINK("https://www.boe.es/gazeta/dias/1800/04/04/pdfs/GMD-1800-27.pdf#page=8","Abrir facsímil")</f>
        <v>Abrir facsímil</v>
      </c>
      <c r="K1503" s="15" t="s">
        <v>23</v>
      </c>
    </row>
    <row r="1504" spans="1:11" ht="42" customHeight="1">
      <c r="A1504" s="4" t="s">
        <v>3583</v>
      </c>
      <c r="B1504" s="5" t="s">
        <v>3584</v>
      </c>
      <c r="C1504" s="5" t="s">
        <v>25</v>
      </c>
      <c r="D1504" s="5" t="s">
        <v>26</v>
      </c>
      <c r="E1504" s="5" t="s">
        <v>45</v>
      </c>
      <c r="F1504" s="9">
        <v>47</v>
      </c>
      <c r="G1504" s="9">
        <v>502</v>
      </c>
      <c r="H1504" s="5" t="s">
        <v>21</v>
      </c>
      <c r="I1504" s="5" t="s">
        <v>3585</v>
      </c>
      <c r="J1504" s="12" t="str">
        <f>HYPERLINK("https://www.boe.es/gazeta/dias/1800/06/13/pdfs/GMD-1800-47.pdf#page=10","Abrir facsímil")</f>
        <v>Abrir facsímil</v>
      </c>
      <c r="K1504" s="15" t="s">
        <v>23</v>
      </c>
    </row>
    <row r="1505" spans="1:11" ht="42" customHeight="1">
      <c r="A1505" s="4" t="s">
        <v>3586</v>
      </c>
      <c r="B1505" s="5" t="s">
        <v>3587</v>
      </c>
      <c r="C1505" s="5" t="s">
        <v>41</v>
      </c>
      <c r="D1505" s="5" t="s">
        <v>42</v>
      </c>
      <c r="E1505" s="5" t="s">
        <v>43</v>
      </c>
      <c r="F1505" s="9">
        <v>46</v>
      </c>
      <c r="G1505" s="9">
        <v>486</v>
      </c>
      <c r="H1505" s="5" t="s">
        <v>21</v>
      </c>
      <c r="I1505" s="5" t="s">
        <v>3588</v>
      </c>
      <c r="J1505" s="12" t="str">
        <f>HYPERLINK("https://www.boe.es/gazeta/dias/1800/06/10/pdfs/GMD-1800-46.pdf#page=10","Abrir facsímil")</f>
        <v>Abrir facsímil</v>
      </c>
      <c r="K1505" s="15" t="s">
        <v>23</v>
      </c>
    </row>
    <row r="1506" spans="1:11" ht="42" customHeight="1">
      <c r="A1506" s="4" t="s">
        <v>3586</v>
      </c>
      <c r="B1506" s="5" t="s">
        <v>3587</v>
      </c>
      <c r="C1506" s="5" t="s">
        <v>41</v>
      </c>
      <c r="D1506" s="5" t="s">
        <v>42</v>
      </c>
      <c r="E1506" s="5" t="s">
        <v>64</v>
      </c>
      <c r="F1506" s="9">
        <v>54</v>
      </c>
      <c r="G1506" s="9">
        <v>605</v>
      </c>
      <c r="H1506" s="5" t="s">
        <v>21</v>
      </c>
      <c r="I1506" s="5" t="s">
        <v>3589</v>
      </c>
      <c r="J1506" s="12" t="str">
        <f>HYPERLINK("https://www.boe.es/gazeta/dias/1800/07/08/pdfs/GMD-1800-54.pdf#page=9","Abrir facsímil")</f>
        <v>Abrir facsímil</v>
      </c>
      <c r="K1506" s="15" t="s">
        <v>23</v>
      </c>
    </row>
    <row r="1507" spans="1:11" ht="42" customHeight="1">
      <c r="A1507" s="4" t="s">
        <v>3590</v>
      </c>
      <c r="B1507" s="5" t="s">
        <v>3591</v>
      </c>
      <c r="C1507" s="5" t="s">
        <v>25</v>
      </c>
      <c r="D1507" s="5" t="s">
        <v>26</v>
      </c>
      <c r="E1507" s="5" t="s">
        <v>45</v>
      </c>
      <c r="F1507" s="9">
        <v>47</v>
      </c>
      <c r="G1507" s="9">
        <v>503</v>
      </c>
      <c r="H1507" s="5" t="s">
        <v>21</v>
      </c>
      <c r="I1507" s="5" t="s">
        <v>3592</v>
      </c>
      <c r="J1507" s="12" t="str">
        <f>HYPERLINK("https://www.boe.es/gazeta/dias/1800/06/13/pdfs/GMD-1800-47.pdf#page=11","Abrir facsímil")</f>
        <v>Abrir facsímil</v>
      </c>
      <c r="K1507" s="15" t="s">
        <v>23</v>
      </c>
    </row>
    <row r="1508" spans="1:11" ht="42" customHeight="1">
      <c r="A1508" s="4" t="s">
        <v>3593</v>
      </c>
      <c r="B1508" s="5" t="s">
        <v>3594</v>
      </c>
      <c r="C1508" s="5" t="s">
        <v>18</v>
      </c>
      <c r="D1508" s="5" t="s">
        <v>19</v>
      </c>
      <c r="E1508" s="5" t="s">
        <v>306</v>
      </c>
      <c r="F1508" s="9">
        <v>79</v>
      </c>
      <c r="G1508" s="9">
        <v>900</v>
      </c>
      <c r="H1508" s="5" t="s">
        <v>21</v>
      </c>
      <c r="I1508" s="5" t="s">
        <v>3595</v>
      </c>
      <c r="J1508" s="12" t="str">
        <f>HYPERLINK("https://www.boe.es/gazeta/dias/1800/09/30/pdfs/GMD-1800-79.pdf#page=10","Abrir facsímil")</f>
        <v>Abrir facsímil</v>
      </c>
      <c r="K1508" s="15" t="s">
        <v>23</v>
      </c>
    </row>
    <row r="1509" spans="1:11" ht="42" customHeight="1">
      <c r="A1509" s="4" t="s">
        <v>3596</v>
      </c>
      <c r="B1509" s="5" t="s">
        <v>3597</v>
      </c>
      <c r="C1509" s="5" t="s">
        <v>41</v>
      </c>
      <c r="D1509" s="5" t="s">
        <v>42</v>
      </c>
      <c r="E1509" s="5" t="s">
        <v>101</v>
      </c>
      <c r="F1509" s="9">
        <v>37</v>
      </c>
      <c r="G1509" s="9">
        <v>376</v>
      </c>
      <c r="H1509" s="5" t="s">
        <v>21</v>
      </c>
      <c r="I1509" s="5" t="s">
        <v>3598</v>
      </c>
      <c r="J1509" s="12" t="str">
        <f>HYPERLINK("https://www.boe.es/gazeta/dias/1800/05/09/pdfs/GMD-1800-37.pdf#page=8","Abrir facsímil")</f>
        <v>Abrir facsímil</v>
      </c>
      <c r="K1509" s="15" t="s">
        <v>23</v>
      </c>
    </row>
    <row r="1510" spans="1:11" ht="42" customHeight="1">
      <c r="A1510" s="4" t="s">
        <v>3599</v>
      </c>
      <c r="B1510" s="5" t="s">
        <v>3600</v>
      </c>
      <c r="C1510" s="5" t="s">
        <v>207</v>
      </c>
      <c r="D1510" s="5" t="s">
        <v>55</v>
      </c>
      <c r="E1510" s="5" t="s">
        <v>116</v>
      </c>
      <c r="F1510" s="9">
        <v>86</v>
      </c>
      <c r="G1510" s="9">
        <v>998</v>
      </c>
      <c r="H1510" s="5" t="s">
        <v>21</v>
      </c>
      <c r="I1510" s="5" t="s">
        <v>3601</v>
      </c>
      <c r="J1510" s="12" t="str">
        <f>HYPERLINK("https://www.boe.es/gazeta/dias/1800/10/24/pdfs/GMD-1800-86.pdf#page=8","Abrir facsímil")</f>
        <v>Abrir facsímil</v>
      </c>
      <c r="K1510" s="15" t="s">
        <v>23</v>
      </c>
    </row>
    <row r="1511" spans="1:11" ht="42" customHeight="1">
      <c r="A1511" s="4" t="s">
        <v>3602</v>
      </c>
      <c r="B1511" s="5" t="s">
        <v>3603</v>
      </c>
      <c r="C1511" s="5" t="s">
        <v>207</v>
      </c>
      <c r="D1511" s="5" t="s">
        <v>55</v>
      </c>
      <c r="E1511" s="5" t="s">
        <v>190</v>
      </c>
      <c r="F1511" s="9">
        <v>93</v>
      </c>
      <c r="G1511" s="9">
        <v>1066</v>
      </c>
      <c r="H1511" s="5" t="s">
        <v>21</v>
      </c>
      <c r="I1511" s="5" t="s">
        <v>3604</v>
      </c>
      <c r="J1511" s="12" t="str">
        <f>HYPERLINK("https://www.boe.es/gazeta/dias/1800/11/18/pdfs/GMD-1800-93.pdf#page=12","Abrir facsímil")</f>
        <v>Abrir facsímil</v>
      </c>
      <c r="K1511" s="15" t="s">
        <v>23</v>
      </c>
    </row>
    <row r="1512" spans="1:11" ht="42" customHeight="1">
      <c r="A1512" s="4" t="s">
        <v>3605</v>
      </c>
      <c r="B1512" s="5" t="s">
        <v>3606</v>
      </c>
      <c r="C1512" s="5" t="s">
        <v>18</v>
      </c>
      <c r="D1512" s="5" t="s">
        <v>19</v>
      </c>
      <c r="E1512" s="5" t="s">
        <v>823</v>
      </c>
      <c r="F1512" s="9">
        <v>50</v>
      </c>
      <c r="G1512" s="9">
        <v>546</v>
      </c>
      <c r="H1512" s="5" t="s">
        <v>21</v>
      </c>
      <c r="I1512" s="5" t="s">
        <v>3607</v>
      </c>
      <c r="J1512" s="12" t="str">
        <f>HYPERLINK("https://www.boe.es/gazeta/dias/1800/06/24/pdfs/GMD-1800-50.pdf#page=10","Abrir facsímil")</f>
        <v>Abrir facsímil</v>
      </c>
      <c r="K1512" s="15" t="s">
        <v>23</v>
      </c>
    </row>
    <row r="1513" spans="1:11" ht="42" customHeight="1">
      <c r="A1513" s="4" t="s">
        <v>3608</v>
      </c>
      <c r="B1513" s="5" t="s">
        <v>3609</v>
      </c>
      <c r="C1513" s="5" t="s">
        <v>25</v>
      </c>
      <c r="D1513" s="5" t="s">
        <v>26</v>
      </c>
      <c r="E1513" s="5" t="s">
        <v>1294</v>
      </c>
      <c r="F1513" s="9">
        <v>59</v>
      </c>
      <c r="G1513" s="9">
        <v>678</v>
      </c>
      <c r="H1513" s="5" t="s">
        <v>21</v>
      </c>
      <c r="I1513" s="5" t="s">
        <v>3610</v>
      </c>
      <c r="J1513" s="12" t="str">
        <f>HYPERLINK("https://www.boe.es/gazeta/dias/1800/07/25/pdfs/GMD-1800-59.pdf#page=10","Abrir facsímil")</f>
        <v>Abrir facsímil</v>
      </c>
      <c r="K1513" s="15" t="s">
        <v>23</v>
      </c>
    </row>
    <row r="1514" spans="1:11" ht="42" customHeight="1">
      <c r="A1514" s="4" t="s">
        <v>3611</v>
      </c>
      <c r="B1514" s="5" t="s">
        <v>3612</v>
      </c>
      <c r="C1514" s="5" t="s">
        <v>18</v>
      </c>
      <c r="D1514" s="5" t="s">
        <v>19</v>
      </c>
      <c r="E1514" s="5" t="s">
        <v>135</v>
      </c>
      <c r="F1514" s="9">
        <v>73</v>
      </c>
      <c r="G1514" s="9">
        <v>816</v>
      </c>
      <c r="H1514" s="5" t="s">
        <v>21</v>
      </c>
      <c r="I1514" s="5" t="s">
        <v>3613</v>
      </c>
      <c r="J1514" s="12" t="str">
        <f>HYPERLINK("https://www.boe.es/gazeta/dias/1800/09/09/pdfs/GMD-1800-73.pdf#page=10","Abrir facsímil")</f>
        <v>Abrir facsímil</v>
      </c>
      <c r="K1514" s="15" t="s">
        <v>23</v>
      </c>
    </row>
    <row r="1515" spans="1:11" ht="42" customHeight="1">
      <c r="A1515" s="4" t="s">
        <v>3614</v>
      </c>
      <c r="B1515" s="5" t="s">
        <v>3615</v>
      </c>
      <c r="C1515" s="5" t="s">
        <v>18</v>
      </c>
      <c r="D1515" s="5" t="s">
        <v>19</v>
      </c>
      <c r="E1515" s="5" t="s">
        <v>262</v>
      </c>
      <c r="F1515" s="9">
        <v>39</v>
      </c>
      <c r="G1515" s="9">
        <v>401</v>
      </c>
      <c r="H1515" s="5" t="s">
        <v>21</v>
      </c>
      <c r="I1515" s="5" t="s">
        <v>3616</v>
      </c>
      <c r="J1515" s="12" t="str">
        <f>HYPERLINK("https://www.boe.es/gazeta/dias/1800/05/16/pdfs/GMD-1800-39.pdf#page=9","Abrir facsímil")</f>
        <v>Abrir facsímil</v>
      </c>
      <c r="K1515" s="15" t="s">
        <v>23</v>
      </c>
    </row>
    <row r="1516" spans="1:11" ht="42" customHeight="1">
      <c r="A1516" s="4" t="s">
        <v>3617</v>
      </c>
      <c r="B1516" s="5" t="s">
        <v>3618</v>
      </c>
      <c r="C1516" s="5" t="s">
        <v>18</v>
      </c>
      <c r="D1516" s="5" t="s">
        <v>19</v>
      </c>
      <c r="E1516" s="5" t="s">
        <v>255</v>
      </c>
      <c r="F1516" s="9">
        <v>75</v>
      </c>
      <c r="G1516" s="9">
        <v>855</v>
      </c>
      <c r="H1516" s="5" t="s">
        <v>21</v>
      </c>
      <c r="I1516" s="5" t="s">
        <v>3619</v>
      </c>
      <c r="J1516" s="12" t="str">
        <f>HYPERLINK("https://www.boe.es/gazeta/dias/1800/09/16/pdfs/GMD-1800-75.pdf#page=9","Abrir facsímil")</f>
        <v>Abrir facsímil</v>
      </c>
      <c r="K1516" s="15" t="s">
        <v>23</v>
      </c>
    </row>
    <row r="1517" spans="1:11" ht="42" customHeight="1">
      <c r="A1517" s="4" t="s">
        <v>3620</v>
      </c>
      <c r="B1517" s="5" t="s">
        <v>3621</v>
      </c>
      <c r="C1517" s="5" t="s">
        <v>54</v>
      </c>
      <c r="D1517" s="5" t="s">
        <v>55</v>
      </c>
      <c r="E1517" s="5" t="s">
        <v>843</v>
      </c>
      <c r="F1517" s="9">
        <v>78</v>
      </c>
      <c r="G1517" s="9">
        <v>889</v>
      </c>
      <c r="H1517" s="5" t="s">
        <v>21</v>
      </c>
      <c r="I1517" s="5" t="s">
        <v>3622</v>
      </c>
      <c r="J1517" s="12" t="str">
        <f>HYPERLINK("https://www.boe.es/gazeta/dias/1800/09/26/pdfs/GMD-1800-78.pdf#page=7","Abrir facsímil")</f>
        <v>Abrir facsímil</v>
      </c>
      <c r="K1517" s="15" t="s">
        <v>23</v>
      </c>
    </row>
    <row r="1518" spans="1:11" ht="42" customHeight="1">
      <c r="A1518" s="4" t="s">
        <v>3623</v>
      </c>
      <c r="B1518" s="5" t="s">
        <v>3624</v>
      </c>
      <c r="C1518" s="5" t="s">
        <v>18</v>
      </c>
      <c r="D1518" s="5" t="s">
        <v>19</v>
      </c>
      <c r="E1518" s="5" t="s">
        <v>203</v>
      </c>
      <c r="F1518" s="9">
        <v>94</v>
      </c>
      <c r="G1518" s="9">
        <v>1081</v>
      </c>
      <c r="H1518" s="5" t="s">
        <v>21</v>
      </c>
      <c r="I1518" s="5" t="s">
        <v>3625</v>
      </c>
      <c r="J1518" s="12" t="str">
        <f>HYPERLINK("https://www.boe.es/gazeta/dias/1800/11/21/pdfs/GMD-1800-94.pdf#page=11","Abrir facsímil")</f>
        <v>Abrir facsímil</v>
      </c>
      <c r="K1518" s="15" t="s">
        <v>23</v>
      </c>
    </row>
    <row r="1519" spans="1:11" ht="42" customHeight="1">
      <c r="A1519" s="4" t="s">
        <v>3626</v>
      </c>
      <c r="B1519" s="5" t="s">
        <v>3627</v>
      </c>
      <c r="C1519" s="5" t="s">
        <v>207</v>
      </c>
      <c r="D1519" s="5" t="s">
        <v>55</v>
      </c>
      <c r="E1519" s="5" t="s">
        <v>422</v>
      </c>
      <c r="F1519" s="9">
        <v>85</v>
      </c>
      <c r="G1519" s="9">
        <v>986</v>
      </c>
      <c r="H1519" s="5" t="s">
        <v>21</v>
      </c>
      <c r="I1519" s="5" t="s">
        <v>3628</v>
      </c>
      <c r="J1519" s="12" t="str">
        <f>HYPERLINK("https://www.boe.es/gazeta/dias/1800/10/21/pdfs/GMD-1800-85.pdf#page=8","Abrir facsímil")</f>
        <v>Abrir facsímil</v>
      </c>
      <c r="K1519" s="15" t="s">
        <v>23</v>
      </c>
    </row>
    <row r="1520" spans="1:11" ht="42" customHeight="1">
      <c r="A1520" s="4" t="s">
        <v>3629</v>
      </c>
      <c r="B1520" s="5" t="s">
        <v>3630</v>
      </c>
      <c r="C1520" s="5" t="s">
        <v>41</v>
      </c>
      <c r="D1520" s="5" t="s">
        <v>42</v>
      </c>
      <c r="E1520" s="5" t="s">
        <v>194</v>
      </c>
      <c r="F1520" s="9">
        <v>48</v>
      </c>
      <c r="G1520" s="9">
        <v>516</v>
      </c>
      <c r="H1520" s="5" t="s">
        <v>21</v>
      </c>
      <c r="I1520" s="5" t="s">
        <v>3631</v>
      </c>
      <c r="J1520" s="12" t="str">
        <f>HYPERLINK("https://www.boe.es/gazeta/dias/1800/06/17/pdfs/GMD-1800-48.pdf#page=8","Abrir facsímil")</f>
        <v>Abrir facsímil</v>
      </c>
      <c r="K1520" s="15" t="s">
        <v>23</v>
      </c>
    </row>
    <row r="1521" spans="1:11" ht="42" customHeight="1">
      <c r="A1521" s="4" t="s">
        <v>3632</v>
      </c>
      <c r="B1521" s="5" t="s">
        <v>3633</v>
      </c>
      <c r="C1521" s="5" t="s">
        <v>18</v>
      </c>
      <c r="D1521" s="5" t="s">
        <v>19</v>
      </c>
      <c r="E1521" s="5" t="s">
        <v>618</v>
      </c>
      <c r="F1521" s="9">
        <v>1</v>
      </c>
      <c r="G1521" s="9">
        <v>7</v>
      </c>
      <c r="H1521" s="5" t="s">
        <v>21</v>
      </c>
      <c r="I1521" s="5" t="s">
        <v>3634</v>
      </c>
      <c r="J1521" s="12" t="str">
        <f>HYPERLINK("https://www.boe.es/gazeta/dias/1800/01/03/pdfs/GMD-1800-1.pdf#page=7","Abrir facsímil")</f>
        <v>Abrir facsímil</v>
      </c>
      <c r="K1521" s="15" t="s">
        <v>23</v>
      </c>
    </row>
    <row r="1522" spans="1:11" ht="42" customHeight="1">
      <c r="A1522" s="4" t="s">
        <v>3635</v>
      </c>
      <c r="B1522" s="5" t="s">
        <v>3636</v>
      </c>
      <c r="C1522" s="5" t="s">
        <v>18</v>
      </c>
      <c r="D1522" s="5" t="s">
        <v>19</v>
      </c>
      <c r="E1522" s="5" t="s">
        <v>143</v>
      </c>
      <c r="F1522" s="9">
        <v>22</v>
      </c>
      <c r="G1522" s="9">
        <v>221</v>
      </c>
      <c r="H1522" s="5" t="s">
        <v>21</v>
      </c>
      <c r="I1522" s="5" t="s">
        <v>3637</v>
      </c>
      <c r="J1522" s="12" t="str">
        <f>HYPERLINK("https://www.boe.es/gazeta/dias/1800/03/18/pdfs/GMD-1800-22.pdf#page=13","Abrir facsímil")</f>
        <v>Abrir facsímil</v>
      </c>
      <c r="K1522" s="15" t="s">
        <v>23</v>
      </c>
    </row>
    <row r="1523" spans="1:11" ht="42" customHeight="1">
      <c r="A1523" s="4" t="s">
        <v>3638</v>
      </c>
      <c r="B1523" s="5" t="s">
        <v>3639</v>
      </c>
      <c r="C1523" s="5" t="s">
        <v>18</v>
      </c>
      <c r="D1523" s="5" t="s">
        <v>19</v>
      </c>
      <c r="E1523" s="5" t="s">
        <v>79</v>
      </c>
      <c r="F1523" s="9">
        <v>7</v>
      </c>
      <c r="G1523" s="9">
        <v>66</v>
      </c>
      <c r="H1523" s="5" t="s">
        <v>21</v>
      </c>
      <c r="I1523" s="5" t="s">
        <v>3640</v>
      </c>
      <c r="J1523" s="12" t="str">
        <f>HYPERLINK("https://www.boe.es/gazeta/dias/1800/01/24/pdfs/GMD-1800-7.pdf#page=6","Abrir facsímil")</f>
        <v>Abrir facsímil</v>
      </c>
      <c r="K1523" s="15" t="s">
        <v>23</v>
      </c>
    </row>
    <row r="1524" spans="1:11" ht="42" customHeight="1">
      <c r="A1524" s="4" t="s">
        <v>3641</v>
      </c>
      <c r="B1524" s="5" t="s">
        <v>3642</v>
      </c>
      <c r="C1524" s="5" t="s">
        <v>25</v>
      </c>
      <c r="D1524" s="5" t="s">
        <v>26</v>
      </c>
      <c r="E1524" s="5" t="s">
        <v>356</v>
      </c>
      <c r="F1524" s="9">
        <v>31</v>
      </c>
      <c r="G1524" s="9">
        <v>315</v>
      </c>
      <c r="H1524" s="5" t="s">
        <v>21</v>
      </c>
      <c r="I1524" s="5" t="s">
        <v>3643</v>
      </c>
      <c r="J1524" s="12" t="str">
        <f>HYPERLINK("https://www.boe.es/gazeta/dias/1800/04/18/pdfs/GMD-1800-31.pdf#page=7","Abrir facsímil")</f>
        <v>Abrir facsímil</v>
      </c>
      <c r="K1524" s="15" t="s">
        <v>23</v>
      </c>
    </row>
    <row r="1525" spans="1:11" ht="42" customHeight="1">
      <c r="A1525" s="4" t="s">
        <v>3644</v>
      </c>
      <c r="B1525" s="5" t="s">
        <v>3645</v>
      </c>
      <c r="C1525" s="5" t="s">
        <v>18</v>
      </c>
      <c r="D1525" s="5" t="s">
        <v>19</v>
      </c>
      <c r="E1525" s="5" t="s">
        <v>618</v>
      </c>
      <c r="F1525" s="9">
        <v>1</v>
      </c>
      <c r="G1525" s="9">
        <v>6</v>
      </c>
      <c r="H1525" s="5" t="s">
        <v>21</v>
      </c>
      <c r="I1525" s="5" t="s">
        <v>3646</v>
      </c>
      <c r="J1525" s="12" t="str">
        <f>HYPERLINK("https://www.boe.es/gazeta/dias/1800/01/03/pdfs/GMD-1800-1.pdf#page=6","Abrir facsímil")</f>
        <v>Abrir facsímil</v>
      </c>
      <c r="K1525" s="15" t="s">
        <v>23</v>
      </c>
    </row>
    <row r="1526" spans="1:11" ht="42" customHeight="1">
      <c r="A1526" s="4" t="s">
        <v>3647</v>
      </c>
      <c r="B1526" s="5" t="s">
        <v>3648</v>
      </c>
      <c r="C1526" s="5" t="s">
        <v>18</v>
      </c>
      <c r="D1526" s="5" t="s">
        <v>19</v>
      </c>
      <c r="E1526" s="5" t="s">
        <v>240</v>
      </c>
      <c r="F1526" s="9">
        <v>26</v>
      </c>
      <c r="G1526" s="9">
        <v>269</v>
      </c>
      <c r="H1526" s="5" t="s">
        <v>21</v>
      </c>
      <c r="I1526" s="5" t="s">
        <v>3649</v>
      </c>
      <c r="J1526" s="12" t="str">
        <f>HYPERLINK("https://www.boe.es/gazeta/dias/1800/04/01/pdfs/GMD-1800-26.pdf#page=9","Abrir facsímil")</f>
        <v>Abrir facsímil</v>
      </c>
      <c r="K1526" s="15" t="s">
        <v>23</v>
      </c>
    </row>
    <row r="1527" spans="1:11" ht="42" customHeight="1">
      <c r="A1527" s="4" t="s">
        <v>3650</v>
      </c>
      <c r="B1527" s="5" t="s">
        <v>3651</v>
      </c>
      <c r="C1527" s="5" t="s">
        <v>18</v>
      </c>
      <c r="D1527" s="5" t="s">
        <v>19</v>
      </c>
      <c r="E1527" s="5" t="s">
        <v>279</v>
      </c>
      <c r="F1527" s="9">
        <v>103</v>
      </c>
      <c r="G1527" s="9">
        <v>1197</v>
      </c>
      <c r="H1527" s="5" t="s">
        <v>21</v>
      </c>
      <c r="I1527" s="5" t="s">
        <v>3652</v>
      </c>
      <c r="J1527" s="12" t="str">
        <f>HYPERLINK("https://www.boe.es/gazeta/dias/1800/12/23/pdfs/GMD-1800-103.pdf#page=9","Abrir facsímil")</f>
        <v>Abrir facsímil</v>
      </c>
      <c r="K1527" s="15" t="s">
        <v>23</v>
      </c>
    </row>
    <row r="1528" spans="1:11" ht="42" customHeight="1">
      <c r="A1528" s="4" t="s">
        <v>3653</v>
      </c>
      <c r="B1528" s="5" t="s">
        <v>3654</v>
      </c>
      <c r="C1528" s="5" t="s">
        <v>18</v>
      </c>
      <c r="D1528" s="5" t="s">
        <v>19</v>
      </c>
      <c r="E1528" s="5" t="s">
        <v>618</v>
      </c>
      <c r="F1528" s="9">
        <v>1</v>
      </c>
      <c r="G1528" s="9">
        <v>6</v>
      </c>
      <c r="H1528" s="5" t="s">
        <v>21</v>
      </c>
      <c r="I1528" s="5" t="s">
        <v>3655</v>
      </c>
      <c r="J1528" s="12" t="str">
        <f>HYPERLINK("https://www.boe.es/gazeta/dias/1800/01/03/pdfs/GMD-1800-1.pdf#page=6","Abrir facsímil")</f>
        <v>Abrir facsímil</v>
      </c>
      <c r="K1528" s="15" t="s">
        <v>23</v>
      </c>
    </row>
    <row r="1529" spans="1:11" ht="42" customHeight="1">
      <c r="A1529" s="4" t="s">
        <v>3656</v>
      </c>
      <c r="B1529" s="5" t="s">
        <v>3657</v>
      </c>
      <c r="C1529" s="5" t="s">
        <v>54</v>
      </c>
      <c r="D1529" s="5" t="s">
        <v>55</v>
      </c>
      <c r="E1529" s="5" t="s">
        <v>279</v>
      </c>
      <c r="F1529" s="9">
        <v>103</v>
      </c>
      <c r="G1529" s="9">
        <v>1199</v>
      </c>
      <c r="H1529" s="5" t="s">
        <v>21</v>
      </c>
      <c r="I1529" s="5" t="s">
        <v>3658</v>
      </c>
      <c r="J1529" s="12" t="str">
        <f>HYPERLINK("https://www.boe.es/gazeta/dias/1800/12/23/pdfs/GMD-1800-103.pdf#page=11","Abrir facsímil")</f>
        <v>Abrir facsímil</v>
      </c>
      <c r="K1529" s="15" t="s">
        <v>23</v>
      </c>
    </row>
    <row r="1530" spans="1:11" ht="42" customHeight="1">
      <c r="A1530" s="4" t="s">
        <v>3659</v>
      </c>
      <c r="B1530" s="5" t="s">
        <v>3660</v>
      </c>
      <c r="C1530" s="5" t="s">
        <v>54</v>
      </c>
      <c r="D1530" s="5" t="s">
        <v>55</v>
      </c>
      <c r="E1530" s="5" t="s">
        <v>583</v>
      </c>
      <c r="F1530" s="9">
        <v>77</v>
      </c>
      <c r="G1530" s="9">
        <v>880</v>
      </c>
      <c r="H1530" s="5" t="s">
        <v>21</v>
      </c>
      <c r="I1530" s="5" t="s">
        <v>3661</v>
      </c>
      <c r="J1530" s="12" t="str">
        <f>HYPERLINK("https://www.boe.es/gazeta/dias/1800/09/23/pdfs/GMD-1800-77.pdf#page=10","Abrir facsímil")</f>
        <v>Abrir facsímil</v>
      </c>
      <c r="K1530" s="15" t="s">
        <v>23</v>
      </c>
    </row>
    <row r="1531" spans="1:11" ht="42" customHeight="1">
      <c r="A1531" s="4" t="s">
        <v>3662</v>
      </c>
      <c r="B1531" s="5" t="s">
        <v>3663</v>
      </c>
      <c r="C1531" s="5" t="s">
        <v>18</v>
      </c>
      <c r="D1531" s="5" t="s">
        <v>19</v>
      </c>
      <c r="E1531" s="5" t="s">
        <v>306</v>
      </c>
      <c r="F1531" s="9">
        <v>79</v>
      </c>
      <c r="G1531" s="9">
        <v>902</v>
      </c>
      <c r="H1531" s="5" t="s">
        <v>21</v>
      </c>
      <c r="I1531" s="5" t="s">
        <v>3664</v>
      </c>
      <c r="J1531" s="12" t="str">
        <f>HYPERLINK("https://www.boe.es/gazeta/dias/1800/09/30/pdfs/GMD-1800-79.pdf#page=12","Abrir facsímil")</f>
        <v>Abrir facsímil</v>
      </c>
      <c r="K1531" s="15" t="s">
        <v>23</v>
      </c>
    </row>
    <row r="1532" spans="1:11" ht="42" customHeight="1">
      <c r="A1532" s="4" t="s">
        <v>3665</v>
      </c>
      <c r="B1532" s="5" t="s">
        <v>3666</v>
      </c>
      <c r="C1532" s="5" t="s">
        <v>18</v>
      </c>
      <c r="D1532" s="5" t="s">
        <v>19</v>
      </c>
      <c r="E1532" s="5" t="s">
        <v>618</v>
      </c>
      <c r="F1532" s="9">
        <v>1</v>
      </c>
      <c r="G1532" s="9">
        <v>6</v>
      </c>
      <c r="H1532" s="5" t="s">
        <v>21</v>
      </c>
      <c r="I1532" s="5" t="s">
        <v>3667</v>
      </c>
      <c r="J1532" s="12" t="str">
        <f>HYPERLINK("https://www.boe.es/gazeta/dias/1800/01/03/pdfs/GMD-1800-1.pdf#page=6","Abrir facsímil")</f>
        <v>Abrir facsímil</v>
      </c>
      <c r="K1532" s="15" t="s">
        <v>23</v>
      </c>
    </row>
    <row r="1533" spans="1:11" ht="42" customHeight="1">
      <c r="A1533" s="4" t="s">
        <v>3668</v>
      </c>
      <c r="B1533" s="5" t="s">
        <v>3669</v>
      </c>
      <c r="C1533" s="5" t="s">
        <v>41</v>
      </c>
      <c r="D1533" s="5" t="s">
        <v>42</v>
      </c>
      <c r="E1533" s="5" t="s">
        <v>180</v>
      </c>
      <c r="F1533" s="9">
        <v>102</v>
      </c>
      <c r="G1533" s="9">
        <v>1177</v>
      </c>
      <c r="H1533" s="5" t="s">
        <v>21</v>
      </c>
      <c r="I1533" s="5" t="s">
        <v>3670</v>
      </c>
      <c r="J1533" s="12" t="str">
        <f>HYPERLINK("https://www.boe.es/gazeta/dias/1800/12/19/pdfs/GMD-1800-102.pdf#page=1","Abrir facsímil")</f>
        <v>Abrir facsímil</v>
      </c>
      <c r="K1533" s="15" t="s">
        <v>23</v>
      </c>
    </row>
    <row r="1534" spans="1:11" ht="42" customHeight="1">
      <c r="A1534" s="4" t="s">
        <v>3671</v>
      </c>
      <c r="B1534" s="5" t="s">
        <v>3672</v>
      </c>
      <c r="C1534" s="5" t="s">
        <v>207</v>
      </c>
      <c r="D1534" s="5" t="s">
        <v>55</v>
      </c>
      <c r="E1534" s="5" t="s">
        <v>445</v>
      </c>
      <c r="F1534" s="9">
        <v>96</v>
      </c>
      <c r="G1534" s="9">
        <v>1105</v>
      </c>
      <c r="H1534" s="5" t="s">
        <v>21</v>
      </c>
      <c r="I1534" s="5" t="s">
        <v>3673</v>
      </c>
      <c r="J1534" s="12" t="str">
        <f>HYPERLINK("https://www.boe.es/gazeta/dias/1800/11/28/pdfs/GMD-1800-96.pdf#page=9","Abrir facsímil")</f>
        <v>Abrir facsímil</v>
      </c>
      <c r="K1534" s="15" t="s">
        <v>23</v>
      </c>
    </row>
    <row r="1535" spans="1:11" ht="42" customHeight="1">
      <c r="A1535" s="4" t="s">
        <v>3674</v>
      </c>
      <c r="B1535" s="5" t="s">
        <v>3675</v>
      </c>
      <c r="C1535" s="5" t="s">
        <v>18</v>
      </c>
      <c r="D1535" s="5" t="s">
        <v>19</v>
      </c>
      <c r="E1535" s="5" t="s">
        <v>615</v>
      </c>
      <c r="F1535" s="9">
        <v>95</v>
      </c>
      <c r="G1535" s="9">
        <v>1083</v>
      </c>
      <c r="H1535" s="5" t="s">
        <v>21</v>
      </c>
      <c r="I1535" s="5" t="s">
        <v>3676</v>
      </c>
      <c r="J1535" s="12" t="str">
        <f>HYPERLINK("https://www.boe.es/gazeta/dias/1800/11/25/pdfs/GMD-1800-95.pdf#page=1","Abrir facsímil")</f>
        <v>Abrir facsímil</v>
      </c>
      <c r="K1535" s="15" t="s">
        <v>23</v>
      </c>
    </row>
    <row r="1536" spans="1:11" ht="42" customHeight="1">
      <c r="A1536" s="4" t="s">
        <v>3677</v>
      </c>
      <c r="B1536" s="5" t="s">
        <v>3678</v>
      </c>
      <c r="C1536" s="5" t="s">
        <v>207</v>
      </c>
      <c r="D1536" s="5" t="s">
        <v>55</v>
      </c>
      <c r="E1536" s="5" t="s">
        <v>329</v>
      </c>
      <c r="F1536" s="9">
        <v>99</v>
      </c>
      <c r="G1536" s="9">
        <v>1138</v>
      </c>
      <c r="H1536" s="5" t="s">
        <v>21</v>
      </c>
      <c r="I1536" s="5" t="s">
        <v>3679</v>
      </c>
      <c r="J1536" s="12" t="str">
        <f>HYPERLINK("https://www.boe.es/gazeta/dias/1800/12/09/pdfs/GMD-1800-99.pdf#page=6","Abrir facsímil")</f>
        <v>Abrir facsímil</v>
      </c>
      <c r="K1536" s="15" t="s">
        <v>23</v>
      </c>
    </row>
    <row r="1537" spans="1:11" ht="42" customHeight="1">
      <c r="A1537" s="4" t="s">
        <v>3680</v>
      </c>
      <c r="B1537" s="5" t="s">
        <v>3681</v>
      </c>
      <c r="C1537" s="5" t="s">
        <v>18</v>
      </c>
      <c r="D1537" s="5" t="s">
        <v>19</v>
      </c>
      <c r="E1537" s="5" t="s">
        <v>154</v>
      </c>
      <c r="F1537" s="9">
        <v>61</v>
      </c>
      <c r="G1537" s="9">
        <v>697</v>
      </c>
      <c r="H1537" s="5" t="s">
        <v>21</v>
      </c>
      <c r="I1537" s="5" t="s">
        <v>3682</v>
      </c>
      <c r="J1537" s="12" t="str">
        <f>HYPERLINK("https://www.boe.es/gazeta/dias/1800/08/01/pdfs/GMD-1800-61.pdf#page=9","Abrir facsímil")</f>
        <v>Abrir facsímil</v>
      </c>
      <c r="K1537" s="15" t="s">
        <v>23</v>
      </c>
    </row>
    <row r="1538" spans="1:11" ht="42" customHeight="1">
      <c r="A1538" s="4" t="s">
        <v>3683</v>
      </c>
      <c r="B1538" s="5" t="s">
        <v>3684</v>
      </c>
      <c r="C1538" s="5" t="s">
        <v>18</v>
      </c>
      <c r="D1538" s="5" t="s">
        <v>19</v>
      </c>
      <c r="E1538" s="5" t="s">
        <v>310</v>
      </c>
      <c r="F1538" s="9">
        <v>56</v>
      </c>
      <c r="G1538" s="9">
        <v>633</v>
      </c>
      <c r="H1538" s="5" t="s">
        <v>21</v>
      </c>
      <c r="I1538" s="5" t="s">
        <v>3685</v>
      </c>
      <c r="J1538" s="12" t="str">
        <f>HYPERLINK("https://www.boe.es/gazeta/dias/1800/07/15/pdfs/GMD-1800-56.pdf#page=9","Abrir facsímil")</f>
        <v>Abrir facsímil</v>
      </c>
      <c r="K1538" s="15" t="s">
        <v>23</v>
      </c>
    </row>
    <row r="1539" spans="1:11" ht="42" customHeight="1">
      <c r="A1539" s="4" t="s">
        <v>3686</v>
      </c>
      <c r="B1539" s="5" t="s">
        <v>3687</v>
      </c>
      <c r="C1539" s="5" t="s">
        <v>18</v>
      </c>
      <c r="D1539" s="5" t="s">
        <v>19</v>
      </c>
      <c r="E1539" s="5" t="s">
        <v>56</v>
      </c>
      <c r="F1539" s="9">
        <v>90</v>
      </c>
      <c r="G1539" s="9">
        <v>1054</v>
      </c>
      <c r="H1539" s="5" t="s">
        <v>21</v>
      </c>
      <c r="I1539" s="5" t="s">
        <v>3688</v>
      </c>
      <c r="J1539" s="12" t="str">
        <f>HYPERLINK("https://www.boe.es/gazeta/dias/1800/11/07/pdfs/GMD-1800-90.pdf#page=8","Abrir facsímil")</f>
        <v>Abrir facsímil</v>
      </c>
      <c r="K1539" s="15" t="s">
        <v>23</v>
      </c>
    </row>
    <row r="1540" spans="1:11" ht="42" customHeight="1">
      <c r="A1540" s="4" t="s">
        <v>3689</v>
      </c>
      <c r="B1540" s="5" t="s">
        <v>3690</v>
      </c>
      <c r="C1540" s="5" t="s">
        <v>84</v>
      </c>
      <c r="D1540" s="5" t="s">
        <v>85</v>
      </c>
      <c r="E1540" s="5" t="s">
        <v>143</v>
      </c>
      <c r="F1540" s="9">
        <v>22</v>
      </c>
      <c r="G1540" s="9">
        <v>221</v>
      </c>
      <c r="H1540" s="5" t="s">
        <v>21</v>
      </c>
      <c r="I1540" s="5" t="s">
        <v>3691</v>
      </c>
      <c r="J1540" s="12" t="str">
        <f>HYPERLINK("https://www.boe.es/gazeta/dias/1800/03/18/pdfs/GMD-1800-22.pdf#page=13","Abrir facsímil")</f>
        <v>Abrir facsímil</v>
      </c>
      <c r="K1540" s="15" t="s">
        <v>23</v>
      </c>
    </row>
    <row r="1541" spans="1:11" ht="42" customHeight="1">
      <c r="A1541" s="4" t="s">
        <v>3692</v>
      </c>
      <c r="B1541" s="5" t="s">
        <v>3693</v>
      </c>
      <c r="C1541" s="5" t="s">
        <v>18</v>
      </c>
      <c r="D1541" s="5" t="s">
        <v>19</v>
      </c>
      <c r="E1541" s="5" t="s">
        <v>618</v>
      </c>
      <c r="F1541" s="9">
        <v>1</v>
      </c>
      <c r="G1541" s="9">
        <v>6</v>
      </c>
      <c r="H1541" s="5" t="s">
        <v>21</v>
      </c>
      <c r="I1541" s="5" t="s">
        <v>3694</v>
      </c>
      <c r="J1541" s="12" t="str">
        <f>HYPERLINK("https://www.boe.es/gazeta/dias/1800/01/03/pdfs/GMD-1800-1.pdf#page=6","Abrir facsímil")</f>
        <v>Abrir facsímil</v>
      </c>
      <c r="K1541" s="15" t="s">
        <v>23</v>
      </c>
    </row>
    <row r="1542" spans="1:11" ht="42" customHeight="1">
      <c r="A1542" s="4" t="s">
        <v>3695</v>
      </c>
      <c r="B1542" s="5" t="s">
        <v>3696</v>
      </c>
      <c r="C1542" s="5" t="s">
        <v>84</v>
      </c>
      <c r="D1542" s="5" t="s">
        <v>85</v>
      </c>
      <c r="E1542" s="5" t="s">
        <v>230</v>
      </c>
      <c r="F1542" s="9">
        <v>35</v>
      </c>
      <c r="G1542" s="9">
        <v>356</v>
      </c>
      <c r="H1542" s="5" t="s">
        <v>21</v>
      </c>
      <c r="I1542" s="5" t="s">
        <v>3697</v>
      </c>
      <c r="J1542" s="12" t="str">
        <f>HYPERLINK("https://www.boe.es/gazeta/dias/1800/05/02/pdfs/GMD-1800-35.pdf#page=8","Abrir facsímil")</f>
        <v>Abrir facsímil</v>
      </c>
      <c r="K1542" s="15" t="s">
        <v>23</v>
      </c>
    </row>
    <row r="1543" spans="1:11" ht="42" customHeight="1">
      <c r="A1543" s="4" t="s">
        <v>3698</v>
      </c>
      <c r="B1543" s="5" t="s">
        <v>3699</v>
      </c>
      <c r="C1543" s="5" t="s">
        <v>25</v>
      </c>
      <c r="D1543" s="5" t="s">
        <v>26</v>
      </c>
      <c r="E1543" s="5" t="s">
        <v>139</v>
      </c>
      <c r="F1543" s="9">
        <v>2</v>
      </c>
      <c r="G1543" s="9">
        <v>17</v>
      </c>
      <c r="H1543" s="5" t="s">
        <v>21</v>
      </c>
      <c r="I1543" s="5" t="s">
        <v>3700</v>
      </c>
      <c r="J1543" s="12" t="str">
        <f>HYPERLINK("https://www.boe.es/gazeta/dias/1800/01/07/pdfs/GMD-1800-2.pdf#page=9","Abrir facsímil")</f>
        <v>Abrir facsímil</v>
      </c>
      <c r="K1543" s="15" t="s">
        <v>23</v>
      </c>
    </row>
    <row r="1544" spans="1:11" ht="42" customHeight="1">
      <c r="A1544" s="4" t="s">
        <v>3701</v>
      </c>
      <c r="B1544" s="5" t="s">
        <v>3702</v>
      </c>
      <c r="C1544" s="5" t="s">
        <v>18</v>
      </c>
      <c r="D1544" s="5" t="s">
        <v>19</v>
      </c>
      <c r="E1544" s="5" t="s">
        <v>618</v>
      </c>
      <c r="F1544" s="9">
        <v>1</v>
      </c>
      <c r="G1544" s="9">
        <v>6</v>
      </c>
      <c r="H1544" s="5" t="s">
        <v>21</v>
      </c>
      <c r="I1544" s="5" t="s">
        <v>3703</v>
      </c>
      <c r="J1544" s="12" t="str">
        <f>HYPERLINK("https://www.boe.es/gazeta/dias/1800/01/03/pdfs/GMD-1800-1.pdf#page=6","Abrir facsímil")</f>
        <v>Abrir facsímil</v>
      </c>
      <c r="K1544" s="15" t="s">
        <v>23</v>
      </c>
    </row>
    <row r="1545" spans="1:11" ht="42" customHeight="1">
      <c r="A1545" s="4" t="s">
        <v>3704</v>
      </c>
      <c r="B1545" s="5" t="s">
        <v>3705</v>
      </c>
      <c r="C1545" s="5" t="s">
        <v>18</v>
      </c>
      <c r="D1545" s="5" t="s">
        <v>19</v>
      </c>
      <c r="E1545" s="5" t="s">
        <v>673</v>
      </c>
      <c r="F1545" s="9">
        <v>89</v>
      </c>
      <c r="G1545" s="9">
        <v>1043</v>
      </c>
      <c r="H1545" s="5" t="s">
        <v>21</v>
      </c>
      <c r="I1545" s="5" t="s">
        <v>3706</v>
      </c>
      <c r="J1545" s="12" t="str">
        <f>HYPERLINK("https://www.boe.es/gazeta/dias/1800/11/04/pdfs/GMD-1800-89.pdf#page=9","Abrir facsímil")</f>
        <v>Abrir facsímil</v>
      </c>
      <c r="K1545" s="15" t="s">
        <v>23</v>
      </c>
    </row>
    <row r="1546" spans="1:11" ht="42" customHeight="1">
      <c r="A1546" s="4" t="s">
        <v>3707</v>
      </c>
      <c r="B1546" s="5" t="s">
        <v>3708</v>
      </c>
      <c r="C1546" s="5" t="s">
        <v>54</v>
      </c>
      <c r="D1546" s="5" t="s">
        <v>55</v>
      </c>
      <c r="E1546" s="5" t="s">
        <v>139</v>
      </c>
      <c r="F1546" s="9">
        <v>2</v>
      </c>
      <c r="G1546" s="9">
        <v>19</v>
      </c>
      <c r="H1546" s="5" t="s">
        <v>21</v>
      </c>
      <c r="I1546" s="5" t="s">
        <v>3709</v>
      </c>
      <c r="J1546" s="12" t="str">
        <f>HYPERLINK("https://www.boe.es/gazeta/dias/1800/01/07/pdfs/GMD-1800-2.pdf#page=11","Abrir facsímil")</f>
        <v>Abrir facsímil</v>
      </c>
      <c r="K1546" s="15" t="s">
        <v>23</v>
      </c>
    </row>
    <row r="1547" spans="1:11" ht="42" customHeight="1">
      <c r="A1547" s="4" t="s">
        <v>3710</v>
      </c>
      <c r="B1547" s="5" t="s">
        <v>3711</v>
      </c>
      <c r="C1547" s="5" t="s">
        <v>18</v>
      </c>
      <c r="D1547" s="5" t="s">
        <v>19</v>
      </c>
      <c r="E1547" s="5" t="s">
        <v>618</v>
      </c>
      <c r="F1547" s="9">
        <v>1</v>
      </c>
      <c r="G1547" s="9">
        <v>6</v>
      </c>
      <c r="H1547" s="5" t="s">
        <v>21</v>
      </c>
      <c r="I1547" s="5" t="s">
        <v>3712</v>
      </c>
      <c r="J1547" s="12" t="str">
        <f>HYPERLINK("https://www.boe.es/gazeta/dias/1800/01/03/pdfs/GMD-1800-1.pdf#page=6","Abrir facsímil")</f>
        <v>Abrir facsímil</v>
      </c>
      <c r="K1547" s="15" t="s">
        <v>23</v>
      </c>
    </row>
    <row r="1548" spans="1:11" ht="42" customHeight="1">
      <c r="A1548" s="4" t="s">
        <v>3713</v>
      </c>
      <c r="B1548" s="5" t="s">
        <v>3714</v>
      </c>
      <c r="C1548" s="5" t="s">
        <v>1035</v>
      </c>
      <c r="D1548" s="5" t="s">
        <v>1036</v>
      </c>
      <c r="E1548" s="5" t="s">
        <v>50</v>
      </c>
      <c r="F1548" s="9">
        <v>81</v>
      </c>
      <c r="G1548" s="9">
        <v>942</v>
      </c>
      <c r="H1548" s="5" t="s">
        <v>21</v>
      </c>
      <c r="I1548" s="5" t="s">
        <v>3715</v>
      </c>
      <c r="J1548" s="12" t="str">
        <f>HYPERLINK("https://www.boe.es/gazeta/dias/1800/10/07/pdfs/GMD-C-1800-81.pdf#page=24","Abrir facsímil")</f>
        <v>Abrir facsímil</v>
      </c>
      <c r="K1548" s="15" t="s">
        <v>23</v>
      </c>
    </row>
    <row r="1549" spans="1:11" ht="42" customHeight="1">
      <c r="A1549" s="4" t="s">
        <v>3716</v>
      </c>
      <c r="B1549" s="5" t="s">
        <v>3717</v>
      </c>
      <c r="C1549" s="5" t="s">
        <v>207</v>
      </c>
      <c r="D1549" s="5" t="s">
        <v>55</v>
      </c>
      <c r="E1549" s="5" t="s">
        <v>255</v>
      </c>
      <c r="F1549" s="9">
        <v>75</v>
      </c>
      <c r="G1549" s="9">
        <v>854</v>
      </c>
      <c r="H1549" s="5" t="s">
        <v>21</v>
      </c>
      <c r="I1549" s="5" t="s">
        <v>3718</v>
      </c>
      <c r="J1549" s="12" t="str">
        <f>HYPERLINK("https://www.boe.es/gazeta/dias/1800/09/16/pdfs/GMD-1800-75.pdf#page=8","Abrir facsímil")</f>
        <v>Abrir facsímil</v>
      </c>
      <c r="K1549" s="15" t="s">
        <v>23</v>
      </c>
    </row>
    <row r="1550" spans="1:11" ht="42" customHeight="1">
      <c r="A1550" s="4" t="s">
        <v>3719</v>
      </c>
      <c r="B1550" s="5" t="s">
        <v>3720</v>
      </c>
      <c r="C1550" s="5" t="s">
        <v>207</v>
      </c>
      <c r="D1550" s="5" t="s">
        <v>55</v>
      </c>
      <c r="E1550" s="5" t="s">
        <v>299</v>
      </c>
      <c r="F1550" s="9">
        <v>40</v>
      </c>
      <c r="G1550" s="9">
        <v>412</v>
      </c>
      <c r="H1550" s="5" t="s">
        <v>21</v>
      </c>
      <c r="I1550" s="5" t="s">
        <v>3721</v>
      </c>
      <c r="J1550" s="12" t="str">
        <f>HYPERLINK("https://www.boe.es/gazeta/dias/1800/05/20/pdfs/GMD-1800-40.pdf#page=8","Abrir facsímil")</f>
        <v>Abrir facsímil</v>
      </c>
      <c r="K1550" s="15" t="s">
        <v>23</v>
      </c>
    </row>
    <row r="1551" spans="1:11" ht="42" customHeight="1">
      <c r="A1551" s="4" t="s">
        <v>3722</v>
      </c>
      <c r="B1551" s="5" t="s">
        <v>3723</v>
      </c>
      <c r="C1551" s="5" t="s">
        <v>18</v>
      </c>
      <c r="D1551" s="5" t="s">
        <v>19</v>
      </c>
      <c r="E1551" s="5" t="s">
        <v>1127</v>
      </c>
      <c r="F1551" s="9">
        <v>11</v>
      </c>
      <c r="G1551" s="9">
        <v>107</v>
      </c>
      <c r="H1551" s="5" t="s">
        <v>21</v>
      </c>
      <c r="I1551" s="5" t="s">
        <v>3724</v>
      </c>
      <c r="J1551" s="12" t="str">
        <f>HYPERLINK("https://www.boe.es/gazeta/dias/1800/02/07/pdfs/GMD-1800-11.pdf#page=7","Abrir facsímil")</f>
        <v>Abrir facsímil</v>
      </c>
      <c r="K1551" s="15" t="s">
        <v>23</v>
      </c>
    </row>
    <row r="1552" spans="1:11" ht="42" customHeight="1">
      <c r="A1552" s="4" t="s">
        <v>3725</v>
      </c>
      <c r="B1552" s="5" t="s">
        <v>3726</v>
      </c>
      <c r="C1552" s="5" t="s">
        <v>207</v>
      </c>
      <c r="D1552" s="5" t="s">
        <v>55</v>
      </c>
      <c r="E1552" s="5" t="s">
        <v>402</v>
      </c>
      <c r="F1552" s="9">
        <v>101</v>
      </c>
      <c r="G1552" s="9">
        <v>1173</v>
      </c>
      <c r="H1552" s="5" t="s">
        <v>21</v>
      </c>
      <c r="I1552" s="5" t="s">
        <v>3727</v>
      </c>
      <c r="J1552" s="12" t="str">
        <f>HYPERLINK("https://www.boe.es/gazeta/dias/1800/12/16/pdfs/GMD-1800-101.pdf#page=9","Abrir facsímil")</f>
        <v>Abrir facsímil</v>
      </c>
      <c r="K1552" s="15" t="s">
        <v>23</v>
      </c>
    </row>
    <row r="1553" spans="1:11" ht="42" customHeight="1">
      <c r="A1553" s="4" t="s">
        <v>3728</v>
      </c>
      <c r="B1553" s="5" t="s">
        <v>3729</v>
      </c>
      <c r="C1553" s="5" t="s">
        <v>25</v>
      </c>
      <c r="D1553" s="5" t="s">
        <v>26</v>
      </c>
      <c r="E1553" s="5" t="s">
        <v>1108</v>
      </c>
      <c r="F1553" s="9">
        <v>30</v>
      </c>
      <c r="G1553" s="9">
        <v>308</v>
      </c>
      <c r="H1553" s="5" t="s">
        <v>21</v>
      </c>
      <c r="I1553" s="5" t="s">
        <v>3730</v>
      </c>
      <c r="J1553" s="12" t="str">
        <f>HYPERLINK("https://www.boe.es/gazeta/dias/1800/04/15/pdfs/GMD-1800-30.pdf#page=8","Abrir facsímil")</f>
        <v>Abrir facsímil</v>
      </c>
      <c r="K1553" s="15" t="s">
        <v>23</v>
      </c>
    </row>
    <row r="1554" spans="1:11" ht="42" customHeight="1">
      <c r="A1554" s="4" t="s">
        <v>3731</v>
      </c>
      <c r="B1554" s="5" t="s">
        <v>3732</v>
      </c>
      <c r="C1554" s="5" t="s">
        <v>171</v>
      </c>
      <c r="D1554" s="5" t="s">
        <v>172</v>
      </c>
      <c r="E1554" s="5" t="s">
        <v>90</v>
      </c>
      <c r="F1554" s="9">
        <v>58</v>
      </c>
      <c r="G1554" s="9">
        <v>667</v>
      </c>
      <c r="H1554" s="5" t="s">
        <v>21</v>
      </c>
      <c r="I1554" s="5" t="s">
        <v>3733</v>
      </c>
      <c r="J1554" s="12" t="str">
        <f>HYPERLINK("https://www.boe.es/gazeta/dias/1800/07/22/pdfs/GMD-C-1800-58.pdf#page=3","Abrir facsímil")</f>
        <v>Abrir facsímil</v>
      </c>
      <c r="K1554" s="15" t="s">
        <v>23</v>
      </c>
    </row>
    <row r="1555" spans="1:11" ht="42" customHeight="1">
      <c r="A1555" s="4" t="s">
        <v>3734</v>
      </c>
      <c r="B1555" s="5" t="s">
        <v>3735</v>
      </c>
      <c r="C1555" s="5" t="s">
        <v>18</v>
      </c>
      <c r="D1555" s="5" t="s">
        <v>19</v>
      </c>
      <c r="E1555" s="5" t="s">
        <v>1127</v>
      </c>
      <c r="F1555" s="9">
        <v>11</v>
      </c>
      <c r="G1555" s="9">
        <v>107</v>
      </c>
      <c r="H1555" s="5" t="s">
        <v>21</v>
      </c>
      <c r="I1555" s="5" t="s">
        <v>3736</v>
      </c>
      <c r="J1555" s="12" t="str">
        <f>HYPERLINK("https://www.boe.es/gazeta/dias/1800/02/07/pdfs/GMD-1800-11.pdf#page=7","Abrir facsímil")</f>
        <v>Abrir facsímil</v>
      </c>
      <c r="K1555" s="15" t="s">
        <v>23</v>
      </c>
    </row>
    <row r="1556" spans="1:11" ht="42" customHeight="1">
      <c r="A1556" s="4" t="s">
        <v>3737</v>
      </c>
      <c r="B1556" s="5" t="s">
        <v>3738</v>
      </c>
      <c r="C1556" s="5" t="s">
        <v>18</v>
      </c>
      <c r="D1556" s="5" t="s">
        <v>19</v>
      </c>
      <c r="E1556" s="5" t="s">
        <v>406</v>
      </c>
      <c r="F1556" s="9">
        <v>44</v>
      </c>
      <c r="G1556" s="9">
        <v>461</v>
      </c>
      <c r="H1556" s="5" t="s">
        <v>21</v>
      </c>
      <c r="I1556" s="5" t="s">
        <v>3739</v>
      </c>
      <c r="J1556" s="12" t="str">
        <f>HYPERLINK("https://www.boe.es/gazeta/dias/1800/06/03/pdfs/GMD-1800-44.pdf#page=9","Abrir facsímil")</f>
        <v>Abrir facsímil</v>
      </c>
      <c r="K1556" s="15" t="s">
        <v>23</v>
      </c>
    </row>
    <row r="1557" spans="1:11" ht="42" customHeight="1">
      <c r="A1557" s="4" t="s">
        <v>3740</v>
      </c>
      <c r="B1557" s="5" t="s">
        <v>3741</v>
      </c>
      <c r="C1557" s="5" t="s">
        <v>18</v>
      </c>
      <c r="D1557" s="5" t="s">
        <v>19</v>
      </c>
      <c r="E1557" s="5" t="s">
        <v>420</v>
      </c>
      <c r="F1557" s="9">
        <v>38</v>
      </c>
      <c r="G1557" s="9">
        <v>388</v>
      </c>
      <c r="H1557" s="5" t="s">
        <v>21</v>
      </c>
      <c r="I1557" s="5" t="s">
        <v>3742</v>
      </c>
      <c r="J1557" s="12" t="str">
        <f>HYPERLINK("https://www.boe.es/gazeta/dias/1800/05/13/pdfs/GMD-1800-38.pdf#page=8","Abrir facsímil")</f>
        <v>Abrir facsímil</v>
      </c>
      <c r="K1557" s="15" t="s">
        <v>23</v>
      </c>
    </row>
    <row r="1558" spans="1:11" ht="42" customHeight="1">
      <c r="A1558" s="4" t="s">
        <v>3743</v>
      </c>
      <c r="B1558" s="5" t="s">
        <v>3744</v>
      </c>
      <c r="C1558" s="5" t="s">
        <v>18</v>
      </c>
      <c r="D1558" s="5" t="s">
        <v>19</v>
      </c>
      <c r="E1558" s="5" t="s">
        <v>147</v>
      </c>
      <c r="F1558" s="9">
        <v>84</v>
      </c>
      <c r="G1558" s="9">
        <v>973</v>
      </c>
      <c r="H1558" s="5" t="s">
        <v>21</v>
      </c>
      <c r="I1558" s="5" t="s">
        <v>3745</v>
      </c>
      <c r="J1558" s="12" t="str">
        <f>HYPERLINK("https://www.boe.es/gazeta/dias/1800/10/17/pdfs/GMD-1800-84.pdf#page=7","Abrir facsímil")</f>
        <v>Abrir facsímil</v>
      </c>
      <c r="K1558" s="15" t="s">
        <v>23</v>
      </c>
    </row>
    <row r="1559" spans="1:11" ht="42" customHeight="1">
      <c r="A1559" s="4" t="s">
        <v>3746</v>
      </c>
      <c r="B1559" s="5" t="s">
        <v>3747</v>
      </c>
      <c r="C1559" s="5" t="s">
        <v>207</v>
      </c>
      <c r="D1559" s="5" t="s">
        <v>55</v>
      </c>
      <c r="E1559" s="5" t="s">
        <v>590</v>
      </c>
      <c r="F1559" s="9">
        <v>69</v>
      </c>
      <c r="G1559" s="9">
        <v>775</v>
      </c>
      <c r="H1559" s="5" t="s">
        <v>21</v>
      </c>
      <c r="I1559" s="5" t="s">
        <v>3748</v>
      </c>
      <c r="J1559" s="12" t="str">
        <f>HYPERLINK("https://www.boe.es/gazeta/dias/1800/08/29/pdfs/GMD-1800-69.pdf#page=7","Abrir facsímil")</f>
        <v>Abrir facsímil</v>
      </c>
      <c r="K1559" s="15" t="s">
        <v>23</v>
      </c>
    </row>
    <row r="1560" spans="1:11" ht="42" customHeight="1">
      <c r="A1560" s="4" t="s">
        <v>3749</v>
      </c>
      <c r="B1560" s="5" t="s">
        <v>3750</v>
      </c>
      <c r="C1560" s="5" t="s">
        <v>207</v>
      </c>
      <c r="D1560" s="5" t="s">
        <v>55</v>
      </c>
      <c r="E1560" s="5" t="s">
        <v>230</v>
      </c>
      <c r="F1560" s="9">
        <v>35</v>
      </c>
      <c r="G1560" s="9">
        <v>354</v>
      </c>
      <c r="H1560" s="5" t="s">
        <v>21</v>
      </c>
      <c r="I1560" s="5" t="s">
        <v>3751</v>
      </c>
      <c r="J1560" s="12" t="str">
        <f>HYPERLINK("https://www.boe.es/gazeta/dias/1800/05/02/pdfs/GMD-1800-35.pdf#page=6","Abrir facsímil")</f>
        <v>Abrir facsímil</v>
      </c>
      <c r="K1560" s="15" t="s">
        <v>23</v>
      </c>
    </row>
    <row r="1561" spans="1:11" ht="42" customHeight="1">
      <c r="A1561" s="4" t="s">
        <v>3752</v>
      </c>
      <c r="B1561" s="5" t="s">
        <v>3753</v>
      </c>
      <c r="C1561" s="5" t="s">
        <v>18</v>
      </c>
      <c r="D1561" s="5" t="s">
        <v>19</v>
      </c>
      <c r="E1561" s="5" t="s">
        <v>356</v>
      </c>
      <c r="F1561" s="9">
        <v>31</v>
      </c>
      <c r="G1561" s="9">
        <v>314</v>
      </c>
      <c r="H1561" s="5" t="s">
        <v>21</v>
      </c>
      <c r="I1561" s="5" t="s">
        <v>3754</v>
      </c>
      <c r="J1561" s="12" t="str">
        <f>HYPERLINK("https://www.boe.es/gazeta/dias/1800/04/18/pdfs/GMD-1800-31.pdf#page=6","Abrir facsímil")</f>
        <v>Abrir facsímil</v>
      </c>
      <c r="K1561" s="15" t="s">
        <v>23</v>
      </c>
    </row>
    <row r="1562" spans="1:11" ht="42" customHeight="1">
      <c r="A1562" s="4" t="s">
        <v>3755</v>
      </c>
      <c r="B1562" s="5" t="s">
        <v>3756</v>
      </c>
      <c r="C1562" s="5" t="s">
        <v>25</v>
      </c>
      <c r="D1562" s="5" t="s">
        <v>26</v>
      </c>
      <c r="E1562" s="5" t="s">
        <v>45</v>
      </c>
      <c r="F1562" s="9">
        <v>47</v>
      </c>
      <c r="G1562" s="9">
        <v>502</v>
      </c>
      <c r="H1562" s="5" t="s">
        <v>21</v>
      </c>
      <c r="I1562" s="5" t="s">
        <v>3757</v>
      </c>
      <c r="J1562" s="12" t="str">
        <f>HYPERLINK("https://www.boe.es/gazeta/dias/1800/06/13/pdfs/GMD-1800-47.pdf#page=10","Abrir facsímil")</f>
        <v>Abrir facsímil</v>
      </c>
      <c r="K1562" s="15" t="s">
        <v>23</v>
      </c>
    </row>
    <row r="1563" spans="1:11" ht="42" customHeight="1">
      <c r="A1563" s="4" t="s">
        <v>3758</v>
      </c>
      <c r="B1563" s="5" t="s">
        <v>3759</v>
      </c>
      <c r="C1563" s="5" t="s">
        <v>18</v>
      </c>
      <c r="D1563" s="5" t="s">
        <v>19</v>
      </c>
      <c r="E1563" s="5" t="s">
        <v>618</v>
      </c>
      <c r="F1563" s="9">
        <v>1</v>
      </c>
      <c r="G1563" s="9">
        <v>6</v>
      </c>
      <c r="H1563" s="5" t="s">
        <v>21</v>
      </c>
      <c r="I1563" s="5" t="s">
        <v>3760</v>
      </c>
      <c r="J1563" s="12" t="str">
        <f>HYPERLINK("https://www.boe.es/gazeta/dias/1800/01/03/pdfs/GMD-1800-1.pdf#page=6","Abrir facsímil")</f>
        <v>Abrir facsímil</v>
      </c>
      <c r="K1563" s="15" t="s">
        <v>23</v>
      </c>
    </row>
    <row r="1564" spans="1:11" ht="42" customHeight="1">
      <c r="A1564" s="4" t="s">
        <v>3761</v>
      </c>
      <c r="B1564" s="5" t="s">
        <v>3762</v>
      </c>
      <c r="C1564" s="5" t="s">
        <v>207</v>
      </c>
      <c r="D1564" s="5" t="s">
        <v>55</v>
      </c>
      <c r="E1564" s="5" t="s">
        <v>158</v>
      </c>
      <c r="F1564" s="9">
        <v>25</v>
      </c>
      <c r="G1564" s="9">
        <v>250</v>
      </c>
      <c r="H1564" s="5" t="s">
        <v>21</v>
      </c>
      <c r="I1564" s="5" t="s">
        <v>3763</v>
      </c>
      <c r="J1564" s="12" t="str">
        <f>HYPERLINK("https://www.boe.es/gazeta/dias/1800/03/28/pdfs/GMD-1800-25.pdf#page=2","Abrir facsímil")</f>
        <v>Abrir facsímil</v>
      </c>
      <c r="K1564" s="15" t="s">
        <v>23</v>
      </c>
    </row>
    <row r="1565" spans="1:11" ht="42" customHeight="1">
      <c r="A1565" s="4" t="s">
        <v>3764</v>
      </c>
      <c r="B1565" s="5" t="s">
        <v>3765</v>
      </c>
      <c r="C1565" s="5" t="s">
        <v>18</v>
      </c>
      <c r="D1565" s="5" t="s">
        <v>19</v>
      </c>
      <c r="E1565" s="5" t="s">
        <v>618</v>
      </c>
      <c r="F1565" s="9">
        <v>1</v>
      </c>
      <c r="G1565" s="9">
        <v>6</v>
      </c>
      <c r="H1565" s="5" t="s">
        <v>21</v>
      </c>
      <c r="I1565" s="5" t="s">
        <v>3766</v>
      </c>
      <c r="J1565" s="12" t="str">
        <f>HYPERLINK("https://www.boe.es/gazeta/dias/1800/01/03/pdfs/GMD-1800-1.pdf#page=6","Abrir facsímil")</f>
        <v>Abrir facsímil</v>
      </c>
      <c r="K1565" s="15" t="s">
        <v>23</v>
      </c>
    </row>
    <row r="1566" spans="1:11" ht="42" customHeight="1">
      <c r="A1566" s="4" t="s">
        <v>3767</v>
      </c>
      <c r="B1566" s="5" t="s">
        <v>3768</v>
      </c>
      <c r="C1566" s="5" t="s">
        <v>18</v>
      </c>
      <c r="D1566" s="5" t="s">
        <v>19</v>
      </c>
      <c r="E1566" s="5" t="s">
        <v>50</v>
      </c>
      <c r="F1566" s="9">
        <v>81</v>
      </c>
      <c r="G1566" s="9">
        <v>911</v>
      </c>
      <c r="H1566" s="5" t="s">
        <v>21</v>
      </c>
      <c r="I1566" s="5" t="s">
        <v>3769</v>
      </c>
      <c r="J1566" s="12" t="str">
        <f>HYPERLINK("https://www.boe.es/gazeta/dias/1800/10/07/pdfs/GMD-1800-81.pdf#page=1","Abrir facsímil")</f>
        <v>Abrir facsímil</v>
      </c>
      <c r="K1566" s="15" t="s">
        <v>23</v>
      </c>
    </row>
    <row r="1567" spans="1:11" ht="42" customHeight="1">
      <c r="A1567" s="4" t="s">
        <v>3770</v>
      </c>
      <c r="B1567" s="5" t="s">
        <v>3771</v>
      </c>
      <c r="C1567" s="5" t="s">
        <v>171</v>
      </c>
      <c r="D1567" s="5" t="s">
        <v>172</v>
      </c>
      <c r="E1567" s="5" t="s">
        <v>214</v>
      </c>
      <c r="F1567" s="9">
        <v>41</v>
      </c>
      <c r="G1567" s="9">
        <v>426</v>
      </c>
      <c r="H1567" s="5" t="s">
        <v>21</v>
      </c>
      <c r="I1567" s="5" t="s">
        <v>3772</v>
      </c>
      <c r="J1567" s="12" t="str">
        <f>HYPERLINK("https://www.boe.es/gazeta/dias/1800/05/23/pdfs/GMD-C-1800-41.pdf#page=2","Abrir facsímil")</f>
        <v>Abrir facsímil</v>
      </c>
      <c r="K1567" s="15" t="s">
        <v>23</v>
      </c>
    </row>
    <row r="1568" spans="1:11" ht="42" customHeight="1">
      <c r="A1568" s="4" t="s">
        <v>3773</v>
      </c>
      <c r="B1568" s="5" t="s">
        <v>3774</v>
      </c>
      <c r="C1568" s="5" t="s">
        <v>207</v>
      </c>
      <c r="D1568" s="5" t="s">
        <v>55</v>
      </c>
      <c r="E1568" s="5" t="s">
        <v>2338</v>
      </c>
      <c r="F1568" s="9">
        <v>42</v>
      </c>
      <c r="G1568" s="9">
        <v>434</v>
      </c>
      <c r="H1568" s="5" t="s">
        <v>21</v>
      </c>
      <c r="I1568" s="5" t="s">
        <v>3775</v>
      </c>
      <c r="J1568" s="12" t="str">
        <f>HYPERLINK("https://www.boe.es/gazeta/dias/1800/05/27/pdfs/GMD-1800-42.pdf#page=6","Abrir facsímil")</f>
        <v>Abrir facsímil</v>
      </c>
      <c r="K1568" s="15" t="s">
        <v>23</v>
      </c>
    </row>
    <row r="1569" spans="1:11" ht="42" customHeight="1">
      <c r="A1569" s="4" t="s">
        <v>3776</v>
      </c>
      <c r="B1569" s="5" t="s">
        <v>3777</v>
      </c>
      <c r="C1569" s="5" t="s">
        <v>18</v>
      </c>
      <c r="D1569" s="5" t="s">
        <v>19</v>
      </c>
      <c r="E1569" s="5" t="s">
        <v>56</v>
      </c>
      <c r="F1569" s="9">
        <v>90</v>
      </c>
      <c r="G1569" s="9">
        <v>1056</v>
      </c>
      <c r="H1569" s="5" t="s">
        <v>21</v>
      </c>
      <c r="I1569" s="5" t="s">
        <v>3778</v>
      </c>
      <c r="J1569" s="12" t="str">
        <f>HYPERLINK("https://www.boe.es/gazeta/dias/1800/11/07/pdfs/GMD-1800-90.pdf#page=10","Abrir facsímil")</f>
        <v>Abrir facsímil</v>
      </c>
      <c r="K1569" s="15" t="s">
        <v>23</v>
      </c>
    </row>
    <row r="1570" spans="1:11" ht="42" customHeight="1">
      <c r="A1570" s="4" t="s">
        <v>3779</v>
      </c>
      <c r="B1570" s="5" t="s">
        <v>3780</v>
      </c>
      <c r="C1570" s="5" t="s">
        <v>18</v>
      </c>
      <c r="D1570" s="5" t="s">
        <v>19</v>
      </c>
      <c r="E1570" s="5" t="s">
        <v>203</v>
      </c>
      <c r="F1570" s="9">
        <v>94</v>
      </c>
      <c r="G1570" s="9">
        <v>1077</v>
      </c>
      <c r="H1570" s="5" t="s">
        <v>21</v>
      </c>
      <c r="I1570" s="5" t="s">
        <v>3781</v>
      </c>
      <c r="J1570" s="12" t="str">
        <f>HYPERLINK("https://www.boe.es/gazeta/dias/1800/11/21/pdfs/GMD-1800-94.pdf#page=7","Abrir facsímil")</f>
        <v>Abrir facsímil</v>
      </c>
      <c r="K1570" s="15" t="s">
        <v>23</v>
      </c>
    </row>
    <row r="1571" spans="1:11" ht="42" customHeight="1">
      <c r="A1571" s="4" t="s">
        <v>3782</v>
      </c>
      <c r="B1571" s="5" t="s">
        <v>3783</v>
      </c>
      <c r="C1571" s="5" t="s">
        <v>18</v>
      </c>
      <c r="D1571" s="5" t="s">
        <v>19</v>
      </c>
      <c r="E1571" s="5" t="s">
        <v>180</v>
      </c>
      <c r="F1571" s="9">
        <v>102</v>
      </c>
      <c r="G1571" s="9">
        <v>1185</v>
      </c>
      <c r="H1571" s="5" t="s">
        <v>21</v>
      </c>
      <c r="I1571" s="5" t="s">
        <v>3784</v>
      </c>
      <c r="J1571" s="12" t="str">
        <f>HYPERLINK("https://www.boe.es/gazeta/dias/1800/12/19/pdfs/GMD-1800-102.pdf#page=9","Abrir facsímil")</f>
        <v>Abrir facsímil</v>
      </c>
      <c r="K1571" s="15" t="s">
        <v>23</v>
      </c>
    </row>
    <row r="1572" spans="1:11" ht="42" customHeight="1">
      <c r="A1572" s="4" t="s">
        <v>3785</v>
      </c>
      <c r="B1572" s="5" t="s">
        <v>3786</v>
      </c>
      <c r="C1572" s="5" t="s">
        <v>18</v>
      </c>
      <c r="D1572" s="5" t="s">
        <v>19</v>
      </c>
      <c r="E1572" s="5" t="s">
        <v>314</v>
      </c>
      <c r="F1572" s="9">
        <v>74</v>
      </c>
      <c r="G1572" s="9">
        <v>831</v>
      </c>
      <c r="H1572" s="5" t="s">
        <v>21</v>
      </c>
      <c r="I1572" s="5" t="s">
        <v>3787</v>
      </c>
      <c r="J1572" s="12" t="str">
        <f>HYPERLINK("https://www.boe.es/gazeta/dias/1800/09/12/pdfs/GMD-1800-74.pdf#page=9","Abrir facsímil")</f>
        <v>Abrir facsímil</v>
      </c>
      <c r="K1572" s="15" t="s">
        <v>23</v>
      </c>
    </row>
    <row r="1573" spans="1:11" ht="42" customHeight="1">
      <c r="A1573" s="4" t="s">
        <v>3788</v>
      </c>
      <c r="B1573" s="5" t="s">
        <v>3789</v>
      </c>
      <c r="C1573" s="5" t="s">
        <v>41</v>
      </c>
      <c r="D1573" s="5" t="s">
        <v>42</v>
      </c>
      <c r="E1573" s="5" t="s">
        <v>64</v>
      </c>
      <c r="F1573" s="9">
        <v>54</v>
      </c>
      <c r="G1573" s="9">
        <v>605</v>
      </c>
      <c r="H1573" s="5" t="s">
        <v>21</v>
      </c>
      <c r="I1573" s="5" t="s">
        <v>3790</v>
      </c>
      <c r="J1573" s="12" t="str">
        <f>HYPERLINK("https://www.boe.es/gazeta/dias/1800/07/08/pdfs/GMD-1800-54.pdf#page=9","Abrir facsímil")</f>
        <v>Abrir facsímil</v>
      </c>
      <c r="K1573" s="15" t="s">
        <v>23</v>
      </c>
    </row>
    <row r="1574" spans="1:11" ht="42" customHeight="1">
      <c r="A1574" s="4" t="s">
        <v>3791</v>
      </c>
      <c r="B1574" s="5" t="s">
        <v>3792</v>
      </c>
      <c r="C1574" s="5" t="s">
        <v>18</v>
      </c>
      <c r="D1574" s="5" t="s">
        <v>19</v>
      </c>
      <c r="E1574" s="5" t="s">
        <v>180</v>
      </c>
      <c r="F1574" s="9">
        <v>102</v>
      </c>
      <c r="G1574" s="9">
        <v>1185</v>
      </c>
      <c r="H1574" s="5" t="s">
        <v>21</v>
      </c>
      <c r="I1574" s="5" t="s">
        <v>3793</v>
      </c>
      <c r="J1574" s="12" t="str">
        <f>HYPERLINK("https://www.boe.es/gazeta/dias/1800/12/19/pdfs/GMD-1800-102.pdf#page=9","Abrir facsímil")</f>
        <v>Abrir facsímil</v>
      </c>
      <c r="K1574" s="15" t="s">
        <v>23</v>
      </c>
    </row>
    <row r="1575" spans="1:11" ht="42" customHeight="1">
      <c r="A1575" s="4" t="s">
        <v>3794</v>
      </c>
      <c r="B1575" s="5" t="s">
        <v>3795</v>
      </c>
      <c r="C1575" s="5" t="s">
        <v>18</v>
      </c>
      <c r="D1575" s="5" t="s">
        <v>19</v>
      </c>
      <c r="E1575" s="5" t="s">
        <v>135</v>
      </c>
      <c r="F1575" s="9">
        <v>73</v>
      </c>
      <c r="G1575" s="9">
        <v>814</v>
      </c>
      <c r="H1575" s="5" t="s">
        <v>21</v>
      </c>
      <c r="I1575" s="5" t="s">
        <v>3796</v>
      </c>
      <c r="J1575" s="12" t="str">
        <f>HYPERLINK("https://www.boe.es/gazeta/dias/1800/09/09/pdfs/GMD-1800-73.pdf#page=8","Abrir facsímil")</f>
        <v>Abrir facsímil</v>
      </c>
      <c r="K1575" s="15" t="s">
        <v>23</v>
      </c>
    </row>
    <row r="1576" spans="1:11" ht="42" customHeight="1">
      <c r="A1576" s="4" t="s">
        <v>3797</v>
      </c>
      <c r="B1576" s="5" t="s">
        <v>3798</v>
      </c>
      <c r="C1576" s="5" t="s">
        <v>18</v>
      </c>
      <c r="D1576" s="5" t="s">
        <v>19</v>
      </c>
      <c r="E1576" s="5" t="s">
        <v>196</v>
      </c>
      <c r="F1576" s="9">
        <v>97</v>
      </c>
      <c r="G1576" s="9">
        <v>1117</v>
      </c>
      <c r="H1576" s="5" t="s">
        <v>21</v>
      </c>
      <c r="I1576" s="5" t="s">
        <v>3799</v>
      </c>
      <c r="J1576" s="12" t="str">
        <f>HYPERLINK("https://www.boe.es/gazeta/dias/1800/12/02/pdfs/GMD-1800-97.pdf#page=9","Abrir facsímil")</f>
        <v>Abrir facsímil</v>
      </c>
      <c r="K1576" s="15" t="s">
        <v>23</v>
      </c>
    </row>
    <row r="1577" spans="1:11" ht="42" customHeight="1">
      <c r="A1577" s="4" t="s">
        <v>3800</v>
      </c>
      <c r="B1577" s="5" t="s">
        <v>3801</v>
      </c>
      <c r="C1577" s="5" t="s">
        <v>207</v>
      </c>
      <c r="D1577" s="5" t="s">
        <v>55</v>
      </c>
      <c r="E1577" s="5" t="s">
        <v>572</v>
      </c>
      <c r="F1577" s="9">
        <v>76</v>
      </c>
      <c r="G1577" s="9">
        <v>866</v>
      </c>
      <c r="H1577" s="5" t="s">
        <v>21</v>
      </c>
      <c r="I1577" s="5" t="s">
        <v>3802</v>
      </c>
      <c r="J1577" s="12" t="str">
        <f>HYPERLINK("https://www.boe.es/gazeta/dias/1800/09/19/pdfs/GMD-1800-76.pdf#page=8","Abrir facsímil")</f>
        <v>Abrir facsímil</v>
      </c>
      <c r="K1577" s="15" t="s">
        <v>23</v>
      </c>
    </row>
    <row r="1578" spans="1:11" ht="42" customHeight="1">
      <c r="A1578" s="4" t="s">
        <v>3803</v>
      </c>
      <c r="B1578" s="5" t="s">
        <v>3804</v>
      </c>
      <c r="C1578" s="5" t="s">
        <v>18</v>
      </c>
      <c r="D1578" s="5" t="s">
        <v>19</v>
      </c>
      <c r="E1578" s="5" t="s">
        <v>255</v>
      </c>
      <c r="F1578" s="9">
        <v>75</v>
      </c>
      <c r="G1578" s="9">
        <v>855</v>
      </c>
      <c r="H1578" s="5" t="s">
        <v>21</v>
      </c>
      <c r="I1578" s="5" t="s">
        <v>3805</v>
      </c>
      <c r="J1578" s="12" t="str">
        <f>HYPERLINK("https://www.boe.es/gazeta/dias/1800/09/16/pdfs/GMD-1800-75.pdf#page=9","Abrir facsímil")</f>
        <v>Abrir facsímil</v>
      </c>
      <c r="K1578" s="15" t="s">
        <v>23</v>
      </c>
    </row>
    <row r="1579" spans="1:11" ht="42" customHeight="1">
      <c r="A1579" s="4" t="s">
        <v>3806</v>
      </c>
      <c r="B1579" s="5" t="s">
        <v>3807</v>
      </c>
      <c r="C1579" s="5" t="s">
        <v>18</v>
      </c>
      <c r="D1579" s="5" t="s">
        <v>19</v>
      </c>
      <c r="E1579" s="5" t="s">
        <v>583</v>
      </c>
      <c r="F1579" s="9">
        <v>77</v>
      </c>
      <c r="G1579" s="9">
        <v>879</v>
      </c>
      <c r="H1579" s="5" t="s">
        <v>21</v>
      </c>
      <c r="I1579" s="5" t="s">
        <v>3808</v>
      </c>
      <c r="J1579" s="12" t="str">
        <f>HYPERLINK("https://www.boe.es/gazeta/dias/1800/09/23/pdfs/GMD-1800-77.pdf#page=9","Abrir facsímil")</f>
        <v>Abrir facsímil</v>
      </c>
      <c r="K1579" s="15" t="s">
        <v>23</v>
      </c>
    </row>
    <row r="1580" spans="1:11" ht="42" customHeight="1">
      <c r="A1580" s="4" t="s">
        <v>3809</v>
      </c>
      <c r="B1580" s="5" t="s">
        <v>3810</v>
      </c>
      <c r="C1580" s="5" t="s">
        <v>18</v>
      </c>
      <c r="D1580" s="5" t="s">
        <v>19</v>
      </c>
      <c r="E1580" s="5" t="s">
        <v>120</v>
      </c>
      <c r="F1580" s="9">
        <v>52</v>
      </c>
      <c r="G1580" s="9">
        <v>575</v>
      </c>
      <c r="H1580" s="5" t="s">
        <v>21</v>
      </c>
      <c r="I1580" s="5" t="s">
        <v>3811</v>
      </c>
      <c r="J1580" s="12" t="str">
        <f>HYPERLINK("https://www.boe.es/gazeta/dias/1800/07/01/pdfs/GMD-1800-52.pdf#page=11","Abrir facsímil")</f>
        <v>Abrir facsímil</v>
      </c>
      <c r="K1580" s="15" t="s">
        <v>23</v>
      </c>
    </row>
    <row r="1581" spans="1:11" ht="42" customHeight="1">
      <c r="A1581" s="4" t="s">
        <v>3812</v>
      </c>
      <c r="B1581" s="5" t="s">
        <v>3813</v>
      </c>
      <c r="C1581" s="5" t="s">
        <v>18</v>
      </c>
      <c r="D1581" s="5" t="s">
        <v>19</v>
      </c>
      <c r="E1581" s="5" t="s">
        <v>111</v>
      </c>
      <c r="F1581" s="9">
        <v>98</v>
      </c>
      <c r="G1581" s="9">
        <v>1129</v>
      </c>
      <c r="H1581" s="5" t="s">
        <v>21</v>
      </c>
      <c r="I1581" s="5" t="s">
        <v>3814</v>
      </c>
      <c r="J1581" s="12" t="str">
        <f>HYPERLINK("https://www.boe.es/gazeta/dias/1800/12/05/pdfs/GMD-1800-98.pdf#page=9","Abrir facsímil")</f>
        <v>Abrir facsímil</v>
      </c>
      <c r="K1581" s="15" t="s">
        <v>23</v>
      </c>
    </row>
    <row r="1582" spans="1:11" ht="42" customHeight="1">
      <c r="A1582" s="4" t="s">
        <v>3815</v>
      </c>
      <c r="B1582" s="5" t="s">
        <v>3816</v>
      </c>
      <c r="C1582" s="5" t="s">
        <v>18</v>
      </c>
      <c r="D1582" s="5" t="s">
        <v>19</v>
      </c>
      <c r="E1582" s="5" t="s">
        <v>598</v>
      </c>
      <c r="F1582" s="9">
        <v>32</v>
      </c>
      <c r="G1582" s="9">
        <v>324</v>
      </c>
      <c r="H1582" s="5" t="s">
        <v>21</v>
      </c>
      <c r="I1582" s="5" t="s">
        <v>3817</v>
      </c>
      <c r="J1582" s="12" t="str">
        <f>HYPERLINK("https://www.boe.es/gazeta/dias/1800/04/22/pdfs/GMD-1800-32.pdf#page=8","Abrir facsímil")</f>
        <v>Abrir facsímil</v>
      </c>
      <c r="K1582" s="15" t="s">
        <v>23</v>
      </c>
    </row>
    <row r="1583" spans="1:11" ht="42" customHeight="1">
      <c r="A1583" s="4" t="s">
        <v>3818</v>
      </c>
      <c r="B1583" s="5" t="s">
        <v>3819</v>
      </c>
      <c r="C1583" s="5" t="s">
        <v>84</v>
      </c>
      <c r="D1583" s="5" t="s">
        <v>85</v>
      </c>
      <c r="E1583" s="5" t="s">
        <v>27</v>
      </c>
      <c r="F1583" s="9">
        <v>65</v>
      </c>
      <c r="G1583" s="9">
        <v>734</v>
      </c>
      <c r="H1583" s="5" t="s">
        <v>21</v>
      </c>
      <c r="I1583" s="5" t="s">
        <v>3820</v>
      </c>
      <c r="J1583" s="12" t="str">
        <f>HYPERLINK("https://www.boe.es/gazeta/dias/1800/08/15/pdfs/GMD-1800-65.pdf#page=10","Abrir facsímil")</f>
        <v>Abrir facsímil</v>
      </c>
      <c r="K1583" s="15" t="s">
        <v>23</v>
      </c>
    </row>
    <row r="1584" spans="1:11" ht="42" customHeight="1">
      <c r="A1584" s="4" t="s">
        <v>3821</v>
      </c>
      <c r="B1584" s="5" t="s">
        <v>3822</v>
      </c>
      <c r="C1584" s="5" t="s">
        <v>207</v>
      </c>
      <c r="D1584" s="5" t="s">
        <v>55</v>
      </c>
      <c r="E1584" s="5" t="s">
        <v>43</v>
      </c>
      <c r="F1584" s="9">
        <v>46</v>
      </c>
      <c r="G1584" s="9">
        <v>487</v>
      </c>
      <c r="H1584" s="5" t="s">
        <v>21</v>
      </c>
      <c r="I1584" s="5" t="s">
        <v>3823</v>
      </c>
      <c r="J1584" s="12" t="str">
        <f>HYPERLINK("https://www.boe.es/gazeta/dias/1800/06/10/pdfs/GMD-1800-46.pdf#page=11","Abrir facsímil")</f>
        <v>Abrir facsímil</v>
      </c>
      <c r="K1584" s="15" t="s">
        <v>23</v>
      </c>
    </row>
    <row r="1585" spans="1:11" ht="42" customHeight="1">
      <c r="A1585" s="4" t="s">
        <v>3824</v>
      </c>
      <c r="B1585" s="5" t="s">
        <v>3825</v>
      </c>
      <c r="C1585" s="5" t="s">
        <v>207</v>
      </c>
      <c r="D1585" s="5" t="s">
        <v>55</v>
      </c>
      <c r="E1585" s="5" t="s">
        <v>402</v>
      </c>
      <c r="F1585" s="9">
        <v>101</v>
      </c>
      <c r="G1585" s="9">
        <v>1174</v>
      </c>
      <c r="H1585" s="5" t="s">
        <v>21</v>
      </c>
      <c r="I1585" s="5" t="s">
        <v>3826</v>
      </c>
      <c r="J1585" s="12" t="str">
        <f>HYPERLINK("https://www.boe.es/gazeta/dias/1800/12/16/pdfs/GMD-1800-101.pdf#page=10","Abrir facsímil")</f>
        <v>Abrir facsímil</v>
      </c>
      <c r="K1585" s="15" t="s">
        <v>23</v>
      </c>
    </row>
    <row r="1586" spans="1:11" ht="42" customHeight="1">
      <c r="A1586" s="4" t="s">
        <v>3827</v>
      </c>
      <c r="B1586" s="5" t="s">
        <v>3828</v>
      </c>
      <c r="C1586" s="5" t="s">
        <v>18</v>
      </c>
      <c r="D1586" s="5" t="s">
        <v>19</v>
      </c>
      <c r="E1586" s="5" t="s">
        <v>572</v>
      </c>
      <c r="F1586" s="9">
        <v>76</v>
      </c>
      <c r="G1586" s="9">
        <v>867</v>
      </c>
      <c r="H1586" s="5" t="s">
        <v>21</v>
      </c>
      <c r="I1586" s="5" t="s">
        <v>3829</v>
      </c>
      <c r="J1586" s="12" t="str">
        <f>HYPERLINK("https://www.boe.es/gazeta/dias/1800/09/19/pdfs/GMD-1800-76.pdf#page=9","Abrir facsímil")</f>
        <v>Abrir facsímil</v>
      </c>
      <c r="K1586" s="15" t="s">
        <v>23</v>
      </c>
    </row>
    <row r="1587" spans="1:11" ht="42" customHeight="1">
      <c r="A1587" s="4" t="s">
        <v>3830</v>
      </c>
      <c r="B1587" s="5" t="s">
        <v>3831</v>
      </c>
      <c r="C1587" s="5" t="s">
        <v>54</v>
      </c>
      <c r="D1587" s="5" t="s">
        <v>55</v>
      </c>
      <c r="E1587" s="5" t="s">
        <v>139</v>
      </c>
      <c r="F1587" s="9">
        <v>2</v>
      </c>
      <c r="G1587" s="9">
        <v>19</v>
      </c>
      <c r="H1587" s="5" t="s">
        <v>21</v>
      </c>
      <c r="I1587" s="5" t="s">
        <v>3832</v>
      </c>
      <c r="J1587" s="12" t="str">
        <f>HYPERLINK("https://www.boe.es/gazeta/dias/1800/01/07/pdfs/GMD-1800-2.pdf#page=11","Abrir facsímil")</f>
        <v>Abrir facsímil</v>
      </c>
      <c r="K1587" s="15" t="s">
        <v>23</v>
      </c>
    </row>
    <row r="1588" spans="1:11" ht="42" customHeight="1">
      <c r="A1588" s="4" t="s">
        <v>3833</v>
      </c>
      <c r="B1588" s="5" t="s">
        <v>3834</v>
      </c>
      <c r="C1588" s="5" t="s">
        <v>207</v>
      </c>
      <c r="D1588" s="5" t="s">
        <v>55</v>
      </c>
      <c r="E1588" s="5" t="s">
        <v>576</v>
      </c>
      <c r="F1588" s="9">
        <v>91</v>
      </c>
      <c r="G1588" s="9">
        <v>1067</v>
      </c>
      <c r="H1588" s="5" t="s">
        <v>21</v>
      </c>
      <c r="I1588" s="5" t="s">
        <v>3835</v>
      </c>
      <c r="J1588" s="12" t="str">
        <f>HYPERLINK("https://www.boe.es/gazeta/dias/1800/11/11/pdfs/GMD-1800-91.pdf#page=9","Abrir facsímil")</f>
        <v>Abrir facsímil</v>
      </c>
      <c r="K1588" s="15" t="s">
        <v>23</v>
      </c>
    </row>
    <row r="1589" spans="1:11" ht="42" customHeight="1">
      <c r="A1589" s="4" t="s">
        <v>3836</v>
      </c>
      <c r="B1589" s="5" t="s">
        <v>3837</v>
      </c>
      <c r="C1589" s="5" t="s">
        <v>207</v>
      </c>
      <c r="D1589" s="5" t="s">
        <v>55</v>
      </c>
      <c r="E1589" s="5" t="s">
        <v>43</v>
      </c>
      <c r="F1589" s="9">
        <v>46</v>
      </c>
      <c r="G1589" s="9">
        <v>487</v>
      </c>
      <c r="H1589" s="5" t="s">
        <v>21</v>
      </c>
      <c r="I1589" s="5" t="s">
        <v>3838</v>
      </c>
      <c r="J1589" s="12" t="str">
        <f>HYPERLINK("https://www.boe.es/gazeta/dias/1800/06/10/pdfs/GMD-1800-46.pdf#page=11","Abrir facsímil")</f>
        <v>Abrir facsímil</v>
      </c>
      <c r="K1589" s="15" t="s">
        <v>23</v>
      </c>
    </row>
    <row r="1590" spans="1:11" ht="42" customHeight="1">
      <c r="A1590" s="4" t="s">
        <v>3839</v>
      </c>
      <c r="B1590" s="5" t="s">
        <v>3840</v>
      </c>
      <c r="C1590" s="5" t="s">
        <v>25</v>
      </c>
      <c r="D1590" s="5" t="s">
        <v>26</v>
      </c>
      <c r="E1590" s="5" t="s">
        <v>45</v>
      </c>
      <c r="F1590" s="9">
        <v>47</v>
      </c>
      <c r="G1590" s="9">
        <v>502</v>
      </c>
      <c r="H1590" s="5" t="s">
        <v>21</v>
      </c>
      <c r="I1590" s="5" t="s">
        <v>3841</v>
      </c>
      <c r="J1590" s="12" t="str">
        <f>HYPERLINK("https://www.boe.es/gazeta/dias/1800/06/13/pdfs/GMD-1800-47.pdf#page=10","Abrir facsímil")</f>
        <v>Abrir facsímil</v>
      </c>
      <c r="K1590" s="15" t="s">
        <v>23</v>
      </c>
    </row>
    <row r="1591" spans="1:11" ht="42" customHeight="1">
      <c r="A1591" s="4" t="s">
        <v>3842</v>
      </c>
      <c r="B1591" s="5" t="s">
        <v>3843</v>
      </c>
      <c r="C1591" s="5" t="s">
        <v>18</v>
      </c>
      <c r="D1591" s="5" t="s">
        <v>19</v>
      </c>
      <c r="E1591" s="5" t="s">
        <v>45</v>
      </c>
      <c r="F1591" s="9">
        <v>47</v>
      </c>
      <c r="G1591" s="9">
        <v>503</v>
      </c>
      <c r="H1591" s="5" t="s">
        <v>21</v>
      </c>
      <c r="I1591" s="5" t="s">
        <v>3844</v>
      </c>
      <c r="J1591" s="12" t="str">
        <f>HYPERLINK("https://www.boe.es/gazeta/dias/1800/06/13/pdfs/GMD-1800-47.pdf#page=11","Abrir facsímil")</f>
        <v>Abrir facsímil</v>
      </c>
      <c r="K1591" s="15" t="s">
        <v>23</v>
      </c>
    </row>
    <row r="1592" spans="1:11" ht="42" customHeight="1">
      <c r="A1592" s="4" t="s">
        <v>3845</v>
      </c>
      <c r="B1592" s="5" t="s">
        <v>3846</v>
      </c>
      <c r="C1592" s="5" t="s">
        <v>18</v>
      </c>
      <c r="D1592" s="5" t="s">
        <v>19</v>
      </c>
      <c r="E1592" s="5" t="s">
        <v>190</v>
      </c>
      <c r="F1592" s="9">
        <v>93</v>
      </c>
      <c r="G1592" s="9">
        <v>1067</v>
      </c>
      <c r="H1592" s="5" t="s">
        <v>21</v>
      </c>
      <c r="I1592" s="5" t="s">
        <v>3847</v>
      </c>
      <c r="J1592" s="12" t="str">
        <f>HYPERLINK("https://www.boe.es/gazeta/dias/1800/11/18/pdfs/GMD-1800-93.pdf#page=13","Abrir facsímil")</f>
        <v>Abrir facsímil</v>
      </c>
      <c r="K1592" s="15" t="s">
        <v>23</v>
      </c>
    </row>
    <row r="1593" spans="1:11" ht="42" customHeight="1">
      <c r="A1593" s="4" t="s">
        <v>3848</v>
      </c>
      <c r="B1593" s="5" t="s">
        <v>3849</v>
      </c>
      <c r="C1593" s="5" t="s">
        <v>18</v>
      </c>
      <c r="D1593" s="5" t="s">
        <v>19</v>
      </c>
      <c r="E1593" s="5" t="s">
        <v>64</v>
      </c>
      <c r="F1593" s="9">
        <v>54</v>
      </c>
      <c r="G1593" s="9">
        <v>606</v>
      </c>
      <c r="H1593" s="5" t="s">
        <v>21</v>
      </c>
      <c r="I1593" s="5" t="s">
        <v>3850</v>
      </c>
      <c r="J1593" s="12" t="str">
        <f>HYPERLINK("https://www.boe.es/gazeta/dias/1800/07/08/pdfs/GMD-1800-54.pdf#page=10","Abrir facsímil")</f>
        <v>Abrir facsímil</v>
      </c>
      <c r="K1593" s="15" t="s">
        <v>23</v>
      </c>
    </row>
    <row r="1594" spans="1:11" ht="42" customHeight="1">
      <c r="A1594" s="4" t="s">
        <v>3851</v>
      </c>
      <c r="B1594" s="5" t="s">
        <v>3852</v>
      </c>
      <c r="C1594" s="5" t="s">
        <v>207</v>
      </c>
      <c r="D1594" s="5" t="s">
        <v>55</v>
      </c>
      <c r="E1594" s="5" t="s">
        <v>275</v>
      </c>
      <c r="F1594" s="9">
        <v>60</v>
      </c>
      <c r="G1594" s="9">
        <v>687</v>
      </c>
      <c r="H1594" s="5" t="s">
        <v>21</v>
      </c>
      <c r="I1594" s="5" t="s">
        <v>3853</v>
      </c>
      <c r="J1594" s="12" t="str">
        <f>HYPERLINK("https://www.boe.es/gazeta/dias/1800/07/29/pdfs/GMD-1800-60.pdf#page=7","Abrir facsímil")</f>
        <v>Abrir facsímil</v>
      </c>
      <c r="K1594" s="15" t="s">
        <v>23</v>
      </c>
    </row>
    <row r="1595" spans="1:11" ht="42" customHeight="1">
      <c r="A1595" s="4" t="s">
        <v>3854</v>
      </c>
      <c r="B1595" s="5" t="s">
        <v>3855</v>
      </c>
      <c r="C1595" s="5" t="s">
        <v>25</v>
      </c>
      <c r="D1595" s="5" t="s">
        <v>26</v>
      </c>
      <c r="E1595" s="5" t="s">
        <v>478</v>
      </c>
      <c r="F1595" s="9">
        <v>34</v>
      </c>
      <c r="G1595" s="9">
        <v>346</v>
      </c>
      <c r="H1595" s="5" t="s">
        <v>21</v>
      </c>
      <c r="I1595" s="5" t="s">
        <v>3856</v>
      </c>
      <c r="J1595" s="12" t="str">
        <f>HYPERLINK("https://www.boe.es/gazeta/dias/1800/04/29/pdfs/GMD-1800-34.pdf#page=10","Abrir facsímil")</f>
        <v>Abrir facsímil</v>
      </c>
      <c r="K1595" s="15" t="s">
        <v>23</v>
      </c>
    </row>
    <row r="1596" spans="1:11" ht="42" customHeight="1">
      <c r="A1596" s="4" t="s">
        <v>3857</v>
      </c>
      <c r="B1596" s="5" t="s">
        <v>3858</v>
      </c>
      <c r="C1596" s="5" t="s">
        <v>171</v>
      </c>
      <c r="D1596" s="5" t="s">
        <v>172</v>
      </c>
      <c r="E1596" s="5" t="s">
        <v>214</v>
      </c>
      <c r="F1596" s="9">
        <v>41</v>
      </c>
      <c r="G1596" s="9">
        <v>426</v>
      </c>
      <c r="H1596" s="5" t="s">
        <v>21</v>
      </c>
      <c r="I1596" s="5" t="s">
        <v>3859</v>
      </c>
      <c r="J1596" s="12" t="str">
        <f>HYPERLINK("https://www.boe.es/gazeta/dias/1800/05/23/pdfs/GMD-C-1800-41.pdf#page=2","Abrir facsímil")</f>
        <v>Abrir facsímil</v>
      </c>
      <c r="K1596" s="15" t="s">
        <v>23</v>
      </c>
    </row>
    <row r="1597" spans="1:11" ht="42" customHeight="1">
      <c r="A1597" s="4" t="s">
        <v>3860</v>
      </c>
      <c r="B1597" s="5" t="s">
        <v>3861</v>
      </c>
      <c r="C1597" s="5" t="s">
        <v>18</v>
      </c>
      <c r="D1597" s="5" t="s">
        <v>19</v>
      </c>
      <c r="E1597" s="5" t="s">
        <v>618</v>
      </c>
      <c r="F1597" s="9">
        <v>1</v>
      </c>
      <c r="G1597" s="9">
        <v>6</v>
      </c>
      <c r="H1597" s="5" t="s">
        <v>21</v>
      </c>
      <c r="I1597" s="5" t="s">
        <v>3862</v>
      </c>
      <c r="J1597" s="12" t="str">
        <f>HYPERLINK("https://www.boe.es/gazeta/dias/1800/01/03/pdfs/GMD-1800-1.pdf#page=6","Abrir facsímil")</f>
        <v>Abrir facsímil</v>
      </c>
      <c r="K1597" s="15" t="s">
        <v>23</v>
      </c>
    </row>
    <row r="1598" spans="1:11" ht="42" customHeight="1">
      <c r="A1598" s="4" t="s">
        <v>3863</v>
      </c>
      <c r="B1598" s="5" t="s">
        <v>3864</v>
      </c>
      <c r="C1598" s="5" t="s">
        <v>84</v>
      </c>
      <c r="D1598" s="5" t="s">
        <v>85</v>
      </c>
      <c r="E1598" s="5" t="s">
        <v>82</v>
      </c>
      <c r="F1598" s="9">
        <v>10</v>
      </c>
      <c r="G1598" s="9">
        <v>100</v>
      </c>
      <c r="H1598" s="5" t="s">
        <v>21</v>
      </c>
      <c r="I1598" s="5" t="s">
        <v>3865</v>
      </c>
      <c r="J1598" s="12" t="str">
        <f>HYPERLINK("https://www.boe.es/gazeta/dias/1800/02/04/pdfs/GMD-1800-10.pdf#page=12","Abrir facsímil")</f>
        <v>Abrir facsímil</v>
      </c>
      <c r="K1598" s="15" t="s">
        <v>23</v>
      </c>
    </row>
    <row r="1599" spans="1:11" ht="42" customHeight="1">
      <c r="A1599" s="4" t="s">
        <v>3866</v>
      </c>
      <c r="B1599" s="5" t="s">
        <v>3867</v>
      </c>
      <c r="C1599" s="5" t="s">
        <v>84</v>
      </c>
      <c r="D1599" s="5" t="s">
        <v>85</v>
      </c>
      <c r="E1599" s="5" t="s">
        <v>787</v>
      </c>
      <c r="F1599" s="9">
        <v>6</v>
      </c>
      <c r="G1599" s="9">
        <v>56</v>
      </c>
      <c r="H1599" s="5" t="s">
        <v>21</v>
      </c>
      <c r="I1599" s="5" t="s">
        <v>3868</v>
      </c>
      <c r="J1599" s="12" t="str">
        <f>HYPERLINK("https://www.boe.es/gazeta/dias/1800/01/21/pdfs/GMD-1800-6.pdf#page=8","Abrir facsímil")</f>
        <v>Abrir facsímil</v>
      </c>
      <c r="K1599" s="15" t="s">
        <v>23</v>
      </c>
    </row>
    <row r="1600" spans="1:11" ht="42" customHeight="1">
      <c r="A1600" s="4" t="s">
        <v>3869</v>
      </c>
      <c r="B1600" s="5" t="s">
        <v>3870</v>
      </c>
      <c r="C1600" s="5" t="s">
        <v>18</v>
      </c>
      <c r="D1600" s="5" t="s">
        <v>19</v>
      </c>
      <c r="E1600" s="5" t="s">
        <v>823</v>
      </c>
      <c r="F1600" s="9">
        <v>50</v>
      </c>
      <c r="G1600" s="9">
        <v>545</v>
      </c>
      <c r="H1600" s="5" t="s">
        <v>21</v>
      </c>
      <c r="I1600" s="5" t="s">
        <v>3871</v>
      </c>
      <c r="J1600" s="12" t="str">
        <f>HYPERLINK("https://www.boe.es/gazeta/dias/1800/06/24/pdfs/GMD-1800-50.pdf#page=9","Abrir facsímil")</f>
        <v>Abrir facsímil</v>
      </c>
      <c r="K1600" s="15" t="s">
        <v>23</v>
      </c>
    </row>
    <row r="1601" spans="1:11" ht="42" customHeight="1">
      <c r="A1601" s="4" t="s">
        <v>3872</v>
      </c>
      <c r="B1601" s="5" t="s">
        <v>3873</v>
      </c>
      <c r="C1601" s="5" t="s">
        <v>18</v>
      </c>
      <c r="D1601" s="5" t="s">
        <v>19</v>
      </c>
      <c r="E1601" s="5" t="s">
        <v>534</v>
      </c>
      <c r="F1601" s="9">
        <v>100</v>
      </c>
      <c r="G1601" s="9">
        <v>1159</v>
      </c>
      <c r="H1601" s="5" t="s">
        <v>21</v>
      </c>
      <c r="I1601" s="5" t="s">
        <v>3874</v>
      </c>
      <c r="J1601" s="12" t="str">
        <f>HYPERLINK("https://www.boe.es/gazeta/dias/1800/12/12/pdfs/GMD-1800-100.pdf#page=11","Abrir facsímil")</f>
        <v>Abrir facsímil</v>
      </c>
      <c r="K1601" s="15" t="s">
        <v>23</v>
      </c>
    </row>
    <row r="1602" spans="1:11" ht="42" customHeight="1">
      <c r="A1602" s="4" t="s">
        <v>3875</v>
      </c>
      <c r="B1602" s="5" t="s">
        <v>3876</v>
      </c>
      <c r="C1602" s="5" t="s">
        <v>18</v>
      </c>
      <c r="D1602" s="5" t="s">
        <v>19</v>
      </c>
      <c r="E1602" s="5" t="s">
        <v>240</v>
      </c>
      <c r="F1602" s="9">
        <v>26</v>
      </c>
      <c r="G1602" s="9">
        <v>269</v>
      </c>
      <c r="H1602" s="5" t="s">
        <v>21</v>
      </c>
      <c r="I1602" s="5" t="s">
        <v>3877</v>
      </c>
      <c r="J1602" s="12" t="str">
        <f>HYPERLINK("https://www.boe.es/gazeta/dias/1800/04/01/pdfs/GMD-1800-26.pdf#page=9","Abrir facsímil")</f>
        <v>Abrir facsímil</v>
      </c>
      <c r="K1602" s="15" t="s">
        <v>23</v>
      </c>
    </row>
    <row r="1603" spans="1:11" ht="42" customHeight="1">
      <c r="A1603" s="4" t="s">
        <v>3878</v>
      </c>
      <c r="B1603" s="5" t="s">
        <v>3879</v>
      </c>
      <c r="C1603" s="5" t="s">
        <v>18</v>
      </c>
      <c r="D1603" s="5" t="s">
        <v>19</v>
      </c>
      <c r="E1603" s="5" t="s">
        <v>79</v>
      </c>
      <c r="F1603" s="9">
        <v>7</v>
      </c>
      <c r="G1603" s="9">
        <v>67</v>
      </c>
      <c r="H1603" s="5" t="s">
        <v>21</v>
      </c>
      <c r="I1603" s="5" t="s">
        <v>3880</v>
      </c>
      <c r="J1603" s="12" t="str">
        <f>HYPERLINK("https://www.boe.es/gazeta/dias/1800/01/24/pdfs/GMD-1800-7.pdf#page=7","Abrir facsímil")</f>
        <v>Abrir facsímil</v>
      </c>
      <c r="K1603" s="15" t="s">
        <v>23</v>
      </c>
    </row>
    <row r="1604" spans="1:11" ht="42" customHeight="1">
      <c r="A1604" s="4" t="s">
        <v>3881</v>
      </c>
      <c r="B1604" s="5" t="s">
        <v>3882</v>
      </c>
      <c r="C1604" s="5" t="s">
        <v>18</v>
      </c>
      <c r="D1604" s="5" t="s">
        <v>19</v>
      </c>
      <c r="E1604" s="5" t="s">
        <v>135</v>
      </c>
      <c r="F1604" s="9">
        <v>73</v>
      </c>
      <c r="G1604" s="9">
        <v>815</v>
      </c>
      <c r="H1604" s="5" t="s">
        <v>21</v>
      </c>
      <c r="I1604" s="5" t="s">
        <v>3883</v>
      </c>
      <c r="J1604" s="12" t="str">
        <f>HYPERLINK("https://www.boe.es/gazeta/dias/1800/09/09/pdfs/GMD-1800-73.pdf#page=9","Abrir facsímil")</f>
        <v>Abrir facsímil</v>
      </c>
      <c r="K1604" s="15" t="s">
        <v>23</v>
      </c>
    </row>
    <row r="1605" spans="1:11" ht="42" customHeight="1">
      <c r="A1605" s="4" t="s">
        <v>3884</v>
      </c>
      <c r="B1605" s="5" t="s">
        <v>3885</v>
      </c>
      <c r="C1605" s="5" t="s">
        <v>25</v>
      </c>
      <c r="D1605" s="5" t="s">
        <v>26</v>
      </c>
      <c r="E1605" s="5" t="s">
        <v>530</v>
      </c>
      <c r="F1605" s="9">
        <v>55</v>
      </c>
      <c r="G1605" s="9">
        <v>623</v>
      </c>
      <c r="H1605" s="5" t="s">
        <v>21</v>
      </c>
      <c r="I1605" s="5" t="s">
        <v>3886</v>
      </c>
      <c r="J1605" s="12" t="str">
        <f>HYPERLINK("https://www.boe.es/gazeta/dias/1800/07/11/pdfs/GMD-1800-55.pdf#page=11","Abrir facsímil")</f>
        <v>Abrir facsímil</v>
      </c>
      <c r="K1605" s="15" t="s">
        <v>23</v>
      </c>
    </row>
    <row r="1606" spans="1:11" ht="42" customHeight="1">
      <c r="A1606" s="4" t="s">
        <v>3884</v>
      </c>
      <c r="B1606" s="5" t="s">
        <v>3885</v>
      </c>
      <c r="C1606" s="5" t="s">
        <v>84</v>
      </c>
      <c r="D1606" s="5" t="s">
        <v>85</v>
      </c>
      <c r="E1606" s="5" t="s">
        <v>27</v>
      </c>
      <c r="F1606" s="9">
        <v>65</v>
      </c>
      <c r="G1606" s="9">
        <v>734</v>
      </c>
      <c r="H1606" s="5" t="s">
        <v>21</v>
      </c>
      <c r="I1606" s="5" t="s">
        <v>3887</v>
      </c>
      <c r="J1606" s="12" t="str">
        <f>HYPERLINK("https://www.boe.es/gazeta/dias/1800/08/15/pdfs/GMD-1800-65.pdf#page=10","Abrir facsímil")</f>
        <v>Abrir facsímil</v>
      </c>
      <c r="K1606" s="15" t="s">
        <v>23</v>
      </c>
    </row>
    <row r="1607" spans="1:11" ht="42" customHeight="1">
      <c r="A1607" s="4" t="s">
        <v>3888</v>
      </c>
      <c r="B1607" s="5" t="s">
        <v>3889</v>
      </c>
      <c r="C1607" s="5" t="s">
        <v>18</v>
      </c>
      <c r="D1607" s="5" t="s">
        <v>19</v>
      </c>
      <c r="E1607" s="5" t="s">
        <v>279</v>
      </c>
      <c r="F1607" s="9">
        <v>103</v>
      </c>
      <c r="G1607" s="9">
        <v>1197</v>
      </c>
      <c r="H1607" s="5" t="s">
        <v>21</v>
      </c>
      <c r="I1607" s="5" t="s">
        <v>3890</v>
      </c>
      <c r="J1607" s="12" t="str">
        <f>HYPERLINK("https://www.boe.es/gazeta/dias/1800/12/23/pdfs/GMD-1800-103.pdf#page=9","Abrir facsímil")</f>
        <v>Abrir facsímil</v>
      </c>
      <c r="K1607" s="15" t="s">
        <v>23</v>
      </c>
    </row>
    <row r="1608" spans="1:11" ht="42" customHeight="1">
      <c r="A1608" s="4" t="s">
        <v>3891</v>
      </c>
      <c r="B1608" s="5" t="s">
        <v>3892</v>
      </c>
      <c r="C1608" s="5" t="s">
        <v>207</v>
      </c>
      <c r="D1608" s="5" t="s">
        <v>55</v>
      </c>
      <c r="E1608" s="5" t="s">
        <v>275</v>
      </c>
      <c r="F1608" s="9">
        <v>60</v>
      </c>
      <c r="G1608" s="9">
        <v>687</v>
      </c>
      <c r="H1608" s="5" t="s">
        <v>21</v>
      </c>
      <c r="I1608" s="5" t="s">
        <v>3893</v>
      </c>
      <c r="J1608" s="12" t="str">
        <f>HYPERLINK("https://www.boe.es/gazeta/dias/1800/07/29/pdfs/GMD-1800-60.pdf#page=7","Abrir facsímil")</f>
        <v>Abrir facsímil</v>
      </c>
      <c r="K1608" s="15" t="s">
        <v>23</v>
      </c>
    </row>
    <row r="1609" spans="1:11" ht="42" customHeight="1">
      <c r="A1609" s="4" t="s">
        <v>3894</v>
      </c>
      <c r="B1609" s="5" t="s">
        <v>3895</v>
      </c>
      <c r="C1609" s="5" t="s">
        <v>18</v>
      </c>
      <c r="D1609" s="5" t="s">
        <v>19</v>
      </c>
      <c r="E1609" s="5" t="s">
        <v>255</v>
      </c>
      <c r="F1609" s="9">
        <v>75</v>
      </c>
      <c r="G1609" s="9">
        <v>855</v>
      </c>
      <c r="H1609" s="5" t="s">
        <v>21</v>
      </c>
      <c r="I1609" s="5" t="s">
        <v>3896</v>
      </c>
      <c r="J1609" s="12" t="str">
        <f>HYPERLINK("https://www.boe.es/gazeta/dias/1800/09/16/pdfs/GMD-1800-75.pdf#page=9","Abrir facsímil")</f>
        <v>Abrir facsímil</v>
      </c>
      <c r="K1609" s="15" t="s">
        <v>23</v>
      </c>
    </row>
    <row r="1610" spans="1:11" ht="42" customHeight="1">
      <c r="A1610" s="4" t="s">
        <v>3897</v>
      </c>
      <c r="B1610" s="5" t="s">
        <v>3898</v>
      </c>
      <c r="C1610" s="5" t="s">
        <v>18</v>
      </c>
      <c r="D1610" s="5" t="s">
        <v>19</v>
      </c>
      <c r="E1610" s="5" t="s">
        <v>346</v>
      </c>
      <c r="F1610" s="9">
        <v>24</v>
      </c>
      <c r="G1610" s="9">
        <v>243</v>
      </c>
      <c r="H1610" s="5" t="s">
        <v>21</v>
      </c>
      <c r="I1610" s="5" t="s">
        <v>3899</v>
      </c>
      <c r="J1610" s="12" t="str">
        <f>HYPERLINK("https://www.boe.es/gazeta/dias/1800/03/25/pdfs/GMD-1800-24.pdf#page=7","Abrir facsímil")</f>
        <v>Abrir facsímil</v>
      </c>
      <c r="K1610" s="15" t="s">
        <v>23</v>
      </c>
    </row>
    <row r="1611" spans="1:11" ht="42" customHeight="1">
      <c r="A1611" s="4" t="s">
        <v>3900</v>
      </c>
      <c r="B1611" s="5" t="s">
        <v>3901</v>
      </c>
      <c r="C1611" s="5" t="s">
        <v>18</v>
      </c>
      <c r="D1611" s="5" t="s">
        <v>19</v>
      </c>
      <c r="E1611" s="5" t="s">
        <v>31</v>
      </c>
      <c r="F1611" s="9">
        <v>20</v>
      </c>
      <c r="G1611" s="9">
        <v>191</v>
      </c>
      <c r="H1611" s="5" t="s">
        <v>21</v>
      </c>
      <c r="I1611" s="5" t="s">
        <v>3902</v>
      </c>
      <c r="J1611" s="12" t="str">
        <f>HYPERLINK("https://www.boe.es/gazeta/dias/1800/03/11/pdfs/GMD-1800-20.pdf#page=7","Abrir facsímil")</f>
        <v>Abrir facsímil</v>
      </c>
      <c r="K1611" s="15" t="s">
        <v>23</v>
      </c>
    </row>
    <row r="1612" spans="1:11" ht="42" customHeight="1">
      <c r="A1612" s="4" t="s">
        <v>3903</v>
      </c>
      <c r="B1612" s="5" t="s">
        <v>3904</v>
      </c>
      <c r="C1612" s="5" t="s">
        <v>41</v>
      </c>
      <c r="D1612" s="5" t="s">
        <v>42</v>
      </c>
      <c r="E1612" s="5" t="s">
        <v>143</v>
      </c>
      <c r="F1612" s="9">
        <v>22</v>
      </c>
      <c r="G1612" s="9">
        <v>219</v>
      </c>
      <c r="H1612" s="5" t="s">
        <v>21</v>
      </c>
      <c r="I1612" s="5" t="s">
        <v>3905</v>
      </c>
      <c r="J1612" s="12" t="str">
        <f>HYPERLINK("https://www.boe.es/gazeta/dias/1800/03/18/pdfs/GMD-1800-22.pdf#page=11","Abrir facsímil")</f>
        <v>Abrir facsímil</v>
      </c>
      <c r="K1612" s="15" t="s">
        <v>23</v>
      </c>
    </row>
    <row r="1613" spans="1:11" ht="42" customHeight="1">
      <c r="A1613" s="4" t="s">
        <v>3906</v>
      </c>
      <c r="B1613" s="5" t="s">
        <v>3907</v>
      </c>
      <c r="C1613" s="5" t="s">
        <v>207</v>
      </c>
      <c r="D1613" s="5" t="s">
        <v>55</v>
      </c>
      <c r="E1613" s="5" t="s">
        <v>1231</v>
      </c>
      <c r="F1613" s="9">
        <v>36</v>
      </c>
      <c r="G1613" s="9">
        <v>367</v>
      </c>
      <c r="H1613" s="5" t="s">
        <v>21</v>
      </c>
      <c r="I1613" s="5" t="s">
        <v>3908</v>
      </c>
      <c r="J1613" s="12" t="str">
        <f>HYPERLINK("https://www.boe.es/gazeta/dias/1800/05/06/pdfs/GMD-1800-36.pdf#page=11","Abrir facsímil")</f>
        <v>Abrir facsímil</v>
      </c>
      <c r="K1613" s="15" t="s">
        <v>23</v>
      </c>
    </row>
    <row r="1614" spans="1:11" ht="42" customHeight="1">
      <c r="A1614" s="4" t="s">
        <v>3909</v>
      </c>
      <c r="B1614" s="5" t="s">
        <v>3910</v>
      </c>
      <c r="C1614" s="5" t="s">
        <v>207</v>
      </c>
      <c r="D1614" s="5" t="s">
        <v>55</v>
      </c>
      <c r="E1614" s="5" t="s">
        <v>1231</v>
      </c>
      <c r="F1614" s="9">
        <v>36</v>
      </c>
      <c r="G1614" s="9">
        <v>367</v>
      </c>
      <c r="H1614" s="5" t="s">
        <v>21</v>
      </c>
      <c r="I1614" s="5" t="s">
        <v>3911</v>
      </c>
      <c r="J1614" s="12" t="str">
        <f>HYPERLINK("https://www.boe.es/gazeta/dias/1800/05/06/pdfs/GMD-1800-36.pdf#page=11","Abrir facsímil")</f>
        <v>Abrir facsímil</v>
      </c>
      <c r="K1614" s="15" t="s">
        <v>23</v>
      </c>
    </row>
    <row r="1615" spans="1:11" ht="42" customHeight="1">
      <c r="A1615" s="4" t="s">
        <v>3912</v>
      </c>
      <c r="B1615" s="5" t="s">
        <v>3913</v>
      </c>
      <c r="C1615" s="5" t="s">
        <v>41</v>
      </c>
      <c r="D1615" s="5" t="s">
        <v>42</v>
      </c>
      <c r="E1615" s="5" t="s">
        <v>39</v>
      </c>
      <c r="F1615" s="9">
        <v>43</v>
      </c>
      <c r="G1615" s="9">
        <v>441</v>
      </c>
      <c r="H1615" s="5" t="s">
        <v>21</v>
      </c>
      <c r="I1615" s="5" t="s">
        <v>3914</v>
      </c>
      <c r="J1615" s="12" t="str">
        <f>HYPERLINK("https://www.boe.es/gazeta/dias/1800/05/30/pdfs/GMD-1800-43.pdf#page=1","Abrir facsímil")</f>
        <v>Abrir facsímil</v>
      </c>
      <c r="K1615" s="15" t="s">
        <v>23</v>
      </c>
    </row>
    <row r="1616" spans="1:11" ht="42" customHeight="1">
      <c r="A1616" s="4" t="s">
        <v>3915</v>
      </c>
      <c r="B1616" s="5" t="s">
        <v>3916</v>
      </c>
      <c r="C1616" s="5" t="s">
        <v>25</v>
      </c>
      <c r="D1616" s="5" t="s">
        <v>26</v>
      </c>
      <c r="E1616" s="5" t="s">
        <v>158</v>
      </c>
      <c r="F1616" s="9">
        <v>25</v>
      </c>
      <c r="G1616" s="9">
        <v>259</v>
      </c>
      <c r="H1616" s="5" t="s">
        <v>21</v>
      </c>
      <c r="I1616" s="5" t="s">
        <v>3917</v>
      </c>
      <c r="J1616" s="12" t="str">
        <f>HYPERLINK("https://www.boe.es/gazeta/dias/1800/03/28/pdfs/GMD-1800-25.pdf#page=11","Abrir facsímil")</f>
        <v>Abrir facsímil</v>
      </c>
      <c r="K1616" s="15" t="s">
        <v>23</v>
      </c>
    </row>
    <row r="1617" spans="1:11" ht="42" customHeight="1">
      <c r="A1617" s="4" t="s">
        <v>3918</v>
      </c>
      <c r="B1617" s="5" t="s">
        <v>3919</v>
      </c>
      <c r="C1617" s="5" t="s">
        <v>25</v>
      </c>
      <c r="D1617" s="5" t="s">
        <v>26</v>
      </c>
      <c r="E1617" s="5" t="s">
        <v>79</v>
      </c>
      <c r="F1617" s="9">
        <v>7</v>
      </c>
      <c r="G1617" s="9">
        <v>66</v>
      </c>
      <c r="H1617" s="5" t="s">
        <v>21</v>
      </c>
      <c r="I1617" s="5" t="s">
        <v>3920</v>
      </c>
      <c r="J1617" s="12" t="str">
        <f>HYPERLINK("https://www.boe.es/gazeta/dias/1800/01/24/pdfs/GMD-1800-7.pdf#page=6","Abrir facsímil")</f>
        <v>Abrir facsímil</v>
      </c>
      <c r="K1617" s="15" t="s">
        <v>23</v>
      </c>
    </row>
    <row r="1618" spans="1:11" ht="42" customHeight="1">
      <c r="A1618" s="4" t="s">
        <v>3921</v>
      </c>
      <c r="B1618" s="5" t="s">
        <v>3922</v>
      </c>
      <c r="C1618" s="5" t="s">
        <v>18</v>
      </c>
      <c r="D1618" s="5" t="s">
        <v>19</v>
      </c>
      <c r="E1618" s="5" t="s">
        <v>203</v>
      </c>
      <c r="F1618" s="9">
        <v>94</v>
      </c>
      <c r="G1618" s="9">
        <v>1072</v>
      </c>
      <c r="H1618" s="5" t="s">
        <v>21</v>
      </c>
      <c r="I1618" s="5" t="s">
        <v>3923</v>
      </c>
      <c r="J1618" s="12" t="str">
        <f>HYPERLINK("https://www.boe.es/gazeta/dias/1800/11/21/pdfs/GMD-1800-94.pdf#page=2","Abrir facsímil")</f>
        <v>Abrir facsímil</v>
      </c>
      <c r="K1618" s="15" t="s">
        <v>23</v>
      </c>
    </row>
    <row r="1619" spans="1:11" ht="42" customHeight="1">
      <c r="A1619" s="4" t="s">
        <v>3924</v>
      </c>
      <c r="B1619" s="5" t="s">
        <v>3925</v>
      </c>
      <c r="C1619" s="5" t="s">
        <v>18</v>
      </c>
      <c r="D1619" s="5" t="s">
        <v>19</v>
      </c>
      <c r="E1619" s="5" t="s">
        <v>615</v>
      </c>
      <c r="F1619" s="9">
        <v>95</v>
      </c>
      <c r="G1619" s="9">
        <v>1084</v>
      </c>
      <c r="H1619" s="5" t="s">
        <v>21</v>
      </c>
      <c r="I1619" s="5" t="s">
        <v>3926</v>
      </c>
      <c r="J1619" s="12" t="str">
        <f>HYPERLINK("https://www.boe.es/gazeta/dias/1800/11/25/pdfs/GMD-1800-95.pdf#page=2","Abrir facsímil")</f>
        <v>Abrir facsímil</v>
      </c>
      <c r="K1619" s="15" t="s">
        <v>23</v>
      </c>
    </row>
    <row r="1620" spans="1:11" ht="42" customHeight="1">
      <c r="A1620" s="4" t="s">
        <v>3927</v>
      </c>
      <c r="B1620" s="5" t="s">
        <v>3928</v>
      </c>
      <c r="C1620" s="5" t="s">
        <v>25</v>
      </c>
      <c r="D1620" s="5" t="s">
        <v>26</v>
      </c>
      <c r="E1620" s="5" t="s">
        <v>101</v>
      </c>
      <c r="F1620" s="9">
        <v>37</v>
      </c>
      <c r="G1620" s="9">
        <v>377</v>
      </c>
      <c r="H1620" s="5" t="s">
        <v>21</v>
      </c>
      <c r="I1620" s="5" t="s">
        <v>3929</v>
      </c>
      <c r="J1620" s="12" t="str">
        <f>HYPERLINK("https://www.boe.es/gazeta/dias/1800/05/09/pdfs/GMD-1800-37.pdf#page=9","Abrir facsímil")</f>
        <v>Abrir facsímil</v>
      </c>
      <c r="K1620" s="15" t="s">
        <v>23</v>
      </c>
    </row>
    <row r="1621" spans="1:11" ht="42" customHeight="1">
      <c r="A1621" s="4" t="s">
        <v>3930</v>
      </c>
      <c r="B1621" s="5" t="s">
        <v>3931</v>
      </c>
      <c r="C1621" s="5" t="s">
        <v>41</v>
      </c>
      <c r="D1621" s="5" t="s">
        <v>42</v>
      </c>
      <c r="E1621" s="5" t="s">
        <v>147</v>
      </c>
      <c r="F1621" s="9">
        <v>84</v>
      </c>
      <c r="G1621" s="9">
        <v>972</v>
      </c>
      <c r="H1621" s="5" t="s">
        <v>21</v>
      </c>
      <c r="I1621" s="5" t="s">
        <v>3932</v>
      </c>
      <c r="J1621" s="12" t="str">
        <f>HYPERLINK("https://www.boe.es/gazeta/dias/1800/10/17/pdfs/GMD-1800-84.pdf#page=6","Abrir facsímil")</f>
        <v>Abrir facsímil</v>
      </c>
      <c r="K1621" s="15" t="s">
        <v>23</v>
      </c>
    </row>
    <row r="1622" spans="1:11" ht="42" customHeight="1">
      <c r="A1622" s="4" t="s">
        <v>3933</v>
      </c>
      <c r="B1622" s="5" t="s">
        <v>3934</v>
      </c>
      <c r="C1622" s="5" t="s">
        <v>41</v>
      </c>
      <c r="D1622" s="5" t="s">
        <v>42</v>
      </c>
      <c r="E1622" s="5" t="s">
        <v>143</v>
      </c>
      <c r="F1622" s="9">
        <v>22</v>
      </c>
      <c r="G1622" s="9">
        <v>219</v>
      </c>
      <c r="H1622" s="5" t="s">
        <v>21</v>
      </c>
      <c r="I1622" s="5" t="s">
        <v>3935</v>
      </c>
      <c r="J1622" s="12" t="str">
        <f>HYPERLINK("https://www.boe.es/gazeta/dias/1800/03/18/pdfs/GMD-1800-22.pdf#page=11","Abrir facsímil")</f>
        <v>Abrir facsímil</v>
      </c>
      <c r="K1622" s="15" t="s">
        <v>23</v>
      </c>
    </row>
    <row r="1623" spans="1:11" ht="42" customHeight="1">
      <c r="A1623" s="4" t="s">
        <v>3936</v>
      </c>
      <c r="B1623" s="5" t="s">
        <v>3937</v>
      </c>
      <c r="C1623" s="5" t="s">
        <v>18</v>
      </c>
      <c r="D1623" s="5" t="s">
        <v>19</v>
      </c>
      <c r="E1623" s="5" t="s">
        <v>105</v>
      </c>
      <c r="F1623" s="9">
        <v>28</v>
      </c>
      <c r="G1623" s="9">
        <v>292</v>
      </c>
      <c r="H1623" s="5" t="s">
        <v>21</v>
      </c>
      <c r="I1623" s="5" t="s">
        <v>3938</v>
      </c>
      <c r="J1623" s="12" t="str">
        <f>HYPERLINK("https://www.boe.es/gazeta/dias/1800/04/08/pdfs/GMD-1800-28.pdf#page=8","Abrir facsímil")</f>
        <v>Abrir facsímil</v>
      </c>
      <c r="K1623" s="15" t="s">
        <v>23</v>
      </c>
    </row>
    <row r="1624" spans="1:11" ht="42" customHeight="1">
      <c r="A1624" s="4" t="s">
        <v>3939</v>
      </c>
      <c r="B1624" s="5" t="s">
        <v>3940</v>
      </c>
      <c r="C1624" s="5" t="s">
        <v>18</v>
      </c>
      <c r="D1624" s="5" t="s">
        <v>19</v>
      </c>
      <c r="E1624" s="5" t="s">
        <v>583</v>
      </c>
      <c r="F1624" s="9">
        <v>77</v>
      </c>
      <c r="G1624" s="9">
        <v>879</v>
      </c>
      <c r="H1624" s="5" t="s">
        <v>21</v>
      </c>
      <c r="I1624" s="5" t="s">
        <v>3941</v>
      </c>
      <c r="J1624" s="12" t="str">
        <f>HYPERLINK("https://www.boe.es/gazeta/dias/1800/09/23/pdfs/GMD-1800-77.pdf#page=9","Abrir facsímil")</f>
        <v>Abrir facsímil</v>
      </c>
      <c r="K1624" s="15" t="s">
        <v>23</v>
      </c>
    </row>
    <row r="1625" spans="1:11" ht="42" customHeight="1">
      <c r="A1625" s="4" t="s">
        <v>3942</v>
      </c>
      <c r="B1625" s="5" t="s">
        <v>3943</v>
      </c>
      <c r="C1625" s="5" t="s">
        <v>171</v>
      </c>
      <c r="D1625" s="5" t="s">
        <v>172</v>
      </c>
      <c r="E1625" s="5" t="s">
        <v>461</v>
      </c>
      <c r="F1625" s="9">
        <v>18</v>
      </c>
      <c r="G1625" s="9">
        <v>174</v>
      </c>
      <c r="H1625" s="5" t="s">
        <v>21</v>
      </c>
      <c r="I1625" s="5" t="s">
        <v>3944</v>
      </c>
      <c r="J1625" s="12" t="str">
        <f>HYPERLINK("https://www.boe.es/datos/pdfs/BOE//1800/018/C00173-00176.pdf#page=2","Abrir facsímil")</f>
        <v>Abrir facsímil</v>
      </c>
      <c r="K1625" s="15" t="s">
        <v>23</v>
      </c>
    </row>
    <row r="1626" spans="1:11" ht="42" customHeight="1">
      <c r="A1626" s="4" t="s">
        <v>3945</v>
      </c>
      <c r="B1626" s="5" t="s">
        <v>3946</v>
      </c>
      <c r="C1626" s="5" t="s">
        <v>207</v>
      </c>
      <c r="D1626" s="5" t="s">
        <v>55</v>
      </c>
      <c r="E1626" s="5" t="s">
        <v>787</v>
      </c>
      <c r="F1626" s="9">
        <v>6</v>
      </c>
      <c r="G1626" s="9">
        <v>59</v>
      </c>
      <c r="H1626" s="5" t="s">
        <v>21</v>
      </c>
      <c r="I1626" s="5" t="s">
        <v>3947</v>
      </c>
      <c r="J1626" s="12" t="str">
        <f>HYPERLINK("https://www.boe.es/gazeta/dias/1800/01/21/pdfs/GMD-1800-6.pdf#page=11","Abrir facsímil")</f>
        <v>Abrir facsímil</v>
      </c>
      <c r="K1626" s="15" t="s">
        <v>23</v>
      </c>
    </row>
    <row r="1627" spans="1:11" ht="42" customHeight="1">
      <c r="A1627" s="4" t="s">
        <v>3948</v>
      </c>
      <c r="B1627" s="5" t="s">
        <v>3949</v>
      </c>
      <c r="C1627" s="5" t="s">
        <v>18</v>
      </c>
      <c r="D1627" s="5" t="s">
        <v>19</v>
      </c>
      <c r="E1627" s="5" t="s">
        <v>310</v>
      </c>
      <c r="F1627" s="9">
        <v>56</v>
      </c>
      <c r="G1627" s="9">
        <v>633</v>
      </c>
      <c r="H1627" s="5" t="s">
        <v>21</v>
      </c>
      <c r="I1627" s="5" t="s">
        <v>3950</v>
      </c>
      <c r="J1627" s="12" t="str">
        <f>HYPERLINK("https://www.boe.es/gazeta/dias/1800/07/15/pdfs/GMD-1800-56.pdf#page=9","Abrir facsímil")</f>
        <v>Abrir facsímil</v>
      </c>
      <c r="K1627" s="15" t="s">
        <v>23</v>
      </c>
    </row>
    <row r="1628" spans="1:11" ht="42" customHeight="1">
      <c r="A1628" s="4" t="s">
        <v>3951</v>
      </c>
      <c r="B1628" s="5" t="s">
        <v>3952</v>
      </c>
      <c r="C1628" s="5" t="s">
        <v>18</v>
      </c>
      <c r="D1628" s="5" t="s">
        <v>19</v>
      </c>
      <c r="E1628" s="5" t="s">
        <v>48</v>
      </c>
      <c r="F1628" s="9">
        <v>66</v>
      </c>
      <c r="G1628" s="9">
        <v>747</v>
      </c>
      <c r="H1628" s="5" t="s">
        <v>21</v>
      </c>
      <c r="I1628" s="5" t="s">
        <v>3953</v>
      </c>
      <c r="J1628" s="12" t="str">
        <f>HYPERLINK("https://www.boe.es/gazeta/dias/1800/08/19/pdfs/GMD-1800-66.pdf#page=11","Abrir facsímil")</f>
        <v>Abrir facsímil</v>
      </c>
      <c r="K1628" s="15" t="s">
        <v>23</v>
      </c>
    </row>
    <row r="1629" spans="1:11" ht="42" customHeight="1">
      <c r="A1629" s="4" t="s">
        <v>3954</v>
      </c>
      <c r="B1629" s="5" t="s">
        <v>3955</v>
      </c>
      <c r="C1629" s="5" t="s">
        <v>25</v>
      </c>
      <c r="D1629" s="5" t="s">
        <v>26</v>
      </c>
      <c r="E1629" s="5" t="s">
        <v>139</v>
      </c>
      <c r="F1629" s="9">
        <v>2</v>
      </c>
      <c r="G1629" s="9">
        <v>19</v>
      </c>
      <c r="H1629" s="5" t="s">
        <v>21</v>
      </c>
      <c r="I1629" s="5" t="s">
        <v>3956</v>
      </c>
      <c r="J1629" s="12" t="str">
        <f>HYPERLINK("https://www.boe.es/gazeta/dias/1800/01/07/pdfs/GMD-1800-2.pdf#page=11","Abrir facsímil")</f>
        <v>Abrir facsímil</v>
      </c>
      <c r="K1629" s="15" t="s">
        <v>23</v>
      </c>
    </row>
    <row r="1630" spans="1:11" ht="42" customHeight="1">
      <c r="A1630" s="4" t="s">
        <v>3957</v>
      </c>
      <c r="B1630" s="5" t="s">
        <v>3958</v>
      </c>
      <c r="C1630" s="5" t="s">
        <v>18</v>
      </c>
      <c r="D1630" s="5" t="s">
        <v>19</v>
      </c>
      <c r="E1630" s="5" t="s">
        <v>82</v>
      </c>
      <c r="F1630" s="9">
        <v>10</v>
      </c>
      <c r="G1630" s="9">
        <v>97</v>
      </c>
      <c r="H1630" s="5" t="s">
        <v>21</v>
      </c>
      <c r="I1630" s="5" t="s">
        <v>3959</v>
      </c>
      <c r="J1630" s="12" t="str">
        <f>HYPERLINK("https://www.boe.es/gazeta/dias/1800/02/04/pdfs/GMD-1800-10.pdf#page=9","Abrir facsímil")</f>
        <v>Abrir facsímil</v>
      </c>
      <c r="K1630" s="15" t="s">
        <v>23</v>
      </c>
    </row>
    <row r="1631" spans="1:11" ht="42" customHeight="1">
      <c r="A1631" s="4" t="s">
        <v>3960</v>
      </c>
      <c r="B1631" s="5" t="s">
        <v>3961</v>
      </c>
      <c r="C1631" s="5" t="s">
        <v>18</v>
      </c>
      <c r="D1631" s="5" t="s">
        <v>19</v>
      </c>
      <c r="E1631" s="5" t="s">
        <v>111</v>
      </c>
      <c r="F1631" s="9">
        <v>98</v>
      </c>
      <c r="G1631" s="9">
        <v>1128</v>
      </c>
      <c r="H1631" s="5" t="s">
        <v>21</v>
      </c>
      <c r="I1631" s="5" t="s">
        <v>3962</v>
      </c>
      <c r="J1631" s="12" t="str">
        <f>HYPERLINK("https://www.boe.es/gazeta/dias/1800/12/05/pdfs/GMD-1800-98.pdf#page=8","Abrir facsímil")</f>
        <v>Abrir facsímil</v>
      </c>
      <c r="K1631" s="15" t="s">
        <v>23</v>
      </c>
    </row>
    <row r="1632" spans="1:11" ht="42" customHeight="1">
      <c r="A1632" s="4" t="s">
        <v>3963</v>
      </c>
      <c r="B1632" s="5" t="s">
        <v>3964</v>
      </c>
      <c r="C1632" s="5" t="s">
        <v>54</v>
      </c>
      <c r="D1632" s="5" t="s">
        <v>55</v>
      </c>
      <c r="E1632" s="5" t="s">
        <v>158</v>
      </c>
      <c r="F1632" s="9">
        <v>25</v>
      </c>
      <c r="G1632" s="9">
        <v>258</v>
      </c>
      <c r="H1632" s="5" t="s">
        <v>21</v>
      </c>
      <c r="I1632" s="5" t="s">
        <v>3965</v>
      </c>
      <c r="J1632" s="12" t="str">
        <f>HYPERLINK("https://www.boe.es/gazeta/dias/1800/03/28/pdfs/GMD-1800-25.pdf#page=10","Abrir facsímil")</f>
        <v>Abrir facsímil</v>
      </c>
      <c r="K1632" s="15" t="s">
        <v>23</v>
      </c>
    </row>
    <row r="1633" spans="1:11" ht="42" customHeight="1">
      <c r="A1633" s="4" t="s">
        <v>3966</v>
      </c>
      <c r="B1633" s="5" t="s">
        <v>3967</v>
      </c>
      <c r="C1633" s="5" t="s">
        <v>54</v>
      </c>
      <c r="D1633" s="5" t="s">
        <v>55</v>
      </c>
      <c r="E1633" s="5" t="s">
        <v>158</v>
      </c>
      <c r="F1633" s="9">
        <v>25</v>
      </c>
      <c r="G1633" s="9">
        <v>258</v>
      </c>
      <c r="H1633" s="5" t="s">
        <v>21</v>
      </c>
      <c r="I1633" s="5" t="s">
        <v>3968</v>
      </c>
      <c r="J1633" s="12" t="str">
        <f>HYPERLINK("https://www.boe.es/gazeta/dias/1800/03/28/pdfs/GMD-1800-25.pdf#page=10","Abrir facsímil")</f>
        <v>Abrir facsímil</v>
      </c>
      <c r="K1633" s="15" t="s">
        <v>23</v>
      </c>
    </row>
    <row r="1634" spans="1:11" ht="42" customHeight="1">
      <c r="A1634" s="4" t="s">
        <v>3969</v>
      </c>
      <c r="B1634" s="5" t="s">
        <v>3970</v>
      </c>
      <c r="C1634" s="5" t="s">
        <v>84</v>
      </c>
      <c r="D1634" s="5" t="s">
        <v>85</v>
      </c>
      <c r="E1634" s="5" t="s">
        <v>255</v>
      </c>
      <c r="F1634" s="9">
        <v>75</v>
      </c>
      <c r="G1634" s="9">
        <v>857</v>
      </c>
      <c r="H1634" s="5" t="s">
        <v>21</v>
      </c>
      <c r="I1634" s="5" t="s">
        <v>3971</v>
      </c>
      <c r="J1634" s="12" t="str">
        <f>HYPERLINK("https://www.boe.es/gazeta/dias/1800/09/16/pdfs/GMD-1800-75.pdf#page=11","Abrir facsímil")</f>
        <v>Abrir facsímil</v>
      </c>
      <c r="K1634" s="15" t="s">
        <v>23</v>
      </c>
    </row>
    <row r="1635" spans="1:11" ht="42" customHeight="1">
      <c r="A1635" s="4" t="s">
        <v>3972</v>
      </c>
      <c r="B1635" s="5" t="s">
        <v>3973</v>
      </c>
      <c r="C1635" s="5" t="s">
        <v>84</v>
      </c>
      <c r="D1635" s="5" t="s">
        <v>85</v>
      </c>
      <c r="E1635" s="5" t="s">
        <v>406</v>
      </c>
      <c r="F1635" s="9">
        <v>44</v>
      </c>
      <c r="G1635" s="9">
        <v>462</v>
      </c>
      <c r="H1635" s="5" t="s">
        <v>21</v>
      </c>
      <c r="I1635" s="5" t="s">
        <v>3974</v>
      </c>
      <c r="J1635" s="12" t="str">
        <f>HYPERLINK("https://www.boe.es/gazeta/dias/1800/06/03/pdfs/GMD-1800-44.pdf#page=10","Abrir facsímil")</f>
        <v>Abrir facsímil</v>
      </c>
      <c r="K1635" s="15" t="s">
        <v>23</v>
      </c>
    </row>
    <row r="1636" spans="1:11" ht="42" customHeight="1">
      <c r="A1636" s="4" t="s">
        <v>3975</v>
      </c>
      <c r="B1636" s="5" t="s">
        <v>3976</v>
      </c>
      <c r="C1636" s="5" t="s">
        <v>18</v>
      </c>
      <c r="D1636" s="5" t="s">
        <v>19</v>
      </c>
      <c r="E1636" s="5" t="s">
        <v>572</v>
      </c>
      <c r="F1636" s="9">
        <v>76</v>
      </c>
      <c r="G1636" s="9">
        <v>868</v>
      </c>
      <c r="H1636" s="5" t="s">
        <v>21</v>
      </c>
      <c r="I1636" s="5" t="s">
        <v>3977</v>
      </c>
      <c r="J1636" s="12" t="str">
        <f>HYPERLINK("https://www.boe.es/gazeta/dias/1800/09/19/pdfs/GMD-1800-76.pdf#page=10","Abrir facsímil")</f>
        <v>Abrir facsímil</v>
      </c>
      <c r="K1636" s="15" t="s">
        <v>23</v>
      </c>
    </row>
    <row r="1637" spans="1:11" ht="42" customHeight="1">
      <c r="A1637" s="4" t="s">
        <v>3978</v>
      </c>
      <c r="B1637" s="5" t="s">
        <v>3979</v>
      </c>
      <c r="C1637" s="5" t="s">
        <v>54</v>
      </c>
      <c r="D1637" s="5" t="s">
        <v>55</v>
      </c>
      <c r="E1637" s="5" t="s">
        <v>52</v>
      </c>
      <c r="F1637" s="9">
        <v>83</v>
      </c>
      <c r="G1637" s="9">
        <v>964</v>
      </c>
      <c r="H1637" s="5" t="s">
        <v>21</v>
      </c>
      <c r="I1637" s="5" t="s">
        <v>3980</v>
      </c>
      <c r="J1637" s="12" t="str">
        <f>HYPERLINK("https://www.boe.es/gazeta/dias/1800/10/14/pdfs/GMD-1800-83.pdf#page=10","Abrir facsímil")</f>
        <v>Abrir facsímil</v>
      </c>
      <c r="K1637" s="15" t="s">
        <v>23</v>
      </c>
    </row>
    <row r="1638" spans="1:11" ht="42" customHeight="1">
      <c r="A1638" s="4" t="s">
        <v>3981</v>
      </c>
      <c r="B1638" s="5" t="s">
        <v>3982</v>
      </c>
      <c r="C1638" s="5" t="s">
        <v>54</v>
      </c>
      <c r="D1638" s="5" t="s">
        <v>55</v>
      </c>
      <c r="E1638" s="5" t="s">
        <v>52</v>
      </c>
      <c r="F1638" s="9">
        <v>83</v>
      </c>
      <c r="G1638" s="9">
        <v>964</v>
      </c>
      <c r="H1638" s="5" t="s">
        <v>21</v>
      </c>
      <c r="I1638" s="5" t="s">
        <v>3983</v>
      </c>
      <c r="J1638" s="12" t="str">
        <f>HYPERLINK("https://www.boe.es/gazeta/dias/1800/10/14/pdfs/GMD-1800-83.pdf#page=10","Abrir facsímil")</f>
        <v>Abrir facsímil</v>
      </c>
      <c r="K1638" s="15" t="s">
        <v>23</v>
      </c>
    </row>
    <row r="1639" spans="1:11" ht="42" customHeight="1">
      <c r="A1639" s="4" t="s">
        <v>3984</v>
      </c>
      <c r="B1639" s="5" t="s">
        <v>3985</v>
      </c>
      <c r="C1639" s="5" t="s">
        <v>25</v>
      </c>
      <c r="D1639" s="5" t="s">
        <v>26</v>
      </c>
      <c r="E1639" s="5" t="s">
        <v>139</v>
      </c>
      <c r="F1639" s="9">
        <v>2</v>
      </c>
      <c r="G1639" s="9">
        <v>19</v>
      </c>
      <c r="H1639" s="5" t="s">
        <v>21</v>
      </c>
      <c r="I1639" s="5" t="s">
        <v>3986</v>
      </c>
      <c r="J1639" s="12" t="str">
        <f>HYPERLINK("https://www.boe.es/gazeta/dias/1800/01/07/pdfs/GMD-1800-2.pdf#page=11","Abrir facsímil")</f>
        <v>Abrir facsímil</v>
      </c>
      <c r="K1639" s="15" t="s">
        <v>23</v>
      </c>
    </row>
    <row r="1640" spans="1:11" ht="42" customHeight="1">
      <c r="A1640" s="4" t="s">
        <v>3987</v>
      </c>
      <c r="B1640" s="5" t="s">
        <v>3988</v>
      </c>
      <c r="C1640" s="5" t="s">
        <v>25</v>
      </c>
      <c r="D1640" s="5" t="s">
        <v>26</v>
      </c>
      <c r="E1640" s="5" t="s">
        <v>101</v>
      </c>
      <c r="F1640" s="9">
        <v>37</v>
      </c>
      <c r="G1640" s="9">
        <v>377</v>
      </c>
      <c r="H1640" s="5" t="s">
        <v>21</v>
      </c>
      <c r="I1640" s="5" t="s">
        <v>3989</v>
      </c>
      <c r="J1640" s="12" t="str">
        <f>HYPERLINK("https://www.boe.es/gazeta/dias/1800/05/09/pdfs/GMD-1800-37.pdf#page=9","Abrir facsímil")</f>
        <v>Abrir facsímil</v>
      </c>
      <c r="K1640" s="15" t="s">
        <v>23</v>
      </c>
    </row>
    <row r="1641" spans="1:11" ht="42" customHeight="1">
      <c r="A1641" s="4" t="s">
        <v>3990</v>
      </c>
      <c r="B1641" s="5" t="s">
        <v>3991</v>
      </c>
      <c r="C1641" s="5" t="s">
        <v>18</v>
      </c>
      <c r="D1641" s="5" t="s">
        <v>19</v>
      </c>
      <c r="E1641" s="5" t="s">
        <v>618</v>
      </c>
      <c r="F1641" s="9">
        <v>1</v>
      </c>
      <c r="G1641" s="9">
        <v>6</v>
      </c>
      <c r="H1641" s="5" t="s">
        <v>21</v>
      </c>
      <c r="I1641" s="5" t="s">
        <v>3992</v>
      </c>
      <c r="J1641" s="12" t="str">
        <f>HYPERLINK("https://www.boe.es/gazeta/dias/1800/01/03/pdfs/GMD-1800-1.pdf#page=6","Abrir facsímil")</f>
        <v>Abrir facsímil</v>
      </c>
      <c r="K1641" s="15" t="s">
        <v>23</v>
      </c>
    </row>
    <row r="1642" spans="1:11" ht="42" customHeight="1">
      <c r="A1642" s="4" t="s">
        <v>3993</v>
      </c>
      <c r="B1642" s="5" t="s">
        <v>3994</v>
      </c>
      <c r="C1642" s="5" t="s">
        <v>41</v>
      </c>
      <c r="D1642" s="5" t="s">
        <v>42</v>
      </c>
      <c r="E1642" s="5" t="s">
        <v>196</v>
      </c>
      <c r="F1642" s="9">
        <v>97</v>
      </c>
      <c r="G1642" s="9">
        <v>1115</v>
      </c>
      <c r="H1642" s="5" t="s">
        <v>21</v>
      </c>
      <c r="I1642" s="5" t="s">
        <v>3995</v>
      </c>
      <c r="J1642" s="12" t="str">
        <f>HYPERLINK("https://www.boe.es/gazeta/dias/1800/12/02/pdfs/GMD-1800-97.pdf#page=7","Abrir facsímil")</f>
        <v>Abrir facsímil</v>
      </c>
      <c r="K1642" s="15" t="s">
        <v>23</v>
      </c>
    </row>
    <row r="1643" spans="1:11" ht="42" customHeight="1">
      <c r="A1643" s="4" t="s">
        <v>3996</v>
      </c>
      <c r="B1643" s="5" t="s">
        <v>3997</v>
      </c>
      <c r="C1643" s="5" t="s">
        <v>207</v>
      </c>
      <c r="D1643" s="5" t="s">
        <v>55</v>
      </c>
      <c r="E1643" s="5" t="s">
        <v>478</v>
      </c>
      <c r="F1643" s="9">
        <v>34</v>
      </c>
      <c r="G1643" s="9">
        <v>346</v>
      </c>
      <c r="H1643" s="5" t="s">
        <v>21</v>
      </c>
      <c r="I1643" s="5" t="s">
        <v>3998</v>
      </c>
      <c r="J1643" s="12" t="str">
        <f>HYPERLINK("https://www.boe.es/gazeta/dias/1800/04/29/pdfs/GMD-1800-34.pdf#page=10","Abrir facsímil")</f>
        <v>Abrir facsímil</v>
      </c>
      <c r="K1643" s="15" t="s">
        <v>23</v>
      </c>
    </row>
    <row r="1644" spans="1:11" ht="42" customHeight="1">
      <c r="A1644" s="4" t="s">
        <v>3999</v>
      </c>
      <c r="B1644" s="5" t="s">
        <v>4000</v>
      </c>
      <c r="C1644" s="5" t="s">
        <v>18</v>
      </c>
      <c r="D1644" s="5" t="s">
        <v>19</v>
      </c>
      <c r="E1644" s="5" t="s">
        <v>598</v>
      </c>
      <c r="F1644" s="9">
        <v>32</v>
      </c>
      <c r="G1644" s="9">
        <v>323</v>
      </c>
      <c r="H1644" s="5" t="s">
        <v>21</v>
      </c>
      <c r="I1644" s="5" t="s">
        <v>4001</v>
      </c>
      <c r="J1644" s="12" t="str">
        <f>HYPERLINK("https://www.boe.es/gazeta/dias/1800/04/22/pdfs/GMD-1800-32.pdf#page=7","Abrir facsímil")</f>
        <v>Abrir facsímil</v>
      </c>
      <c r="K1644" s="15" t="s">
        <v>23</v>
      </c>
    </row>
    <row r="1645" spans="1:11" ht="42" customHeight="1">
      <c r="A1645" s="4" t="s">
        <v>4002</v>
      </c>
      <c r="B1645" s="5" t="s">
        <v>4003</v>
      </c>
      <c r="C1645" s="5" t="s">
        <v>1035</v>
      </c>
      <c r="D1645" s="5" t="s">
        <v>1036</v>
      </c>
      <c r="E1645" s="5" t="s">
        <v>50</v>
      </c>
      <c r="F1645" s="9">
        <v>81</v>
      </c>
      <c r="G1645" s="9">
        <v>941</v>
      </c>
      <c r="H1645" s="5" t="s">
        <v>21</v>
      </c>
      <c r="I1645" s="5" t="s">
        <v>4004</v>
      </c>
      <c r="J1645" s="12" t="str">
        <f>HYPERLINK("https://www.boe.es/gazeta/dias/1800/10/07/pdfs/GMD-C-1800-81.pdf#page=23","Abrir facsímil")</f>
        <v>Abrir facsímil</v>
      </c>
      <c r="K1645" s="15" t="s">
        <v>23</v>
      </c>
    </row>
    <row r="1646" spans="1:11" ht="42" customHeight="1">
      <c r="A1646" s="4" t="s">
        <v>4002</v>
      </c>
      <c r="B1646" s="5" t="s">
        <v>4003</v>
      </c>
      <c r="C1646" s="5" t="s">
        <v>25</v>
      </c>
      <c r="D1646" s="5" t="s">
        <v>26</v>
      </c>
      <c r="E1646" s="5" t="s">
        <v>203</v>
      </c>
      <c r="F1646" s="9">
        <v>94</v>
      </c>
      <c r="G1646" s="9">
        <v>1079</v>
      </c>
      <c r="H1646" s="5" t="s">
        <v>21</v>
      </c>
      <c r="I1646" s="5" t="s">
        <v>4005</v>
      </c>
      <c r="J1646" s="12" t="str">
        <f>HYPERLINK("https://www.boe.es/gazeta/dias/1800/11/21/pdfs/GMD-1800-94.pdf#page=9","Abrir facsímil")</f>
        <v>Abrir facsímil</v>
      </c>
      <c r="K1646" s="15" t="s">
        <v>23</v>
      </c>
    </row>
    <row r="1647" spans="1:11" ht="42" customHeight="1">
      <c r="A1647" s="4" t="s">
        <v>4006</v>
      </c>
      <c r="B1647" s="5" t="s">
        <v>4007</v>
      </c>
      <c r="C1647" s="5" t="s">
        <v>18</v>
      </c>
      <c r="D1647" s="5" t="s">
        <v>19</v>
      </c>
      <c r="E1647" s="5" t="s">
        <v>567</v>
      </c>
      <c r="F1647" s="9">
        <v>3</v>
      </c>
      <c r="G1647" s="9">
        <v>27</v>
      </c>
      <c r="H1647" s="5" t="s">
        <v>21</v>
      </c>
      <c r="I1647" s="5" t="s">
        <v>4008</v>
      </c>
      <c r="J1647" s="12" t="str">
        <f>HYPERLINK("https://www.boe.es/gazeta/dias/1800/01/10/pdfs/GMD-1800-3.pdf#page=7","Abrir facsímil")</f>
        <v>Abrir facsímil</v>
      </c>
      <c r="K1647" s="15" t="s">
        <v>23</v>
      </c>
    </row>
    <row r="1648" spans="1:11" ht="42" customHeight="1">
      <c r="A1648" s="4" t="s">
        <v>4009</v>
      </c>
      <c r="B1648" s="5" t="s">
        <v>4010</v>
      </c>
      <c r="C1648" s="5" t="s">
        <v>54</v>
      </c>
      <c r="D1648" s="5" t="s">
        <v>55</v>
      </c>
      <c r="E1648" s="5" t="s">
        <v>45</v>
      </c>
      <c r="F1648" s="9">
        <v>47</v>
      </c>
      <c r="G1648" s="9">
        <v>502</v>
      </c>
      <c r="H1648" s="5" t="s">
        <v>21</v>
      </c>
      <c r="I1648" s="5" t="s">
        <v>4011</v>
      </c>
      <c r="J1648" s="12" t="str">
        <f>HYPERLINK("https://www.boe.es/gazeta/dias/1800/06/13/pdfs/GMD-1800-47.pdf#page=10","Abrir facsímil")</f>
        <v>Abrir facsímil</v>
      </c>
      <c r="K1648" s="15" t="s">
        <v>23</v>
      </c>
    </row>
    <row r="1649" spans="1:11" ht="42" customHeight="1">
      <c r="A1649" s="4" t="s">
        <v>4012</v>
      </c>
      <c r="B1649" s="5" t="s">
        <v>4013</v>
      </c>
      <c r="C1649" s="5" t="s">
        <v>18</v>
      </c>
      <c r="D1649" s="5" t="s">
        <v>19</v>
      </c>
      <c r="E1649" s="5" t="s">
        <v>90</v>
      </c>
      <c r="F1649" s="9">
        <v>58</v>
      </c>
      <c r="G1649" s="9">
        <v>663</v>
      </c>
      <c r="H1649" s="5" t="s">
        <v>21</v>
      </c>
      <c r="I1649" s="5" t="s">
        <v>4014</v>
      </c>
      <c r="J1649" s="12" t="str">
        <f>HYPERLINK("https://www.boe.es/gazeta/dias/1800/07/22/pdfs/GMD-1800-58.pdf#page=11","Abrir facsímil")</f>
        <v>Abrir facsímil</v>
      </c>
      <c r="K1649" s="15" t="s">
        <v>23</v>
      </c>
    </row>
    <row r="1650" spans="1:11" ht="42" customHeight="1">
      <c r="A1650" s="4" t="s">
        <v>4015</v>
      </c>
      <c r="B1650" s="5" t="s">
        <v>4016</v>
      </c>
      <c r="C1650" s="5" t="s">
        <v>18</v>
      </c>
      <c r="D1650" s="5" t="s">
        <v>19</v>
      </c>
      <c r="E1650" s="5" t="s">
        <v>356</v>
      </c>
      <c r="F1650" s="9">
        <v>31</v>
      </c>
      <c r="G1650" s="9">
        <v>315</v>
      </c>
      <c r="H1650" s="5" t="s">
        <v>21</v>
      </c>
      <c r="I1650" s="5" t="s">
        <v>4017</v>
      </c>
      <c r="J1650" s="12" t="str">
        <f>HYPERLINK("https://www.boe.es/gazeta/dias/1800/04/18/pdfs/GMD-1800-31.pdf#page=7","Abrir facsímil")</f>
        <v>Abrir facsímil</v>
      </c>
      <c r="K1650" s="15" t="s">
        <v>23</v>
      </c>
    </row>
    <row r="1651" spans="1:11" ht="42" customHeight="1">
      <c r="A1651" s="4" t="s">
        <v>4018</v>
      </c>
      <c r="B1651" s="5" t="s">
        <v>4019</v>
      </c>
      <c r="C1651" s="5" t="s">
        <v>54</v>
      </c>
      <c r="D1651" s="5" t="s">
        <v>55</v>
      </c>
      <c r="E1651" s="5" t="s">
        <v>590</v>
      </c>
      <c r="F1651" s="9">
        <v>69</v>
      </c>
      <c r="G1651" s="9">
        <v>775</v>
      </c>
      <c r="H1651" s="5" t="s">
        <v>21</v>
      </c>
      <c r="I1651" s="5" t="s">
        <v>4020</v>
      </c>
      <c r="J1651" s="12" t="str">
        <f>HYPERLINK("https://www.boe.es/gazeta/dias/1800/08/29/pdfs/GMD-1800-69.pdf#page=7","Abrir facsímil")</f>
        <v>Abrir facsímil</v>
      </c>
      <c r="K1651" s="15" t="s">
        <v>23</v>
      </c>
    </row>
    <row r="1652" spans="1:11" ht="42" customHeight="1">
      <c r="A1652" s="4" t="s">
        <v>4021</v>
      </c>
      <c r="B1652" s="5" t="s">
        <v>4022</v>
      </c>
      <c r="C1652" s="5" t="s">
        <v>18</v>
      </c>
      <c r="D1652" s="5" t="s">
        <v>19</v>
      </c>
      <c r="E1652" s="5" t="s">
        <v>445</v>
      </c>
      <c r="F1652" s="9">
        <v>96</v>
      </c>
      <c r="G1652" s="9">
        <v>1106</v>
      </c>
      <c r="H1652" s="5" t="s">
        <v>21</v>
      </c>
      <c r="I1652" s="5" t="s">
        <v>4023</v>
      </c>
      <c r="J1652" s="12" t="str">
        <f>HYPERLINK("https://www.boe.es/gazeta/dias/1800/11/28/pdfs/GMD-1800-96.pdf#page=10","Abrir facsímil")</f>
        <v>Abrir facsímil</v>
      </c>
      <c r="K1652" s="15" t="s">
        <v>23</v>
      </c>
    </row>
    <row r="1653" spans="1:11" ht="42" customHeight="1">
      <c r="A1653" s="4" t="s">
        <v>4024</v>
      </c>
      <c r="B1653" s="5" t="s">
        <v>4025</v>
      </c>
      <c r="C1653" s="5" t="s">
        <v>1035</v>
      </c>
      <c r="D1653" s="5" t="s">
        <v>1036</v>
      </c>
      <c r="E1653" s="5" t="s">
        <v>50</v>
      </c>
      <c r="F1653" s="9">
        <v>81</v>
      </c>
      <c r="G1653" s="9">
        <v>941</v>
      </c>
      <c r="H1653" s="5" t="s">
        <v>21</v>
      </c>
      <c r="I1653" s="5" t="s">
        <v>4026</v>
      </c>
      <c r="J1653" s="12" t="str">
        <f>HYPERLINK("https://www.boe.es/gazeta/dias/1800/10/07/pdfs/GMD-C-1800-81.pdf#page=23","Abrir facsímil")</f>
        <v>Abrir facsímil</v>
      </c>
      <c r="K1653" s="15" t="s">
        <v>23</v>
      </c>
    </row>
    <row r="1654" spans="1:11" ht="42" customHeight="1">
      <c r="A1654" s="4" t="s">
        <v>4027</v>
      </c>
      <c r="B1654" s="5" t="s">
        <v>4028</v>
      </c>
      <c r="C1654" s="5" t="s">
        <v>25</v>
      </c>
      <c r="D1654" s="5" t="s">
        <v>26</v>
      </c>
      <c r="E1654" s="5" t="s">
        <v>203</v>
      </c>
      <c r="F1654" s="9">
        <v>94</v>
      </c>
      <c r="G1654" s="9">
        <v>1079</v>
      </c>
      <c r="H1654" s="5" t="s">
        <v>21</v>
      </c>
      <c r="I1654" s="5" t="s">
        <v>4029</v>
      </c>
      <c r="J1654" s="12" t="str">
        <f>HYPERLINK("https://www.boe.es/gazeta/dias/1800/11/21/pdfs/GMD-1800-94.pdf#page=9","Abrir facsímil")</f>
        <v>Abrir facsímil</v>
      </c>
      <c r="K1654" s="15" t="s">
        <v>23</v>
      </c>
    </row>
    <row r="1655" spans="1:11" ht="42" customHeight="1">
      <c r="A1655" s="4" t="s">
        <v>4030</v>
      </c>
      <c r="B1655" s="5" t="s">
        <v>4031</v>
      </c>
      <c r="C1655" s="5" t="s">
        <v>18</v>
      </c>
      <c r="D1655" s="5" t="s">
        <v>19</v>
      </c>
      <c r="E1655" s="5" t="s">
        <v>478</v>
      </c>
      <c r="F1655" s="9">
        <v>34</v>
      </c>
      <c r="G1655" s="9">
        <v>347</v>
      </c>
      <c r="H1655" s="5" t="s">
        <v>21</v>
      </c>
      <c r="I1655" s="5" t="s">
        <v>4032</v>
      </c>
      <c r="J1655" s="12" t="str">
        <f>HYPERLINK("https://www.boe.es/gazeta/dias/1800/04/29/pdfs/GMD-1800-34.pdf#page=11","Abrir facsímil")</f>
        <v>Abrir facsímil</v>
      </c>
      <c r="K1655" s="15" t="s">
        <v>23</v>
      </c>
    </row>
    <row r="1656" spans="1:11" ht="42" customHeight="1">
      <c r="A1656" s="4" t="s">
        <v>4033</v>
      </c>
      <c r="B1656" s="5" t="s">
        <v>4034</v>
      </c>
      <c r="C1656" s="5" t="s">
        <v>25</v>
      </c>
      <c r="D1656" s="5" t="s">
        <v>26</v>
      </c>
      <c r="E1656" s="5" t="s">
        <v>101</v>
      </c>
      <c r="F1656" s="9">
        <v>37</v>
      </c>
      <c r="G1656" s="9">
        <v>377</v>
      </c>
      <c r="H1656" s="5" t="s">
        <v>21</v>
      </c>
      <c r="I1656" s="5" t="s">
        <v>4035</v>
      </c>
      <c r="J1656" s="12" t="str">
        <f>HYPERLINK("https://www.boe.es/gazeta/dias/1800/05/09/pdfs/GMD-1800-37.pdf#page=9","Abrir facsímil")</f>
        <v>Abrir facsímil</v>
      </c>
      <c r="K1656" s="15" t="s">
        <v>23</v>
      </c>
    </row>
    <row r="1657" spans="1:11" ht="42" customHeight="1">
      <c r="A1657" s="4" t="s">
        <v>4036</v>
      </c>
      <c r="B1657" s="5" t="s">
        <v>4037</v>
      </c>
      <c r="C1657" s="5" t="s">
        <v>54</v>
      </c>
      <c r="D1657" s="5" t="s">
        <v>55</v>
      </c>
      <c r="E1657" s="5" t="s">
        <v>244</v>
      </c>
      <c r="F1657" s="9">
        <v>9</v>
      </c>
      <c r="G1657" s="9">
        <v>87</v>
      </c>
      <c r="H1657" s="5" t="s">
        <v>21</v>
      </c>
      <c r="I1657" s="5" t="s">
        <v>4038</v>
      </c>
      <c r="J1657" s="12" t="str">
        <f>HYPERLINK("https://www.boe.es/gazeta/dias/1800/01/31/pdfs/GMD-1800-9.pdf#page=11","Abrir facsímil")</f>
        <v>Abrir facsímil</v>
      </c>
      <c r="K1657" s="15" t="s">
        <v>23</v>
      </c>
    </row>
    <row r="1658" spans="1:11" ht="42" customHeight="1">
      <c r="A1658" s="4" t="s">
        <v>4039</v>
      </c>
      <c r="B1658" s="5" t="s">
        <v>4040</v>
      </c>
      <c r="C1658" s="5" t="s">
        <v>18</v>
      </c>
      <c r="D1658" s="5" t="s">
        <v>19</v>
      </c>
      <c r="E1658" s="5" t="s">
        <v>356</v>
      </c>
      <c r="F1658" s="9">
        <v>31</v>
      </c>
      <c r="G1658" s="9">
        <v>314</v>
      </c>
      <c r="H1658" s="5" t="s">
        <v>21</v>
      </c>
      <c r="I1658" s="5" t="s">
        <v>4041</v>
      </c>
      <c r="J1658" s="12" t="str">
        <f>HYPERLINK("https://www.boe.es/gazeta/dias/1800/04/18/pdfs/GMD-1800-31.pdf#page=6","Abrir facsímil")</f>
        <v>Abrir facsímil</v>
      </c>
      <c r="K1658" s="15" t="s">
        <v>23</v>
      </c>
    </row>
    <row r="1659" spans="1:11" ht="42" customHeight="1">
      <c r="A1659" s="4" t="s">
        <v>4042</v>
      </c>
      <c r="B1659" s="5" t="s">
        <v>4043</v>
      </c>
      <c r="C1659" s="5" t="s">
        <v>18</v>
      </c>
      <c r="D1659" s="5" t="s">
        <v>19</v>
      </c>
      <c r="E1659" s="5" t="s">
        <v>158</v>
      </c>
      <c r="F1659" s="9">
        <v>25</v>
      </c>
      <c r="G1659" s="9">
        <v>256</v>
      </c>
      <c r="H1659" s="5" t="s">
        <v>21</v>
      </c>
      <c r="I1659" s="5" t="s">
        <v>4044</v>
      </c>
      <c r="J1659" s="12" t="str">
        <f>HYPERLINK("https://www.boe.es/gazeta/dias/1800/03/28/pdfs/GMD-1800-25.pdf#page=8","Abrir facsímil")</f>
        <v>Abrir facsímil</v>
      </c>
      <c r="K1659" s="15" t="s">
        <v>23</v>
      </c>
    </row>
    <row r="1660" spans="1:11" ht="42" customHeight="1">
      <c r="A1660" s="4" t="s">
        <v>4045</v>
      </c>
      <c r="B1660" s="5" t="s">
        <v>4046</v>
      </c>
      <c r="C1660" s="5" t="s">
        <v>207</v>
      </c>
      <c r="D1660" s="5" t="s">
        <v>55</v>
      </c>
      <c r="E1660" s="5" t="s">
        <v>244</v>
      </c>
      <c r="F1660" s="9">
        <v>9</v>
      </c>
      <c r="G1660" s="9">
        <v>85</v>
      </c>
      <c r="H1660" s="5" t="s">
        <v>21</v>
      </c>
      <c r="I1660" s="5" t="s">
        <v>4047</v>
      </c>
      <c r="J1660" s="12" t="str">
        <f>HYPERLINK("https://www.boe.es/gazeta/dias/1800/01/31/pdfs/GMD-1800-9.pdf#page=9","Abrir facsímil")</f>
        <v>Abrir facsímil</v>
      </c>
      <c r="K1660" s="15" t="s">
        <v>23</v>
      </c>
    </row>
    <row r="1661" spans="1:11" ht="42" customHeight="1">
      <c r="A1661" s="4" t="s">
        <v>4045</v>
      </c>
      <c r="B1661" s="5" t="s">
        <v>4046</v>
      </c>
      <c r="C1661" s="5" t="s">
        <v>18</v>
      </c>
      <c r="D1661" s="5" t="s">
        <v>19</v>
      </c>
      <c r="E1661" s="5" t="s">
        <v>124</v>
      </c>
      <c r="F1661" s="9">
        <v>16</v>
      </c>
      <c r="G1661" s="9">
        <v>151</v>
      </c>
      <c r="H1661" s="5" t="s">
        <v>21</v>
      </c>
      <c r="I1661" s="5" t="s">
        <v>4048</v>
      </c>
      <c r="J1661" s="12" t="str">
        <f>HYPERLINK("https://www.boe.es/gazeta/dias/1800/02/25/pdfs/GMD-1800-16.pdf#page=7","Abrir facsímil")</f>
        <v>Abrir facsímil</v>
      </c>
      <c r="K1661" s="15" t="s">
        <v>23</v>
      </c>
    </row>
    <row r="1662" spans="1:11" ht="42" customHeight="1">
      <c r="A1662" s="4" t="s">
        <v>4049</v>
      </c>
      <c r="B1662" s="5" t="s">
        <v>4050</v>
      </c>
      <c r="C1662" s="5" t="s">
        <v>54</v>
      </c>
      <c r="D1662" s="5" t="s">
        <v>55</v>
      </c>
      <c r="E1662" s="5" t="s">
        <v>836</v>
      </c>
      <c r="F1662" s="9">
        <v>71</v>
      </c>
      <c r="G1662" s="9">
        <v>790</v>
      </c>
      <c r="H1662" s="5" t="s">
        <v>21</v>
      </c>
      <c r="I1662" s="5" t="s">
        <v>4051</v>
      </c>
      <c r="J1662" s="12" t="str">
        <f>HYPERLINK("https://www.boe.es/gazeta/dias/1800/09/02/pdfs/GMD-1800-71.pdf#page=8","Abrir facsímil")</f>
        <v>Abrir facsímil</v>
      </c>
      <c r="K1662" s="15" t="s">
        <v>23</v>
      </c>
    </row>
    <row r="1663" spans="1:11" ht="42" customHeight="1">
      <c r="A1663" s="4" t="s">
        <v>4052</v>
      </c>
      <c r="B1663" s="5" t="s">
        <v>4053</v>
      </c>
      <c r="C1663" s="5" t="s">
        <v>207</v>
      </c>
      <c r="D1663" s="5" t="s">
        <v>55</v>
      </c>
      <c r="E1663" s="5" t="s">
        <v>1213</v>
      </c>
      <c r="F1663" s="9">
        <v>4</v>
      </c>
      <c r="G1663" s="9">
        <v>35</v>
      </c>
      <c r="H1663" s="5" t="s">
        <v>21</v>
      </c>
      <c r="I1663" s="5" t="s">
        <v>4054</v>
      </c>
      <c r="J1663" s="12" t="str">
        <f>HYPERLINK("https://www.boe.es/gazeta/dias/1800/01/14/pdfs/GMD-1800-4.pdf#page=7","Abrir facsímil")</f>
        <v>Abrir facsímil</v>
      </c>
      <c r="K1663" s="15" t="s">
        <v>23</v>
      </c>
    </row>
    <row r="1664" spans="1:11" ht="42" customHeight="1">
      <c r="A1664" s="4" t="s">
        <v>4052</v>
      </c>
      <c r="B1664" s="5" t="s">
        <v>4053</v>
      </c>
      <c r="C1664" s="5" t="s">
        <v>25</v>
      </c>
      <c r="D1664" s="5" t="s">
        <v>26</v>
      </c>
      <c r="E1664" s="5" t="s">
        <v>465</v>
      </c>
      <c r="F1664" s="9">
        <v>49</v>
      </c>
      <c r="G1664" s="9">
        <v>532</v>
      </c>
      <c r="H1664" s="5" t="s">
        <v>21</v>
      </c>
      <c r="I1664" s="5" t="s">
        <v>4055</v>
      </c>
      <c r="J1664" s="12" t="str">
        <f>HYPERLINK("https://www.boe.es/gazeta/dias/1800/06/20/pdfs/GMD-1800-49.pdf#page=8","Abrir facsímil")</f>
        <v>Abrir facsímil</v>
      </c>
      <c r="K1664" s="15" t="s">
        <v>23</v>
      </c>
    </row>
    <row r="1665" spans="1:11" ht="42" customHeight="1">
      <c r="A1665" s="4" t="s">
        <v>4056</v>
      </c>
      <c r="B1665" s="5" t="s">
        <v>4057</v>
      </c>
      <c r="C1665" s="5" t="s">
        <v>207</v>
      </c>
      <c r="D1665" s="5" t="s">
        <v>55</v>
      </c>
      <c r="E1665" s="5" t="s">
        <v>190</v>
      </c>
      <c r="F1665" s="9">
        <v>93</v>
      </c>
      <c r="G1665" s="9">
        <v>1066</v>
      </c>
      <c r="H1665" s="5" t="s">
        <v>21</v>
      </c>
      <c r="I1665" s="5" t="s">
        <v>4058</v>
      </c>
      <c r="J1665" s="12" t="str">
        <f>HYPERLINK("https://www.boe.es/gazeta/dias/1800/11/18/pdfs/GMD-1800-93.pdf#page=12","Abrir facsímil")</f>
        <v>Abrir facsímil</v>
      </c>
      <c r="K1665" s="15" t="s">
        <v>23</v>
      </c>
    </row>
    <row r="1666" spans="1:11" ht="42" customHeight="1">
      <c r="A1666" s="4" t="s">
        <v>4059</v>
      </c>
      <c r="B1666" s="5" t="s">
        <v>4060</v>
      </c>
      <c r="C1666" s="5" t="s">
        <v>18</v>
      </c>
      <c r="D1666" s="5" t="s">
        <v>19</v>
      </c>
      <c r="E1666" s="5" t="s">
        <v>101</v>
      </c>
      <c r="F1666" s="9">
        <v>37</v>
      </c>
      <c r="G1666" s="9">
        <v>377</v>
      </c>
      <c r="H1666" s="5" t="s">
        <v>21</v>
      </c>
      <c r="I1666" s="5" t="s">
        <v>4061</v>
      </c>
      <c r="J1666" s="12" t="str">
        <f>HYPERLINK("https://www.boe.es/gazeta/dias/1800/05/09/pdfs/GMD-1800-37.pdf#page=9","Abrir facsímil")</f>
        <v>Abrir facsímil</v>
      </c>
      <c r="K1666" s="15" t="s">
        <v>23</v>
      </c>
    </row>
    <row r="1667" spans="1:11" ht="42" customHeight="1">
      <c r="A1667" s="4" t="s">
        <v>4062</v>
      </c>
      <c r="B1667" s="5" t="s">
        <v>4063</v>
      </c>
      <c r="C1667" s="5" t="s">
        <v>18</v>
      </c>
      <c r="D1667" s="5" t="s">
        <v>19</v>
      </c>
      <c r="E1667" s="5" t="s">
        <v>180</v>
      </c>
      <c r="F1667" s="9">
        <v>102</v>
      </c>
      <c r="G1667" s="9">
        <v>1187</v>
      </c>
      <c r="H1667" s="5" t="s">
        <v>21</v>
      </c>
      <c r="I1667" s="5" t="s">
        <v>4064</v>
      </c>
      <c r="J1667" s="12" t="str">
        <f>HYPERLINK("https://www.boe.es/gazeta/dias/1800/12/19/pdfs/GMD-1800-102.pdf#page=11","Abrir facsímil")</f>
        <v>Abrir facsímil</v>
      </c>
      <c r="K1667" s="15" t="s">
        <v>23</v>
      </c>
    </row>
    <row r="1668" spans="1:11" ht="42" customHeight="1">
      <c r="A1668" s="4" t="s">
        <v>4065</v>
      </c>
      <c r="B1668" s="5" t="s">
        <v>4066</v>
      </c>
      <c r="C1668" s="5" t="s">
        <v>207</v>
      </c>
      <c r="D1668" s="5" t="s">
        <v>55</v>
      </c>
      <c r="E1668" s="5" t="s">
        <v>143</v>
      </c>
      <c r="F1668" s="9">
        <v>22</v>
      </c>
      <c r="G1668" s="9">
        <v>220</v>
      </c>
      <c r="H1668" s="5" t="s">
        <v>21</v>
      </c>
      <c r="I1668" s="5" t="s">
        <v>4067</v>
      </c>
      <c r="J1668" s="12" t="str">
        <f>HYPERLINK("https://www.boe.es/gazeta/dias/1800/03/18/pdfs/GMD-1800-22.pdf#page=12","Abrir facsímil")</f>
        <v>Abrir facsímil</v>
      </c>
      <c r="K1668" s="15" t="s">
        <v>23</v>
      </c>
    </row>
    <row r="1669" spans="1:11" ht="42" customHeight="1">
      <c r="A1669" s="4" t="s">
        <v>4068</v>
      </c>
      <c r="B1669" s="5" t="s">
        <v>4069</v>
      </c>
      <c r="C1669" s="5" t="s">
        <v>84</v>
      </c>
      <c r="D1669" s="5" t="s">
        <v>85</v>
      </c>
      <c r="E1669" s="5" t="s">
        <v>346</v>
      </c>
      <c r="F1669" s="9">
        <v>24</v>
      </c>
      <c r="G1669" s="9">
        <v>248</v>
      </c>
      <c r="H1669" s="5" t="s">
        <v>21</v>
      </c>
      <c r="I1669" s="5" t="s">
        <v>4070</v>
      </c>
      <c r="J1669" s="12" t="str">
        <f>HYPERLINK("https://www.boe.es/gazeta/dias/1800/03/25/pdfs/GMD-1800-24.pdf#page=12","Abrir facsímil")</f>
        <v>Abrir facsímil</v>
      </c>
      <c r="K1669" s="15" t="s">
        <v>23</v>
      </c>
    </row>
    <row r="1670" spans="1:11" ht="42" customHeight="1">
      <c r="A1670" s="4" t="s">
        <v>4071</v>
      </c>
      <c r="B1670" s="5" t="s">
        <v>4072</v>
      </c>
      <c r="C1670" s="5" t="s">
        <v>18</v>
      </c>
      <c r="D1670" s="5" t="s">
        <v>19</v>
      </c>
      <c r="E1670" s="5" t="s">
        <v>787</v>
      </c>
      <c r="F1670" s="9">
        <v>6</v>
      </c>
      <c r="G1670" s="9">
        <v>57</v>
      </c>
      <c r="H1670" s="5" t="s">
        <v>21</v>
      </c>
      <c r="I1670" s="5" t="s">
        <v>4073</v>
      </c>
      <c r="J1670" s="12" t="str">
        <f>HYPERLINK("https://www.boe.es/gazeta/dias/1800/01/21/pdfs/GMD-1800-6.pdf#page=9","Abrir facsímil")</f>
        <v>Abrir facsímil</v>
      </c>
      <c r="K1670" s="15" t="s">
        <v>23</v>
      </c>
    </row>
    <row r="1671" spans="1:11" ht="42" customHeight="1">
      <c r="A1671" s="4" t="s">
        <v>4074</v>
      </c>
      <c r="B1671" s="5" t="s">
        <v>4075</v>
      </c>
      <c r="C1671" s="5" t="s">
        <v>41</v>
      </c>
      <c r="D1671" s="5" t="s">
        <v>42</v>
      </c>
      <c r="E1671" s="5" t="s">
        <v>1287</v>
      </c>
      <c r="F1671" s="9">
        <v>57</v>
      </c>
      <c r="G1671" s="9">
        <v>647</v>
      </c>
      <c r="H1671" s="5" t="s">
        <v>21</v>
      </c>
      <c r="I1671" s="5" t="s">
        <v>4076</v>
      </c>
      <c r="J1671" s="12" t="str">
        <f>HYPERLINK("https://www.boe.es/gazeta/dias/1800/07/18/pdfs/GMD-1800-57.pdf#page=11","Abrir facsímil")</f>
        <v>Abrir facsímil</v>
      </c>
      <c r="K1671" s="15" t="s">
        <v>23</v>
      </c>
    </row>
    <row r="1672" spans="1:11" ht="42" customHeight="1">
      <c r="A1672" s="4" t="s">
        <v>4077</v>
      </c>
      <c r="B1672" s="5" t="s">
        <v>4078</v>
      </c>
      <c r="C1672" s="5" t="s">
        <v>18</v>
      </c>
      <c r="D1672" s="5" t="s">
        <v>19</v>
      </c>
      <c r="E1672" s="5" t="s">
        <v>131</v>
      </c>
      <c r="F1672" s="9">
        <v>8</v>
      </c>
      <c r="G1672" s="9">
        <v>69</v>
      </c>
      <c r="H1672" s="5" t="s">
        <v>21</v>
      </c>
      <c r="I1672" s="5" t="s">
        <v>4079</v>
      </c>
      <c r="J1672" s="12" t="str">
        <f>HYPERLINK("https://www.boe.es/gazeta/dias/1800/01/28/pdfs/GMD-1800-8.pdf#page=1","Abrir facsímil")</f>
        <v>Abrir facsímil</v>
      </c>
      <c r="K1672" s="15" t="s">
        <v>23</v>
      </c>
    </row>
    <row r="1673" spans="1:11" ht="42" customHeight="1">
      <c r="A1673" s="4" t="s">
        <v>4080</v>
      </c>
      <c r="B1673" s="5" t="s">
        <v>4081</v>
      </c>
      <c r="C1673" s="5" t="s">
        <v>54</v>
      </c>
      <c r="D1673" s="5" t="s">
        <v>55</v>
      </c>
      <c r="E1673" s="5" t="s">
        <v>58</v>
      </c>
      <c r="F1673" s="9">
        <v>92</v>
      </c>
      <c r="G1673" s="9">
        <v>1053</v>
      </c>
      <c r="H1673" s="5" t="s">
        <v>21</v>
      </c>
      <c r="I1673" s="5" t="s">
        <v>4082</v>
      </c>
      <c r="J1673" s="12" t="str">
        <f>HYPERLINK("https://www.boe.es/gazeta/dias/1800/11/14/pdfs/GMD-1800-92.pdf#page=7","Abrir facsímil")</f>
        <v>Abrir facsímil</v>
      </c>
      <c r="K1673" s="15" t="s">
        <v>23</v>
      </c>
    </row>
    <row r="1674" spans="1:11" ht="42" customHeight="1">
      <c r="A1674" s="4" t="s">
        <v>4083</v>
      </c>
      <c r="B1674" s="5" t="s">
        <v>4084</v>
      </c>
      <c r="C1674" s="5" t="s">
        <v>41</v>
      </c>
      <c r="D1674" s="5" t="s">
        <v>42</v>
      </c>
      <c r="E1674" s="5" t="s">
        <v>545</v>
      </c>
      <c r="F1674" s="9">
        <v>14</v>
      </c>
      <c r="G1674" s="9">
        <v>130</v>
      </c>
      <c r="H1674" s="5" t="s">
        <v>21</v>
      </c>
      <c r="I1674" s="5" t="s">
        <v>4085</v>
      </c>
      <c r="J1674" s="12" t="str">
        <f>HYPERLINK("https://www.boe.es/gazeta/dias/1800/02/18/pdfs/GMD-1800-14.pdf#page=2","Abrir facsímil")</f>
        <v>Abrir facsímil</v>
      </c>
      <c r="K1674" s="15" t="s">
        <v>23</v>
      </c>
    </row>
    <row r="1675" spans="1:11" ht="42" customHeight="1">
      <c r="A1675" s="4" t="s">
        <v>4086</v>
      </c>
      <c r="B1675" s="5" t="s">
        <v>4087</v>
      </c>
      <c r="C1675" s="5" t="s">
        <v>18</v>
      </c>
      <c r="D1675" s="5" t="s">
        <v>19</v>
      </c>
      <c r="E1675" s="5" t="s">
        <v>1127</v>
      </c>
      <c r="F1675" s="9">
        <v>11</v>
      </c>
      <c r="G1675" s="9">
        <v>107</v>
      </c>
      <c r="H1675" s="5" t="s">
        <v>21</v>
      </c>
      <c r="I1675" s="5" t="s">
        <v>4088</v>
      </c>
      <c r="J1675" s="12" t="str">
        <f>HYPERLINK("https://www.boe.es/gazeta/dias/1800/02/07/pdfs/GMD-1800-11.pdf#page=7","Abrir facsímil")</f>
        <v>Abrir facsímil</v>
      </c>
      <c r="K1675" s="15" t="s">
        <v>23</v>
      </c>
    </row>
    <row r="1676" spans="1:11" ht="42" customHeight="1">
      <c r="A1676" s="4" t="s">
        <v>4089</v>
      </c>
      <c r="B1676" s="5" t="s">
        <v>4090</v>
      </c>
      <c r="C1676" s="5" t="s">
        <v>18</v>
      </c>
      <c r="D1676" s="5" t="s">
        <v>19</v>
      </c>
      <c r="E1676" s="5" t="s">
        <v>162</v>
      </c>
      <c r="F1676" s="9">
        <v>15</v>
      </c>
      <c r="G1676" s="9">
        <v>144</v>
      </c>
      <c r="H1676" s="5" t="s">
        <v>21</v>
      </c>
      <c r="I1676" s="5" t="s">
        <v>4091</v>
      </c>
      <c r="J1676" s="12" t="str">
        <f>HYPERLINK("https://www.boe.es/gazeta/dias/1800/02/21/pdfs/GMD-1800-15.pdf#page=8","Abrir facsímil")</f>
        <v>Abrir facsímil</v>
      </c>
      <c r="K1676" s="15" t="s">
        <v>23</v>
      </c>
    </row>
    <row r="1677" spans="1:11" ht="42" customHeight="1">
      <c r="A1677" s="4" t="s">
        <v>4089</v>
      </c>
      <c r="B1677" s="5" t="s">
        <v>4090</v>
      </c>
      <c r="C1677" s="5" t="s">
        <v>18</v>
      </c>
      <c r="D1677" s="5" t="s">
        <v>19</v>
      </c>
      <c r="E1677" s="5" t="s">
        <v>420</v>
      </c>
      <c r="F1677" s="9">
        <v>38</v>
      </c>
      <c r="G1677" s="9">
        <v>388</v>
      </c>
      <c r="H1677" s="5" t="s">
        <v>21</v>
      </c>
      <c r="I1677" s="5" t="s">
        <v>4092</v>
      </c>
      <c r="J1677" s="12" t="str">
        <f>HYPERLINK("https://www.boe.es/gazeta/dias/1800/05/13/pdfs/GMD-1800-38.pdf#page=8","Abrir facsímil")</f>
        <v>Abrir facsímil</v>
      </c>
      <c r="K1677" s="15" t="s">
        <v>23</v>
      </c>
    </row>
    <row r="1678" spans="1:11" ht="42" customHeight="1">
      <c r="A1678" s="4" t="s">
        <v>4093</v>
      </c>
      <c r="B1678" s="5" t="s">
        <v>4094</v>
      </c>
      <c r="C1678" s="5" t="s">
        <v>25</v>
      </c>
      <c r="D1678" s="5" t="s">
        <v>26</v>
      </c>
      <c r="E1678" s="5" t="s">
        <v>244</v>
      </c>
      <c r="F1678" s="9">
        <v>9</v>
      </c>
      <c r="G1678" s="9">
        <v>86</v>
      </c>
      <c r="H1678" s="5" t="s">
        <v>21</v>
      </c>
      <c r="I1678" s="5" t="s">
        <v>4095</v>
      </c>
      <c r="J1678" s="12" t="str">
        <f>HYPERLINK("https://www.boe.es/gazeta/dias/1800/01/31/pdfs/GMD-1800-9.pdf#page=10","Abrir facsímil")</f>
        <v>Abrir facsímil</v>
      </c>
      <c r="K1678" s="15" t="s">
        <v>23</v>
      </c>
    </row>
    <row r="1679" spans="1:11" ht="42" customHeight="1">
      <c r="A1679" s="4" t="s">
        <v>4096</v>
      </c>
      <c r="B1679" s="5" t="s">
        <v>4097</v>
      </c>
      <c r="C1679" s="5" t="s">
        <v>18</v>
      </c>
      <c r="D1679" s="5" t="s">
        <v>19</v>
      </c>
      <c r="E1679" s="5" t="s">
        <v>240</v>
      </c>
      <c r="F1679" s="9">
        <v>26</v>
      </c>
      <c r="G1679" s="9">
        <v>269</v>
      </c>
      <c r="H1679" s="5" t="s">
        <v>21</v>
      </c>
      <c r="I1679" s="5" t="s">
        <v>4098</v>
      </c>
      <c r="J1679" s="12" t="str">
        <f>HYPERLINK("https://www.boe.es/gazeta/dias/1800/04/01/pdfs/GMD-1800-26.pdf#page=9","Abrir facsímil")</f>
        <v>Abrir facsímil</v>
      </c>
      <c r="K1679" s="15" t="s">
        <v>23</v>
      </c>
    </row>
    <row r="1680" spans="1:11" ht="42" customHeight="1">
      <c r="A1680" s="4" t="s">
        <v>4099</v>
      </c>
      <c r="B1680" s="5" t="s">
        <v>4100</v>
      </c>
      <c r="C1680" s="5" t="s">
        <v>25</v>
      </c>
      <c r="D1680" s="5" t="s">
        <v>26</v>
      </c>
      <c r="E1680" s="5" t="s">
        <v>319</v>
      </c>
      <c r="F1680" s="9">
        <v>62</v>
      </c>
      <c r="G1680" s="9">
        <v>708</v>
      </c>
      <c r="H1680" s="5" t="s">
        <v>21</v>
      </c>
      <c r="I1680" s="5" t="s">
        <v>4101</v>
      </c>
      <c r="J1680" s="12" t="str">
        <f>HYPERLINK("https://www.boe.es/gazeta/dias/1800/08/05/pdfs/GMD-1800-62.pdf#page=8","Abrir facsímil")</f>
        <v>Abrir facsímil</v>
      </c>
      <c r="K1680" s="15" t="s">
        <v>23</v>
      </c>
    </row>
    <row r="1681" spans="1:11" ht="42" customHeight="1">
      <c r="A1681" s="4" t="s">
        <v>4102</v>
      </c>
      <c r="B1681" s="5" t="s">
        <v>4103</v>
      </c>
      <c r="C1681" s="5" t="s">
        <v>54</v>
      </c>
      <c r="D1681" s="5" t="s">
        <v>55</v>
      </c>
      <c r="E1681" s="5" t="s">
        <v>319</v>
      </c>
      <c r="F1681" s="9">
        <v>62</v>
      </c>
      <c r="G1681" s="9">
        <v>709</v>
      </c>
      <c r="H1681" s="5" t="s">
        <v>21</v>
      </c>
      <c r="I1681" s="5" t="s">
        <v>4104</v>
      </c>
      <c r="J1681" s="12" t="str">
        <f>HYPERLINK("https://www.boe.es/gazeta/dias/1800/08/05/pdfs/GMD-1800-62.pdf#page=9","Abrir facsímil")</f>
        <v>Abrir facsímil</v>
      </c>
      <c r="K1681" s="15" t="s">
        <v>23</v>
      </c>
    </row>
    <row r="1682" spans="1:11" ht="42" customHeight="1">
      <c r="A1682" s="4" t="s">
        <v>4105</v>
      </c>
      <c r="B1682" s="5" t="s">
        <v>4106</v>
      </c>
      <c r="C1682" s="5" t="s">
        <v>18</v>
      </c>
      <c r="D1682" s="5" t="s">
        <v>19</v>
      </c>
      <c r="E1682" s="5" t="s">
        <v>673</v>
      </c>
      <c r="F1682" s="9">
        <v>89</v>
      </c>
      <c r="G1682" s="9">
        <v>1043</v>
      </c>
      <c r="H1682" s="5" t="s">
        <v>21</v>
      </c>
      <c r="I1682" s="5" t="s">
        <v>4107</v>
      </c>
      <c r="J1682" s="12" t="str">
        <f>HYPERLINK("https://www.boe.es/gazeta/dias/1800/11/04/pdfs/GMD-1800-89.pdf#page=9","Abrir facsímil")</f>
        <v>Abrir facsímil</v>
      </c>
      <c r="K1682" s="15" t="s">
        <v>23</v>
      </c>
    </row>
    <row r="1683" spans="1:11" ht="42" customHeight="1">
      <c r="A1683" s="4" t="s">
        <v>4108</v>
      </c>
      <c r="B1683" s="5" t="s">
        <v>4109</v>
      </c>
      <c r="C1683" s="5" t="s">
        <v>18</v>
      </c>
      <c r="D1683" s="5" t="s">
        <v>19</v>
      </c>
      <c r="E1683" s="5" t="s">
        <v>176</v>
      </c>
      <c r="F1683" s="9">
        <v>88</v>
      </c>
      <c r="G1683" s="9">
        <v>1034</v>
      </c>
      <c r="H1683" s="5" t="s">
        <v>21</v>
      </c>
      <c r="I1683" s="5" t="s">
        <v>4110</v>
      </c>
      <c r="J1683" s="12" t="str">
        <f>HYPERLINK("https://www.boe.es/gazeta/dias/1800/10/31/pdfs/GMD-1800-88.pdf#page=16","Abrir facsímil")</f>
        <v>Abrir facsímil</v>
      </c>
      <c r="K1683" s="15" t="s">
        <v>23</v>
      </c>
    </row>
    <row r="1684" spans="1:11" ht="42" customHeight="1">
      <c r="A1684" s="4" t="s">
        <v>4111</v>
      </c>
      <c r="B1684" s="5" t="s">
        <v>4112</v>
      </c>
      <c r="C1684" s="5" t="s">
        <v>18</v>
      </c>
      <c r="D1684" s="5" t="s">
        <v>19</v>
      </c>
      <c r="E1684" s="5" t="s">
        <v>158</v>
      </c>
      <c r="F1684" s="9">
        <v>25</v>
      </c>
      <c r="G1684" s="9">
        <v>256</v>
      </c>
      <c r="H1684" s="5" t="s">
        <v>21</v>
      </c>
      <c r="I1684" s="5" t="s">
        <v>4113</v>
      </c>
      <c r="J1684" s="12" t="str">
        <f>HYPERLINK("https://www.boe.es/gazeta/dias/1800/03/28/pdfs/GMD-1800-25.pdf#page=8","Abrir facsímil")</f>
        <v>Abrir facsímil</v>
      </c>
      <c r="K1684" s="15" t="s">
        <v>23</v>
      </c>
    </row>
    <row r="1685" spans="1:11" ht="42" customHeight="1">
      <c r="A1685" s="4" t="s">
        <v>4114</v>
      </c>
      <c r="B1685" s="5" t="s">
        <v>4115</v>
      </c>
      <c r="C1685" s="5" t="s">
        <v>18</v>
      </c>
      <c r="D1685" s="5" t="s">
        <v>19</v>
      </c>
      <c r="E1685" s="5" t="s">
        <v>56</v>
      </c>
      <c r="F1685" s="9">
        <v>90</v>
      </c>
      <c r="G1685" s="9">
        <v>1056</v>
      </c>
      <c r="H1685" s="5" t="s">
        <v>21</v>
      </c>
      <c r="I1685" s="5" t="s">
        <v>4116</v>
      </c>
      <c r="J1685" s="12" t="str">
        <f>HYPERLINK("https://www.boe.es/gazeta/dias/1800/11/07/pdfs/GMD-1800-90.pdf#page=10","Abrir facsímil")</f>
        <v>Abrir facsímil</v>
      </c>
      <c r="K1685" s="15" t="s">
        <v>23</v>
      </c>
    </row>
    <row r="1686" spans="1:11" ht="42" customHeight="1">
      <c r="A1686" s="4" t="s">
        <v>4117</v>
      </c>
      <c r="B1686" s="5" t="s">
        <v>4118</v>
      </c>
      <c r="C1686" s="5" t="s">
        <v>18</v>
      </c>
      <c r="D1686" s="5" t="s">
        <v>19</v>
      </c>
      <c r="E1686" s="5" t="s">
        <v>319</v>
      </c>
      <c r="F1686" s="9">
        <v>62</v>
      </c>
      <c r="G1686" s="9">
        <v>711</v>
      </c>
      <c r="H1686" s="5" t="s">
        <v>21</v>
      </c>
      <c r="I1686" s="5" t="s">
        <v>4119</v>
      </c>
      <c r="J1686" s="12" t="str">
        <f>HYPERLINK("https://www.boe.es/gazeta/dias/1800/08/05/pdfs/GMD-1800-62.pdf#page=11","Abrir facsímil")</f>
        <v>Abrir facsímil</v>
      </c>
      <c r="K1686" s="15" t="s">
        <v>23</v>
      </c>
    </row>
    <row r="1687" spans="1:11" ht="42" customHeight="1">
      <c r="A1687" s="4" t="s">
        <v>4120</v>
      </c>
      <c r="B1687" s="5" t="s">
        <v>4121</v>
      </c>
      <c r="C1687" s="5" t="s">
        <v>54</v>
      </c>
      <c r="D1687" s="5" t="s">
        <v>55</v>
      </c>
      <c r="E1687" s="5" t="s">
        <v>139</v>
      </c>
      <c r="F1687" s="9">
        <v>2</v>
      </c>
      <c r="G1687" s="9">
        <v>19</v>
      </c>
      <c r="H1687" s="5" t="s">
        <v>21</v>
      </c>
      <c r="I1687" s="5" t="s">
        <v>4122</v>
      </c>
      <c r="J1687" s="12" t="str">
        <f>HYPERLINK("https://www.boe.es/gazeta/dias/1800/01/07/pdfs/GMD-1800-2.pdf#page=11","Abrir facsímil")</f>
        <v>Abrir facsímil</v>
      </c>
      <c r="K1687" s="15" t="s">
        <v>23</v>
      </c>
    </row>
    <row r="1688" spans="1:11" ht="42" customHeight="1">
      <c r="A1688" s="4" t="s">
        <v>4123</v>
      </c>
      <c r="B1688" s="5" t="s">
        <v>4124</v>
      </c>
      <c r="C1688" s="5" t="s">
        <v>171</v>
      </c>
      <c r="D1688" s="5" t="s">
        <v>172</v>
      </c>
      <c r="E1688" s="5" t="s">
        <v>465</v>
      </c>
      <c r="F1688" s="9">
        <v>49</v>
      </c>
      <c r="G1688" s="9">
        <v>536</v>
      </c>
      <c r="H1688" s="5" t="s">
        <v>21</v>
      </c>
      <c r="I1688" s="5" t="s">
        <v>4125</v>
      </c>
      <c r="J1688" s="12" t="str">
        <f>HYPERLINK("https://www.boe.es/gazeta/dias/1800/06/20/pdfs/GMD-C-1800-49.pdf#page=4","Abrir facsímil")</f>
        <v>Abrir facsímil</v>
      </c>
      <c r="K1688" s="15" t="s">
        <v>23</v>
      </c>
    </row>
    <row r="1689" spans="1:11" ht="42" customHeight="1">
      <c r="A1689" s="4" t="s">
        <v>4126</v>
      </c>
      <c r="B1689" s="5" t="s">
        <v>4127</v>
      </c>
      <c r="C1689" s="5" t="s">
        <v>171</v>
      </c>
      <c r="D1689" s="5" t="s">
        <v>172</v>
      </c>
      <c r="E1689" s="5" t="s">
        <v>465</v>
      </c>
      <c r="F1689" s="9">
        <v>49</v>
      </c>
      <c r="G1689" s="9">
        <v>536</v>
      </c>
      <c r="H1689" s="5" t="s">
        <v>21</v>
      </c>
      <c r="I1689" s="5" t="s">
        <v>4128</v>
      </c>
      <c r="J1689" s="12" t="str">
        <f>HYPERLINK("https://www.boe.es/gazeta/dias/1800/06/20/pdfs/GMD-C-1800-49.pdf#page=4","Abrir facsímil")</f>
        <v>Abrir facsímil</v>
      </c>
      <c r="K1689" s="15" t="s">
        <v>23</v>
      </c>
    </row>
    <row r="1690" spans="1:11" ht="42" customHeight="1">
      <c r="A1690" s="4" t="s">
        <v>4129</v>
      </c>
      <c r="B1690" s="5" t="s">
        <v>4130</v>
      </c>
      <c r="C1690" s="5" t="s">
        <v>18</v>
      </c>
      <c r="D1690" s="5" t="s">
        <v>19</v>
      </c>
      <c r="E1690" s="5" t="s">
        <v>598</v>
      </c>
      <c r="F1690" s="9">
        <v>32</v>
      </c>
      <c r="G1690" s="9">
        <v>322</v>
      </c>
      <c r="H1690" s="5" t="s">
        <v>21</v>
      </c>
      <c r="I1690" s="5" t="s">
        <v>4131</v>
      </c>
      <c r="J1690" s="12" t="str">
        <f>HYPERLINK("https://www.boe.es/gazeta/dias/1800/04/22/pdfs/GMD-1800-32.pdf#page=6","Abrir facsímil")</f>
        <v>Abrir facsímil</v>
      </c>
      <c r="K1690" s="15" t="s">
        <v>23</v>
      </c>
    </row>
    <row r="1691" spans="1:11" ht="42" customHeight="1">
      <c r="A1691" s="4" t="s">
        <v>4132</v>
      </c>
      <c r="B1691" s="5" t="s">
        <v>4133</v>
      </c>
      <c r="C1691" s="5" t="s">
        <v>25</v>
      </c>
      <c r="D1691" s="5" t="s">
        <v>26</v>
      </c>
      <c r="E1691" s="5" t="s">
        <v>673</v>
      </c>
      <c r="F1691" s="9">
        <v>89</v>
      </c>
      <c r="G1691" s="9">
        <v>1043</v>
      </c>
      <c r="H1691" s="5" t="s">
        <v>21</v>
      </c>
      <c r="I1691" s="5" t="s">
        <v>4134</v>
      </c>
      <c r="J1691" s="12" t="str">
        <f>HYPERLINK("https://www.boe.es/gazeta/dias/1800/11/04/pdfs/GMD-1800-89.pdf#page=9","Abrir facsímil")</f>
        <v>Abrir facsímil</v>
      </c>
      <c r="K1691" s="15" t="s">
        <v>23</v>
      </c>
    </row>
    <row r="1692" spans="1:11" ht="42" customHeight="1">
      <c r="A1692" s="4" t="s">
        <v>4132</v>
      </c>
      <c r="B1692" s="5" t="s">
        <v>4133</v>
      </c>
      <c r="C1692" s="5" t="s">
        <v>25</v>
      </c>
      <c r="D1692" s="5" t="s">
        <v>26</v>
      </c>
      <c r="E1692" s="5" t="s">
        <v>56</v>
      </c>
      <c r="F1692" s="9">
        <v>90</v>
      </c>
      <c r="G1692" s="9">
        <v>1057</v>
      </c>
      <c r="H1692" s="5" t="s">
        <v>21</v>
      </c>
      <c r="I1692" s="5" t="s">
        <v>4135</v>
      </c>
      <c r="J1692" s="12" t="str">
        <f>HYPERLINK("https://www.boe.es/gazeta/dias/1800/11/07/pdfs/GMD-1800-90.pdf#page=11","Abrir facsímil")</f>
        <v>Abrir facsímil</v>
      </c>
      <c r="K1692" s="15" t="s">
        <v>23</v>
      </c>
    </row>
    <row r="1693" spans="1:11" ht="42" customHeight="1">
      <c r="A1693" s="4" t="s">
        <v>4132</v>
      </c>
      <c r="B1693" s="5" t="s">
        <v>4133</v>
      </c>
      <c r="C1693" s="5" t="s">
        <v>25</v>
      </c>
      <c r="D1693" s="5" t="s">
        <v>26</v>
      </c>
      <c r="E1693" s="5" t="s">
        <v>576</v>
      </c>
      <c r="F1693" s="9">
        <v>91</v>
      </c>
      <c r="G1693" s="9">
        <v>1068</v>
      </c>
      <c r="H1693" s="5" t="s">
        <v>21</v>
      </c>
      <c r="I1693" s="5" t="s">
        <v>4136</v>
      </c>
      <c r="J1693" s="12" t="str">
        <f>HYPERLINK("https://www.boe.es/gazeta/dias/1800/11/11/pdfs/GMD-1800-91.pdf#page=10","Abrir facsímil")</f>
        <v>Abrir facsímil</v>
      </c>
      <c r="K1693" s="15" t="s">
        <v>23</v>
      </c>
    </row>
    <row r="1694" spans="1:11" ht="42" customHeight="1">
      <c r="A1694" s="4" t="s">
        <v>4137</v>
      </c>
      <c r="B1694" s="5" t="s">
        <v>4138</v>
      </c>
      <c r="C1694" s="5" t="s">
        <v>25</v>
      </c>
      <c r="D1694" s="5" t="s">
        <v>26</v>
      </c>
      <c r="E1694" s="5" t="s">
        <v>406</v>
      </c>
      <c r="F1694" s="9">
        <v>44</v>
      </c>
      <c r="G1694" s="9">
        <v>462</v>
      </c>
      <c r="H1694" s="5" t="s">
        <v>21</v>
      </c>
      <c r="I1694" s="5" t="s">
        <v>4139</v>
      </c>
      <c r="J1694" s="12" t="str">
        <f>HYPERLINK("https://www.boe.es/gazeta/dias/1800/06/03/pdfs/GMD-1800-44.pdf#page=10","Abrir facsímil")</f>
        <v>Abrir facsímil</v>
      </c>
      <c r="K1694" s="15" t="s">
        <v>23</v>
      </c>
    </row>
    <row r="1695" spans="1:11" ht="42" customHeight="1">
      <c r="A1695" s="4" t="s">
        <v>4140</v>
      </c>
      <c r="B1695" s="5" t="s">
        <v>4141</v>
      </c>
      <c r="C1695" s="5" t="s">
        <v>18</v>
      </c>
      <c r="D1695" s="5" t="s">
        <v>19</v>
      </c>
      <c r="E1695" s="5" t="s">
        <v>190</v>
      </c>
      <c r="F1695" s="9">
        <v>93</v>
      </c>
      <c r="G1695" s="9">
        <v>1066</v>
      </c>
      <c r="H1695" s="5" t="s">
        <v>21</v>
      </c>
      <c r="I1695" s="5" t="s">
        <v>4142</v>
      </c>
      <c r="J1695" s="12" t="str">
        <f>HYPERLINK("https://www.boe.es/gazeta/dias/1800/11/18/pdfs/GMD-1800-93.pdf#page=12","Abrir facsímil")</f>
        <v>Abrir facsímil</v>
      </c>
      <c r="K1695" s="15" t="s">
        <v>23</v>
      </c>
    </row>
    <row r="1696" spans="1:11" ht="42" customHeight="1">
      <c r="A1696" s="4" t="s">
        <v>4143</v>
      </c>
      <c r="B1696" s="5" t="s">
        <v>4144</v>
      </c>
      <c r="C1696" s="5" t="s">
        <v>41</v>
      </c>
      <c r="D1696" s="5" t="s">
        <v>42</v>
      </c>
      <c r="E1696" s="5" t="s">
        <v>101</v>
      </c>
      <c r="F1696" s="9">
        <v>37</v>
      </c>
      <c r="G1696" s="9">
        <v>376</v>
      </c>
      <c r="H1696" s="5" t="s">
        <v>21</v>
      </c>
      <c r="I1696" s="5" t="s">
        <v>4145</v>
      </c>
      <c r="J1696" s="12" t="str">
        <f>HYPERLINK("https://www.boe.es/gazeta/dias/1800/05/09/pdfs/GMD-1800-37.pdf#page=8","Abrir facsímil")</f>
        <v>Abrir facsímil</v>
      </c>
      <c r="K1696" s="15" t="s">
        <v>23</v>
      </c>
    </row>
    <row r="1697" spans="1:11" ht="42" customHeight="1">
      <c r="A1697" s="4" t="s">
        <v>4146</v>
      </c>
      <c r="B1697" s="5" t="s">
        <v>4147</v>
      </c>
      <c r="C1697" s="5" t="s">
        <v>25</v>
      </c>
      <c r="D1697" s="5" t="s">
        <v>26</v>
      </c>
      <c r="E1697" s="5" t="s">
        <v>135</v>
      </c>
      <c r="F1697" s="9">
        <v>73</v>
      </c>
      <c r="G1697" s="9">
        <v>818</v>
      </c>
      <c r="H1697" s="5" t="s">
        <v>21</v>
      </c>
      <c r="I1697" s="5" t="s">
        <v>4148</v>
      </c>
      <c r="J1697" s="12" t="str">
        <f>HYPERLINK("https://www.boe.es/gazeta/dias/1800/09/09/pdfs/GMD-1800-73.pdf#page=12","Abrir facsímil")</f>
        <v>Abrir facsímil</v>
      </c>
      <c r="K1697" s="15" t="s">
        <v>23</v>
      </c>
    </row>
    <row r="1698" spans="1:11" ht="42" customHeight="1">
      <c r="A1698" s="4" t="s">
        <v>4149</v>
      </c>
      <c r="B1698" s="5" t="s">
        <v>4150</v>
      </c>
      <c r="C1698" s="5" t="s">
        <v>41</v>
      </c>
      <c r="D1698" s="5" t="s">
        <v>42</v>
      </c>
      <c r="E1698" s="5" t="s">
        <v>545</v>
      </c>
      <c r="F1698" s="9">
        <v>14</v>
      </c>
      <c r="G1698" s="9">
        <v>130</v>
      </c>
      <c r="H1698" s="5" t="s">
        <v>21</v>
      </c>
      <c r="I1698" s="5" t="s">
        <v>4151</v>
      </c>
      <c r="J1698" s="12" t="str">
        <f>HYPERLINK("https://www.boe.es/gazeta/dias/1800/02/18/pdfs/GMD-1800-14.pdf#page=2","Abrir facsímil")</f>
        <v>Abrir facsímil</v>
      </c>
      <c r="K1698" s="15" t="s">
        <v>23</v>
      </c>
    </row>
    <row r="1699" spans="1:11" ht="42" customHeight="1">
      <c r="A1699" s="4" t="s">
        <v>4149</v>
      </c>
      <c r="B1699" s="5" t="s">
        <v>4150</v>
      </c>
      <c r="C1699" s="5" t="s">
        <v>41</v>
      </c>
      <c r="D1699" s="5" t="s">
        <v>42</v>
      </c>
      <c r="E1699" s="5" t="s">
        <v>162</v>
      </c>
      <c r="F1699" s="9">
        <v>15</v>
      </c>
      <c r="G1699" s="9">
        <v>138</v>
      </c>
      <c r="H1699" s="5" t="s">
        <v>21</v>
      </c>
      <c r="I1699" s="5" t="s">
        <v>4152</v>
      </c>
      <c r="J1699" s="12" t="str">
        <f>HYPERLINK("https://www.boe.es/gazeta/dias/1800/02/21/pdfs/GMD-1800-15.pdf#page=2","Abrir facsímil")</f>
        <v>Abrir facsímil</v>
      </c>
      <c r="K1699" s="15" t="s">
        <v>23</v>
      </c>
    </row>
    <row r="1700" spans="1:11" ht="42" customHeight="1">
      <c r="A1700" s="4" t="s">
        <v>4149</v>
      </c>
      <c r="B1700" s="5" t="s">
        <v>4150</v>
      </c>
      <c r="C1700" s="5" t="s">
        <v>18</v>
      </c>
      <c r="D1700" s="5" t="s">
        <v>19</v>
      </c>
      <c r="E1700" s="5" t="s">
        <v>598</v>
      </c>
      <c r="F1700" s="9">
        <v>32</v>
      </c>
      <c r="G1700" s="9">
        <v>318</v>
      </c>
      <c r="H1700" s="5" t="s">
        <v>21</v>
      </c>
      <c r="I1700" s="5" t="s">
        <v>4153</v>
      </c>
      <c r="J1700" s="12" t="str">
        <f>HYPERLINK("https://www.boe.es/gazeta/dias/1800/04/22/pdfs/GMD-1800-32.pdf#page=2","Abrir facsímil")</f>
        <v>Abrir facsímil</v>
      </c>
      <c r="K1700" s="15" t="s">
        <v>23</v>
      </c>
    </row>
    <row r="1701" spans="1:11" ht="42" customHeight="1">
      <c r="A1701" s="4" t="s">
        <v>4154</v>
      </c>
      <c r="B1701" s="5" t="s">
        <v>4155</v>
      </c>
      <c r="C1701" s="5" t="s">
        <v>25</v>
      </c>
      <c r="D1701" s="5" t="s">
        <v>26</v>
      </c>
      <c r="E1701" s="5" t="s">
        <v>618</v>
      </c>
      <c r="F1701" s="9">
        <v>1</v>
      </c>
      <c r="G1701" s="9">
        <v>7</v>
      </c>
      <c r="H1701" s="5" t="s">
        <v>21</v>
      </c>
      <c r="I1701" s="5" t="s">
        <v>4156</v>
      </c>
      <c r="J1701" s="12" t="str">
        <f>HYPERLINK("https://www.boe.es/gazeta/dias/1800/01/03/pdfs/GMD-1800-1.pdf#page=7","Abrir facsímil")</f>
        <v>Abrir facsímil</v>
      </c>
      <c r="K1701" s="15" t="s">
        <v>23</v>
      </c>
    </row>
    <row r="1702" spans="1:11" ht="42" customHeight="1">
      <c r="A1702" s="4" t="s">
        <v>4157</v>
      </c>
      <c r="B1702" s="5" t="s">
        <v>4158</v>
      </c>
      <c r="C1702" s="5" t="s">
        <v>18</v>
      </c>
      <c r="D1702" s="5" t="s">
        <v>19</v>
      </c>
      <c r="E1702" s="5" t="s">
        <v>203</v>
      </c>
      <c r="F1702" s="9">
        <v>94</v>
      </c>
      <c r="G1702" s="9">
        <v>1077</v>
      </c>
      <c r="H1702" s="5" t="s">
        <v>21</v>
      </c>
      <c r="I1702" s="5" t="s">
        <v>4159</v>
      </c>
      <c r="J1702" s="12" t="str">
        <f>HYPERLINK("https://www.boe.es/gazeta/dias/1800/11/21/pdfs/GMD-1800-94.pdf#page=7","Abrir facsímil")</f>
        <v>Abrir facsímil</v>
      </c>
      <c r="K1702" s="15" t="s">
        <v>23</v>
      </c>
    </row>
    <row r="1703" spans="1:11" ht="42" customHeight="1">
      <c r="A1703" s="4" t="s">
        <v>4160</v>
      </c>
      <c r="B1703" s="5" t="s">
        <v>4161</v>
      </c>
      <c r="C1703" s="5" t="s">
        <v>18</v>
      </c>
      <c r="D1703" s="5" t="s">
        <v>19</v>
      </c>
      <c r="E1703" s="5" t="s">
        <v>567</v>
      </c>
      <c r="F1703" s="9">
        <v>3</v>
      </c>
      <c r="G1703" s="9">
        <v>27</v>
      </c>
      <c r="H1703" s="5" t="s">
        <v>21</v>
      </c>
      <c r="I1703" s="5" t="s">
        <v>4162</v>
      </c>
      <c r="J1703" s="12" t="str">
        <f>HYPERLINK("https://www.boe.es/gazeta/dias/1800/01/10/pdfs/GMD-1800-3.pdf#page=7","Abrir facsímil")</f>
        <v>Abrir facsímil</v>
      </c>
      <c r="K1703" s="15" t="s">
        <v>23</v>
      </c>
    </row>
    <row r="1704" spans="1:11" ht="42" customHeight="1">
      <c r="A1704" s="4" t="s">
        <v>4163</v>
      </c>
      <c r="B1704" s="5" t="s">
        <v>4164</v>
      </c>
      <c r="C1704" s="5" t="s">
        <v>25</v>
      </c>
      <c r="D1704" s="5" t="s">
        <v>26</v>
      </c>
      <c r="E1704" s="5" t="s">
        <v>1213</v>
      </c>
      <c r="F1704" s="9">
        <v>4</v>
      </c>
      <c r="G1704" s="9">
        <v>40</v>
      </c>
      <c r="H1704" s="5" t="s">
        <v>21</v>
      </c>
      <c r="I1704" s="5" t="s">
        <v>4165</v>
      </c>
      <c r="J1704" s="12" t="str">
        <f>HYPERLINK("https://www.boe.es/gazeta/dias/1800/01/14/pdfs/GMD-1800-4.pdf#page=12","Abrir facsímil")</f>
        <v>Abrir facsímil</v>
      </c>
      <c r="K1704" s="15" t="s">
        <v>23</v>
      </c>
    </row>
    <row r="1705" spans="1:11" ht="42" customHeight="1">
      <c r="A1705" s="4" t="s">
        <v>4166</v>
      </c>
      <c r="B1705" s="5" t="s">
        <v>4167</v>
      </c>
      <c r="C1705" s="5" t="s">
        <v>18</v>
      </c>
      <c r="D1705" s="5" t="s">
        <v>19</v>
      </c>
      <c r="E1705" s="5" t="s">
        <v>306</v>
      </c>
      <c r="F1705" s="9">
        <v>79</v>
      </c>
      <c r="G1705" s="9">
        <v>900</v>
      </c>
      <c r="H1705" s="5" t="s">
        <v>21</v>
      </c>
      <c r="I1705" s="5" t="s">
        <v>4168</v>
      </c>
      <c r="J1705" s="12" t="str">
        <f>HYPERLINK("https://www.boe.es/gazeta/dias/1800/09/30/pdfs/GMD-1800-79.pdf#page=10","Abrir facsímil")</f>
        <v>Abrir facsímil</v>
      </c>
      <c r="K1705" s="15" t="s">
        <v>23</v>
      </c>
    </row>
    <row r="1706" spans="1:11" ht="42" customHeight="1">
      <c r="A1706" s="4" t="s">
        <v>4169</v>
      </c>
      <c r="B1706" s="5" t="s">
        <v>4170</v>
      </c>
      <c r="C1706" s="5" t="s">
        <v>207</v>
      </c>
      <c r="D1706" s="5" t="s">
        <v>55</v>
      </c>
      <c r="E1706" s="5" t="s">
        <v>787</v>
      </c>
      <c r="F1706" s="9">
        <v>6</v>
      </c>
      <c r="G1706" s="9">
        <v>57</v>
      </c>
      <c r="H1706" s="5" t="s">
        <v>21</v>
      </c>
      <c r="I1706" s="5" t="s">
        <v>4171</v>
      </c>
      <c r="J1706" s="12" t="str">
        <f>HYPERLINK("https://www.boe.es/gazeta/dias/1800/01/21/pdfs/GMD-1800-6.pdf#page=9","Abrir facsímil")</f>
        <v>Abrir facsímil</v>
      </c>
      <c r="K1706" s="15" t="s">
        <v>23</v>
      </c>
    </row>
    <row r="1707" spans="1:11" ht="42" customHeight="1">
      <c r="A1707" s="4" t="s">
        <v>4169</v>
      </c>
      <c r="B1707" s="5" t="s">
        <v>4170</v>
      </c>
      <c r="C1707" s="5" t="s">
        <v>207</v>
      </c>
      <c r="D1707" s="5" t="s">
        <v>55</v>
      </c>
      <c r="E1707" s="5" t="s">
        <v>240</v>
      </c>
      <c r="F1707" s="9">
        <v>26</v>
      </c>
      <c r="G1707" s="9">
        <v>268</v>
      </c>
      <c r="H1707" s="5" t="s">
        <v>21</v>
      </c>
      <c r="I1707" s="5" t="s">
        <v>4172</v>
      </c>
      <c r="J1707" s="12" t="str">
        <f>HYPERLINK("https://www.boe.es/gazeta/dias/1800/04/01/pdfs/GMD-1800-26.pdf#page=8","Abrir facsímil")</f>
        <v>Abrir facsímil</v>
      </c>
      <c r="K1707" s="15" t="s">
        <v>23</v>
      </c>
    </row>
    <row r="1708" spans="1:11" ht="42" customHeight="1">
      <c r="A1708" s="4" t="s">
        <v>4173</v>
      </c>
      <c r="B1708" s="5" t="s">
        <v>4174</v>
      </c>
      <c r="C1708" s="5" t="s">
        <v>18</v>
      </c>
      <c r="D1708" s="5" t="s">
        <v>19</v>
      </c>
      <c r="E1708" s="5" t="s">
        <v>618</v>
      </c>
      <c r="F1708" s="9">
        <v>1</v>
      </c>
      <c r="G1708" s="9">
        <v>6</v>
      </c>
      <c r="H1708" s="5" t="s">
        <v>21</v>
      </c>
      <c r="I1708" s="5" t="s">
        <v>4175</v>
      </c>
      <c r="J1708" s="12" t="str">
        <f>HYPERLINK("https://www.boe.es/gazeta/dias/1800/01/03/pdfs/GMD-1800-1.pdf#page=6","Abrir facsímil")</f>
        <v>Abrir facsímil</v>
      </c>
      <c r="K1708" s="15" t="s">
        <v>23</v>
      </c>
    </row>
    <row r="1709" spans="1:11" ht="42" customHeight="1">
      <c r="A1709" s="4" t="s">
        <v>4176</v>
      </c>
      <c r="B1709" s="5" t="s">
        <v>4177</v>
      </c>
      <c r="C1709" s="5" t="s">
        <v>41</v>
      </c>
      <c r="D1709" s="5" t="s">
        <v>42</v>
      </c>
      <c r="E1709" s="5" t="s">
        <v>534</v>
      </c>
      <c r="F1709" s="9">
        <v>100</v>
      </c>
      <c r="G1709" s="9">
        <v>1158</v>
      </c>
      <c r="H1709" s="5" t="s">
        <v>21</v>
      </c>
      <c r="I1709" s="5" t="s">
        <v>4178</v>
      </c>
      <c r="J1709" s="12" t="str">
        <f>HYPERLINK("https://www.boe.es/gazeta/dias/1800/12/12/pdfs/GMD-1800-100.pdf#page=10","Abrir facsímil")</f>
        <v>Abrir facsímil</v>
      </c>
      <c r="K1709" s="15" t="s">
        <v>23</v>
      </c>
    </row>
    <row r="1710" spans="1:11" ht="42" customHeight="1">
      <c r="A1710" s="4" t="s">
        <v>4179</v>
      </c>
      <c r="B1710" s="5" t="s">
        <v>4180</v>
      </c>
      <c r="C1710" s="5" t="s">
        <v>18</v>
      </c>
      <c r="D1710" s="5" t="s">
        <v>19</v>
      </c>
      <c r="E1710" s="5" t="s">
        <v>823</v>
      </c>
      <c r="F1710" s="9">
        <v>50</v>
      </c>
      <c r="G1710" s="9">
        <v>546</v>
      </c>
      <c r="H1710" s="5" t="s">
        <v>21</v>
      </c>
      <c r="I1710" s="5" t="s">
        <v>4181</v>
      </c>
      <c r="J1710" s="12" t="str">
        <f>HYPERLINK("https://www.boe.es/gazeta/dias/1800/06/24/pdfs/GMD-1800-50.pdf#page=10","Abrir facsímil")</f>
        <v>Abrir facsímil</v>
      </c>
      <c r="K1710" s="15" t="s">
        <v>23</v>
      </c>
    </row>
    <row r="1711" spans="1:11" ht="42" customHeight="1">
      <c r="A1711" s="4" t="s">
        <v>4182</v>
      </c>
      <c r="B1711" s="5" t="s">
        <v>4183</v>
      </c>
      <c r="C1711" s="5" t="s">
        <v>207</v>
      </c>
      <c r="D1711" s="5" t="s">
        <v>55</v>
      </c>
      <c r="E1711" s="5" t="s">
        <v>420</v>
      </c>
      <c r="F1711" s="9">
        <v>38</v>
      </c>
      <c r="G1711" s="9">
        <v>387</v>
      </c>
      <c r="H1711" s="5" t="s">
        <v>21</v>
      </c>
      <c r="I1711" s="5" t="s">
        <v>4184</v>
      </c>
      <c r="J1711" s="12" t="str">
        <f>HYPERLINK("https://www.boe.es/gazeta/dias/1800/05/13/pdfs/GMD-1800-38.pdf#page=7","Abrir facsímil")</f>
        <v>Abrir facsímil</v>
      </c>
      <c r="K1711" s="15" t="s">
        <v>23</v>
      </c>
    </row>
    <row r="1712" spans="1:11" ht="42" customHeight="1">
      <c r="A1712" s="4" t="s">
        <v>4185</v>
      </c>
      <c r="B1712" s="5" t="s">
        <v>4186</v>
      </c>
      <c r="C1712" s="5" t="s">
        <v>18</v>
      </c>
      <c r="D1712" s="5" t="s">
        <v>19</v>
      </c>
      <c r="E1712" s="5" t="s">
        <v>194</v>
      </c>
      <c r="F1712" s="9">
        <v>48</v>
      </c>
      <c r="G1712" s="9">
        <v>519</v>
      </c>
      <c r="H1712" s="5" t="s">
        <v>21</v>
      </c>
      <c r="I1712" s="5" t="s">
        <v>4187</v>
      </c>
      <c r="J1712" s="12" t="str">
        <f>HYPERLINK("https://www.boe.es/gazeta/dias/1800/06/17/pdfs/GMD-1800-48.pdf#page=11","Abrir facsímil")</f>
        <v>Abrir facsímil</v>
      </c>
      <c r="K1712" s="15" t="s">
        <v>23</v>
      </c>
    </row>
    <row r="1713" spans="1:11" ht="42" customHeight="1">
      <c r="A1713" s="4" t="s">
        <v>4188</v>
      </c>
      <c r="B1713" s="5" t="s">
        <v>4189</v>
      </c>
      <c r="C1713" s="5" t="s">
        <v>207</v>
      </c>
      <c r="D1713" s="5" t="s">
        <v>55</v>
      </c>
      <c r="E1713" s="5" t="s">
        <v>190</v>
      </c>
      <c r="F1713" s="9">
        <v>93</v>
      </c>
      <c r="G1713" s="9">
        <v>1066</v>
      </c>
      <c r="H1713" s="5" t="s">
        <v>21</v>
      </c>
      <c r="I1713" s="5" t="s">
        <v>4190</v>
      </c>
      <c r="J1713" s="12" t="str">
        <f>HYPERLINK("https://www.boe.es/gazeta/dias/1800/11/18/pdfs/GMD-1800-93.pdf#page=12","Abrir facsímil")</f>
        <v>Abrir facsímil</v>
      </c>
      <c r="K1713" s="15" t="s">
        <v>23</v>
      </c>
    </row>
    <row r="1714" spans="1:11" ht="42" customHeight="1">
      <c r="A1714" s="4" t="s">
        <v>4191</v>
      </c>
      <c r="B1714" s="5" t="s">
        <v>4192</v>
      </c>
      <c r="C1714" s="5" t="s">
        <v>25</v>
      </c>
      <c r="D1714" s="5" t="s">
        <v>26</v>
      </c>
      <c r="E1714" s="5" t="s">
        <v>131</v>
      </c>
      <c r="F1714" s="9">
        <v>8</v>
      </c>
      <c r="G1714" s="9">
        <v>75</v>
      </c>
      <c r="H1714" s="5" t="s">
        <v>21</v>
      </c>
      <c r="I1714" s="5" t="s">
        <v>4193</v>
      </c>
      <c r="J1714" s="12" t="str">
        <f>HYPERLINK("https://www.boe.es/gazeta/dias/1800/01/28/pdfs/GMD-1800-8.pdf#page=7","Abrir facsímil")</f>
        <v>Abrir facsímil</v>
      </c>
      <c r="K1714" s="15" t="s">
        <v>23</v>
      </c>
    </row>
    <row r="1715" spans="1:11" ht="42" customHeight="1">
      <c r="A1715" s="4" t="s">
        <v>4194</v>
      </c>
      <c r="B1715" s="5" t="s">
        <v>4195</v>
      </c>
      <c r="C1715" s="5" t="s">
        <v>41</v>
      </c>
      <c r="D1715" s="5" t="s">
        <v>42</v>
      </c>
      <c r="E1715" s="5" t="s">
        <v>478</v>
      </c>
      <c r="F1715" s="9">
        <v>34</v>
      </c>
      <c r="G1715" s="9">
        <v>338</v>
      </c>
      <c r="H1715" s="5" t="s">
        <v>21</v>
      </c>
      <c r="I1715" s="5" t="s">
        <v>4196</v>
      </c>
      <c r="J1715" s="12" t="str">
        <f>HYPERLINK("https://www.boe.es/gazeta/dias/1800/04/29/pdfs/GMD-1800-34.pdf#page=2","Abrir facsímil")</f>
        <v>Abrir facsímil</v>
      </c>
      <c r="K1715" s="15" t="s">
        <v>23</v>
      </c>
    </row>
    <row r="1716" spans="1:11" ht="42" customHeight="1">
      <c r="A1716" s="4" t="s">
        <v>4197</v>
      </c>
      <c r="B1716" s="5" t="s">
        <v>4198</v>
      </c>
      <c r="C1716" s="5" t="s">
        <v>18</v>
      </c>
      <c r="D1716" s="5" t="s">
        <v>19</v>
      </c>
      <c r="E1716" s="5" t="s">
        <v>64</v>
      </c>
      <c r="F1716" s="9">
        <v>54</v>
      </c>
      <c r="G1716" s="9">
        <v>597</v>
      </c>
      <c r="H1716" s="5" t="s">
        <v>21</v>
      </c>
      <c r="I1716" s="5" t="s">
        <v>4199</v>
      </c>
      <c r="J1716" s="12" t="str">
        <f>HYPERLINK("https://www.boe.es/gazeta/dias/1800/07/08/pdfs/GMD-1800-54.pdf#page=1","Abrir facsímil")</f>
        <v>Abrir facsímil</v>
      </c>
      <c r="K1716" s="15" t="s">
        <v>23</v>
      </c>
    </row>
    <row r="1717" spans="1:11" ht="42" customHeight="1">
      <c r="A1717" s="4" t="s">
        <v>4197</v>
      </c>
      <c r="B1717" s="5" t="s">
        <v>4198</v>
      </c>
      <c r="C1717" s="5" t="s">
        <v>41</v>
      </c>
      <c r="D1717" s="5" t="s">
        <v>42</v>
      </c>
      <c r="E1717" s="5" t="s">
        <v>116</v>
      </c>
      <c r="F1717" s="9">
        <v>86</v>
      </c>
      <c r="G1717" s="9">
        <v>993</v>
      </c>
      <c r="H1717" s="5" t="s">
        <v>21</v>
      </c>
      <c r="I1717" s="5" t="s">
        <v>4200</v>
      </c>
      <c r="J1717" s="12" t="str">
        <f>HYPERLINK("https://www.boe.es/gazeta/dias/1800/10/24/pdfs/GMD-1800-86.pdf#page=3","Abrir facsímil")</f>
        <v>Abrir facsímil</v>
      </c>
      <c r="K1717" s="15" t="s">
        <v>23</v>
      </c>
    </row>
    <row r="1718" spans="1:11" ht="42" customHeight="1">
      <c r="A1718" s="4" t="s">
        <v>4201</v>
      </c>
      <c r="B1718" s="5" t="s">
        <v>4202</v>
      </c>
      <c r="C1718" s="5" t="s">
        <v>18</v>
      </c>
      <c r="D1718" s="5" t="s">
        <v>19</v>
      </c>
      <c r="E1718" s="5" t="s">
        <v>176</v>
      </c>
      <c r="F1718" s="9">
        <v>88</v>
      </c>
      <c r="G1718" s="9">
        <v>1030</v>
      </c>
      <c r="H1718" s="5" t="s">
        <v>21</v>
      </c>
      <c r="I1718" s="5" t="s">
        <v>4203</v>
      </c>
      <c r="J1718" s="12" t="str">
        <f>HYPERLINK("https://www.boe.es/gazeta/dias/1800/10/31/pdfs/GMD-1800-88.pdf#page=12","Abrir facsímil")</f>
        <v>Abrir facsímil</v>
      </c>
      <c r="K1718" s="15" t="s">
        <v>23</v>
      </c>
    </row>
    <row r="1719" spans="1:11" ht="42" customHeight="1">
      <c r="A1719" s="4" t="s">
        <v>4204</v>
      </c>
      <c r="B1719" s="5" t="s">
        <v>4205</v>
      </c>
      <c r="C1719" s="5" t="s">
        <v>41</v>
      </c>
      <c r="D1719" s="5" t="s">
        <v>42</v>
      </c>
      <c r="E1719" s="5" t="s">
        <v>131</v>
      </c>
      <c r="F1719" s="9">
        <v>8</v>
      </c>
      <c r="G1719" s="9">
        <v>70</v>
      </c>
      <c r="H1719" s="5" t="s">
        <v>21</v>
      </c>
      <c r="I1719" s="5" t="s">
        <v>4206</v>
      </c>
      <c r="J1719" s="12" t="str">
        <f>HYPERLINK("https://www.boe.es/gazeta/dias/1800/01/28/pdfs/GMD-1800-8.pdf#page=2","Abrir facsímil")</f>
        <v>Abrir facsímil</v>
      </c>
      <c r="K1719" s="15" t="s">
        <v>23</v>
      </c>
    </row>
    <row r="1720" spans="1:11" ht="42" customHeight="1">
      <c r="A1720" s="4" t="s">
        <v>4207</v>
      </c>
      <c r="B1720" s="5" t="s">
        <v>4208</v>
      </c>
      <c r="C1720" s="5" t="s">
        <v>18</v>
      </c>
      <c r="D1720" s="5" t="s">
        <v>19</v>
      </c>
      <c r="E1720" s="5" t="s">
        <v>567</v>
      </c>
      <c r="F1720" s="9">
        <v>3</v>
      </c>
      <c r="G1720" s="9">
        <v>27</v>
      </c>
      <c r="H1720" s="5" t="s">
        <v>21</v>
      </c>
      <c r="I1720" s="5" t="s">
        <v>4209</v>
      </c>
      <c r="J1720" s="12" t="str">
        <f>HYPERLINK("https://www.boe.es/gazeta/dias/1800/01/10/pdfs/GMD-1800-3.pdf#page=7","Abrir facsímil")</f>
        <v>Abrir facsímil</v>
      </c>
      <c r="K1720" s="15" t="s">
        <v>23</v>
      </c>
    </row>
    <row r="1721" spans="1:11" ht="42" customHeight="1">
      <c r="A1721" s="4" t="s">
        <v>4210</v>
      </c>
      <c r="B1721" s="5" t="s">
        <v>4211</v>
      </c>
      <c r="C1721" s="5" t="s">
        <v>25</v>
      </c>
      <c r="D1721" s="5" t="s">
        <v>26</v>
      </c>
      <c r="E1721" s="5" t="s">
        <v>45</v>
      </c>
      <c r="F1721" s="9">
        <v>47</v>
      </c>
      <c r="G1721" s="9">
        <v>502</v>
      </c>
      <c r="H1721" s="5" t="s">
        <v>21</v>
      </c>
      <c r="I1721" s="5" t="s">
        <v>4212</v>
      </c>
      <c r="J1721" s="12" t="str">
        <f>HYPERLINK("https://www.boe.es/gazeta/dias/1800/06/13/pdfs/GMD-1800-47.pdf#page=10","Abrir facsímil")</f>
        <v>Abrir facsímil</v>
      </c>
      <c r="K1721" s="15" t="s">
        <v>23</v>
      </c>
    </row>
    <row r="1722" spans="1:11" ht="42" customHeight="1">
      <c r="A1722" s="4" t="s">
        <v>4213</v>
      </c>
      <c r="B1722" s="5" t="s">
        <v>4214</v>
      </c>
      <c r="C1722" s="5" t="s">
        <v>207</v>
      </c>
      <c r="D1722" s="5" t="s">
        <v>55</v>
      </c>
      <c r="E1722" s="5" t="s">
        <v>306</v>
      </c>
      <c r="F1722" s="9">
        <v>79</v>
      </c>
      <c r="G1722" s="9">
        <v>899</v>
      </c>
      <c r="H1722" s="5" t="s">
        <v>21</v>
      </c>
      <c r="I1722" s="5" t="s">
        <v>4215</v>
      </c>
      <c r="J1722" s="12" t="str">
        <f>HYPERLINK("https://www.boe.es/gazeta/dias/1800/09/30/pdfs/GMD-1800-79.pdf#page=9","Abrir facsímil")</f>
        <v>Abrir facsímil</v>
      </c>
      <c r="K1722" s="15" t="s">
        <v>23</v>
      </c>
    </row>
    <row r="1723" spans="1:11" ht="42" customHeight="1">
      <c r="A1723" s="4" t="s">
        <v>4216</v>
      </c>
      <c r="B1723" s="5" t="s">
        <v>4217</v>
      </c>
      <c r="C1723" s="5" t="s">
        <v>25</v>
      </c>
      <c r="D1723" s="5" t="s">
        <v>26</v>
      </c>
      <c r="E1723" s="5" t="s">
        <v>43</v>
      </c>
      <c r="F1723" s="9">
        <v>46</v>
      </c>
      <c r="G1723" s="9">
        <v>487</v>
      </c>
      <c r="H1723" s="5" t="s">
        <v>21</v>
      </c>
      <c r="I1723" s="5" t="s">
        <v>4218</v>
      </c>
      <c r="J1723" s="12" t="str">
        <f>HYPERLINK("https://www.boe.es/gazeta/dias/1800/06/10/pdfs/GMD-1800-46.pdf#page=11","Abrir facsímil")</f>
        <v>Abrir facsímil</v>
      </c>
      <c r="K1723" s="15" t="s">
        <v>23</v>
      </c>
    </row>
    <row r="1724" spans="1:11" ht="42" customHeight="1">
      <c r="A1724" s="4" t="s">
        <v>4219</v>
      </c>
      <c r="B1724" s="5" t="s">
        <v>4220</v>
      </c>
      <c r="C1724" s="5" t="s">
        <v>25</v>
      </c>
      <c r="D1724" s="5" t="s">
        <v>26</v>
      </c>
      <c r="E1724" s="5" t="s">
        <v>139</v>
      </c>
      <c r="F1724" s="9">
        <v>2</v>
      </c>
      <c r="G1724" s="9">
        <v>17</v>
      </c>
      <c r="H1724" s="5" t="s">
        <v>21</v>
      </c>
      <c r="I1724" s="5" t="s">
        <v>4221</v>
      </c>
      <c r="J1724" s="12" t="str">
        <f>HYPERLINK("https://www.boe.es/gazeta/dias/1800/01/07/pdfs/GMD-1800-2.pdf#page=9","Abrir facsímil")</f>
        <v>Abrir facsímil</v>
      </c>
      <c r="K1724" s="15" t="s">
        <v>23</v>
      </c>
    </row>
    <row r="1725" spans="1:11" ht="42" customHeight="1">
      <c r="A1725" s="4" t="s">
        <v>4222</v>
      </c>
      <c r="B1725" s="5" t="s">
        <v>4223</v>
      </c>
      <c r="C1725" s="5" t="s">
        <v>207</v>
      </c>
      <c r="D1725" s="5" t="s">
        <v>55</v>
      </c>
      <c r="E1725" s="5" t="s">
        <v>283</v>
      </c>
      <c r="F1725" s="9">
        <v>68</v>
      </c>
      <c r="G1725" s="9">
        <v>764</v>
      </c>
      <c r="H1725" s="5" t="s">
        <v>21</v>
      </c>
      <c r="I1725" s="5" t="s">
        <v>4224</v>
      </c>
      <c r="J1725" s="12" t="str">
        <f>HYPERLINK("https://www.boe.es/gazeta/dias/1800/08/26/pdfs/GMD-1800-68.pdf#page=8","Abrir facsímil")</f>
        <v>Abrir facsímil</v>
      </c>
      <c r="K1725" s="15" t="s">
        <v>23</v>
      </c>
    </row>
    <row r="1726" spans="1:11" ht="42" customHeight="1">
      <c r="A1726" s="4" t="s">
        <v>4225</v>
      </c>
      <c r="B1726" s="5" t="s">
        <v>4226</v>
      </c>
      <c r="C1726" s="5" t="s">
        <v>18</v>
      </c>
      <c r="D1726" s="5" t="s">
        <v>19</v>
      </c>
      <c r="E1726" s="5" t="s">
        <v>135</v>
      </c>
      <c r="F1726" s="9">
        <v>73</v>
      </c>
      <c r="G1726" s="9">
        <v>814</v>
      </c>
      <c r="H1726" s="5" t="s">
        <v>21</v>
      </c>
      <c r="I1726" s="5" t="s">
        <v>4227</v>
      </c>
      <c r="J1726" s="12" t="str">
        <f>HYPERLINK("https://www.boe.es/gazeta/dias/1800/09/09/pdfs/GMD-1800-73.pdf#page=8","Abrir facsímil")</f>
        <v>Abrir facsímil</v>
      </c>
      <c r="K1726" s="15" t="s">
        <v>23</v>
      </c>
    </row>
    <row r="1727" spans="1:11" ht="42" customHeight="1">
      <c r="A1727" s="4" t="s">
        <v>4228</v>
      </c>
      <c r="B1727" s="5" t="s">
        <v>4229</v>
      </c>
      <c r="C1727" s="5" t="s">
        <v>54</v>
      </c>
      <c r="D1727" s="5" t="s">
        <v>55</v>
      </c>
      <c r="E1727" s="5" t="s">
        <v>1287</v>
      </c>
      <c r="F1727" s="9">
        <v>57</v>
      </c>
      <c r="G1727" s="9">
        <v>638</v>
      </c>
      <c r="H1727" s="5" t="s">
        <v>21</v>
      </c>
      <c r="I1727" s="5" t="s">
        <v>4230</v>
      </c>
      <c r="J1727" s="12" t="str">
        <f>HYPERLINK("https://www.boe.es/gazeta/dias/1800/07/18/pdfs/GMD-1800-57.pdf#page=2","Abrir facsímil")</f>
        <v>Abrir facsímil</v>
      </c>
      <c r="K1727" s="15" t="s">
        <v>23</v>
      </c>
    </row>
    <row r="1728" spans="1:11" ht="42" customHeight="1">
      <c r="A1728" s="4" t="s">
        <v>4231</v>
      </c>
      <c r="B1728" s="5" t="s">
        <v>4232</v>
      </c>
      <c r="C1728" s="5" t="s">
        <v>41</v>
      </c>
      <c r="D1728" s="5" t="s">
        <v>42</v>
      </c>
      <c r="E1728" s="5" t="s">
        <v>454</v>
      </c>
      <c r="F1728" s="9">
        <v>63</v>
      </c>
      <c r="G1728" s="9">
        <v>714</v>
      </c>
      <c r="H1728" s="5" t="s">
        <v>21</v>
      </c>
      <c r="I1728" s="5" t="s">
        <v>4233</v>
      </c>
      <c r="J1728" s="12" t="str">
        <f>HYPERLINK("https://www.boe.es/gazeta/dias/1800/08/08/pdfs/GMD-1800-63.pdf#page=2","Abrir facsímil")</f>
        <v>Abrir facsímil</v>
      </c>
      <c r="K1728" s="15" t="s">
        <v>23</v>
      </c>
    </row>
    <row r="1729" spans="1:11" ht="42" customHeight="1">
      <c r="A1729" s="4" t="s">
        <v>4234</v>
      </c>
      <c r="B1729" s="5" t="s">
        <v>4235</v>
      </c>
      <c r="C1729" s="5" t="s">
        <v>41</v>
      </c>
      <c r="D1729" s="5" t="s">
        <v>42</v>
      </c>
      <c r="E1729" s="5" t="s">
        <v>48</v>
      </c>
      <c r="F1729" s="9">
        <v>66</v>
      </c>
      <c r="G1729" s="9">
        <v>737</v>
      </c>
      <c r="H1729" s="5" t="s">
        <v>21</v>
      </c>
      <c r="I1729" s="5" t="s">
        <v>4236</v>
      </c>
      <c r="J1729" s="12" t="str">
        <f>HYPERLINK("https://www.boe.es/gazeta/dias/1800/08/19/pdfs/GMD-1800-66.pdf#page=1","Abrir facsímil")</f>
        <v>Abrir facsímil</v>
      </c>
      <c r="K1729" s="15" t="s">
        <v>23</v>
      </c>
    </row>
    <row r="1730" spans="1:11" ht="42" customHeight="1">
      <c r="A1730" s="4" t="s">
        <v>4237</v>
      </c>
      <c r="B1730" s="5" t="s">
        <v>4238</v>
      </c>
      <c r="C1730" s="5" t="s">
        <v>207</v>
      </c>
      <c r="D1730" s="5" t="s">
        <v>55</v>
      </c>
      <c r="E1730" s="5" t="s">
        <v>31</v>
      </c>
      <c r="F1730" s="9">
        <v>20</v>
      </c>
      <c r="G1730" s="9">
        <v>191</v>
      </c>
      <c r="H1730" s="5" t="s">
        <v>21</v>
      </c>
      <c r="I1730" s="5" t="s">
        <v>4239</v>
      </c>
      <c r="J1730" s="12" t="str">
        <f>HYPERLINK("https://www.boe.es/gazeta/dias/1800/03/11/pdfs/GMD-1800-20.pdf#page=7","Abrir facsímil")</f>
        <v>Abrir facsímil</v>
      </c>
      <c r="K1730" s="15" t="s">
        <v>23</v>
      </c>
    </row>
    <row r="1731" spans="1:11" ht="42" customHeight="1">
      <c r="A1731" s="4" t="s">
        <v>4240</v>
      </c>
      <c r="B1731" s="5" t="s">
        <v>4241</v>
      </c>
      <c r="C1731" s="5" t="s">
        <v>25</v>
      </c>
      <c r="D1731" s="5" t="s">
        <v>26</v>
      </c>
      <c r="E1731" s="5" t="s">
        <v>190</v>
      </c>
      <c r="F1731" s="9">
        <v>93</v>
      </c>
      <c r="G1731" s="9">
        <v>1068</v>
      </c>
      <c r="H1731" s="5" t="s">
        <v>21</v>
      </c>
      <c r="I1731" s="5" t="s">
        <v>4242</v>
      </c>
      <c r="J1731" s="12" t="str">
        <f>HYPERLINK("https://www.boe.es/gazeta/dias/1800/11/18/pdfs/GMD-1800-93.pdf#page=14","Abrir facsímil")</f>
        <v>Abrir facsímil</v>
      </c>
      <c r="K1731" s="15" t="s">
        <v>23</v>
      </c>
    </row>
    <row r="1732" spans="1:11" ht="42" customHeight="1">
      <c r="A1732" s="4" t="s">
        <v>4243</v>
      </c>
      <c r="B1732" s="5" t="s">
        <v>4244</v>
      </c>
      <c r="C1732" s="5" t="s">
        <v>18</v>
      </c>
      <c r="D1732" s="5" t="s">
        <v>19</v>
      </c>
      <c r="E1732" s="5" t="s">
        <v>139</v>
      </c>
      <c r="F1732" s="9">
        <v>2</v>
      </c>
      <c r="G1732" s="9">
        <v>17</v>
      </c>
      <c r="H1732" s="5" t="s">
        <v>21</v>
      </c>
      <c r="I1732" s="5" t="s">
        <v>4245</v>
      </c>
      <c r="J1732" s="12" t="str">
        <f>HYPERLINK("https://www.boe.es/gazeta/dias/1800/01/07/pdfs/GMD-1800-2.pdf#page=9","Abrir facsímil")</f>
        <v>Abrir facsímil</v>
      </c>
      <c r="K1732" s="15" t="s">
        <v>23</v>
      </c>
    </row>
    <row r="1733" spans="1:11" ht="42" customHeight="1">
      <c r="A1733" s="4" t="s">
        <v>4246</v>
      </c>
      <c r="B1733" s="5" t="s">
        <v>4247</v>
      </c>
      <c r="C1733" s="5" t="s">
        <v>18</v>
      </c>
      <c r="D1733" s="5" t="s">
        <v>19</v>
      </c>
      <c r="E1733" s="5" t="s">
        <v>314</v>
      </c>
      <c r="F1733" s="9">
        <v>74</v>
      </c>
      <c r="G1733" s="9">
        <v>832</v>
      </c>
      <c r="H1733" s="5" t="s">
        <v>21</v>
      </c>
      <c r="I1733" s="5" t="s">
        <v>4248</v>
      </c>
      <c r="J1733" s="12" t="str">
        <f>HYPERLINK("https://www.boe.es/gazeta/dias/1800/09/12/pdfs/GMD-1800-74.pdf#page=10","Abrir facsímil")</f>
        <v>Abrir facsímil</v>
      </c>
      <c r="K1733" s="15" t="s">
        <v>23</v>
      </c>
    </row>
    <row r="1734" spans="1:11" ht="42" customHeight="1">
      <c r="A1734" s="4" t="s">
        <v>4249</v>
      </c>
      <c r="B1734" s="5" t="s">
        <v>4250</v>
      </c>
      <c r="C1734" s="5" t="s">
        <v>25</v>
      </c>
      <c r="D1734" s="5" t="s">
        <v>26</v>
      </c>
      <c r="E1734" s="5" t="s">
        <v>572</v>
      </c>
      <c r="F1734" s="9">
        <v>76</v>
      </c>
      <c r="G1734" s="9">
        <v>869</v>
      </c>
      <c r="H1734" s="5" t="s">
        <v>21</v>
      </c>
      <c r="I1734" s="5" t="s">
        <v>4251</v>
      </c>
      <c r="J1734" s="12" t="str">
        <f>HYPERLINK("https://www.boe.es/gazeta/dias/1800/09/19/pdfs/GMD-1800-76.pdf#page=11","Abrir facsímil")</f>
        <v>Abrir facsímil</v>
      </c>
      <c r="K1734" s="15" t="s">
        <v>23</v>
      </c>
    </row>
    <row r="1735" spans="1:11" ht="42" customHeight="1">
      <c r="A1735" s="4" t="s">
        <v>4252</v>
      </c>
      <c r="B1735" s="5" t="s">
        <v>4253</v>
      </c>
      <c r="C1735" s="5" t="s">
        <v>84</v>
      </c>
      <c r="D1735" s="5" t="s">
        <v>85</v>
      </c>
      <c r="E1735" s="5" t="s">
        <v>203</v>
      </c>
      <c r="F1735" s="9">
        <v>94</v>
      </c>
      <c r="G1735" s="9">
        <v>1082</v>
      </c>
      <c r="H1735" s="5" t="s">
        <v>21</v>
      </c>
      <c r="I1735" s="5" t="s">
        <v>4254</v>
      </c>
      <c r="J1735" s="12" t="str">
        <f>HYPERLINK("https://www.boe.es/gazeta/dias/1800/11/21/pdfs/GMD-1800-94.pdf#page=12","Abrir facsímil")</f>
        <v>Abrir facsímil</v>
      </c>
      <c r="K1735" s="15" t="s">
        <v>23</v>
      </c>
    </row>
    <row r="1736" spans="1:11" ht="42" customHeight="1">
      <c r="A1736" s="4" t="s">
        <v>4255</v>
      </c>
      <c r="B1736" s="5" t="s">
        <v>4256</v>
      </c>
      <c r="C1736" s="5" t="s">
        <v>25</v>
      </c>
      <c r="D1736" s="5" t="s">
        <v>26</v>
      </c>
      <c r="E1736" s="5" t="s">
        <v>275</v>
      </c>
      <c r="F1736" s="9">
        <v>60</v>
      </c>
      <c r="G1736" s="9">
        <v>688</v>
      </c>
      <c r="H1736" s="5" t="s">
        <v>21</v>
      </c>
      <c r="I1736" s="5" t="s">
        <v>4257</v>
      </c>
      <c r="J1736" s="12" t="str">
        <f>HYPERLINK("https://www.boe.es/gazeta/dias/1800/07/29/pdfs/GMD-1800-60.pdf#page=8","Abrir facsímil")</f>
        <v>Abrir facsímil</v>
      </c>
      <c r="K1736" s="15" t="s">
        <v>23</v>
      </c>
    </row>
    <row r="1737" spans="1:11" ht="42" customHeight="1">
      <c r="A1737" s="4" t="s">
        <v>4258</v>
      </c>
      <c r="B1737" s="5" t="s">
        <v>4259</v>
      </c>
      <c r="C1737" s="5" t="s">
        <v>54</v>
      </c>
      <c r="D1737" s="5" t="s">
        <v>55</v>
      </c>
      <c r="E1737" s="5" t="s">
        <v>410</v>
      </c>
      <c r="F1737" s="9">
        <v>87</v>
      </c>
      <c r="G1737" s="9">
        <v>1010</v>
      </c>
      <c r="H1737" s="5" t="s">
        <v>21</v>
      </c>
      <c r="I1737" s="5" t="s">
        <v>4260</v>
      </c>
      <c r="J1737" s="12" t="str">
        <f>HYPERLINK("https://www.boe.es/gazeta/dias/1800/10/28/pdfs/GMD-1800-87.pdf#page=8","Abrir facsímil")</f>
        <v>Abrir facsímil</v>
      </c>
      <c r="K1737" s="15" t="s">
        <v>23</v>
      </c>
    </row>
    <row r="1738" spans="1:11" ht="42" customHeight="1">
      <c r="A1738" s="4" t="s">
        <v>4261</v>
      </c>
      <c r="B1738" s="5" t="s">
        <v>4262</v>
      </c>
      <c r="C1738" s="5" t="s">
        <v>18</v>
      </c>
      <c r="D1738" s="5" t="s">
        <v>19</v>
      </c>
      <c r="E1738" s="5" t="s">
        <v>299</v>
      </c>
      <c r="F1738" s="9">
        <v>40</v>
      </c>
      <c r="G1738" s="9">
        <v>412</v>
      </c>
      <c r="H1738" s="5" t="s">
        <v>21</v>
      </c>
      <c r="I1738" s="5" t="s">
        <v>4263</v>
      </c>
      <c r="J1738" s="12" t="str">
        <f>HYPERLINK("https://www.boe.es/gazeta/dias/1800/05/20/pdfs/GMD-1800-40.pdf#page=8","Abrir facsímil")</f>
        <v>Abrir facsímil</v>
      </c>
      <c r="K1738" s="15" t="s">
        <v>23</v>
      </c>
    </row>
    <row r="1739" spans="1:11" ht="42" customHeight="1">
      <c r="A1739" s="4" t="s">
        <v>4264</v>
      </c>
      <c r="B1739" s="5" t="s">
        <v>4265</v>
      </c>
      <c r="C1739" s="5" t="s">
        <v>25</v>
      </c>
      <c r="D1739" s="5" t="s">
        <v>26</v>
      </c>
      <c r="E1739" s="5" t="s">
        <v>283</v>
      </c>
      <c r="F1739" s="9">
        <v>68</v>
      </c>
      <c r="G1739" s="9">
        <v>765</v>
      </c>
      <c r="H1739" s="5" t="s">
        <v>21</v>
      </c>
      <c r="I1739" s="5" t="s">
        <v>4266</v>
      </c>
      <c r="J1739" s="12" t="str">
        <f>HYPERLINK("https://www.boe.es/gazeta/dias/1800/08/26/pdfs/GMD-1800-68.pdf#page=9","Abrir facsímil")</f>
        <v>Abrir facsímil</v>
      </c>
      <c r="K1739" s="15" t="s">
        <v>23</v>
      </c>
    </row>
    <row r="1740" spans="1:11" ht="42" customHeight="1">
      <c r="A1740" s="4" t="s">
        <v>4267</v>
      </c>
      <c r="B1740" s="5" t="s">
        <v>4268</v>
      </c>
      <c r="C1740" s="5" t="s">
        <v>84</v>
      </c>
      <c r="D1740" s="5" t="s">
        <v>85</v>
      </c>
      <c r="E1740" s="5" t="s">
        <v>143</v>
      </c>
      <c r="F1740" s="9">
        <v>22</v>
      </c>
      <c r="G1740" s="9">
        <v>222</v>
      </c>
      <c r="H1740" s="5" t="s">
        <v>21</v>
      </c>
      <c r="I1740" s="5" t="s">
        <v>4269</v>
      </c>
      <c r="J1740" s="12" t="str">
        <f>HYPERLINK("https://www.boe.es/gazeta/dias/1800/03/18/pdfs/GMD-1800-22.pdf#page=14","Abrir facsímil")</f>
        <v>Abrir facsímil</v>
      </c>
      <c r="K1740" s="15" t="s">
        <v>23</v>
      </c>
    </row>
    <row r="1741" spans="1:11" ht="42" customHeight="1">
      <c r="A1741" s="4" t="s">
        <v>4270</v>
      </c>
      <c r="B1741" s="5" t="s">
        <v>4271</v>
      </c>
      <c r="C1741" s="5" t="s">
        <v>25</v>
      </c>
      <c r="D1741" s="5" t="s">
        <v>26</v>
      </c>
      <c r="E1741" s="5" t="s">
        <v>139</v>
      </c>
      <c r="F1741" s="9">
        <v>2</v>
      </c>
      <c r="G1741" s="9">
        <v>17</v>
      </c>
      <c r="H1741" s="5" t="s">
        <v>21</v>
      </c>
      <c r="I1741" s="5" t="s">
        <v>4272</v>
      </c>
      <c r="J1741" s="12" t="str">
        <f>HYPERLINK("https://www.boe.es/gazeta/dias/1800/01/07/pdfs/GMD-1800-2.pdf#page=9","Abrir facsímil")</f>
        <v>Abrir facsímil</v>
      </c>
      <c r="K1741" s="15" t="s">
        <v>23</v>
      </c>
    </row>
    <row r="1742" spans="1:11" ht="42" customHeight="1">
      <c r="A1742" s="4" t="s">
        <v>4273</v>
      </c>
      <c r="B1742" s="5" t="s">
        <v>4274</v>
      </c>
      <c r="C1742" s="5" t="s">
        <v>18</v>
      </c>
      <c r="D1742" s="5" t="s">
        <v>19</v>
      </c>
      <c r="E1742" s="5" t="s">
        <v>90</v>
      </c>
      <c r="F1742" s="9">
        <v>58</v>
      </c>
      <c r="G1742" s="9">
        <v>663</v>
      </c>
      <c r="H1742" s="5" t="s">
        <v>21</v>
      </c>
      <c r="I1742" s="5" t="s">
        <v>4275</v>
      </c>
      <c r="J1742" s="12" t="str">
        <f>HYPERLINK("https://www.boe.es/gazeta/dias/1800/07/22/pdfs/GMD-1800-58.pdf#page=11","Abrir facsímil")</f>
        <v>Abrir facsímil</v>
      </c>
      <c r="K1742" s="15" t="s">
        <v>23</v>
      </c>
    </row>
    <row r="1743" spans="1:11" ht="42" customHeight="1">
      <c r="A1743" s="4" t="s">
        <v>4276</v>
      </c>
      <c r="B1743" s="5" t="s">
        <v>4277</v>
      </c>
      <c r="C1743" s="5" t="s">
        <v>18</v>
      </c>
      <c r="D1743" s="5" t="s">
        <v>19</v>
      </c>
      <c r="E1743" s="5" t="s">
        <v>45</v>
      </c>
      <c r="F1743" s="9">
        <v>47</v>
      </c>
      <c r="G1743" s="9">
        <v>503</v>
      </c>
      <c r="H1743" s="5" t="s">
        <v>21</v>
      </c>
      <c r="I1743" s="5" t="s">
        <v>4278</v>
      </c>
      <c r="J1743" s="12" t="str">
        <f>HYPERLINK("https://www.boe.es/gazeta/dias/1800/06/13/pdfs/GMD-1800-47.pdf#page=11","Abrir facsímil")</f>
        <v>Abrir facsímil</v>
      </c>
      <c r="K1743" s="15" t="s">
        <v>23</v>
      </c>
    </row>
    <row r="1744" spans="1:11" ht="42" customHeight="1">
      <c r="A1744" s="4" t="s">
        <v>4279</v>
      </c>
      <c r="B1744" s="5" t="s">
        <v>4280</v>
      </c>
      <c r="C1744" s="5" t="s">
        <v>1035</v>
      </c>
      <c r="D1744" s="5" t="s">
        <v>1036</v>
      </c>
      <c r="E1744" s="5" t="s">
        <v>50</v>
      </c>
      <c r="F1744" s="9">
        <v>81</v>
      </c>
      <c r="G1744" s="9">
        <v>942</v>
      </c>
      <c r="H1744" s="5" t="s">
        <v>21</v>
      </c>
      <c r="I1744" s="5" t="s">
        <v>4281</v>
      </c>
      <c r="J1744" s="12" t="str">
        <f>HYPERLINK("https://www.boe.es/gazeta/dias/1800/10/07/pdfs/GMD-C-1800-81.pdf#page=24","Abrir facsímil")</f>
        <v>Abrir facsímil</v>
      </c>
      <c r="K1744" s="15" t="s">
        <v>23</v>
      </c>
    </row>
    <row r="1745" spans="1:11" ht="42" customHeight="1">
      <c r="A1745" s="4" t="s">
        <v>4282</v>
      </c>
      <c r="B1745" s="5" t="s">
        <v>4283</v>
      </c>
      <c r="C1745" s="5" t="s">
        <v>18</v>
      </c>
      <c r="D1745" s="5" t="s">
        <v>19</v>
      </c>
      <c r="E1745" s="5" t="s">
        <v>262</v>
      </c>
      <c r="F1745" s="9">
        <v>39</v>
      </c>
      <c r="G1745" s="9">
        <v>402</v>
      </c>
      <c r="H1745" s="5" t="s">
        <v>21</v>
      </c>
      <c r="I1745" s="5" t="s">
        <v>4284</v>
      </c>
      <c r="J1745" s="12" t="str">
        <f>HYPERLINK("https://www.boe.es/gazeta/dias/1800/05/16/pdfs/GMD-1800-39.pdf#page=10","Abrir facsímil")</f>
        <v>Abrir facsímil</v>
      </c>
      <c r="K1745" s="15" t="s">
        <v>23</v>
      </c>
    </row>
    <row r="1746" spans="1:11" ht="42" customHeight="1">
      <c r="A1746" s="4" t="s">
        <v>4285</v>
      </c>
      <c r="B1746" s="5" t="s">
        <v>4286</v>
      </c>
      <c r="C1746" s="5" t="s">
        <v>18</v>
      </c>
      <c r="D1746" s="5" t="s">
        <v>19</v>
      </c>
      <c r="E1746" s="5" t="s">
        <v>203</v>
      </c>
      <c r="F1746" s="9">
        <v>94</v>
      </c>
      <c r="G1746" s="9">
        <v>1077</v>
      </c>
      <c r="H1746" s="5" t="s">
        <v>21</v>
      </c>
      <c r="I1746" s="5" t="s">
        <v>4287</v>
      </c>
      <c r="J1746" s="12" t="str">
        <f>HYPERLINK("https://www.boe.es/gazeta/dias/1800/11/21/pdfs/GMD-1800-94.pdf#page=7","Abrir facsímil")</f>
        <v>Abrir facsímil</v>
      </c>
      <c r="K1746" s="15" t="s">
        <v>23</v>
      </c>
    </row>
    <row r="1747" spans="1:11" ht="42" customHeight="1">
      <c r="A1747" s="4" t="s">
        <v>4288</v>
      </c>
      <c r="B1747" s="5" t="s">
        <v>4289</v>
      </c>
      <c r="C1747" s="5" t="s">
        <v>25</v>
      </c>
      <c r="D1747" s="5" t="s">
        <v>26</v>
      </c>
      <c r="E1747" s="5" t="s">
        <v>283</v>
      </c>
      <c r="F1747" s="9">
        <v>68</v>
      </c>
      <c r="G1747" s="9">
        <v>765</v>
      </c>
      <c r="H1747" s="5" t="s">
        <v>21</v>
      </c>
      <c r="I1747" s="5" t="s">
        <v>4290</v>
      </c>
      <c r="J1747" s="12" t="str">
        <f>HYPERLINK("https://www.boe.es/gazeta/dias/1800/08/26/pdfs/GMD-1800-68.pdf#page=9","Abrir facsímil")</f>
        <v>Abrir facsímil</v>
      </c>
      <c r="K1747" s="15" t="s">
        <v>23</v>
      </c>
    </row>
    <row r="1748" spans="1:11" ht="42" customHeight="1">
      <c r="A1748" s="4" t="s">
        <v>4288</v>
      </c>
      <c r="B1748" s="5" t="s">
        <v>4289</v>
      </c>
      <c r="C1748" s="5" t="s">
        <v>207</v>
      </c>
      <c r="D1748" s="5" t="s">
        <v>55</v>
      </c>
      <c r="E1748" s="5" t="s">
        <v>445</v>
      </c>
      <c r="F1748" s="9">
        <v>96</v>
      </c>
      <c r="G1748" s="9">
        <v>1105</v>
      </c>
      <c r="H1748" s="5" t="s">
        <v>21</v>
      </c>
      <c r="I1748" s="5" t="s">
        <v>4291</v>
      </c>
      <c r="J1748" s="12" t="str">
        <f>HYPERLINK("https://www.boe.es/gazeta/dias/1800/11/28/pdfs/GMD-1800-96.pdf#page=9","Abrir facsímil")</f>
        <v>Abrir facsímil</v>
      </c>
      <c r="K1748" s="15" t="s">
        <v>23</v>
      </c>
    </row>
    <row r="1749" spans="1:11" ht="42" customHeight="1">
      <c r="A1749" s="4" t="s">
        <v>4292</v>
      </c>
      <c r="B1749" s="5" t="s">
        <v>4293</v>
      </c>
      <c r="C1749" s="5" t="s">
        <v>18</v>
      </c>
      <c r="D1749" s="5" t="s">
        <v>19</v>
      </c>
      <c r="E1749" s="5" t="s">
        <v>1294</v>
      </c>
      <c r="F1749" s="9">
        <v>59</v>
      </c>
      <c r="G1749" s="9">
        <v>678</v>
      </c>
      <c r="H1749" s="5" t="s">
        <v>21</v>
      </c>
      <c r="I1749" s="5" t="s">
        <v>4294</v>
      </c>
      <c r="J1749" s="12" t="str">
        <f>HYPERLINK("https://www.boe.es/gazeta/dias/1800/07/25/pdfs/GMD-1800-59.pdf#page=10","Abrir facsímil")</f>
        <v>Abrir facsímil</v>
      </c>
      <c r="K1749" s="15" t="s">
        <v>23</v>
      </c>
    </row>
    <row r="1750" spans="1:11" ht="42" customHeight="1">
      <c r="A1750" s="4" t="s">
        <v>4295</v>
      </c>
      <c r="B1750" s="5" t="s">
        <v>4296</v>
      </c>
      <c r="C1750" s="5" t="s">
        <v>18</v>
      </c>
      <c r="D1750" s="5" t="s">
        <v>19</v>
      </c>
      <c r="E1750" s="5" t="s">
        <v>52</v>
      </c>
      <c r="F1750" s="9">
        <v>83</v>
      </c>
      <c r="G1750" s="9">
        <v>963</v>
      </c>
      <c r="H1750" s="5" t="s">
        <v>21</v>
      </c>
      <c r="I1750" s="5" t="s">
        <v>4297</v>
      </c>
      <c r="J1750" s="12" t="str">
        <f>HYPERLINK("https://www.boe.es/gazeta/dias/1800/10/14/pdfs/GMD-1800-83.pdf#page=9","Abrir facsímil")</f>
        <v>Abrir facsímil</v>
      </c>
      <c r="K1750" s="15" t="s">
        <v>23</v>
      </c>
    </row>
    <row r="1751" spans="1:11" ht="42" customHeight="1">
      <c r="A1751" s="4" t="s">
        <v>4298</v>
      </c>
      <c r="B1751" s="5" t="s">
        <v>4299</v>
      </c>
      <c r="C1751" s="5" t="s">
        <v>18</v>
      </c>
      <c r="D1751" s="5" t="s">
        <v>19</v>
      </c>
      <c r="E1751" s="5" t="s">
        <v>319</v>
      </c>
      <c r="F1751" s="9">
        <v>62</v>
      </c>
      <c r="G1751" s="9">
        <v>711</v>
      </c>
      <c r="H1751" s="5" t="s">
        <v>21</v>
      </c>
      <c r="I1751" s="5" t="s">
        <v>4300</v>
      </c>
      <c r="J1751" s="12" t="str">
        <f>HYPERLINK("https://www.boe.es/gazeta/dias/1800/08/05/pdfs/GMD-1800-62.pdf#page=11","Abrir facsímil")</f>
        <v>Abrir facsímil</v>
      </c>
      <c r="K1751" s="15" t="s">
        <v>23</v>
      </c>
    </row>
    <row r="1752" spans="1:11" ht="42" customHeight="1">
      <c r="A1752" s="4" t="s">
        <v>4301</v>
      </c>
      <c r="B1752" s="5" t="s">
        <v>4302</v>
      </c>
      <c r="C1752" s="5" t="s">
        <v>18</v>
      </c>
      <c r="D1752" s="5" t="s">
        <v>19</v>
      </c>
      <c r="E1752" s="5" t="s">
        <v>618</v>
      </c>
      <c r="F1752" s="9">
        <v>1</v>
      </c>
      <c r="G1752" s="9">
        <v>6</v>
      </c>
      <c r="H1752" s="5" t="s">
        <v>21</v>
      </c>
      <c r="I1752" s="5" t="s">
        <v>4303</v>
      </c>
      <c r="J1752" s="12" t="str">
        <f>HYPERLINK("https://www.boe.es/gazeta/dias/1800/01/03/pdfs/GMD-1800-1.pdf#page=6","Abrir facsímil")</f>
        <v>Abrir facsímil</v>
      </c>
      <c r="K1752" s="15" t="s">
        <v>23</v>
      </c>
    </row>
    <row r="1753" spans="1:11" ht="42" customHeight="1">
      <c r="A1753" s="4" t="s">
        <v>4304</v>
      </c>
      <c r="B1753" s="5" t="s">
        <v>4305</v>
      </c>
      <c r="C1753" s="5" t="s">
        <v>18</v>
      </c>
      <c r="D1753" s="5" t="s">
        <v>19</v>
      </c>
      <c r="E1753" s="5" t="s">
        <v>116</v>
      </c>
      <c r="F1753" s="9">
        <v>86</v>
      </c>
      <c r="G1753" s="9">
        <v>997</v>
      </c>
      <c r="H1753" s="5" t="s">
        <v>21</v>
      </c>
      <c r="I1753" s="5" t="s">
        <v>4306</v>
      </c>
      <c r="J1753" s="12" t="str">
        <f>HYPERLINK("https://www.boe.es/gazeta/dias/1800/10/24/pdfs/GMD-1800-86.pdf#page=7","Abrir facsímil")</f>
        <v>Abrir facsímil</v>
      </c>
      <c r="K1753" s="15" t="s">
        <v>23</v>
      </c>
    </row>
    <row r="1754" spans="1:11" ht="42" customHeight="1">
      <c r="A1754" s="4" t="s">
        <v>4307</v>
      </c>
      <c r="B1754" s="5" t="s">
        <v>4308</v>
      </c>
      <c r="C1754" s="5" t="s">
        <v>25</v>
      </c>
      <c r="D1754" s="5" t="s">
        <v>26</v>
      </c>
      <c r="E1754" s="5" t="s">
        <v>101</v>
      </c>
      <c r="F1754" s="9">
        <v>37</v>
      </c>
      <c r="G1754" s="9">
        <v>377</v>
      </c>
      <c r="H1754" s="5" t="s">
        <v>21</v>
      </c>
      <c r="I1754" s="5" t="s">
        <v>4309</v>
      </c>
      <c r="J1754" s="12" t="str">
        <f>HYPERLINK("https://www.boe.es/gazeta/dias/1800/05/09/pdfs/GMD-1800-37.pdf#page=9","Abrir facsímil")</f>
        <v>Abrir facsímil</v>
      </c>
      <c r="K1754" s="15" t="s">
        <v>23</v>
      </c>
    </row>
    <row r="1755" spans="1:11" ht="42" customHeight="1">
      <c r="A1755" s="4" t="s">
        <v>4310</v>
      </c>
      <c r="B1755" s="5" t="s">
        <v>4311</v>
      </c>
      <c r="C1755" s="5" t="s">
        <v>18</v>
      </c>
      <c r="D1755" s="5" t="s">
        <v>19</v>
      </c>
      <c r="E1755" s="5" t="s">
        <v>68</v>
      </c>
      <c r="F1755" s="9">
        <v>67</v>
      </c>
      <c r="G1755" s="9">
        <v>755</v>
      </c>
      <c r="H1755" s="5" t="s">
        <v>21</v>
      </c>
      <c r="I1755" s="5" t="s">
        <v>4312</v>
      </c>
      <c r="J1755" s="12" t="str">
        <f>HYPERLINK("https://www.boe.es/gazeta/dias/1800/08/22/pdfs/GMD-1800-67.pdf#page=7","Abrir facsímil")</f>
        <v>Abrir facsímil</v>
      </c>
      <c r="K1755" s="15" t="s">
        <v>23</v>
      </c>
    </row>
    <row r="1756" spans="1:11" ht="42" customHeight="1">
      <c r="A1756" s="4" t="s">
        <v>4313</v>
      </c>
      <c r="B1756" s="5" t="s">
        <v>4314</v>
      </c>
      <c r="C1756" s="5" t="s">
        <v>84</v>
      </c>
      <c r="D1756" s="5" t="s">
        <v>85</v>
      </c>
      <c r="E1756" s="5" t="s">
        <v>45</v>
      </c>
      <c r="F1756" s="9">
        <v>47</v>
      </c>
      <c r="G1756" s="9">
        <v>504</v>
      </c>
      <c r="H1756" s="5" t="s">
        <v>21</v>
      </c>
      <c r="I1756" s="5" t="s">
        <v>4315</v>
      </c>
      <c r="J1756" s="12" t="str">
        <f>HYPERLINK("https://www.boe.es/gazeta/dias/1800/06/13/pdfs/GMD-1800-47.pdf#page=12","Abrir facsímil")</f>
        <v>Abrir facsímil</v>
      </c>
      <c r="K1756" s="15" t="s">
        <v>23</v>
      </c>
    </row>
    <row r="1757" spans="1:11" ht="42" customHeight="1">
      <c r="A1757" s="4" t="s">
        <v>4316</v>
      </c>
      <c r="B1757" s="5" t="s">
        <v>4317</v>
      </c>
      <c r="C1757" s="5" t="s">
        <v>25</v>
      </c>
      <c r="D1757" s="5" t="s">
        <v>26</v>
      </c>
      <c r="E1757" s="5" t="s">
        <v>60</v>
      </c>
      <c r="F1757" s="9">
        <v>105</v>
      </c>
      <c r="G1757" s="9">
        <v>1226</v>
      </c>
      <c r="H1757" s="5" t="s">
        <v>21</v>
      </c>
      <c r="I1757" s="5" t="s">
        <v>4318</v>
      </c>
      <c r="J1757" s="12" t="str">
        <f>HYPERLINK("https://www.boe.es/gazeta/dias/1800/12/30/pdfs/GMD-1800-105.pdf#page=10","Abrir facsímil")</f>
        <v>Abrir facsímil</v>
      </c>
      <c r="K1757" s="15" t="s">
        <v>23</v>
      </c>
    </row>
    <row r="1758" spans="1:11" ht="42" customHeight="1">
      <c r="A1758" s="4" t="s">
        <v>4319</v>
      </c>
      <c r="B1758" s="5" t="s">
        <v>4320</v>
      </c>
      <c r="C1758" s="5" t="s">
        <v>18</v>
      </c>
      <c r="D1758" s="5" t="s">
        <v>19</v>
      </c>
      <c r="E1758" s="5" t="s">
        <v>143</v>
      </c>
      <c r="F1758" s="9">
        <v>22</v>
      </c>
      <c r="G1758" s="9">
        <v>218</v>
      </c>
      <c r="H1758" s="5" t="s">
        <v>21</v>
      </c>
      <c r="I1758" s="5" t="s">
        <v>4321</v>
      </c>
      <c r="J1758" s="12" t="str">
        <f>HYPERLINK("https://www.boe.es/gazeta/dias/1800/03/18/pdfs/GMD-1800-22.pdf#page=10","Abrir facsímil")</f>
        <v>Abrir facsímil</v>
      </c>
      <c r="K1758" s="15" t="s">
        <v>23</v>
      </c>
    </row>
    <row r="1759" spans="1:11" ht="42" customHeight="1">
      <c r="A1759" s="4" t="s">
        <v>4322</v>
      </c>
      <c r="B1759" s="5" t="s">
        <v>4323</v>
      </c>
      <c r="C1759" s="5" t="s">
        <v>18</v>
      </c>
      <c r="D1759" s="5" t="s">
        <v>19</v>
      </c>
      <c r="E1759" s="5" t="s">
        <v>194</v>
      </c>
      <c r="F1759" s="9">
        <v>48</v>
      </c>
      <c r="G1759" s="9">
        <v>518</v>
      </c>
      <c r="H1759" s="5" t="s">
        <v>21</v>
      </c>
      <c r="I1759" s="5" t="s">
        <v>4324</v>
      </c>
      <c r="J1759" s="12" t="str">
        <f>HYPERLINK("https://www.boe.es/gazeta/dias/1800/06/17/pdfs/GMD-1800-48.pdf#page=10","Abrir facsímil")</f>
        <v>Abrir facsímil</v>
      </c>
      <c r="K1759" s="15" t="s">
        <v>23</v>
      </c>
    </row>
    <row r="1760" spans="1:11" ht="42" customHeight="1">
      <c r="A1760" s="4" t="s">
        <v>4325</v>
      </c>
      <c r="B1760" s="5" t="s">
        <v>4326</v>
      </c>
      <c r="C1760" s="5" t="s">
        <v>18</v>
      </c>
      <c r="D1760" s="5" t="s">
        <v>19</v>
      </c>
      <c r="E1760" s="5" t="s">
        <v>203</v>
      </c>
      <c r="F1760" s="9">
        <v>94</v>
      </c>
      <c r="G1760" s="9">
        <v>1077</v>
      </c>
      <c r="H1760" s="5" t="s">
        <v>21</v>
      </c>
      <c r="I1760" s="5" t="s">
        <v>4327</v>
      </c>
      <c r="J1760" s="12" t="str">
        <f>HYPERLINK("https://www.boe.es/gazeta/dias/1800/11/21/pdfs/GMD-1800-94.pdf#page=7","Abrir facsímil")</f>
        <v>Abrir facsímil</v>
      </c>
      <c r="K1760" s="15" t="s">
        <v>23</v>
      </c>
    </row>
    <row r="1761" spans="1:11" ht="42" customHeight="1">
      <c r="A1761" s="4" t="s">
        <v>4328</v>
      </c>
      <c r="B1761" s="5" t="s">
        <v>4329</v>
      </c>
      <c r="C1761" s="5" t="s">
        <v>41</v>
      </c>
      <c r="D1761" s="5" t="s">
        <v>42</v>
      </c>
      <c r="E1761" s="5" t="s">
        <v>143</v>
      </c>
      <c r="F1761" s="9">
        <v>22</v>
      </c>
      <c r="G1761" s="9">
        <v>209</v>
      </c>
      <c r="H1761" s="5" t="s">
        <v>21</v>
      </c>
      <c r="I1761" s="5" t="s">
        <v>4330</v>
      </c>
      <c r="J1761" s="12" t="str">
        <f>HYPERLINK("https://www.boe.es/gazeta/dias/1800/03/18/pdfs/GMD-1800-22.pdf#page=1","Abrir facsímil")</f>
        <v>Abrir facsímil</v>
      </c>
      <c r="K1761" s="15" t="s">
        <v>23</v>
      </c>
    </row>
    <row r="1762" spans="1:11" ht="42" customHeight="1">
      <c r="A1762" s="4" t="s">
        <v>4331</v>
      </c>
      <c r="B1762" s="5" t="s">
        <v>4332</v>
      </c>
      <c r="C1762" s="5" t="s">
        <v>84</v>
      </c>
      <c r="D1762" s="5" t="s">
        <v>85</v>
      </c>
      <c r="E1762" s="5" t="s">
        <v>86</v>
      </c>
      <c r="F1762" s="9">
        <v>17</v>
      </c>
      <c r="G1762" s="9">
        <v>163</v>
      </c>
      <c r="H1762" s="5" t="s">
        <v>21</v>
      </c>
      <c r="I1762" s="5" t="s">
        <v>4333</v>
      </c>
      <c r="J1762" s="12" t="str">
        <f>HYPERLINK("https://www.boe.es/gazeta/dias/1800/02/28/pdfs/GMD-1800-17.pdf#page=11","Abrir facsímil")</f>
        <v>Abrir facsímil</v>
      </c>
      <c r="K1762" s="15" t="s">
        <v>23</v>
      </c>
    </row>
    <row r="1763" spans="1:11" ht="42" customHeight="1">
      <c r="A1763" s="4" t="s">
        <v>4334</v>
      </c>
      <c r="B1763" s="5" t="s">
        <v>4335</v>
      </c>
      <c r="C1763" s="5" t="s">
        <v>18</v>
      </c>
      <c r="D1763" s="5" t="s">
        <v>19</v>
      </c>
      <c r="E1763" s="5" t="s">
        <v>244</v>
      </c>
      <c r="F1763" s="9">
        <v>9</v>
      </c>
      <c r="G1763" s="9">
        <v>78</v>
      </c>
      <c r="H1763" s="5" t="s">
        <v>21</v>
      </c>
      <c r="I1763" s="5" t="s">
        <v>4336</v>
      </c>
      <c r="J1763" s="12" t="str">
        <f>HYPERLINK("https://www.boe.es/gazeta/dias/1800/01/31/pdfs/GMD-1800-9.pdf#page=2","Abrir facsímil")</f>
        <v>Abrir facsímil</v>
      </c>
      <c r="K1763" s="15" t="s">
        <v>23</v>
      </c>
    </row>
    <row r="1764" spans="1:11" ht="42" customHeight="1">
      <c r="A1764" s="4" t="s">
        <v>4337</v>
      </c>
      <c r="B1764" s="5" t="s">
        <v>4338</v>
      </c>
      <c r="C1764" s="5" t="s">
        <v>18</v>
      </c>
      <c r="D1764" s="5" t="s">
        <v>19</v>
      </c>
      <c r="E1764" s="5" t="s">
        <v>184</v>
      </c>
      <c r="F1764" s="9">
        <v>82</v>
      </c>
      <c r="G1764" s="9">
        <v>950</v>
      </c>
      <c r="H1764" s="5" t="s">
        <v>21</v>
      </c>
      <c r="I1764" s="5" t="s">
        <v>4339</v>
      </c>
      <c r="J1764" s="12" t="str">
        <f>HYPERLINK("https://www.boe.es/gazeta/dias/1800/10/10/pdfs/GMD-1800-82.pdf#page=8","Abrir facsímil")</f>
        <v>Abrir facsímil</v>
      </c>
      <c r="K1764" s="15" t="s">
        <v>23</v>
      </c>
    </row>
    <row r="1765" spans="1:11" ht="42" customHeight="1">
      <c r="A1765" s="4" t="s">
        <v>4340</v>
      </c>
      <c r="B1765" s="5" t="s">
        <v>4341</v>
      </c>
      <c r="C1765" s="5" t="s">
        <v>41</v>
      </c>
      <c r="D1765" s="5" t="s">
        <v>42</v>
      </c>
      <c r="E1765" s="5" t="s">
        <v>530</v>
      </c>
      <c r="F1765" s="9">
        <v>55</v>
      </c>
      <c r="G1765" s="9">
        <v>615</v>
      </c>
      <c r="H1765" s="5" t="s">
        <v>21</v>
      </c>
      <c r="I1765" s="5" t="s">
        <v>4342</v>
      </c>
      <c r="J1765" s="12" t="str">
        <f>HYPERLINK("https://www.boe.es/gazeta/dias/1800/07/11/pdfs/GMD-1800-55.pdf#page=3","Abrir facsímil")</f>
        <v>Abrir facsímil</v>
      </c>
      <c r="K1765" s="15" t="s">
        <v>23</v>
      </c>
    </row>
    <row r="1766" spans="1:11" ht="42" customHeight="1">
      <c r="A1766" s="4" t="s">
        <v>4343</v>
      </c>
      <c r="B1766" s="5" t="s">
        <v>4344</v>
      </c>
      <c r="C1766" s="5" t="s">
        <v>18</v>
      </c>
      <c r="D1766" s="5" t="s">
        <v>19</v>
      </c>
      <c r="E1766" s="5" t="s">
        <v>48</v>
      </c>
      <c r="F1766" s="9">
        <v>66</v>
      </c>
      <c r="G1766" s="9">
        <v>746</v>
      </c>
      <c r="H1766" s="5" t="s">
        <v>21</v>
      </c>
      <c r="I1766" s="5" t="s">
        <v>4345</v>
      </c>
      <c r="J1766" s="12" t="str">
        <f>HYPERLINK("https://www.boe.es/gazeta/dias/1800/08/19/pdfs/GMD-1800-66.pdf#page=10","Abrir facsímil")</f>
        <v>Abrir facsímil</v>
      </c>
      <c r="K1766" s="15" t="s">
        <v>23</v>
      </c>
    </row>
    <row r="1767" spans="1:11" ht="42" customHeight="1">
      <c r="A1767" s="4" t="s">
        <v>4346</v>
      </c>
      <c r="B1767" s="5" t="s">
        <v>4347</v>
      </c>
      <c r="C1767" s="5" t="s">
        <v>18</v>
      </c>
      <c r="D1767" s="5" t="s">
        <v>19</v>
      </c>
      <c r="E1767" s="5" t="s">
        <v>176</v>
      </c>
      <c r="F1767" s="9">
        <v>88</v>
      </c>
      <c r="G1767" s="9">
        <v>1030</v>
      </c>
      <c r="H1767" s="5" t="s">
        <v>21</v>
      </c>
      <c r="I1767" s="5" t="s">
        <v>4348</v>
      </c>
      <c r="J1767" s="12" t="str">
        <f>HYPERLINK("https://www.boe.es/gazeta/dias/1800/10/31/pdfs/GMD-1800-88.pdf#page=12","Abrir facsímil")</f>
        <v>Abrir facsímil</v>
      </c>
      <c r="K1767" s="15" t="s">
        <v>23</v>
      </c>
    </row>
    <row r="1768" spans="1:11" ht="42" customHeight="1">
      <c r="A1768" s="4" t="s">
        <v>4349</v>
      </c>
      <c r="B1768" s="5" t="s">
        <v>4350</v>
      </c>
      <c r="C1768" s="5" t="s">
        <v>18</v>
      </c>
      <c r="D1768" s="5" t="s">
        <v>19</v>
      </c>
      <c r="E1768" s="5" t="s">
        <v>135</v>
      </c>
      <c r="F1768" s="9">
        <v>73</v>
      </c>
      <c r="G1768" s="9">
        <v>816</v>
      </c>
      <c r="H1768" s="5" t="s">
        <v>21</v>
      </c>
      <c r="I1768" s="5" t="s">
        <v>4351</v>
      </c>
      <c r="J1768" s="12" t="str">
        <f>HYPERLINK("https://www.boe.es/gazeta/dias/1800/09/09/pdfs/GMD-1800-73.pdf#page=10","Abrir facsímil")</f>
        <v>Abrir facsímil</v>
      </c>
      <c r="K1768" s="15" t="s">
        <v>23</v>
      </c>
    </row>
    <row r="1769" spans="1:11" ht="42" customHeight="1">
      <c r="A1769" s="4" t="s">
        <v>4352</v>
      </c>
      <c r="B1769" s="5" t="s">
        <v>4353</v>
      </c>
      <c r="C1769" s="5" t="s">
        <v>207</v>
      </c>
      <c r="D1769" s="5" t="s">
        <v>55</v>
      </c>
      <c r="E1769" s="5" t="s">
        <v>306</v>
      </c>
      <c r="F1769" s="9">
        <v>79</v>
      </c>
      <c r="G1769" s="9">
        <v>899</v>
      </c>
      <c r="H1769" s="5" t="s">
        <v>21</v>
      </c>
      <c r="I1769" s="5" t="s">
        <v>4354</v>
      </c>
      <c r="J1769" s="12" t="str">
        <f>HYPERLINK("https://www.boe.es/gazeta/dias/1800/09/30/pdfs/GMD-1800-79.pdf#page=9","Abrir facsímil")</f>
        <v>Abrir facsímil</v>
      </c>
      <c r="K1769" s="15" t="s">
        <v>23</v>
      </c>
    </row>
    <row r="1770" spans="1:11" ht="42" customHeight="1">
      <c r="A1770" s="4" t="s">
        <v>4355</v>
      </c>
      <c r="B1770" s="5" t="s">
        <v>4356</v>
      </c>
      <c r="C1770" s="5" t="s">
        <v>18</v>
      </c>
      <c r="D1770" s="5" t="s">
        <v>19</v>
      </c>
      <c r="E1770" s="5" t="s">
        <v>314</v>
      </c>
      <c r="F1770" s="9">
        <v>74</v>
      </c>
      <c r="G1770" s="9">
        <v>831</v>
      </c>
      <c r="H1770" s="5" t="s">
        <v>21</v>
      </c>
      <c r="I1770" s="5" t="s">
        <v>4357</v>
      </c>
      <c r="J1770" s="12" t="str">
        <f>HYPERLINK("https://www.boe.es/gazeta/dias/1800/09/12/pdfs/GMD-1800-74.pdf#page=9","Abrir facsímil")</f>
        <v>Abrir facsímil</v>
      </c>
      <c r="K1770" s="15" t="s">
        <v>23</v>
      </c>
    </row>
    <row r="1771" spans="1:11" ht="42" customHeight="1">
      <c r="A1771" s="4" t="s">
        <v>4358</v>
      </c>
      <c r="B1771" s="5" t="s">
        <v>4359</v>
      </c>
      <c r="C1771" s="5" t="s">
        <v>18</v>
      </c>
      <c r="D1771" s="5" t="s">
        <v>19</v>
      </c>
      <c r="E1771" s="5" t="s">
        <v>248</v>
      </c>
      <c r="F1771" s="9">
        <v>33</v>
      </c>
      <c r="G1771" s="9">
        <v>333</v>
      </c>
      <c r="H1771" s="5" t="s">
        <v>21</v>
      </c>
      <c r="I1771" s="5" t="s">
        <v>4360</v>
      </c>
      <c r="J1771" s="12" t="str">
        <f>HYPERLINK("https://www.boe.es/gazeta/dias/1800/04/25/pdfs/GMD-1800-33.pdf#page=9","Abrir facsímil")</f>
        <v>Abrir facsímil</v>
      </c>
      <c r="K1771" s="15" t="s">
        <v>23</v>
      </c>
    </row>
    <row r="1772" spans="1:11" ht="42" customHeight="1">
      <c r="A1772" s="4" t="s">
        <v>4361</v>
      </c>
      <c r="B1772" s="5" t="s">
        <v>4362</v>
      </c>
      <c r="C1772" s="5" t="s">
        <v>18</v>
      </c>
      <c r="D1772" s="5" t="s">
        <v>19</v>
      </c>
      <c r="E1772" s="5" t="s">
        <v>240</v>
      </c>
      <c r="F1772" s="9">
        <v>26</v>
      </c>
      <c r="G1772" s="9">
        <v>269</v>
      </c>
      <c r="H1772" s="5" t="s">
        <v>21</v>
      </c>
      <c r="I1772" s="5" t="s">
        <v>4363</v>
      </c>
      <c r="J1772" s="12" t="str">
        <f>HYPERLINK("https://www.boe.es/gazeta/dias/1800/04/01/pdfs/GMD-1800-26.pdf#page=9","Abrir facsímil")</f>
        <v>Abrir facsímil</v>
      </c>
      <c r="K1772" s="15" t="s">
        <v>23</v>
      </c>
    </row>
    <row r="1773" spans="1:11" ht="42" customHeight="1">
      <c r="A1773" s="4" t="s">
        <v>4364</v>
      </c>
      <c r="B1773" s="5" t="s">
        <v>4365</v>
      </c>
      <c r="C1773" s="5" t="s">
        <v>54</v>
      </c>
      <c r="D1773" s="5" t="s">
        <v>55</v>
      </c>
      <c r="E1773" s="5" t="s">
        <v>139</v>
      </c>
      <c r="F1773" s="9">
        <v>2</v>
      </c>
      <c r="G1773" s="9">
        <v>19</v>
      </c>
      <c r="H1773" s="5" t="s">
        <v>21</v>
      </c>
      <c r="I1773" s="5" t="s">
        <v>4366</v>
      </c>
      <c r="J1773" s="12" t="str">
        <f>HYPERLINK("https://www.boe.es/gazeta/dias/1800/01/07/pdfs/GMD-1800-2.pdf#page=11","Abrir facsímil")</f>
        <v>Abrir facsímil</v>
      </c>
      <c r="K1773" s="15" t="s">
        <v>23</v>
      </c>
    </row>
    <row r="1774" spans="1:11" ht="42" customHeight="1">
      <c r="A1774" s="4" t="s">
        <v>4367</v>
      </c>
      <c r="B1774" s="5" t="s">
        <v>4368</v>
      </c>
      <c r="C1774" s="5" t="s">
        <v>18</v>
      </c>
      <c r="D1774" s="5" t="s">
        <v>19</v>
      </c>
      <c r="E1774" s="5" t="s">
        <v>82</v>
      </c>
      <c r="F1774" s="9">
        <v>10</v>
      </c>
      <c r="G1774" s="9">
        <v>97</v>
      </c>
      <c r="H1774" s="5" t="s">
        <v>21</v>
      </c>
      <c r="I1774" s="5" t="s">
        <v>4369</v>
      </c>
      <c r="J1774" s="12" t="str">
        <f>HYPERLINK("https://www.boe.es/gazeta/dias/1800/02/04/pdfs/GMD-1800-10.pdf#page=9","Abrir facsímil")</f>
        <v>Abrir facsímil</v>
      </c>
      <c r="K1774" s="15" t="s">
        <v>23</v>
      </c>
    </row>
    <row r="1775" spans="1:11" ht="42" customHeight="1">
      <c r="A1775" s="4" t="s">
        <v>4370</v>
      </c>
      <c r="B1775" s="5" t="s">
        <v>4371</v>
      </c>
      <c r="C1775" s="5" t="s">
        <v>18</v>
      </c>
      <c r="D1775" s="5" t="s">
        <v>19</v>
      </c>
      <c r="E1775" s="5" t="s">
        <v>90</v>
      </c>
      <c r="F1775" s="9">
        <v>58</v>
      </c>
      <c r="G1775" s="9">
        <v>663</v>
      </c>
      <c r="H1775" s="5" t="s">
        <v>21</v>
      </c>
      <c r="I1775" s="5" t="s">
        <v>4372</v>
      </c>
      <c r="J1775" s="12" t="str">
        <f>HYPERLINK("https://www.boe.es/gazeta/dias/1800/07/22/pdfs/GMD-1800-58.pdf#page=11","Abrir facsímil")</f>
        <v>Abrir facsímil</v>
      </c>
      <c r="K1775" s="15" t="s">
        <v>23</v>
      </c>
    </row>
    <row r="1776" spans="1:11" ht="42" customHeight="1">
      <c r="A1776" s="4" t="s">
        <v>4373</v>
      </c>
      <c r="B1776" s="5" t="s">
        <v>4374</v>
      </c>
      <c r="C1776" s="5" t="s">
        <v>25</v>
      </c>
      <c r="D1776" s="5" t="s">
        <v>26</v>
      </c>
      <c r="E1776" s="5" t="s">
        <v>90</v>
      </c>
      <c r="F1776" s="9">
        <v>58</v>
      </c>
      <c r="G1776" s="9">
        <v>663</v>
      </c>
      <c r="H1776" s="5" t="s">
        <v>21</v>
      </c>
      <c r="I1776" s="5" t="s">
        <v>4375</v>
      </c>
      <c r="J1776" s="12" t="str">
        <f>HYPERLINK("https://www.boe.es/gazeta/dias/1800/07/22/pdfs/GMD-1800-58.pdf#page=11","Abrir facsímil")</f>
        <v>Abrir facsímil</v>
      </c>
      <c r="K1776" s="15" t="s">
        <v>23</v>
      </c>
    </row>
    <row r="1777" spans="1:11" ht="42" customHeight="1">
      <c r="A1777" s="4" t="s">
        <v>4376</v>
      </c>
      <c r="B1777" s="5" t="s">
        <v>4377</v>
      </c>
      <c r="C1777" s="5" t="s">
        <v>84</v>
      </c>
      <c r="D1777" s="5" t="s">
        <v>85</v>
      </c>
      <c r="E1777" s="5" t="s">
        <v>319</v>
      </c>
      <c r="F1777" s="9">
        <v>62</v>
      </c>
      <c r="G1777" s="9">
        <v>709</v>
      </c>
      <c r="H1777" s="5" t="s">
        <v>21</v>
      </c>
      <c r="I1777" s="5" t="s">
        <v>4378</v>
      </c>
      <c r="J1777" s="12" t="str">
        <f>HYPERLINK("https://www.boe.es/gazeta/dias/1800/08/05/pdfs/GMD-1800-62.pdf#page=9","Abrir facsímil")</f>
        <v>Abrir facsímil</v>
      </c>
      <c r="K1777" s="15" t="s">
        <v>23</v>
      </c>
    </row>
    <row r="1778" spans="1:11" ht="42" customHeight="1">
      <c r="A1778" s="4" t="s">
        <v>4379</v>
      </c>
      <c r="B1778" s="5" t="s">
        <v>4380</v>
      </c>
      <c r="C1778" s="5" t="s">
        <v>54</v>
      </c>
      <c r="D1778" s="5" t="s">
        <v>55</v>
      </c>
      <c r="E1778" s="5" t="s">
        <v>598</v>
      </c>
      <c r="F1778" s="9">
        <v>32</v>
      </c>
      <c r="G1778" s="9">
        <v>323</v>
      </c>
      <c r="H1778" s="5" t="s">
        <v>21</v>
      </c>
      <c r="I1778" s="5" t="s">
        <v>4381</v>
      </c>
      <c r="J1778" s="12" t="str">
        <f>HYPERLINK("https://www.boe.es/gazeta/dias/1800/04/22/pdfs/GMD-1800-32.pdf#page=7","Abrir facsímil")</f>
        <v>Abrir facsímil</v>
      </c>
      <c r="K1778" s="15" t="s">
        <v>23</v>
      </c>
    </row>
    <row r="1779" spans="1:11" ht="42" customHeight="1">
      <c r="A1779" s="4" t="s">
        <v>4382</v>
      </c>
      <c r="B1779" s="5" t="s">
        <v>4383</v>
      </c>
      <c r="C1779" s="5" t="s">
        <v>25</v>
      </c>
      <c r="D1779" s="5" t="s">
        <v>26</v>
      </c>
      <c r="E1779" s="5" t="s">
        <v>139</v>
      </c>
      <c r="F1779" s="9">
        <v>2</v>
      </c>
      <c r="G1779" s="9">
        <v>16</v>
      </c>
      <c r="H1779" s="5" t="s">
        <v>21</v>
      </c>
      <c r="I1779" s="5" t="s">
        <v>4384</v>
      </c>
      <c r="J1779" s="12" t="str">
        <f>HYPERLINK("https://www.boe.es/gazeta/dias/1800/01/07/pdfs/GMD-1800-2.pdf#page=8","Abrir facsímil")</f>
        <v>Abrir facsímil</v>
      </c>
      <c r="K1779" s="15" t="s">
        <v>23</v>
      </c>
    </row>
    <row r="1780" spans="1:11" ht="42" customHeight="1">
      <c r="A1780" s="4" t="s">
        <v>4385</v>
      </c>
      <c r="B1780" s="5" t="s">
        <v>4386</v>
      </c>
      <c r="C1780" s="5" t="s">
        <v>18</v>
      </c>
      <c r="D1780" s="5" t="s">
        <v>19</v>
      </c>
      <c r="E1780" s="5" t="s">
        <v>244</v>
      </c>
      <c r="F1780" s="9">
        <v>9</v>
      </c>
      <c r="G1780" s="9">
        <v>85</v>
      </c>
      <c r="H1780" s="5" t="s">
        <v>21</v>
      </c>
      <c r="I1780" s="5" t="s">
        <v>4387</v>
      </c>
      <c r="J1780" s="12" t="str">
        <f>HYPERLINK("https://www.boe.es/gazeta/dias/1800/01/31/pdfs/GMD-1800-9.pdf#page=9","Abrir facsímil")</f>
        <v>Abrir facsímil</v>
      </c>
      <c r="K1780" s="15" t="s">
        <v>23</v>
      </c>
    </row>
    <row r="1781" spans="1:11" ht="42" customHeight="1">
      <c r="A1781" s="4" t="s">
        <v>4388</v>
      </c>
      <c r="B1781" s="5" t="s">
        <v>4389</v>
      </c>
      <c r="C1781" s="5" t="s">
        <v>18</v>
      </c>
      <c r="D1781" s="5" t="s">
        <v>19</v>
      </c>
      <c r="E1781" s="5" t="s">
        <v>79</v>
      </c>
      <c r="F1781" s="9">
        <v>7</v>
      </c>
      <c r="G1781" s="9">
        <v>66</v>
      </c>
      <c r="H1781" s="5" t="s">
        <v>21</v>
      </c>
      <c r="I1781" s="5" t="s">
        <v>4390</v>
      </c>
      <c r="J1781" s="12" t="str">
        <f>HYPERLINK("https://www.boe.es/gazeta/dias/1800/01/24/pdfs/GMD-1800-7.pdf#page=6","Abrir facsímil")</f>
        <v>Abrir facsímil</v>
      </c>
      <c r="K1781" s="15" t="s">
        <v>23</v>
      </c>
    </row>
    <row r="1782" spans="1:11" ht="42" customHeight="1">
      <c r="A1782" s="4" t="s">
        <v>4388</v>
      </c>
      <c r="B1782" s="5" t="s">
        <v>4389</v>
      </c>
      <c r="C1782" s="5" t="s">
        <v>18</v>
      </c>
      <c r="D1782" s="5" t="s">
        <v>19</v>
      </c>
      <c r="E1782" s="5" t="s">
        <v>39</v>
      </c>
      <c r="F1782" s="9">
        <v>43</v>
      </c>
      <c r="G1782" s="9">
        <v>450</v>
      </c>
      <c r="H1782" s="5" t="s">
        <v>21</v>
      </c>
      <c r="I1782" s="5" t="s">
        <v>4391</v>
      </c>
      <c r="J1782" s="12" t="str">
        <f>HYPERLINK("https://www.boe.es/gazeta/dias/1800/05/30/pdfs/GMD-1800-43.pdf#page=10","Abrir facsímil")</f>
        <v>Abrir facsímil</v>
      </c>
      <c r="K1782" s="15" t="s">
        <v>23</v>
      </c>
    </row>
    <row r="1783" spans="1:11" ht="42" customHeight="1">
      <c r="A1783" s="4" t="s">
        <v>4392</v>
      </c>
      <c r="B1783" s="5" t="s">
        <v>4393</v>
      </c>
      <c r="C1783" s="5" t="s">
        <v>54</v>
      </c>
      <c r="D1783" s="5" t="s">
        <v>55</v>
      </c>
      <c r="E1783" s="5" t="s">
        <v>139</v>
      </c>
      <c r="F1783" s="9">
        <v>2</v>
      </c>
      <c r="G1783" s="9">
        <v>19</v>
      </c>
      <c r="H1783" s="5" t="s">
        <v>21</v>
      </c>
      <c r="I1783" s="5" t="s">
        <v>4394</v>
      </c>
      <c r="J1783" s="12" t="str">
        <f>HYPERLINK("https://www.boe.es/gazeta/dias/1800/01/07/pdfs/GMD-1800-2.pdf#page=11","Abrir facsímil")</f>
        <v>Abrir facsímil</v>
      </c>
      <c r="K1783" s="15" t="s">
        <v>23</v>
      </c>
    </row>
    <row r="1784" spans="1:11" ht="42" customHeight="1">
      <c r="A1784" s="4" t="s">
        <v>4395</v>
      </c>
      <c r="B1784" s="5" t="s">
        <v>4396</v>
      </c>
      <c r="C1784" s="5" t="s">
        <v>18</v>
      </c>
      <c r="D1784" s="5" t="s">
        <v>19</v>
      </c>
      <c r="E1784" s="5" t="s">
        <v>43</v>
      </c>
      <c r="F1784" s="9">
        <v>46</v>
      </c>
      <c r="G1784" s="9">
        <v>488</v>
      </c>
      <c r="H1784" s="5" t="s">
        <v>21</v>
      </c>
      <c r="I1784" s="5" t="s">
        <v>4397</v>
      </c>
      <c r="J1784" s="12" t="str">
        <f>HYPERLINK("https://www.boe.es/gazeta/dias/1800/06/10/pdfs/GMD-1800-46.pdf#page=12","Abrir facsímil")</f>
        <v>Abrir facsímil</v>
      </c>
      <c r="K1784" s="15" t="s">
        <v>23</v>
      </c>
    </row>
    <row r="1785" spans="1:11" ht="42" customHeight="1">
      <c r="A1785" s="4" t="s">
        <v>4398</v>
      </c>
      <c r="B1785" s="5" t="s">
        <v>4399</v>
      </c>
      <c r="C1785" s="5" t="s">
        <v>18</v>
      </c>
      <c r="D1785" s="5" t="s">
        <v>19</v>
      </c>
      <c r="E1785" s="5" t="s">
        <v>673</v>
      </c>
      <c r="F1785" s="9">
        <v>89</v>
      </c>
      <c r="G1785" s="9">
        <v>1043</v>
      </c>
      <c r="H1785" s="5" t="s">
        <v>21</v>
      </c>
      <c r="I1785" s="5" t="s">
        <v>4400</v>
      </c>
      <c r="J1785" s="12" t="str">
        <f>HYPERLINK("https://www.boe.es/gazeta/dias/1800/11/04/pdfs/GMD-1800-89.pdf#page=9","Abrir facsímil")</f>
        <v>Abrir facsímil</v>
      </c>
      <c r="K1785" s="15" t="s">
        <v>23</v>
      </c>
    </row>
    <row r="1786" spans="1:11" ht="42" customHeight="1">
      <c r="A1786" s="4" t="s">
        <v>4401</v>
      </c>
      <c r="B1786" s="5" t="s">
        <v>4402</v>
      </c>
      <c r="C1786" s="5" t="s">
        <v>18</v>
      </c>
      <c r="D1786" s="5" t="s">
        <v>19</v>
      </c>
      <c r="E1786" s="5" t="s">
        <v>116</v>
      </c>
      <c r="F1786" s="9">
        <v>86</v>
      </c>
      <c r="G1786" s="9">
        <v>997</v>
      </c>
      <c r="H1786" s="5" t="s">
        <v>21</v>
      </c>
      <c r="I1786" s="5" t="s">
        <v>4403</v>
      </c>
      <c r="J1786" s="12" t="str">
        <f>HYPERLINK("https://www.boe.es/gazeta/dias/1800/10/24/pdfs/GMD-1800-86.pdf#page=7","Abrir facsímil")</f>
        <v>Abrir facsímil</v>
      </c>
      <c r="K1786" s="15" t="s">
        <v>23</v>
      </c>
    </row>
    <row r="1787" spans="1:11" ht="42" customHeight="1">
      <c r="A1787" s="4" t="s">
        <v>4404</v>
      </c>
      <c r="B1787" s="5" t="s">
        <v>4405</v>
      </c>
      <c r="C1787" s="5" t="s">
        <v>171</v>
      </c>
      <c r="D1787" s="5" t="s">
        <v>172</v>
      </c>
      <c r="E1787" s="5" t="s">
        <v>214</v>
      </c>
      <c r="F1787" s="9">
        <v>41</v>
      </c>
      <c r="G1787" s="9">
        <v>427</v>
      </c>
      <c r="H1787" s="5" t="s">
        <v>21</v>
      </c>
      <c r="I1787" s="5" t="s">
        <v>4406</v>
      </c>
      <c r="J1787" s="12" t="str">
        <f>HYPERLINK("https://www.boe.es/gazeta/dias/1800/05/23/pdfs/GMD-C-1800-41.pdf#page=3","Abrir facsímil")</f>
        <v>Abrir facsímil</v>
      </c>
      <c r="K1787" s="15" t="s">
        <v>23</v>
      </c>
    </row>
    <row r="1788" spans="1:11" ht="42" customHeight="1">
      <c r="A1788" s="4" t="s">
        <v>4407</v>
      </c>
      <c r="B1788" s="5" t="s">
        <v>4408</v>
      </c>
      <c r="C1788" s="5" t="s">
        <v>18</v>
      </c>
      <c r="D1788" s="5" t="s">
        <v>19</v>
      </c>
      <c r="E1788" s="5" t="s">
        <v>240</v>
      </c>
      <c r="F1788" s="9">
        <v>26</v>
      </c>
      <c r="G1788" s="9">
        <v>269</v>
      </c>
      <c r="H1788" s="5" t="s">
        <v>21</v>
      </c>
      <c r="I1788" s="5" t="s">
        <v>4409</v>
      </c>
      <c r="J1788" s="12" t="str">
        <f>HYPERLINK("https://www.boe.es/gazeta/dias/1800/04/01/pdfs/GMD-1800-26.pdf#page=9","Abrir facsímil")</f>
        <v>Abrir facsímil</v>
      </c>
      <c r="K1788" s="15" t="s">
        <v>23</v>
      </c>
    </row>
    <row r="1789" spans="1:11" ht="42" customHeight="1">
      <c r="A1789" s="4" t="s">
        <v>4410</v>
      </c>
      <c r="B1789" s="5" t="s">
        <v>4411</v>
      </c>
      <c r="C1789" s="5" t="s">
        <v>18</v>
      </c>
      <c r="D1789" s="5" t="s">
        <v>19</v>
      </c>
      <c r="E1789" s="5" t="s">
        <v>111</v>
      </c>
      <c r="F1789" s="9">
        <v>98</v>
      </c>
      <c r="G1789" s="9">
        <v>1129</v>
      </c>
      <c r="H1789" s="5" t="s">
        <v>21</v>
      </c>
      <c r="I1789" s="5" t="s">
        <v>4412</v>
      </c>
      <c r="J1789" s="12" t="str">
        <f>HYPERLINK("https://www.boe.es/gazeta/dias/1800/12/05/pdfs/GMD-1800-98.pdf#page=9","Abrir facsímil")</f>
        <v>Abrir facsímil</v>
      </c>
      <c r="K1789" s="15" t="s">
        <v>23</v>
      </c>
    </row>
    <row r="1790" spans="1:11" ht="42" customHeight="1">
      <c r="A1790" s="4" t="s">
        <v>4413</v>
      </c>
      <c r="B1790" s="5" t="s">
        <v>4414</v>
      </c>
      <c r="C1790" s="5" t="s">
        <v>1035</v>
      </c>
      <c r="D1790" s="5" t="s">
        <v>1036</v>
      </c>
      <c r="E1790" s="5" t="s">
        <v>50</v>
      </c>
      <c r="F1790" s="9">
        <v>81</v>
      </c>
      <c r="G1790" s="9">
        <v>942</v>
      </c>
      <c r="H1790" s="5" t="s">
        <v>21</v>
      </c>
      <c r="I1790" s="5" t="s">
        <v>4415</v>
      </c>
      <c r="J1790" s="12" t="str">
        <f>HYPERLINK("https://www.boe.es/gazeta/dias/1800/10/07/pdfs/GMD-C-1800-81.pdf#page=24","Abrir facsímil")</f>
        <v>Abrir facsímil</v>
      </c>
      <c r="K1790" s="15" t="s">
        <v>23</v>
      </c>
    </row>
    <row r="1791" spans="1:11" ht="42" customHeight="1">
      <c r="A1791" s="4" t="s">
        <v>4416</v>
      </c>
      <c r="B1791" s="5" t="s">
        <v>4417</v>
      </c>
      <c r="C1791" s="5" t="s">
        <v>41</v>
      </c>
      <c r="D1791" s="5" t="s">
        <v>42</v>
      </c>
      <c r="E1791" s="5" t="s">
        <v>184</v>
      </c>
      <c r="F1791" s="9">
        <v>82</v>
      </c>
      <c r="G1791" s="9">
        <v>943</v>
      </c>
      <c r="H1791" s="5" t="s">
        <v>21</v>
      </c>
      <c r="I1791" s="5" t="s">
        <v>4418</v>
      </c>
      <c r="J1791" s="12" t="str">
        <f>HYPERLINK("https://www.boe.es/gazeta/dias/1800/10/10/pdfs/GMD-1800-82.pdf#page=1","Abrir facsímil")</f>
        <v>Abrir facsímil</v>
      </c>
      <c r="K1791" s="15" t="s">
        <v>23</v>
      </c>
    </row>
    <row r="1792" spans="1:11" ht="42" customHeight="1">
      <c r="A1792" s="4" t="s">
        <v>4416</v>
      </c>
      <c r="B1792" s="5" t="s">
        <v>4417</v>
      </c>
      <c r="C1792" s="5" t="s">
        <v>41</v>
      </c>
      <c r="D1792" s="5" t="s">
        <v>42</v>
      </c>
      <c r="E1792" s="5" t="s">
        <v>576</v>
      </c>
      <c r="F1792" s="9">
        <v>91</v>
      </c>
      <c r="G1792" s="9">
        <v>1060</v>
      </c>
      <c r="H1792" s="5" t="s">
        <v>21</v>
      </c>
      <c r="I1792" s="5" t="s">
        <v>4419</v>
      </c>
      <c r="J1792" s="12" t="str">
        <f>HYPERLINK("https://www.boe.es/gazeta/dias/1800/11/11/pdfs/GMD-1800-91.pdf#page=2","Abrir facsímil")</f>
        <v>Abrir facsímil</v>
      </c>
      <c r="K1792" s="15" t="s">
        <v>23</v>
      </c>
    </row>
    <row r="1793" spans="1:11" ht="42" customHeight="1">
      <c r="A1793" s="4" t="s">
        <v>4416</v>
      </c>
      <c r="B1793" s="5" t="s">
        <v>4417</v>
      </c>
      <c r="C1793" s="5" t="s">
        <v>41</v>
      </c>
      <c r="D1793" s="5" t="s">
        <v>42</v>
      </c>
      <c r="E1793" s="5" t="s">
        <v>196</v>
      </c>
      <c r="F1793" s="9">
        <v>97</v>
      </c>
      <c r="G1793" s="9">
        <v>1113</v>
      </c>
      <c r="H1793" s="5" t="s">
        <v>21</v>
      </c>
      <c r="I1793" s="5" t="s">
        <v>4420</v>
      </c>
      <c r="J1793" s="12" t="str">
        <f>HYPERLINK("https://www.boe.es/gazeta/dias/1800/12/02/pdfs/GMD-1800-97.pdf#page=5","Abrir facsímil")</f>
        <v>Abrir facsímil</v>
      </c>
      <c r="K1793" s="15" t="s">
        <v>23</v>
      </c>
    </row>
    <row r="1794" spans="1:11" ht="42" customHeight="1">
      <c r="A1794" s="4" t="s">
        <v>4421</v>
      </c>
      <c r="B1794" s="5" t="s">
        <v>4422</v>
      </c>
      <c r="C1794" s="5" t="s">
        <v>18</v>
      </c>
      <c r="D1794" s="5" t="s">
        <v>19</v>
      </c>
      <c r="E1794" s="5" t="s">
        <v>135</v>
      </c>
      <c r="F1794" s="9">
        <v>73</v>
      </c>
      <c r="G1794" s="9">
        <v>816</v>
      </c>
      <c r="H1794" s="5" t="s">
        <v>21</v>
      </c>
      <c r="I1794" s="5" t="s">
        <v>4423</v>
      </c>
      <c r="J1794" s="12" t="str">
        <f>HYPERLINK("https://www.boe.es/gazeta/dias/1800/09/09/pdfs/GMD-1800-73.pdf#page=10","Abrir facsímil")</f>
        <v>Abrir facsímil</v>
      </c>
      <c r="K1794" s="15" t="s">
        <v>23</v>
      </c>
    </row>
    <row r="1795" spans="1:11" ht="42" customHeight="1">
      <c r="A1795" s="4" t="s">
        <v>4424</v>
      </c>
      <c r="B1795" s="5" t="s">
        <v>4425</v>
      </c>
      <c r="C1795" s="5" t="s">
        <v>2123</v>
      </c>
      <c r="D1795" s="5" t="s">
        <v>2124</v>
      </c>
      <c r="E1795" s="5" t="s">
        <v>58</v>
      </c>
      <c r="F1795" s="9">
        <v>92</v>
      </c>
      <c r="G1795" s="9">
        <v>1056</v>
      </c>
      <c r="H1795" s="5" t="s">
        <v>21</v>
      </c>
      <c r="I1795" s="5" t="s">
        <v>4426</v>
      </c>
      <c r="J1795" s="12" t="str">
        <f>HYPERLINK("https://www.boe.es/gazeta/dias/1800/11/14/pdfs/GMD-C-1800-92.pdf#page=2","Abrir facsímil")</f>
        <v>Abrir facsímil</v>
      </c>
      <c r="K1795" s="15" t="s">
        <v>23</v>
      </c>
    </row>
    <row r="1796" spans="1:11" ht="42" customHeight="1">
      <c r="A1796" s="4" t="s">
        <v>4424</v>
      </c>
      <c r="B1796" s="5" t="s">
        <v>4425</v>
      </c>
      <c r="C1796" s="5" t="s">
        <v>54</v>
      </c>
      <c r="D1796" s="5" t="s">
        <v>55</v>
      </c>
      <c r="E1796" s="5" t="s">
        <v>190</v>
      </c>
      <c r="F1796" s="9">
        <v>93</v>
      </c>
      <c r="G1796" s="9">
        <v>1068</v>
      </c>
      <c r="H1796" s="5" t="s">
        <v>21</v>
      </c>
      <c r="I1796" s="5" t="s">
        <v>4427</v>
      </c>
      <c r="J1796" s="12" t="str">
        <f>HYPERLINK("https://www.boe.es/gazeta/dias/1800/11/18/pdfs/GMD-1800-93.pdf#page=14","Abrir facsímil")</f>
        <v>Abrir facsímil</v>
      </c>
      <c r="K1796" s="15" t="s">
        <v>23</v>
      </c>
    </row>
    <row r="1797" spans="1:11" ht="42" customHeight="1">
      <c r="A1797" s="4" t="s">
        <v>4424</v>
      </c>
      <c r="B1797" s="5" t="s">
        <v>4425</v>
      </c>
      <c r="C1797" s="5" t="s">
        <v>54</v>
      </c>
      <c r="D1797" s="5" t="s">
        <v>55</v>
      </c>
      <c r="E1797" s="5" t="s">
        <v>203</v>
      </c>
      <c r="F1797" s="9">
        <v>94</v>
      </c>
      <c r="G1797" s="9">
        <v>1080</v>
      </c>
      <c r="H1797" s="5" t="s">
        <v>21</v>
      </c>
      <c r="I1797" s="5" t="s">
        <v>4428</v>
      </c>
      <c r="J1797" s="12" t="str">
        <f>HYPERLINK("https://www.boe.es/gazeta/dias/1800/11/21/pdfs/GMD-1800-94.pdf#page=10","Abrir facsímil")</f>
        <v>Abrir facsímil</v>
      </c>
      <c r="K1797" s="15" t="s">
        <v>23</v>
      </c>
    </row>
    <row r="1798" spans="1:11" ht="42" customHeight="1">
      <c r="A1798" s="4" t="s">
        <v>4429</v>
      </c>
      <c r="B1798" s="5" t="s">
        <v>4430</v>
      </c>
      <c r="C1798" s="5" t="s">
        <v>4431</v>
      </c>
      <c r="D1798" s="5" t="s">
        <v>19</v>
      </c>
      <c r="E1798" s="5" t="s">
        <v>139</v>
      </c>
      <c r="F1798" s="9">
        <v>2</v>
      </c>
      <c r="G1798" s="9">
        <v>17</v>
      </c>
      <c r="H1798" s="5" t="s">
        <v>4432</v>
      </c>
      <c r="I1798" s="5" t="s">
        <v>4433</v>
      </c>
      <c r="J1798" s="12" t="str">
        <f>HYPERLINK("https://www.boe.es/gazeta/dias/1800/01/07/pdfs/GMD-1800-2.pdf#page=9","Abrir facsímil")</f>
        <v>Abrir facsímil</v>
      </c>
      <c r="K1798" s="15" t="s">
        <v>4434</v>
      </c>
    </row>
    <row r="1799" spans="1:11" ht="42" customHeight="1">
      <c r="A1799" s="4" t="s">
        <v>4435</v>
      </c>
      <c r="B1799" s="5" t="s">
        <v>4436</v>
      </c>
      <c r="C1799" s="5" t="s">
        <v>18</v>
      </c>
      <c r="D1799" s="5" t="s">
        <v>19</v>
      </c>
      <c r="E1799" s="5" t="s">
        <v>56</v>
      </c>
      <c r="F1799" s="9">
        <v>90</v>
      </c>
      <c r="G1799" s="9">
        <v>1054</v>
      </c>
      <c r="H1799" s="5" t="s">
        <v>21</v>
      </c>
      <c r="I1799" s="5" t="s">
        <v>4437</v>
      </c>
      <c r="J1799" s="12" t="str">
        <f>HYPERLINK("https://www.boe.es/gazeta/dias/1800/11/07/pdfs/GMD-1800-90.pdf#page=8","Abrir facsímil")</f>
        <v>Abrir facsímil</v>
      </c>
      <c r="K1799" s="15" t="s">
        <v>23</v>
      </c>
    </row>
    <row r="1800" spans="1:11" ht="42" customHeight="1">
      <c r="A1800" s="4" t="s">
        <v>4438</v>
      </c>
      <c r="B1800" s="5" t="s">
        <v>4439</v>
      </c>
      <c r="C1800" s="5" t="s">
        <v>171</v>
      </c>
      <c r="D1800" s="5" t="s">
        <v>172</v>
      </c>
      <c r="E1800" s="5" t="s">
        <v>90</v>
      </c>
      <c r="F1800" s="9">
        <v>58</v>
      </c>
      <c r="G1800" s="9">
        <v>666</v>
      </c>
      <c r="H1800" s="5" t="s">
        <v>21</v>
      </c>
      <c r="I1800" s="5" t="s">
        <v>4440</v>
      </c>
      <c r="J1800" s="12" t="str">
        <f>HYPERLINK("https://www.boe.es/gazeta/dias/1800/07/22/pdfs/GMD-C-1800-58.pdf#page=2","Abrir facsímil")</f>
        <v>Abrir facsímil</v>
      </c>
      <c r="K1800" s="15" t="s">
        <v>23</v>
      </c>
    </row>
    <row r="1801" spans="1:11" ht="42" customHeight="1">
      <c r="A1801" s="4" t="s">
        <v>4441</v>
      </c>
      <c r="B1801" s="5" t="s">
        <v>4442</v>
      </c>
      <c r="C1801" s="5" t="s">
        <v>18</v>
      </c>
      <c r="D1801" s="5" t="s">
        <v>19</v>
      </c>
      <c r="E1801" s="5" t="s">
        <v>79</v>
      </c>
      <c r="F1801" s="9">
        <v>7</v>
      </c>
      <c r="G1801" s="9">
        <v>67</v>
      </c>
      <c r="H1801" s="5" t="s">
        <v>21</v>
      </c>
      <c r="I1801" s="5" t="s">
        <v>4443</v>
      </c>
      <c r="J1801" s="12" t="str">
        <f>HYPERLINK("https://www.boe.es/gazeta/dias/1800/01/24/pdfs/GMD-1800-7.pdf#page=7","Abrir facsímil")</f>
        <v>Abrir facsímil</v>
      </c>
      <c r="K1801" s="15" t="s">
        <v>23</v>
      </c>
    </row>
    <row r="1802" spans="1:11" ht="42" customHeight="1">
      <c r="A1802" s="4" t="s">
        <v>4444</v>
      </c>
      <c r="B1802" s="5" t="s">
        <v>4445</v>
      </c>
      <c r="C1802" s="5" t="s">
        <v>25</v>
      </c>
      <c r="D1802" s="5" t="s">
        <v>26</v>
      </c>
      <c r="E1802" s="5" t="s">
        <v>595</v>
      </c>
      <c r="F1802" s="9">
        <v>72</v>
      </c>
      <c r="G1802" s="9">
        <v>798</v>
      </c>
      <c r="H1802" s="5" t="s">
        <v>21</v>
      </c>
      <c r="I1802" s="5" t="s">
        <v>4446</v>
      </c>
      <c r="J1802" s="12" t="str">
        <f>HYPERLINK("https://www.boe.es/gazeta/dias/1800/09/05/pdfs/GMD-1800-72.pdf#page=8","Abrir facsímil")</f>
        <v>Abrir facsímil</v>
      </c>
      <c r="K1802" s="15" t="s">
        <v>23</v>
      </c>
    </row>
    <row r="1803" spans="1:11" ht="42" customHeight="1">
      <c r="A1803" s="4" t="s">
        <v>4447</v>
      </c>
      <c r="B1803" s="5" t="s">
        <v>4448</v>
      </c>
      <c r="C1803" s="5" t="s">
        <v>1035</v>
      </c>
      <c r="D1803" s="5" t="s">
        <v>1036</v>
      </c>
      <c r="E1803" s="5" t="s">
        <v>50</v>
      </c>
      <c r="F1803" s="9">
        <v>81</v>
      </c>
      <c r="G1803" s="9">
        <v>942</v>
      </c>
      <c r="H1803" s="5" t="s">
        <v>21</v>
      </c>
      <c r="I1803" s="5" t="s">
        <v>4449</v>
      </c>
      <c r="J1803" s="12" t="str">
        <f>HYPERLINK("https://www.boe.es/gazeta/dias/1800/10/07/pdfs/GMD-C-1800-81.pdf#page=24","Abrir facsímil")</f>
        <v>Abrir facsímil</v>
      </c>
      <c r="K1803" s="15" t="s">
        <v>23</v>
      </c>
    </row>
    <row r="1804" spans="1:11" ht="42" customHeight="1">
      <c r="A1804" s="4" t="s">
        <v>4447</v>
      </c>
      <c r="B1804" s="5" t="s">
        <v>4448</v>
      </c>
      <c r="C1804" s="5" t="s">
        <v>25</v>
      </c>
      <c r="D1804" s="5" t="s">
        <v>26</v>
      </c>
      <c r="E1804" s="5" t="s">
        <v>190</v>
      </c>
      <c r="F1804" s="9">
        <v>93</v>
      </c>
      <c r="G1804" s="9">
        <v>1068</v>
      </c>
      <c r="H1804" s="5" t="s">
        <v>21</v>
      </c>
      <c r="I1804" s="5" t="s">
        <v>4450</v>
      </c>
      <c r="J1804" s="12" t="str">
        <f>HYPERLINK("https://www.boe.es/gazeta/dias/1800/11/18/pdfs/GMD-1800-93.pdf#page=14","Abrir facsímil")</f>
        <v>Abrir facsímil</v>
      </c>
      <c r="K1804" s="15" t="s">
        <v>23</v>
      </c>
    </row>
    <row r="1805" spans="1:11" ht="42" customHeight="1">
      <c r="A1805" s="4" t="s">
        <v>4447</v>
      </c>
      <c r="B1805" s="5" t="s">
        <v>4448</v>
      </c>
      <c r="C1805" s="5" t="s">
        <v>18</v>
      </c>
      <c r="D1805" s="5" t="s">
        <v>19</v>
      </c>
      <c r="E1805" s="5" t="s">
        <v>329</v>
      </c>
      <c r="F1805" s="9">
        <v>99</v>
      </c>
      <c r="G1805" s="9">
        <v>1139</v>
      </c>
      <c r="H1805" s="5" t="s">
        <v>21</v>
      </c>
      <c r="I1805" s="5" t="s">
        <v>4451</v>
      </c>
      <c r="J1805" s="12" t="str">
        <f>HYPERLINK("https://www.boe.es/gazeta/dias/1800/12/09/pdfs/GMD-1800-99.pdf#page=7","Abrir facsímil")</f>
        <v>Abrir facsímil</v>
      </c>
      <c r="K1805" s="15" t="s">
        <v>23</v>
      </c>
    </row>
    <row r="1806" spans="1:11" ht="42" customHeight="1">
      <c r="A1806" s="4" t="s">
        <v>4452</v>
      </c>
      <c r="B1806" s="5" t="s">
        <v>4453</v>
      </c>
      <c r="C1806" s="5" t="s">
        <v>25</v>
      </c>
      <c r="D1806" s="5" t="s">
        <v>26</v>
      </c>
      <c r="E1806" s="5" t="s">
        <v>190</v>
      </c>
      <c r="F1806" s="9">
        <v>93</v>
      </c>
      <c r="G1806" s="9">
        <v>1068</v>
      </c>
      <c r="H1806" s="5" t="s">
        <v>21</v>
      </c>
      <c r="I1806" s="5" t="s">
        <v>4454</v>
      </c>
      <c r="J1806" s="12" t="str">
        <f>HYPERLINK("https://www.boe.es/gazeta/dias/1800/11/18/pdfs/GMD-1800-93.pdf#page=14","Abrir facsímil")</f>
        <v>Abrir facsímil</v>
      </c>
      <c r="K1806" s="15" t="s">
        <v>23</v>
      </c>
    </row>
    <row r="1807" spans="1:11" ht="42" customHeight="1">
      <c r="A1807" s="4" t="s">
        <v>4455</v>
      </c>
      <c r="B1807" s="5" t="s">
        <v>4456</v>
      </c>
      <c r="C1807" s="5" t="s">
        <v>207</v>
      </c>
      <c r="D1807" s="5" t="s">
        <v>55</v>
      </c>
      <c r="E1807" s="5" t="s">
        <v>279</v>
      </c>
      <c r="F1807" s="9">
        <v>103</v>
      </c>
      <c r="G1807" s="9">
        <v>1197</v>
      </c>
      <c r="H1807" s="5" t="s">
        <v>21</v>
      </c>
      <c r="I1807" s="5" t="s">
        <v>4457</v>
      </c>
      <c r="J1807" s="12" t="str">
        <f>HYPERLINK("https://www.boe.es/gazeta/dias/1800/12/23/pdfs/GMD-1800-103.pdf#page=9","Abrir facsímil")</f>
        <v>Abrir facsímil</v>
      </c>
      <c r="K1807" s="15" t="s">
        <v>23</v>
      </c>
    </row>
    <row r="1808" spans="1:11" ht="42" customHeight="1">
      <c r="A1808" s="4" t="s">
        <v>4458</v>
      </c>
      <c r="B1808" s="5" t="s">
        <v>4459</v>
      </c>
      <c r="C1808" s="5" t="s">
        <v>18</v>
      </c>
      <c r="D1808" s="5" t="s">
        <v>19</v>
      </c>
      <c r="E1808" s="5" t="s">
        <v>90</v>
      </c>
      <c r="F1808" s="9">
        <v>58</v>
      </c>
      <c r="G1808" s="9">
        <v>663</v>
      </c>
      <c r="H1808" s="5" t="s">
        <v>21</v>
      </c>
      <c r="I1808" s="5" t="s">
        <v>4460</v>
      </c>
      <c r="J1808" s="12" t="str">
        <f>HYPERLINK("https://www.boe.es/gazeta/dias/1800/07/22/pdfs/GMD-1800-58.pdf#page=11","Abrir facsímil")</f>
        <v>Abrir facsímil</v>
      </c>
      <c r="K1808" s="15" t="s">
        <v>23</v>
      </c>
    </row>
    <row r="1809" spans="1:11" ht="42" customHeight="1">
      <c r="A1809" s="4" t="s">
        <v>4461</v>
      </c>
      <c r="B1809" s="5" t="s">
        <v>4462</v>
      </c>
      <c r="C1809" s="5" t="s">
        <v>18</v>
      </c>
      <c r="D1809" s="5" t="s">
        <v>19</v>
      </c>
      <c r="E1809" s="5" t="s">
        <v>576</v>
      </c>
      <c r="F1809" s="9">
        <v>91</v>
      </c>
      <c r="G1809" s="9">
        <v>1067</v>
      </c>
      <c r="H1809" s="5" t="s">
        <v>21</v>
      </c>
      <c r="I1809" s="5" t="s">
        <v>4463</v>
      </c>
      <c r="J1809" s="12" t="str">
        <f>HYPERLINK("https://www.boe.es/gazeta/dias/1800/11/11/pdfs/GMD-1800-91.pdf#page=9","Abrir facsímil")</f>
        <v>Abrir facsímil</v>
      </c>
      <c r="K1809" s="15" t="s">
        <v>23</v>
      </c>
    </row>
    <row r="1810" spans="1:11" ht="42" customHeight="1">
      <c r="A1810" s="4" t="s">
        <v>4464</v>
      </c>
      <c r="B1810" s="5" t="s">
        <v>4465</v>
      </c>
      <c r="C1810" s="5" t="s">
        <v>171</v>
      </c>
      <c r="D1810" s="5" t="s">
        <v>172</v>
      </c>
      <c r="E1810" s="5" t="s">
        <v>90</v>
      </c>
      <c r="F1810" s="9">
        <v>58</v>
      </c>
      <c r="G1810" s="9">
        <v>667</v>
      </c>
      <c r="H1810" s="5" t="s">
        <v>21</v>
      </c>
      <c r="I1810" s="5" t="s">
        <v>4466</v>
      </c>
      <c r="J1810" s="12" t="str">
        <f>HYPERLINK("https://www.boe.es/gazeta/dias/1800/07/22/pdfs/GMD-C-1800-58.pdf#page=3","Abrir facsímil")</f>
        <v>Abrir facsímil</v>
      </c>
      <c r="K1810" s="15" t="s">
        <v>23</v>
      </c>
    </row>
    <row r="1811" spans="1:11" ht="42" customHeight="1">
      <c r="A1811" s="4" t="s">
        <v>4467</v>
      </c>
      <c r="B1811" s="5" t="s">
        <v>4468</v>
      </c>
      <c r="C1811" s="5" t="s">
        <v>54</v>
      </c>
      <c r="D1811" s="5" t="s">
        <v>55</v>
      </c>
      <c r="E1811" s="5" t="s">
        <v>572</v>
      </c>
      <c r="F1811" s="9">
        <v>76</v>
      </c>
      <c r="G1811" s="9">
        <v>868</v>
      </c>
      <c r="H1811" s="5" t="s">
        <v>21</v>
      </c>
      <c r="I1811" s="5" t="s">
        <v>4469</v>
      </c>
      <c r="J1811" s="12" t="str">
        <f>HYPERLINK("https://www.boe.es/gazeta/dias/1800/09/19/pdfs/GMD-1800-76.pdf#page=10","Abrir facsímil")</f>
        <v>Abrir facsímil</v>
      </c>
      <c r="K1811" s="15" t="s">
        <v>23</v>
      </c>
    </row>
    <row r="1812" spans="1:11" ht="42" customHeight="1">
      <c r="A1812" s="4" t="s">
        <v>4470</v>
      </c>
      <c r="B1812" s="5" t="s">
        <v>4471</v>
      </c>
      <c r="C1812" s="5" t="s">
        <v>25</v>
      </c>
      <c r="D1812" s="5" t="s">
        <v>26</v>
      </c>
      <c r="E1812" s="5" t="s">
        <v>787</v>
      </c>
      <c r="F1812" s="9">
        <v>6</v>
      </c>
      <c r="G1812" s="9">
        <v>59</v>
      </c>
      <c r="H1812" s="5" t="s">
        <v>21</v>
      </c>
      <c r="I1812" s="5" t="s">
        <v>4472</v>
      </c>
      <c r="J1812" s="12" t="str">
        <f>HYPERLINK("https://www.boe.es/gazeta/dias/1800/01/21/pdfs/GMD-1800-6.pdf#page=11","Abrir facsímil")</f>
        <v>Abrir facsímil</v>
      </c>
      <c r="K1812" s="15" t="s">
        <v>23</v>
      </c>
    </row>
    <row r="1813" spans="1:11" ht="42" customHeight="1">
      <c r="A1813" s="4" t="s">
        <v>4473</v>
      </c>
      <c r="B1813" s="5" t="s">
        <v>4474</v>
      </c>
      <c r="C1813" s="5" t="s">
        <v>18</v>
      </c>
      <c r="D1813" s="5" t="s">
        <v>19</v>
      </c>
      <c r="E1813" s="5" t="s">
        <v>255</v>
      </c>
      <c r="F1813" s="9">
        <v>75</v>
      </c>
      <c r="G1813" s="9">
        <v>855</v>
      </c>
      <c r="H1813" s="5" t="s">
        <v>21</v>
      </c>
      <c r="I1813" s="5" t="s">
        <v>4475</v>
      </c>
      <c r="J1813" s="12" t="str">
        <f>HYPERLINK("https://www.boe.es/gazeta/dias/1800/09/16/pdfs/GMD-1800-75.pdf#page=9","Abrir facsímil")</f>
        <v>Abrir facsímil</v>
      </c>
      <c r="K1813" s="15" t="s">
        <v>23</v>
      </c>
    </row>
    <row r="1814" spans="1:11" ht="42" customHeight="1">
      <c r="A1814" s="4" t="s">
        <v>4476</v>
      </c>
      <c r="B1814" s="5" t="s">
        <v>4477</v>
      </c>
      <c r="C1814" s="5" t="s">
        <v>18</v>
      </c>
      <c r="D1814" s="5" t="s">
        <v>19</v>
      </c>
      <c r="E1814" s="5" t="s">
        <v>139</v>
      </c>
      <c r="F1814" s="9">
        <v>2</v>
      </c>
      <c r="G1814" s="9">
        <v>17</v>
      </c>
      <c r="H1814" s="5" t="s">
        <v>21</v>
      </c>
      <c r="I1814" s="5" t="s">
        <v>4478</v>
      </c>
      <c r="J1814" s="12" t="str">
        <f>HYPERLINK("https://www.boe.es/gazeta/dias/1800/01/07/pdfs/GMD-1800-2.pdf#page=9","Abrir facsímil")</f>
        <v>Abrir facsímil</v>
      </c>
      <c r="K1814" s="15" t="s">
        <v>23</v>
      </c>
    </row>
    <row r="1815" spans="1:11" ht="42" customHeight="1">
      <c r="A1815" s="4" t="s">
        <v>4479</v>
      </c>
      <c r="B1815" s="5" t="s">
        <v>4480</v>
      </c>
      <c r="C1815" s="5" t="s">
        <v>18</v>
      </c>
      <c r="D1815" s="5" t="s">
        <v>19</v>
      </c>
      <c r="E1815" s="5" t="s">
        <v>673</v>
      </c>
      <c r="F1815" s="9">
        <v>89</v>
      </c>
      <c r="G1815" s="9">
        <v>1043</v>
      </c>
      <c r="H1815" s="5" t="s">
        <v>21</v>
      </c>
      <c r="I1815" s="5" t="s">
        <v>4481</v>
      </c>
      <c r="J1815" s="12" t="str">
        <f>HYPERLINK("https://www.boe.es/gazeta/dias/1800/11/04/pdfs/GMD-1800-89.pdf#page=9","Abrir facsímil")</f>
        <v>Abrir facsímil</v>
      </c>
      <c r="K1815" s="15" t="s">
        <v>23</v>
      </c>
    </row>
    <row r="1816" spans="1:11" ht="42" customHeight="1">
      <c r="A1816" s="4" t="s">
        <v>4482</v>
      </c>
      <c r="B1816" s="5" t="s">
        <v>4483</v>
      </c>
      <c r="C1816" s="5" t="s">
        <v>25</v>
      </c>
      <c r="D1816" s="5" t="s">
        <v>26</v>
      </c>
      <c r="E1816" s="5" t="s">
        <v>283</v>
      </c>
      <c r="F1816" s="9">
        <v>68</v>
      </c>
      <c r="G1816" s="9">
        <v>764</v>
      </c>
      <c r="H1816" s="5" t="s">
        <v>21</v>
      </c>
      <c r="I1816" s="5" t="s">
        <v>4484</v>
      </c>
      <c r="J1816" s="12" t="str">
        <f>HYPERLINK("https://www.boe.es/gazeta/dias/1800/08/26/pdfs/GMD-1800-68.pdf#page=8","Abrir facsímil")</f>
        <v>Abrir facsímil</v>
      </c>
      <c r="K1816" s="15" t="s">
        <v>23</v>
      </c>
    </row>
    <row r="1817" spans="1:11" ht="42" customHeight="1">
      <c r="A1817" s="4" t="s">
        <v>4485</v>
      </c>
      <c r="B1817" s="5" t="s">
        <v>4486</v>
      </c>
      <c r="C1817" s="5" t="s">
        <v>18</v>
      </c>
      <c r="D1817" s="5" t="s">
        <v>19</v>
      </c>
      <c r="E1817" s="5" t="s">
        <v>244</v>
      </c>
      <c r="F1817" s="9">
        <v>9</v>
      </c>
      <c r="G1817" s="9">
        <v>85</v>
      </c>
      <c r="H1817" s="5" t="s">
        <v>21</v>
      </c>
      <c r="I1817" s="5" t="s">
        <v>4487</v>
      </c>
      <c r="J1817" s="12" t="str">
        <f>HYPERLINK("https://www.boe.es/gazeta/dias/1800/01/31/pdfs/GMD-1800-9.pdf#page=9","Abrir facsímil")</f>
        <v>Abrir facsímil</v>
      </c>
      <c r="K1817" s="15" t="s">
        <v>23</v>
      </c>
    </row>
    <row r="1818" spans="1:11" ht="42" customHeight="1">
      <c r="A1818" s="4" t="s">
        <v>4488</v>
      </c>
      <c r="B1818" s="5" t="s">
        <v>4489</v>
      </c>
      <c r="C1818" s="5" t="s">
        <v>41</v>
      </c>
      <c r="D1818" s="5" t="s">
        <v>42</v>
      </c>
      <c r="E1818" s="5" t="s">
        <v>101</v>
      </c>
      <c r="F1818" s="9">
        <v>37</v>
      </c>
      <c r="G1818" s="9">
        <v>376</v>
      </c>
      <c r="H1818" s="5" t="s">
        <v>21</v>
      </c>
      <c r="I1818" s="5" t="s">
        <v>4490</v>
      </c>
      <c r="J1818" s="12" t="str">
        <f>HYPERLINK("https://www.boe.es/gazeta/dias/1800/05/09/pdfs/GMD-1800-37.pdf#page=8","Abrir facsímil")</f>
        <v>Abrir facsímil</v>
      </c>
      <c r="K1818" s="15" t="s">
        <v>23</v>
      </c>
    </row>
    <row r="1819" spans="1:11" ht="42" customHeight="1">
      <c r="A1819" s="4" t="s">
        <v>4491</v>
      </c>
      <c r="B1819" s="5" t="s">
        <v>4492</v>
      </c>
      <c r="C1819" s="5" t="s">
        <v>54</v>
      </c>
      <c r="D1819" s="5" t="s">
        <v>55</v>
      </c>
      <c r="E1819" s="5" t="s">
        <v>139</v>
      </c>
      <c r="F1819" s="9">
        <v>2</v>
      </c>
      <c r="G1819" s="9">
        <v>19</v>
      </c>
      <c r="H1819" s="5" t="s">
        <v>21</v>
      </c>
      <c r="I1819" s="5" t="s">
        <v>4493</v>
      </c>
      <c r="J1819" s="12" t="str">
        <f>HYPERLINK("https://www.boe.es/gazeta/dias/1800/01/07/pdfs/GMD-1800-2.pdf#page=11","Abrir facsímil")</f>
        <v>Abrir facsímil</v>
      </c>
      <c r="K1819" s="15" t="s">
        <v>23</v>
      </c>
    </row>
    <row r="1820" spans="1:11" ht="42" customHeight="1">
      <c r="A1820" s="4" t="s">
        <v>4494</v>
      </c>
      <c r="B1820" s="5" t="s">
        <v>4495</v>
      </c>
      <c r="C1820" s="5" t="s">
        <v>18</v>
      </c>
      <c r="D1820" s="5" t="s">
        <v>19</v>
      </c>
      <c r="E1820" s="5" t="s">
        <v>60</v>
      </c>
      <c r="F1820" s="9">
        <v>105</v>
      </c>
      <c r="G1820" s="9">
        <v>1226</v>
      </c>
      <c r="H1820" s="5" t="s">
        <v>21</v>
      </c>
      <c r="I1820" s="5" t="s">
        <v>4496</v>
      </c>
      <c r="J1820" s="12" t="str">
        <f>HYPERLINK("https://www.boe.es/gazeta/dias/1800/12/30/pdfs/GMD-1800-105.pdf#page=10","Abrir facsímil")</f>
        <v>Abrir facsímil</v>
      </c>
      <c r="K1820" s="15" t="s">
        <v>23</v>
      </c>
    </row>
    <row r="1821" spans="1:11" ht="42" customHeight="1">
      <c r="A1821" s="4" t="s">
        <v>4497</v>
      </c>
      <c r="B1821" s="5" t="s">
        <v>4498</v>
      </c>
      <c r="C1821" s="5" t="s">
        <v>18</v>
      </c>
      <c r="D1821" s="5" t="s">
        <v>19</v>
      </c>
      <c r="E1821" s="5" t="s">
        <v>158</v>
      </c>
      <c r="F1821" s="9">
        <v>25</v>
      </c>
      <c r="G1821" s="9">
        <v>256</v>
      </c>
      <c r="H1821" s="5" t="s">
        <v>21</v>
      </c>
      <c r="I1821" s="5" t="s">
        <v>4499</v>
      </c>
      <c r="J1821" s="12" t="str">
        <f>HYPERLINK("https://www.boe.es/gazeta/dias/1800/03/28/pdfs/GMD-1800-25.pdf#page=8","Abrir facsímil")</f>
        <v>Abrir facsímil</v>
      </c>
      <c r="K1821" s="15" t="s">
        <v>23</v>
      </c>
    </row>
    <row r="1822" spans="1:11" ht="42" customHeight="1">
      <c r="A1822" s="4" t="s">
        <v>4500</v>
      </c>
      <c r="B1822" s="5" t="s">
        <v>4501</v>
      </c>
      <c r="C1822" s="5" t="s">
        <v>54</v>
      </c>
      <c r="D1822" s="5" t="s">
        <v>55</v>
      </c>
      <c r="E1822" s="5" t="s">
        <v>143</v>
      </c>
      <c r="F1822" s="9">
        <v>22</v>
      </c>
      <c r="G1822" s="9">
        <v>222</v>
      </c>
      <c r="H1822" s="5" t="s">
        <v>21</v>
      </c>
      <c r="I1822" s="5" t="s">
        <v>4502</v>
      </c>
      <c r="J1822" s="12" t="str">
        <f>HYPERLINK("https://www.boe.es/gazeta/dias/1800/03/18/pdfs/GMD-1800-22.pdf#page=14","Abrir facsímil")</f>
        <v>Abrir facsímil</v>
      </c>
      <c r="K1822" s="15" t="s">
        <v>23</v>
      </c>
    </row>
    <row r="1823" spans="1:11" ht="42" customHeight="1">
      <c r="A1823" s="4" t="s">
        <v>4503</v>
      </c>
      <c r="B1823" s="5" t="s">
        <v>4504</v>
      </c>
      <c r="C1823" s="5" t="s">
        <v>18</v>
      </c>
      <c r="D1823" s="5" t="s">
        <v>19</v>
      </c>
      <c r="E1823" s="5" t="s">
        <v>27</v>
      </c>
      <c r="F1823" s="9">
        <v>65</v>
      </c>
      <c r="G1823" s="9">
        <v>733</v>
      </c>
      <c r="H1823" s="5" t="s">
        <v>21</v>
      </c>
      <c r="I1823" s="5" t="s">
        <v>4505</v>
      </c>
      <c r="J1823" s="12" t="str">
        <f>HYPERLINK("https://www.boe.es/gazeta/dias/1800/08/15/pdfs/GMD-1800-65.pdf#page=9","Abrir facsímil")</f>
        <v>Abrir facsímil</v>
      </c>
      <c r="K1823" s="15" t="s">
        <v>23</v>
      </c>
    </row>
    <row r="1824" spans="1:11" ht="42" customHeight="1">
      <c r="A1824" s="4" t="s">
        <v>4506</v>
      </c>
      <c r="B1824" s="5" t="s">
        <v>4507</v>
      </c>
      <c r="C1824" s="5" t="s">
        <v>25</v>
      </c>
      <c r="D1824" s="5" t="s">
        <v>26</v>
      </c>
      <c r="E1824" s="5" t="s">
        <v>131</v>
      </c>
      <c r="F1824" s="9">
        <v>8</v>
      </c>
      <c r="G1824" s="9">
        <v>76</v>
      </c>
      <c r="H1824" s="5" t="s">
        <v>21</v>
      </c>
      <c r="I1824" s="5" t="s">
        <v>4508</v>
      </c>
      <c r="J1824" s="12" t="str">
        <f>HYPERLINK("https://www.boe.es/gazeta/dias/1800/01/28/pdfs/GMD-1800-8.pdf#page=8","Abrir facsímil")</f>
        <v>Abrir facsímil</v>
      </c>
      <c r="K1824" s="15" t="s">
        <v>23</v>
      </c>
    </row>
    <row r="1825" spans="1:11" ht="42" customHeight="1">
      <c r="A1825" s="4" t="s">
        <v>4506</v>
      </c>
      <c r="B1825" s="5" t="s">
        <v>4507</v>
      </c>
      <c r="C1825" s="5" t="s">
        <v>207</v>
      </c>
      <c r="D1825" s="5" t="s">
        <v>55</v>
      </c>
      <c r="E1825" s="5" t="s">
        <v>240</v>
      </c>
      <c r="F1825" s="9">
        <v>26</v>
      </c>
      <c r="G1825" s="9">
        <v>270</v>
      </c>
      <c r="H1825" s="5" t="s">
        <v>21</v>
      </c>
      <c r="I1825" s="5" t="s">
        <v>4509</v>
      </c>
      <c r="J1825" s="12" t="str">
        <f>HYPERLINK("https://www.boe.es/gazeta/dias/1800/04/01/pdfs/GMD-1800-26.pdf#page=10","Abrir facsímil")</f>
        <v>Abrir facsímil</v>
      </c>
      <c r="K1825" s="15" t="s">
        <v>23</v>
      </c>
    </row>
    <row r="1826" spans="1:11" ht="42" customHeight="1">
      <c r="A1826" s="4" t="s">
        <v>4510</v>
      </c>
      <c r="B1826" s="5" t="s">
        <v>4511</v>
      </c>
      <c r="C1826" s="5" t="s">
        <v>18</v>
      </c>
      <c r="D1826" s="5" t="s">
        <v>19</v>
      </c>
      <c r="E1826" s="5" t="s">
        <v>600</v>
      </c>
      <c r="F1826" s="9">
        <v>45</v>
      </c>
      <c r="G1826" s="9">
        <v>474</v>
      </c>
      <c r="H1826" s="5" t="s">
        <v>21</v>
      </c>
      <c r="I1826" s="5" t="s">
        <v>4512</v>
      </c>
      <c r="J1826" s="12" t="str">
        <f>HYPERLINK("https://www.boe.es/gazeta/dias/1800/06/06/pdfs/GMD-1800-45.pdf#page=10","Abrir facsímil")</f>
        <v>Abrir facsímil</v>
      </c>
      <c r="K1826" s="15" t="s">
        <v>23</v>
      </c>
    </row>
    <row r="1827" spans="1:11" ht="42" customHeight="1">
      <c r="A1827" s="4" t="s">
        <v>4513</v>
      </c>
      <c r="B1827" s="5" t="s">
        <v>4514</v>
      </c>
      <c r="C1827" s="5" t="s">
        <v>25</v>
      </c>
      <c r="D1827" s="5" t="s">
        <v>26</v>
      </c>
      <c r="E1827" s="5" t="s">
        <v>595</v>
      </c>
      <c r="F1827" s="9">
        <v>72</v>
      </c>
      <c r="G1827" s="9">
        <v>798</v>
      </c>
      <c r="H1827" s="5" t="s">
        <v>21</v>
      </c>
      <c r="I1827" s="5" t="s">
        <v>4515</v>
      </c>
      <c r="J1827" s="12" t="str">
        <f>HYPERLINK("https://www.boe.es/gazeta/dias/1800/09/05/pdfs/GMD-1800-72.pdf#page=8","Abrir facsímil")</f>
        <v>Abrir facsímil</v>
      </c>
      <c r="K1827" s="15" t="s">
        <v>23</v>
      </c>
    </row>
    <row r="1828" spans="1:11" ht="42" customHeight="1">
      <c r="A1828" s="4" t="s">
        <v>4516</v>
      </c>
      <c r="B1828" s="5" t="s">
        <v>4517</v>
      </c>
      <c r="C1828" s="5" t="s">
        <v>18</v>
      </c>
      <c r="D1828" s="5" t="s">
        <v>19</v>
      </c>
      <c r="E1828" s="5" t="s">
        <v>52</v>
      </c>
      <c r="F1828" s="9">
        <v>83</v>
      </c>
      <c r="G1828" s="9">
        <v>963</v>
      </c>
      <c r="H1828" s="5" t="s">
        <v>21</v>
      </c>
      <c r="I1828" s="5" t="s">
        <v>4518</v>
      </c>
      <c r="J1828" s="12" t="str">
        <f>HYPERLINK("https://www.boe.es/gazeta/dias/1800/10/14/pdfs/GMD-1800-83.pdf#page=9","Abrir facsímil")</f>
        <v>Abrir facsímil</v>
      </c>
      <c r="K1828" s="15" t="s">
        <v>23</v>
      </c>
    </row>
    <row r="1829" spans="1:11" ht="42" customHeight="1">
      <c r="A1829" s="4" t="s">
        <v>4519</v>
      </c>
      <c r="B1829" s="5" t="s">
        <v>4520</v>
      </c>
      <c r="C1829" s="5" t="s">
        <v>18</v>
      </c>
      <c r="D1829" s="5" t="s">
        <v>19</v>
      </c>
      <c r="E1829" s="5" t="s">
        <v>190</v>
      </c>
      <c r="F1829" s="9">
        <v>93</v>
      </c>
      <c r="G1829" s="9">
        <v>1066</v>
      </c>
      <c r="H1829" s="5" t="s">
        <v>21</v>
      </c>
      <c r="I1829" s="5" t="s">
        <v>4521</v>
      </c>
      <c r="J1829" s="12" t="str">
        <f>HYPERLINK("https://www.boe.es/gazeta/dias/1800/11/18/pdfs/GMD-1800-93.pdf#page=12","Abrir facsímil")</f>
        <v>Abrir facsímil</v>
      </c>
      <c r="K1829" s="15" t="s">
        <v>23</v>
      </c>
    </row>
    <row r="1830" spans="1:11" ht="42" customHeight="1">
      <c r="A1830" s="4" t="s">
        <v>4522</v>
      </c>
      <c r="B1830" s="5" t="s">
        <v>4523</v>
      </c>
      <c r="C1830" s="5" t="s">
        <v>54</v>
      </c>
      <c r="D1830" s="5" t="s">
        <v>55</v>
      </c>
      <c r="E1830" s="5" t="s">
        <v>306</v>
      </c>
      <c r="F1830" s="9">
        <v>79</v>
      </c>
      <c r="G1830" s="9">
        <v>900</v>
      </c>
      <c r="H1830" s="5" t="s">
        <v>21</v>
      </c>
      <c r="I1830" s="5" t="s">
        <v>4524</v>
      </c>
      <c r="J1830" s="12" t="str">
        <f>HYPERLINK("https://www.boe.es/gazeta/dias/1800/09/30/pdfs/GMD-1800-79.pdf#page=10","Abrir facsímil")</f>
        <v>Abrir facsímil</v>
      </c>
      <c r="K1830" s="15" t="s">
        <v>23</v>
      </c>
    </row>
    <row r="1831" spans="1:11" ht="42" customHeight="1">
      <c r="A1831" s="4" t="s">
        <v>4525</v>
      </c>
      <c r="B1831" s="5" t="s">
        <v>4526</v>
      </c>
      <c r="C1831" s="5" t="s">
        <v>171</v>
      </c>
      <c r="D1831" s="5" t="s">
        <v>172</v>
      </c>
      <c r="E1831" s="5" t="s">
        <v>90</v>
      </c>
      <c r="F1831" s="9">
        <v>58</v>
      </c>
      <c r="G1831" s="9">
        <v>668</v>
      </c>
      <c r="H1831" s="5" t="s">
        <v>21</v>
      </c>
      <c r="I1831" s="5" t="s">
        <v>4527</v>
      </c>
      <c r="J1831" s="12" t="str">
        <f>HYPERLINK("https://www.boe.es/gazeta/dias/1800/07/22/pdfs/GMD-C-1800-58.pdf#page=4","Abrir facsímil")</f>
        <v>Abrir facsímil</v>
      </c>
      <c r="K1831" s="15" t="s">
        <v>23</v>
      </c>
    </row>
    <row r="1832" spans="1:11" ht="42" customHeight="1">
      <c r="A1832" s="4" t="s">
        <v>4528</v>
      </c>
      <c r="B1832" s="5" t="s">
        <v>4529</v>
      </c>
      <c r="C1832" s="5" t="s">
        <v>41</v>
      </c>
      <c r="D1832" s="5" t="s">
        <v>42</v>
      </c>
      <c r="E1832" s="5" t="s">
        <v>787</v>
      </c>
      <c r="F1832" s="9">
        <v>6</v>
      </c>
      <c r="G1832" s="9">
        <v>56</v>
      </c>
      <c r="H1832" s="5" t="s">
        <v>21</v>
      </c>
      <c r="I1832" s="5" t="s">
        <v>4530</v>
      </c>
      <c r="J1832" s="12" t="str">
        <f>HYPERLINK("https://www.boe.es/gazeta/dias/1800/01/21/pdfs/GMD-1800-6.pdf#page=8","Abrir facsímil")</f>
        <v>Abrir facsímil</v>
      </c>
      <c r="K1832" s="15" t="s">
        <v>23</v>
      </c>
    </row>
    <row r="1833" spans="1:11" ht="42" customHeight="1">
      <c r="A1833" s="4" t="s">
        <v>4531</v>
      </c>
      <c r="B1833" s="5" t="s">
        <v>4532</v>
      </c>
      <c r="C1833" s="5" t="s">
        <v>18</v>
      </c>
      <c r="D1833" s="5" t="s">
        <v>19</v>
      </c>
      <c r="E1833" s="5" t="s">
        <v>262</v>
      </c>
      <c r="F1833" s="9">
        <v>39</v>
      </c>
      <c r="G1833" s="9">
        <v>401</v>
      </c>
      <c r="H1833" s="5" t="s">
        <v>21</v>
      </c>
      <c r="I1833" s="5" t="s">
        <v>4533</v>
      </c>
      <c r="J1833" s="12" t="str">
        <f>HYPERLINK("https://www.boe.es/gazeta/dias/1800/05/16/pdfs/GMD-1800-39.pdf#page=9","Abrir facsímil")</f>
        <v>Abrir facsímil</v>
      </c>
      <c r="K1833" s="15" t="s">
        <v>23</v>
      </c>
    </row>
    <row r="1834" spans="1:11" ht="42" customHeight="1">
      <c r="A1834" s="4" t="s">
        <v>4534</v>
      </c>
      <c r="B1834" s="5" t="s">
        <v>4535</v>
      </c>
      <c r="C1834" s="5" t="s">
        <v>25</v>
      </c>
      <c r="D1834" s="5" t="s">
        <v>26</v>
      </c>
      <c r="E1834" s="5" t="s">
        <v>420</v>
      </c>
      <c r="F1834" s="9">
        <v>38</v>
      </c>
      <c r="G1834" s="9">
        <v>388</v>
      </c>
      <c r="H1834" s="5" t="s">
        <v>21</v>
      </c>
      <c r="I1834" s="5" t="s">
        <v>4536</v>
      </c>
      <c r="J1834" s="12" t="str">
        <f>HYPERLINK("https://www.boe.es/gazeta/dias/1800/05/13/pdfs/GMD-1800-38.pdf#page=8","Abrir facsímil")</f>
        <v>Abrir facsímil</v>
      </c>
      <c r="K1834" s="15" t="s">
        <v>23</v>
      </c>
    </row>
    <row r="1835" spans="1:11" ht="42" customHeight="1">
      <c r="A1835" s="4" t="s">
        <v>4537</v>
      </c>
      <c r="B1835" s="5" t="s">
        <v>4538</v>
      </c>
      <c r="C1835" s="5" t="s">
        <v>207</v>
      </c>
      <c r="D1835" s="5" t="s">
        <v>55</v>
      </c>
      <c r="E1835" s="5" t="s">
        <v>255</v>
      </c>
      <c r="F1835" s="9">
        <v>75</v>
      </c>
      <c r="G1835" s="9">
        <v>854</v>
      </c>
      <c r="H1835" s="5" t="s">
        <v>21</v>
      </c>
      <c r="I1835" s="5" t="s">
        <v>4539</v>
      </c>
      <c r="J1835" s="12" t="str">
        <f>HYPERLINK("https://www.boe.es/gazeta/dias/1800/09/16/pdfs/GMD-1800-75.pdf#page=8","Abrir facsímil")</f>
        <v>Abrir facsímil</v>
      </c>
      <c r="K1835" s="15" t="s">
        <v>23</v>
      </c>
    </row>
    <row r="1836" spans="1:11" ht="42" customHeight="1">
      <c r="A1836" s="4" t="s">
        <v>4540</v>
      </c>
      <c r="B1836" s="5" t="s">
        <v>4541</v>
      </c>
      <c r="C1836" s="5" t="s">
        <v>18</v>
      </c>
      <c r="D1836" s="5" t="s">
        <v>19</v>
      </c>
      <c r="E1836" s="5" t="s">
        <v>75</v>
      </c>
      <c r="F1836" s="9">
        <v>64</v>
      </c>
      <c r="G1836" s="9">
        <v>733</v>
      </c>
      <c r="H1836" s="5" t="s">
        <v>21</v>
      </c>
      <c r="I1836" s="5" t="s">
        <v>4542</v>
      </c>
      <c r="J1836" s="12" t="str">
        <f>HYPERLINK("https://www.boe.es/gazeta/dias/1800/08/12/pdfs/GMD-1800-64.pdf#page=9","Abrir facsímil")</f>
        <v>Abrir facsímil</v>
      </c>
      <c r="K1836" s="15" t="s">
        <v>23</v>
      </c>
    </row>
    <row r="1837" spans="1:11" ht="42" customHeight="1">
      <c r="A1837" s="4" t="s">
        <v>4543</v>
      </c>
      <c r="B1837" s="5" t="s">
        <v>4544</v>
      </c>
      <c r="C1837" s="5" t="s">
        <v>18</v>
      </c>
      <c r="D1837" s="5" t="s">
        <v>19</v>
      </c>
      <c r="E1837" s="5" t="s">
        <v>190</v>
      </c>
      <c r="F1837" s="9">
        <v>93</v>
      </c>
      <c r="G1837" s="9">
        <v>1066</v>
      </c>
      <c r="H1837" s="5" t="s">
        <v>21</v>
      </c>
      <c r="I1837" s="5" t="s">
        <v>4545</v>
      </c>
      <c r="J1837" s="12" t="str">
        <f>HYPERLINK("https://www.boe.es/gazeta/dias/1800/11/18/pdfs/GMD-1800-93.pdf#page=12","Abrir facsímil")</f>
        <v>Abrir facsímil</v>
      </c>
      <c r="K1837" s="15" t="s">
        <v>23</v>
      </c>
    </row>
    <row r="1838" spans="1:11" ht="42" customHeight="1">
      <c r="A1838" s="4" t="s">
        <v>4546</v>
      </c>
      <c r="B1838" s="5" t="s">
        <v>4547</v>
      </c>
      <c r="C1838" s="5" t="s">
        <v>25</v>
      </c>
      <c r="D1838" s="5" t="s">
        <v>26</v>
      </c>
      <c r="E1838" s="5" t="s">
        <v>618</v>
      </c>
      <c r="F1838" s="9">
        <v>1</v>
      </c>
      <c r="G1838" s="9">
        <v>6</v>
      </c>
      <c r="H1838" s="5" t="s">
        <v>21</v>
      </c>
      <c r="I1838" s="5" t="s">
        <v>4548</v>
      </c>
      <c r="J1838" s="12" t="str">
        <f>HYPERLINK("https://www.boe.es/gazeta/dias/1800/01/03/pdfs/GMD-1800-1.pdf#page=6","Abrir facsímil")</f>
        <v>Abrir facsímil</v>
      </c>
      <c r="K1838" s="15" t="s">
        <v>23</v>
      </c>
    </row>
    <row r="1839" spans="1:11" ht="42" customHeight="1">
      <c r="A1839" s="4" t="s">
        <v>4549</v>
      </c>
      <c r="B1839" s="5" t="s">
        <v>4550</v>
      </c>
      <c r="C1839" s="5" t="s">
        <v>18</v>
      </c>
      <c r="D1839" s="5" t="s">
        <v>19</v>
      </c>
      <c r="E1839" s="5" t="s">
        <v>101</v>
      </c>
      <c r="F1839" s="9">
        <v>37</v>
      </c>
      <c r="G1839" s="9">
        <v>377</v>
      </c>
      <c r="H1839" s="5" t="s">
        <v>21</v>
      </c>
      <c r="I1839" s="5" t="s">
        <v>4551</v>
      </c>
      <c r="J1839" s="12" t="str">
        <f>HYPERLINK("https://www.boe.es/gazeta/dias/1800/05/09/pdfs/GMD-1800-37.pdf#page=9","Abrir facsímil")</f>
        <v>Abrir facsímil</v>
      </c>
      <c r="K1839" s="15" t="s">
        <v>23</v>
      </c>
    </row>
    <row r="1840" spans="1:11" ht="42" customHeight="1">
      <c r="A1840" s="4" t="s">
        <v>4552</v>
      </c>
      <c r="B1840" s="5" t="s">
        <v>4553</v>
      </c>
      <c r="C1840" s="5" t="s">
        <v>41</v>
      </c>
      <c r="D1840" s="5" t="s">
        <v>42</v>
      </c>
      <c r="E1840" s="5" t="s">
        <v>101</v>
      </c>
      <c r="F1840" s="9">
        <v>37</v>
      </c>
      <c r="G1840" s="9">
        <v>376</v>
      </c>
      <c r="H1840" s="5" t="s">
        <v>21</v>
      </c>
      <c r="I1840" s="5" t="s">
        <v>4554</v>
      </c>
      <c r="J1840" s="12" t="str">
        <f>HYPERLINK("https://www.boe.es/gazeta/dias/1800/05/09/pdfs/GMD-1800-37.pdf#page=8","Abrir facsímil")</f>
        <v>Abrir facsímil</v>
      </c>
      <c r="K1840" s="15" t="s">
        <v>23</v>
      </c>
    </row>
    <row r="1841" spans="1:11" ht="42" customHeight="1">
      <c r="A1841" s="4" t="s">
        <v>4552</v>
      </c>
      <c r="B1841" s="5" t="s">
        <v>4553</v>
      </c>
      <c r="C1841" s="5" t="s">
        <v>25</v>
      </c>
      <c r="D1841" s="5" t="s">
        <v>26</v>
      </c>
      <c r="E1841" s="5" t="s">
        <v>101</v>
      </c>
      <c r="F1841" s="9">
        <v>37</v>
      </c>
      <c r="G1841" s="9">
        <v>377</v>
      </c>
      <c r="H1841" s="5" t="s">
        <v>21</v>
      </c>
      <c r="I1841" s="5" t="s">
        <v>4555</v>
      </c>
      <c r="J1841" s="12" t="str">
        <f>HYPERLINK("https://www.boe.es/gazeta/dias/1800/05/09/pdfs/GMD-1800-37.pdf#page=9","Abrir facsímil")</f>
        <v>Abrir facsímil</v>
      </c>
      <c r="K1841" s="15" t="s">
        <v>23</v>
      </c>
    </row>
    <row r="1842" spans="1:11" ht="42" customHeight="1">
      <c r="A1842" s="4" t="s">
        <v>4556</v>
      </c>
      <c r="B1842" s="5" t="s">
        <v>4557</v>
      </c>
      <c r="C1842" s="5" t="s">
        <v>1035</v>
      </c>
      <c r="D1842" s="5" t="s">
        <v>1036</v>
      </c>
      <c r="E1842" s="5" t="s">
        <v>50</v>
      </c>
      <c r="F1842" s="9">
        <v>81</v>
      </c>
      <c r="G1842" s="9">
        <v>942</v>
      </c>
      <c r="H1842" s="5" t="s">
        <v>21</v>
      </c>
      <c r="I1842" s="5" t="s">
        <v>4558</v>
      </c>
      <c r="J1842" s="12" t="str">
        <f>HYPERLINK("https://www.boe.es/gazeta/dias/1800/10/07/pdfs/GMD-C-1800-81.pdf#page=24","Abrir facsímil")</f>
        <v>Abrir facsímil</v>
      </c>
      <c r="K1842" s="15" t="s">
        <v>23</v>
      </c>
    </row>
    <row r="1843" spans="1:11" ht="42" customHeight="1">
      <c r="A1843" s="4" t="s">
        <v>4559</v>
      </c>
      <c r="B1843" s="5" t="s">
        <v>4560</v>
      </c>
      <c r="C1843" s="5" t="s">
        <v>54</v>
      </c>
      <c r="D1843" s="5" t="s">
        <v>55</v>
      </c>
      <c r="E1843" s="5" t="s">
        <v>534</v>
      </c>
      <c r="F1843" s="9">
        <v>100</v>
      </c>
      <c r="G1843" s="9">
        <v>1162</v>
      </c>
      <c r="H1843" s="5" t="s">
        <v>21</v>
      </c>
      <c r="I1843" s="5" t="s">
        <v>4561</v>
      </c>
      <c r="J1843" s="12" t="str">
        <f>HYPERLINK("https://www.boe.es/gazeta/dias/1800/12/12/pdfs/GMD-1800-100.pdf#page=14","Abrir facsímil")</f>
        <v>Abrir facsímil</v>
      </c>
      <c r="K1843" s="15" t="s">
        <v>23</v>
      </c>
    </row>
    <row r="1844" spans="1:11" ht="42" customHeight="1">
      <c r="A1844" s="4" t="s">
        <v>4562</v>
      </c>
      <c r="B1844" s="5" t="s">
        <v>4563</v>
      </c>
      <c r="C1844" s="5" t="s">
        <v>207</v>
      </c>
      <c r="D1844" s="5" t="s">
        <v>55</v>
      </c>
      <c r="E1844" s="5" t="s">
        <v>279</v>
      </c>
      <c r="F1844" s="9">
        <v>103</v>
      </c>
      <c r="G1844" s="9">
        <v>1198</v>
      </c>
      <c r="H1844" s="5" t="s">
        <v>21</v>
      </c>
      <c r="I1844" s="5" t="s">
        <v>4564</v>
      </c>
      <c r="J1844" s="12" t="str">
        <f>HYPERLINK("https://www.boe.es/gazeta/dias/1800/12/23/pdfs/GMD-1800-103.pdf#page=10","Abrir facsímil")</f>
        <v>Abrir facsímil</v>
      </c>
      <c r="K1844" s="15" t="s">
        <v>23</v>
      </c>
    </row>
    <row r="1845" spans="1:11" ht="42" customHeight="1">
      <c r="A1845" s="4" t="s">
        <v>4565</v>
      </c>
      <c r="B1845" s="5" t="s">
        <v>4566</v>
      </c>
      <c r="C1845" s="5" t="s">
        <v>18</v>
      </c>
      <c r="D1845" s="5" t="s">
        <v>19</v>
      </c>
      <c r="E1845" s="5" t="s">
        <v>120</v>
      </c>
      <c r="F1845" s="9">
        <v>52</v>
      </c>
      <c r="G1845" s="9">
        <v>575</v>
      </c>
      <c r="H1845" s="5" t="s">
        <v>21</v>
      </c>
      <c r="I1845" s="5" t="s">
        <v>4567</v>
      </c>
      <c r="J1845" s="12" t="str">
        <f>HYPERLINK("https://www.boe.es/gazeta/dias/1800/07/01/pdfs/GMD-1800-52.pdf#page=11","Abrir facsímil")</f>
        <v>Abrir facsímil</v>
      </c>
      <c r="K1845" s="15" t="s">
        <v>23</v>
      </c>
    </row>
    <row r="1846" spans="1:11" ht="42" customHeight="1">
      <c r="A1846" s="4" t="s">
        <v>4568</v>
      </c>
      <c r="B1846" s="5" t="s">
        <v>4569</v>
      </c>
      <c r="C1846" s="5" t="s">
        <v>18</v>
      </c>
      <c r="D1846" s="5" t="s">
        <v>19</v>
      </c>
      <c r="E1846" s="5" t="s">
        <v>567</v>
      </c>
      <c r="F1846" s="9">
        <v>3</v>
      </c>
      <c r="G1846" s="9">
        <v>27</v>
      </c>
      <c r="H1846" s="5" t="s">
        <v>21</v>
      </c>
      <c r="I1846" s="5" t="s">
        <v>4570</v>
      </c>
      <c r="J1846" s="12" t="str">
        <f>HYPERLINK("https://www.boe.es/gazeta/dias/1800/01/10/pdfs/GMD-1800-3.pdf#page=7","Abrir facsímil")</f>
        <v>Abrir facsímil</v>
      </c>
      <c r="K1846" s="15" t="s">
        <v>23</v>
      </c>
    </row>
    <row r="1847" spans="1:11" ht="42" customHeight="1">
      <c r="A1847" s="4" t="s">
        <v>4571</v>
      </c>
      <c r="B1847" s="5" t="s">
        <v>4572</v>
      </c>
      <c r="C1847" s="5" t="s">
        <v>18</v>
      </c>
      <c r="D1847" s="5" t="s">
        <v>19</v>
      </c>
      <c r="E1847" s="5" t="s">
        <v>48</v>
      </c>
      <c r="F1847" s="9">
        <v>66</v>
      </c>
      <c r="G1847" s="9">
        <v>746</v>
      </c>
      <c r="H1847" s="5" t="s">
        <v>21</v>
      </c>
      <c r="I1847" s="5" t="s">
        <v>4573</v>
      </c>
      <c r="J1847" s="12" t="str">
        <f>HYPERLINK("https://www.boe.es/gazeta/dias/1800/08/19/pdfs/GMD-1800-66.pdf#page=10","Abrir facsímil")</f>
        <v>Abrir facsímil</v>
      </c>
      <c r="K1847" s="15" t="s">
        <v>23</v>
      </c>
    </row>
    <row r="1848" spans="1:11" ht="42" customHeight="1">
      <c r="A1848" s="4" t="s">
        <v>4574</v>
      </c>
      <c r="B1848" s="5" t="s">
        <v>4575</v>
      </c>
      <c r="C1848" s="5" t="s">
        <v>54</v>
      </c>
      <c r="D1848" s="5" t="s">
        <v>55</v>
      </c>
      <c r="E1848" s="5" t="s">
        <v>158</v>
      </c>
      <c r="F1848" s="9">
        <v>25</v>
      </c>
      <c r="G1848" s="9">
        <v>259</v>
      </c>
      <c r="H1848" s="5" t="s">
        <v>21</v>
      </c>
      <c r="I1848" s="5" t="s">
        <v>4576</v>
      </c>
      <c r="J1848" s="12" t="str">
        <f>HYPERLINK("https://www.boe.es/gazeta/dias/1800/03/28/pdfs/GMD-1800-25.pdf#page=11","Abrir facsímil")</f>
        <v>Abrir facsímil</v>
      </c>
      <c r="K1848" s="15" t="s">
        <v>23</v>
      </c>
    </row>
    <row r="1849" spans="1:11" ht="42" customHeight="1">
      <c r="A1849" s="4" t="s">
        <v>4577</v>
      </c>
      <c r="B1849" s="5" t="s">
        <v>4578</v>
      </c>
      <c r="C1849" s="5" t="s">
        <v>18</v>
      </c>
      <c r="D1849" s="5" t="s">
        <v>19</v>
      </c>
      <c r="E1849" s="5" t="s">
        <v>1108</v>
      </c>
      <c r="F1849" s="9">
        <v>30</v>
      </c>
      <c r="G1849" s="9">
        <v>307</v>
      </c>
      <c r="H1849" s="5" t="s">
        <v>21</v>
      </c>
      <c r="I1849" s="5" t="s">
        <v>4579</v>
      </c>
      <c r="J1849" s="12" t="str">
        <f>HYPERLINK("https://www.boe.es/gazeta/dias/1800/04/15/pdfs/GMD-1800-30.pdf#page=7","Abrir facsímil")</f>
        <v>Abrir facsímil</v>
      </c>
      <c r="K1849" s="15" t="s">
        <v>23</v>
      </c>
    </row>
    <row r="1850" spans="1:11" ht="42" customHeight="1">
      <c r="A1850" s="4" t="s">
        <v>4580</v>
      </c>
      <c r="B1850" s="5" t="s">
        <v>4581</v>
      </c>
      <c r="C1850" s="5" t="s">
        <v>18</v>
      </c>
      <c r="D1850" s="5" t="s">
        <v>19</v>
      </c>
      <c r="E1850" s="5" t="s">
        <v>218</v>
      </c>
      <c r="F1850" s="9">
        <v>5</v>
      </c>
      <c r="G1850" s="9">
        <v>47</v>
      </c>
      <c r="H1850" s="5" t="s">
        <v>21</v>
      </c>
      <c r="I1850" s="5" t="s">
        <v>4582</v>
      </c>
      <c r="J1850" s="12" t="str">
        <f>HYPERLINK("https://www.boe.es/gazeta/dias/1800/01/17/pdfs/GMD-1800-5.pdf#page=7","Abrir facsímil")</f>
        <v>Abrir facsímil</v>
      </c>
      <c r="K1850" s="15" t="s">
        <v>23</v>
      </c>
    </row>
    <row r="1851" spans="1:11" ht="42" customHeight="1">
      <c r="A1851" s="4" t="s">
        <v>4583</v>
      </c>
      <c r="B1851" s="5" t="s">
        <v>4584</v>
      </c>
      <c r="C1851" s="5" t="s">
        <v>18</v>
      </c>
      <c r="D1851" s="5" t="s">
        <v>19</v>
      </c>
      <c r="E1851" s="5" t="s">
        <v>154</v>
      </c>
      <c r="F1851" s="9">
        <v>61</v>
      </c>
      <c r="G1851" s="9">
        <v>697</v>
      </c>
      <c r="H1851" s="5" t="s">
        <v>21</v>
      </c>
      <c r="I1851" s="5" t="s">
        <v>4585</v>
      </c>
      <c r="J1851" s="12" t="str">
        <f>HYPERLINK("https://www.boe.es/gazeta/dias/1800/08/01/pdfs/GMD-1800-61.pdf#page=9","Abrir facsímil")</f>
        <v>Abrir facsímil</v>
      </c>
      <c r="K1851" s="15" t="s">
        <v>23</v>
      </c>
    </row>
    <row r="1852" spans="1:11" ht="42" customHeight="1">
      <c r="A1852" s="4" t="s">
        <v>4586</v>
      </c>
      <c r="B1852" s="5" t="s">
        <v>4587</v>
      </c>
      <c r="C1852" s="5" t="s">
        <v>25</v>
      </c>
      <c r="D1852" s="5" t="s">
        <v>26</v>
      </c>
      <c r="E1852" s="5" t="s">
        <v>48</v>
      </c>
      <c r="F1852" s="9">
        <v>66</v>
      </c>
      <c r="G1852" s="9">
        <v>747</v>
      </c>
      <c r="H1852" s="5" t="s">
        <v>21</v>
      </c>
      <c r="I1852" s="5" t="s">
        <v>4588</v>
      </c>
      <c r="J1852" s="12" t="str">
        <f>HYPERLINK("https://www.boe.es/gazeta/dias/1800/08/19/pdfs/GMD-1800-66.pdf#page=11","Abrir facsímil")</f>
        <v>Abrir facsímil</v>
      </c>
      <c r="K1852" s="15" t="s">
        <v>23</v>
      </c>
    </row>
    <row r="1853" spans="1:11" ht="42" customHeight="1">
      <c r="A1853" s="4" t="s">
        <v>4589</v>
      </c>
      <c r="B1853" s="5" t="s">
        <v>4590</v>
      </c>
      <c r="C1853" s="5" t="s">
        <v>18</v>
      </c>
      <c r="D1853" s="5" t="s">
        <v>19</v>
      </c>
      <c r="E1853" s="5" t="s">
        <v>583</v>
      </c>
      <c r="F1853" s="9">
        <v>77</v>
      </c>
      <c r="G1853" s="9">
        <v>880</v>
      </c>
      <c r="H1853" s="5" t="s">
        <v>21</v>
      </c>
      <c r="I1853" s="5" t="s">
        <v>4591</v>
      </c>
      <c r="J1853" s="12" t="str">
        <f>HYPERLINK("https://www.boe.es/gazeta/dias/1800/09/23/pdfs/GMD-1800-77.pdf#page=10","Abrir facsímil")</f>
        <v>Abrir facsímil</v>
      </c>
      <c r="K1853" s="15" t="s">
        <v>23</v>
      </c>
    </row>
    <row r="1854" spans="1:11" ht="42" customHeight="1">
      <c r="A1854" s="4" t="s">
        <v>4592</v>
      </c>
      <c r="B1854" s="5" t="s">
        <v>4593</v>
      </c>
      <c r="C1854" s="5" t="s">
        <v>18</v>
      </c>
      <c r="D1854" s="5" t="s">
        <v>19</v>
      </c>
      <c r="E1854" s="5" t="s">
        <v>478</v>
      </c>
      <c r="F1854" s="9">
        <v>34</v>
      </c>
      <c r="G1854" s="9">
        <v>346</v>
      </c>
      <c r="H1854" s="5" t="s">
        <v>21</v>
      </c>
      <c r="I1854" s="5" t="s">
        <v>4594</v>
      </c>
      <c r="J1854" s="12" t="str">
        <f>HYPERLINK("https://www.boe.es/gazeta/dias/1800/04/29/pdfs/GMD-1800-34.pdf#page=10","Abrir facsímil")</f>
        <v>Abrir facsímil</v>
      </c>
      <c r="K1854" s="15" t="s">
        <v>23</v>
      </c>
    </row>
    <row r="1855" spans="1:11" ht="42" customHeight="1">
      <c r="A1855" s="4" t="s">
        <v>4595</v>
      </c>
      <c r="B1855" s="5" t="s">
        <v>4596</v>
      </c>
      <c r="C1855" s="5" t="s">
        <v>84</v>
      </c>
      <c r="D1855" s="5" t="s">
        <v>85</v>
      </c>
      <c r="E1855" s="5" t="s">
        <v>194</v>
      </c>
      <c r="F1855" s="9">
        <v>48</v>
      </c>
      <c r="G1855" s="9">
        <v>516</v>
      </c>
      <c r="H1855" s="5" t="s">
        <v>21</v>
      </c>
      <c r="I1855" s="5" t="s">
        <v>4597</v>
      </c>
      <c r="J1855" s="12" t="str">
        <f>HYPERLINK("https://www.boe.es/gazeta/dias/1800/06/17/pdfs/GMD-1800-48.pdf#page=8","Abrir facsímil")</f>
        <v>Abrir facsímil</v>
      </c>
      <c r="K1855" s="15" t="s">
        <v>23</v>
      </c>
    </row>
    <row r="1856" spans="1:11" ht="42" customHeight="1">
      <c r="A1856" s="4" t="s">
        <v>4598</v>
      </c>
      <c r="B1856" s="5" t="s">
        <v>4599</v>
      </c>
      <c r="C1856" s="5" t="s">
        <v>18</v>
      </c>
      <c r="D1856" s="5" t="s">
        <v>19</v>
      </c>
      <c r="E1856" s="5" t="s">
        <v>615</v>
      </c>
      <c r="F1856" s="9">
        <v>95</v>
      </c>
      <c r="G1856" s="9">
        <v>1090</v>
      </c>
      <c r="H1856" s="5" t="s">
        <v>21</v>
      </c>
      <c r="I1856" s="5" t="s">
        <v>4600</v>
      </c>
      <c r="J1856" s="12" t="str">
        <f>HYPERLINK("https://www.boe.es/gazeta/dias/1800/11/25/pdfs/GMD-1800-95.pdf#page=8","Abrir facsímil")</f>
        <v>Abrir facsímil</v>
      </c>
      <c r="K1856" s="15" t="s">
        <v>23</v>
      </c>
    </row>
    <row r="1857" spans="1:11" ht="42" customHeight="1">
      <c r="A1857" s="4" t="s">
        <v>4601</v>
      </c>
      <c r="B1857" s="5" t="s">
        <v>4602</v>
      </c>
      <c r="C1857" s="5" t="s">
        <v>25</v>
      </c>
      <c r="D1857" s="5" t="s">
        <v>26</v>
      </c>
      <c r="E1857" s="5" t="s">
        <v>618</v>
      </c>
      <c r="F1857" s="9">
        <v>1</v>
      </c>
      <c r="G1857" s="9">
        <v>6</v>
      </c>
      <c r="H1857" s="5" t="s">
        <v>21</v>
      </c>
      <c r="I1857" s="5" t="s">
        <v>4603</v>
      </c>
      <c r="J1857" s="12" t="str">
        <f>HYPERLINK("https://www.boe.es/gazeta/dias/1800/01/03/pdfs/GMD-1800-1.pdf#page=6","Abrir facsímil")</f>
        <v>Abrir facsímil</v>
      </c>
      <c r="K1857" s="15" t="s">
        <v>23</v>
      </c>
    </row>
    <row r="1858" spans="1:11" ht="42" customHeight="1">
      <c r="A1858" s="4" t="s">
        <v>4604</v>
      </c>
      <c r="B1858" s="5" t="s">
        <v>4605</v>
      </c>
      <c r="C1858" s="5" t="s">
        <v>18</v>
      </c>
      <c r="D1858" s="5" t="s">
        <v>19</v>
      </c>
      <c r="E1858" s="5" t="s">
        <v>618</v>
      </c>
      <c r="F1858" s="9">
        <v>1</v>
      </c>
      <c r="G1858" s="9">
        <v>7</v>
      </c>
      <c r="H1858" s="5" t="s">
        <v>21</v>
      </c>
      <c r="I1858" s="5" t="s">
        <v>4606</v>
      </c>
      <c r="J1858" s="12" t="str">
        <f>HYPERLINK("https://www.boe.es/gazeta/dias/1800/01/03/pdfs/GMD-1800-1.pdf#page=7","Abrir facsímil")</f>
        <v>Abrir facsímil</v>
      </c>
      <c r="K1858" s="15" t="s">
        <v>23</v>
      </c>
    </row>
    <row r="1859" spans="1:11" ht="42" customHeight="1">
      <c r="A1859" s="4" t="s">
        <v>4607</v>
      </c>
      <c r="B1859" s="5" t="s">
        <v>4608</v>
      </c>
      <c r="C1859" s="5" t="s">
        <v>18</v>
      </c>
      <c r="D1859" s="5" t="s">
        <v>19</v>
      </c>
      <c r="E1859" s="5" t="s">
        <v>420</v>
      </c>
      <c r="F1859" s="9">
        <v>38</v>
      </c>
      <c r="G1859" s="9">
        <v>388</v>
      </c>
      <c r="H1859" s="5" t="s">
        <v>21</v>
      </c>
      <c r="I1859" s="5" t="s">
        <v>4609</v>
      </c>
      <c r="J1859" s="12" t="str">
        <f>HYPERLINK("https://www.boe.es/gazeta/dias/1800/05/13/pdfs/GMD-1800-38.pdf#page=8","Abrir facsímil")</f>
        <v>Abrir facsímil</v>
      </c>
      <c r="K1859" s="15" t="s">
        <v>23</v>
      </c>
    </row>
    <row r="1860" spans="1:11" ht="42" customHeight="1">
      <c r="A1860" s="4" t="s">
        <v>4610</v>
      </c>
      <c r="B1860" s="5" t="s">
        <v>4611</v>
      </c>
      <c r="C1860" s="5" t="s">
        <v>25</v>
      </c>
      <c r="D1860" s="5" t="s">
        <v>26</v>
      </c>
      <c r="E1860" s="5" t="s">
        <v>346</v>
      </c>
      <c r="F1860" s="9">
        <v>24</v>
      </c>
      <c r="G1860" s="9">
        <v>244</v>
      </c>
      <c r="H1860" s="5" t="s">
        <v>21</v>
      </c>
      <c r="I1860" s="5" t="s">
        <v>4612</v>
      </c>
      <c r="J1860" s="12" t="str">
        <f>HYPERLINK("https://www.boe.es/gazeta/dias/1800/03/25/pdfs/GMD-1800-24.pdf#page=8","Abrir facsímil")</f>
        <v>Abrir facsímil</v>
      </c>
      <c r="K1860" s="15" t="s">
        <v>23</v>
      </c>
    </row>
    <row r="1861" spans="1:11" ht="42" customHeight="1">
      <c r="A1861" s="4" t="s">
        <v>4613</v>
      </c>
      <c r="B1861" s="5" t="s">
        <v>4614</v>
      </c>
      <c r="C1861" s="5" t="s">
        <v>18</v>
      </c>
      <c r="D1861" s="5" t="s">
        <v>19</v>
      </c>
      <c r="E1861" s="5" t="s">
        <v>262</v>
      </c>
      <c r="F1861" s="9">
        <v>39</v>
      </c>
      <c r="G1861" s="9">
        <v>401</v>
      </c>
      <c r="H1861" s="5" t="s">
        <v>21</v>
      </c>
      <c r="I1861" s="5" t="s">
        <v>4615</v>
      </c>
      <c r="J1861" s="12" t="str">
        <f>HYPERLINK("https://www.boe.es/gazeta/dias/1800/05/16/pdfs/GMD-1800-39.pdf#page=9","Abrir facsímil")</f>
        <v>Abrir facsímil</v>
      </c>
      <c r="K1861" s="15" t="s">
        <v>23</v>
      </c>
    </row>
    <row r="1862" spans="1:11" ht="42" customHeight="1">
      <c r="A1862" s="4" t="s">
        <v>4616</v>
      </c>
      <c r="B1862" s="5" t="s">
        <v>4617</v>
      </c>
      <c r="C1862" s="5" t="s">
        <v>18</v>
      </c>
      <c r="D1862" s="5" t="s">
        <v>19</v>
      </c>
      <c r="E1862" s="5" t="s">
        <v>135</v>
      </c>
      <c r="F1862" s="9">
        <v>73</v>
      </c>
      <c r="G1862" s="9">
        <v>816</v>
      </c>
      <c r="H1862" s="5" t="s">
        <v>21</v>
      </c>
      <c r="I1862" s="5" t="s">
        <v>4618</v>
      </c>
      <c r="J1862" s="12" t="str">
        <f>HYPERLINK("https://www.boe.es/gazeta/dias/1800/09/09/pdfs/GMD-1800-73.pdf#page=10","Abrir facsímil")</f>
        <v>Abrir facsímil</v>
      </c>
      <c r="K1862" s="15" t="s">
        <v>23</v>
      </c>
    </row>
    <row r="1863" spans="1:11" ht="42" customHeight="1">
      <c r="A1863" s="4" t="s">
        <v>4619</v>
      </c>
      <c r="B1863" s="5" t="s">
        <v>4620</v>
      </c>
      <c r="C1863" s="5" t="s">
        <v>18</v>
      </c>
      <c r="D1863" s="5" t="s">
        <v>19</v>
      </c>
      <c r="E1863" s="5" t="s">
        <v>255</v>
      </c>
      <c r="F1863" s="9">
        <v>75</v>
      </c>
      <c r="G1863" s="9">
        <v>856</v>
      </c>
      <c r="H1863" s="5" t="s">
        <v>21</v>
      </c>
      <c r="I1863" s="5" t="s">
        <v>4621</v>
      </c>
      <c r="J1863" s="12" t="str">
        <f>HYPERLINK("https://www.boe.es/gazeta/dias/1800/09/16/pdfs/GMD-1800-75.pdf#page=10","Abrir facsímil")</f>
        <v>Abrir facsímil</v>
      </c>
      <c r="K1863" s="15" t="s">
        <v>23</v>
      </c>
    </row>
    <row r="1864" spans="1:11" ht="42" customHeight="1">
      <c r="A1864" s="4" t="s">
        <v>4622</v>
      </c>
      <c r="B1864" s="5" t="s">
        <v>4623</v>
      </c>
      <c r="C1864" s="5" t="s">
        <v>1035</v>
      </c>
      <c r="D1864" s="5" t="s">
        <v>1036</v>
      </c>
      <c r="E1864" s="5" t="s">
        <v>50</v>
      </c>
      <c r="F1864" s="9">
        <v>81</v>
      </c>
      <c r="G1864" s="9">
        <v>942</v>
      </c>
      <c r="H1864" s="5" t="s">
        <v>21</v>
      </c>
      <c r="I1864" s="5" t="s">
        <v>4624</v>
      </c>
      <c r="J1864" s="12" t="str">
        <f>HYPERLINK("https://www.boe.es/gazeta/dias/1800/10/07/pdfs/GMD-C-1800-81.pdf#page=24","Abrir facsímil")</f>
        <v>Abrir facsímil</v>
      </c>
      <c r="K1864" s="15" t="s">
        <v>23</v>
      </c>
    </row>
    <row r="1865" spans="1:11" ht="42" customHeight="1">
      <c r="A1865" s="4" t="s">
        <v>4625</v>
      </c>
      <c r="B1865" s="5" t="s">
        <v>4626</v>
      </c>
      <c r="C1865" s="5" t="s">
        <v>25</v>
      </c>
      <c r="D1865" s="5" t="s">
        <v>26</v>
      </c>
      <c r="E1865" s="5" t="s">
        <v>45</v>
      </c>
      <c r="F1865" s="9">
        <v>47</v>
      </c>
      <c r="G1865" s="9">
        <v>502</v>
      </c>
      <c r="H1865" s="5" t="s">
        <v>21</v>
      </c>
      <c r="I1865" s="5" t="s">
        <v>4627</v>
      </c>
      <c r="J1865" s="12" t="str">
        <f>HYPERLINK("https://www.boe.es/gazeta/dias/1800/06/13/pdfs/GMD-1800-47.pdf#page=10","Abrir facsímil")</f>
        <v>Abrir facsímil</v>
      </c>
      <c r="K1865" s="15" t="s">
        <v>23</v>
      </c>
    </row>
    <row r="1866" spans="1:11" ht="42" customHeight="1">
      <c r="A1866" s="4" t="s">
        <v>4628</v>
      </c>
      <c r="B1866" s="5" t="s">
        <v>4629</v>
      </c>
      <c r="C1866" s="5" t="s">
        <v>18</v>
      </c>
      <c r="D1866" s="5" t="s">
        <v>19</v>
      </c>
      <c r="E1866" s="5" t="s">
        <v>1213</v>
      </c>
      <c r="F1866" s="9">
        <v>4</v>
      </c>
      <c r="G1866" s="9">
        <v>36</v>
      </c>
      <c r="H1866" s="5" t="s">
        <v>21</v>
      </c>
      <c r="I1866" s="5" t="s">
        <v>4630</v>
      </c>
      <c r="J1866" s="12" t="str">
        <f>HYPERLINK("https://www.boe.es/gazeta/dias/1800/01/14/pdfs/GMD-1800-4.pdf#page=8","Abrir facsímil")</f>
        <v>Abrir facsímil</v>
      </c>
      <c r="K1866" s="15" t="s">
        <v>23</v>
      </c>
    </row>
    <row r="1867" spans="1:11" ht="42" customHeight="1">
      <c r="A1867" s="4" t="s">
        <v>4631</v>
      </c>
      <c r="B1867" s="5" t="s">
        <v>4632</v>
      </c>
      <c r="C1867" s="5" t="s">
        <v>25</v>
      </c>
      <c r="D1867" s="5" t="s">
        <v>26</v>
      </c>
      <c r="E1867" s="5" t="s">
        <v>214</v>
      </c>
      <c r="F1867" s="9">
        <v>41</v>
      </c>
      <c r="G1867" s="9">
        <v>424</v>
      </c>
      <c r="H1867" s="5" t="s">
        <v>21</v>
      </c>
      <c r="I1867" s="5" t="s">
        <v>4633</v>
      </c>
      <c r="J1867" s="12" t="str">
        <f>HYPERLINK("https://www.boe.es/gazeta/dias/1800/05/23/pdfs/GMD-1800-41.pdf#page=8","Abrir facsímil")</f>
        <v>Abrir facsímil</v>
      </c>
      <c r="K1867" s="15" t="s">
        <v>23</v>
      </c>
    </row>
    <row r="1868" spans="1:11" ht="42" customHeight="1">
      <c r="A1868" s="4" t="s">
        <v>4634</v>
      </c>
      <c r="B1868" s="5" t="s">
        <v>4635</v>
      </c>
      <c r="C1868" s="5" t="s">
        <v>54</v>
      </c>
      <c r="D1868" s="5" t="s">
        <v>55</v>
      </c>
      <c r="E1868" s="5" t="s">
        <v>590</v>
      </c>
      <c r="F1868" s="9">
        <v>69</v>
      </c>
      <c r="G1868" s="9">
        <v>775</v>
      </c>
      <c r="H1868" s="5" t="s">
        <v>21</v>
      </c>
      <c r="I1868" s="5" t="s">
        <v>4636</v>
      </c>
      <c r="J1868" s="12" t="str">
        <f>HYPERLINK("https://www.boe.es/gazeta/dias/1800/08/29/pdfs/GMD-1800-69.pdf#page=7","Abrir facsímil")</f>
        <v>Abrir facsímil</v>
      </c>
      <c r="K1868" s="15" t="s">
        <v>23</v>
      </c>
    </row>
    <row r="1869" spans="1:11" ht="42" customHeight="1">
      <c r="A1869" s="4" t="s">
        <v>4637</v>
      </c>
      <c r="B1869" s="5" t="s">
        <v>4638</v>
      </c>
      <c r="C1869" s="5" t="s">
        <v>207</v>
      </c>
      <c r="D1869" s="5" t="s">
        <v>55</v>
      </c>
      <c r="E1869" s="5" t="s">
        <v>52</v>
      </c>
      <c r="F1869" s="9">
        <v>83</v>
      </c>
      <c r="G1869" s="9">
        <v>962</v>
      </c>
      <c r="H1869" s="5" t="s">
        <v>21</v>
      </c>
      <c r="I1869" s="5" t="s">
        <v>4639</v>
      </c>
      <c r="J1869" s="12" t="str">
        <f>HYPERLINK("https://www.boe.es/gazeta/dias/1800/10/14/pdfs/GMD-1800-83.pdf#page=8","Abrir facsímil")</f>
        <v>Abrir facsímil</v>
      </c>
      <c r="K1869" s="15" t="s">
        <v>23</v>
      </c>
    </row>
    <row r="1870" spans="1:11" ht="42" customHeight="1">
      <c r="A1870" s="4" t="s">
        <v>4640</v>
      </c>
      <c r="B1870" s="5" t="s">
        <v>4641</v>
      </c>
      <c r="C1870" s="5" t="s">
        <v>18</v>
      </c>
      <c r="D1870" s="5" t="s">
        <v>19</v>
      </c>
      <c r="E1870" s="5" t="s">
        <v>101</v>
      </c>
      <c r="F1870" s="9">
        <v>37</v>
      </c>
      <c r="G1870" s="9">
        <v>377</v>
      </c>
      <c r="H1870" s="5" t="s">
        <v>21</v>
      </c>
      <c r="I1870" s="5" t="s">
        <v>4642</v>
      </c>
      <c r="J1870" s="12" t="str">
        <f>HYPERLINK("https://www.boe.es/gazeta/dias/1800/05/09/pdfs/GMD-1800-37.pdf#page=9","Abrir facsímil")</f>
        <v>Abrir facsímil</v>
      </c>
      <c r="K1870" s="15" t="s">
        <v>23</v>
      </c>
    </row>
    <row r="1871" spans="1:11" ht="42" customHeight="1">
      <c r="A1871" s="4" t="s">
        <v>4643</v>
      </c>
      <c r="B1871" s="5" t="s">
        <v>4644</v>
      </c>
      <c r="C1871" s="5" t="s">
        <v>2123</v>
      </c>
      <c r="D1871" s="5" t="s">
        <v>2124</v>
      </c>
      <c r="E1871" s="5" t="s">
        <v>58</v>
      </c>
      <c r="F1871" s="9">
        <v>92</v>
      </c>
      <c r="G1871" s="9">
        <v>1055</v>
      </c>
      <c r="H1871" s="5" t="s">
        <v>21</v>
      </c>
      <c r="I1871" s="5" t="s">
        <v>4645</v>
      </c>
      <c r="J1871" s="12" t="str">
        <f>HYPERLINK("https://www.boe.es/gazeta/dias/1800/11/14/pdfs/GMD-C-1800-92.pdf#page=1","Abrir facsímil")</f>
        <v>Abrir facsímil</v>
      </c>
      <c r="K1871" s="15" t="s">
        <v>23</v>
      </c>
    </row>
    <row r="1872" spans="1:11" ht="42" customHeight="1">
      <c r="A1872" s="4" t="s">
        <v>4646</v>
      </c>
      <c r="B1872" s="5" t="s">
        <v>4647</v>
      </c>
      <c r="C1872" s="5" t="s">
        <v>25</v>
      </c>
      <c r="D1872" s="5" t="s">
        <v>26</v>
      </c>
      <c r="E1872" s="5" t="s">
        <v>190</v>
      </c>
      <c r="F1872" s="9">
        <v>93</v>
      </c>
      <c r="G1872" s="9">
        <v>1068</v>
      </c>
      <c r="H1872" s="5" t="s">
        <v>21</v>
      </c>
      <c r="I1872" s="5" t="s">
        <v>4648</v>
      </c>
      <c r="J1872" s="12" t="str">
        <f>HYPERLINK("https://www.boe.es/gazeta/dias/1800/11/18/pdfs/GMD-1800-93.pdf#page=14","Abrir facsímil")</f>
        <v>Abrir facsímil</v>
      </c>
      <c r="K1872" s="15" t="s">
        <v>23</v>
      </c>
    </row>
    <row r="1873" spans="1:11" ht="42" customHeight="1">
      <c r="A1873" s="4" t="s">
        <v>4649</v>
      </c>
      <c r="B1873" s="5" t="s">
        <v>4650</v>
      </c>
      <c r="C1873" s="5" t="s">
        <v>25</v>
      </c>
      <c r="D1873" s="5" t="s">
        <v>26</v>
      </c>
      <c r="E1873" s="5" t="s">
        <v>203</v>
      </c>
      <c r="F1873" s="9">
        <v>94</v>
      </c>
      <c r="G1873" s="9">
        <v>1079</v>
      </c>
      <c r="H1873" s="5" t="s">
        <v>21</v>
      </c>
      <c r="I1873" s="5" t="s">
        <v>4651</v>
      </c>
      <c r="J1873" s="12" t="str">
        <f>HYPERLINK("https://www.boe.es/gazeta/dias/1800/11/21/pdfs/GMD-1800-94.pdf#page=9","Abrir facsímil")</f>
        <v>Abrir facsímil</v>
      </c>
      <c r="K1873" s="15" t="s">
        <v>23</v>
      </c>
    </row>
    <row r="1874" spans="1:11" ht="42" customHeight="1">
      <c r="A1874" s="4" t="s">
        <v>4652</v>
      </c>
      <c r="B1874" s="5" t="s">
        <v>4653</v>
      </c>
      <c r="C1874" s="5" t="s">
        <v>41</v>
      </c>
      <c r="D1874" s="5" t="s">
        <v>42</v>
      </c>
      <c r="E1874" s="5" t="s">
        <v>828</v>
      </c>
      <c r="F1874" s="9">
        <v>53</v>
      </c>
      <c r="G1874" s="9">
        <v>583</v>
      </c>
      <c r="H1874" s="5" t="s">
        <v>21</v>
      </c>
      <c r="I1874" s="5" t="s">
        <v>4654</v>
      </c>
      <c r="J1874" s="12" t="str">
        <f>HYPERLINK("https://www.boe.es/gazeta/dias/1800/07/04/pdfs/GMD-1800-53.pdf#page=3","Abrir facsímil")</f>
        <v>Abrir facsímil</v>
      </c>
      <c r="K1874" s="15" t="s">
        <v>23</v>
      </c>
    </row>
    <row r="1875" spans="1:11" ht="42" customHeight="1">
      <c r="A1875" s="4" t="s">
        <v>4655</v>
      </c>
      <c r="B1875" s="5" t="s">
        <v>4656</v>
      </c>
      <c r="C1875" s="5" t="s">
        <v>41</v>
      </c>
      <c r="D1875" s="5" t="s">
        <v>42</v>
      </c>
      <c r="E1875" s="5" t="s">
        <v>158</v>
      </c>
      <c r="F1875" s="9">
        <v>25</v>
      </c>
      <c r="G1875" s="9">
        <v>251</v>
      </c>
      <c r="H1875" s="5" t="s">
        <v>21</v>
      </c>
      <c r="I1875" s="5" t="s">
        <v>4657</v>
      </c>
      <c r="J1875" s="12" t="str">
        <f>HYPERLINK("https://www.boe.es/gazeta/dias/1800/03/28/pdfs/GMD-1800-25.pdf#page=3","Abrir facsímil")</f>
        <v>Abrir facsímil</v>
      </c>
      <c r="K1875" s="15" t="s">
        <v>23</v>
      </c>
    </row>
    <row r="1876" spans="1:11" ht="42" customHeight="1">
      <c r="A1876" s="4" t="s">
        <v>4658</v>
      </c>
      <c r="B1876" s="5" t="s">
        <v>4659</v>
      </c>
      <c r="C1876" s="5" t="s">
        <v>207</v>
      </c>
      <c r="D1876" s="5" t="s">
        <v>55</v>
      </c>
      <c r="E1876" s="5" t="s">
        <v>184</v>
      </c>
      <c r="F1876" s="9">
        <v>82</v>
      </c>
      <c r="G1876" s="9">
        <v>950</v>
      </c>
      <c r="H1876" s="5" t="s">
        <v>21</v>
      </c>
      <c r="I1876" s="5" t="s">
        <v>4660</v>
      </c>
      <c r="J1876" s="12" t="str">
        <f>HYPERLINK("https://www.boe.es/gazeta/dias/1800/10/10/pdfs/GMD-1800-82.pdf#page=8","Abrir facsímil")</f>
        <v>Abrir facsímil</v>
      </c>
      <c r="K1876" s="15" t="s">
        <v>23</v>
      </c>
    </row>
    <row r="1877" spans="1:11" ht="42" customHeight="1">
      <c r="A1877" s="4" t="s">
        <v>4661</v>
      </c>
      <c r="B1877" s="5" t="s">
        <v>4662</v>
      </c>
      <c r="C1877" s="5" t="s">
        <v>18</v>
      </c>
      <c r="D1877" s="5" t="s">
        <v>19</v>
      </c>
      <c r="E1877" s="5" t="s">
        <v>1213</v>
      </c>
      <c r="F1877" s="9">
        <v>4</v>
      </c>
      <c r="G1877" s="9">
        <v>35</v>
      </c>
      <c r="H1877" s="5" t="s">
        <v>21</v>
      </c>
      <c r="I1877" s="5" t="s">
        <v>4663</v>
      </c>
      <c r="J1877" s="12" t="str">
        <f>HYPERLINK("https://www.boe.es/gazeta/dias/1800/01/14/pdfs/GMD-1800-4.pdf#page=7","Abrir facsímil")</f>
        <v>Abrir facsímil</v>
      </c>
      <c r="K1877" s="15" t="s">
        <v>23</v>
      </c>
    </row>
    <row r="1878" spans="1:11" ht="42" customHeight="1">
      <c r="A1878" s="4" t="s">
        <v>4664</v>
      </c>
      <c r="B1878" s="5" t="s">
        <v>4665</v>
      </c>
      <c r="C1878" s="5" t="s">
        <v>84</v>
      </c>
      <c r="D1878" s="5" t="s">
        <v>85</v>
      </c>
      <c r="E1878" s="5" t="s">
        <v>180</v>
      </c>
      <c r="F1878" s="9">
        <v>102</v>
      </c>
      <c r="G1878" s="9">
        <v>1186</v>
      </c>
      <c r="H1878" s="5" t="s">
        <v>21</v>
      </c>
      <c r="I1878" s="5" t="s">
        <v>4666</v>
      </c>
      <c r="J1878" s="12" t="str">
        <f>HYPERLINK("https://www.boe.es/gazeta/dias/1800/12/19/pdfs/GMD-1800-102.pdf#page=10","Abrir facsímil")</f>
        <v>Abrir facsímil</v>
      </c>
      <c r="K1878" s="15" t="s">
        <v>23</v>
      </c>
    </row>
    <row r="1879" spans="1:11" ht="42" customHeight="1">
      <c r="A1879" s="4" t="s">
        <v>4667</v>
      </c>
      <c r="B1879" s="5" t="s">
        <v>4668</v>
      </c>
      <c r="C1879" s="5" t="s">
        <v>18</v>
      </c>
      <c r="D1879" s="5" t="s">
        <v>19</v>
      </c>
      <c r="E1879" s="5" t="s">
        <v>618</v>
      </c>
      <c r="F1879" s="9">
        <v>1</v>
      </c>
      <c r="G1879" s="9">
        <v>6</v>
      </c>
      <c r="H1879" s="5" t="s">
        <v>21</v>
      </c>
      <c r="I1879" s="5" t="s">
        <v>4669</v>
      </c>
      <c r="J1879" s="12" t="str">
        <f>HYPERLINK("https://www.boe.es/gazeta/dias/1800/01/03/pdfs/GMD-1800-1.pdf#page=6","Abrir facsímil")</f>
        <v>Abrir facsímil</v>
      </c>
      <c r="K1879" s="15" t="s">
        <v>23</v>
      </c>
    </row>
    <row r="1880" spans="1:11" ht="42" customHeight="1">
      <c r="A1880" s="4" t="s">
        <v>4670</v>
      </c>
      <c r="B1880" s="5" t="s">
        <v>4671</v>
      </c>
      <c r="C1880" s="5" t="s">
        <v>18</v>
      </c>
      <c r="D1880" s="5" t="s">
        <v>19</v>
      </c>
      <c r="E1880" s="5" t="s">
        <v>620</v>
      </c>
      <c r="F1880" s="9">
        <v>19</v>
      </c>
      <c r="G1880" s="9">
        <v>183</v>
      </c>
      <c r="H1880" s="5" t="s">
        <v>21</v>
      </c>
      <c r="I1880" s="5" t="s">
        <v>4672</v>
      </c>
      <c r="J1880" s="12" t="str">
        <f>HYPERLINK("https://www.boe.es/gazeta/dias/1800/03/07/pdfs/GMD-1800-19.pdf#page=7","Abrir facsímil")</f>
        <v>Abrir facsímil</v>
      </c>
      <c r="K1880" s="15" t="s">
        <v>23</v>
      </c>
    </row>
    <row r="1881" spans="1:11" ht="42" customHeight="1">
      <c r="A1881" s="4" t="s">
        <v>4673</v>
      </c>
      <c r="B1881" s="5" t="s">
        <v>4674</v>
      </c>
      <c r="C1881" s="5" t="s">
        <v>18</v>
      </c>
      <c r="D1881" s="5" t="s">
        <v>19</v>
      </c>
      <c r="E1881" s="5" t="s">
        <v>534</v>
      </c>
      <c r="F1881" s="9">
        <v>100</v>
      </c>
      <c r="G1881" s="9">
        <v>1160</v>
      </c>
      <c r="H1881" s="5" t="s">
        <v>21</v>
      </c>
      <c r="I1881" s="5" t="s">
        <v>4675</v>
      </c>
      <c r="J1881" s="12" t="str">
        <f>HYPERLINK("https://www.boe.es/gazeta/dias/1800/12/12/pdfs/GMD-1800-100.pdf#page=12","Abrir facsímil")</f>
        <v>Abrir facsímil</v>
      </c>
      <c r="K1881" s="15" t="s">
        <v>23</v>
      </c>
    </row>
    <row r="1882" spans="1:11" ht="42" customHeight="1">
      <c r="A1882" s="4" t="s">
        <v>4676</v>
      </c>
      <c r="B1882" s="5" t="s">
        <v>4677</v>
      </c>
      <c r="C1882" s="5" t="s">
        <v>18</v>
      </c>
      <c r="D1882" s="5" t="s">
        <v>19</v>
      </c>
      <c r="E1882" s="5" t="s">
        <v>534</v>
      </c>
      <c r="F1882" s="9">
        <v>100</v>
      </c>
      <c r="G1882" s="9">
        <v>1159</v>
      </c>
      <c r="H1882" s="5" t="s">
        <v>21</v>
      </c>
      <c r="I1882" s="5" t="s">
        <v>4678</v>
      </c>
      <c r="J1882" s="12" t="str">
        <f>HYPERLINK("https://www.boe.es/gazeta/dias/1800/12/12/pdfs/GMD-1800-100.pdf#page=11","Abrir facsímil")</f>
        <v>Abrir facsímil</v>
      </c>
      <c r="K1882" s="15" t="s">
        <v>23</v>
      </c>
    </row>
    <row r="1883" spans="1:11" ht="42" customHeight="1">
      <c r="A1883" s="4" t="s">
        <v>4679</v>
      </c>
      <c r="B1883" s="5" t="s">
        <v>4680</v>
      </c>
      <c r="C1883" s="5" t="s">
        <v>18</v>
      </c>
      <c r="D1883" s="5" t="s">
        <v>19</v>
      </c>
      <c r="E1883" s="5" t="s">
        <v>111</v>
      </c>
      <c r="F1883" s="9">
        <v>98</v>
      </c>
      <c r="G1883" s="9">
        <v>1128</v>
      </c>
      <c r="H1883" s="5" t="s">
        <v>21</v>
      </c>
      <c r="I1883" s="5" t="s">
        <v>4681</v>
      </c>
      <c r="J1883" s="12" t="str">
        <f>HYPERLINK("https://www.boe.es/gazeta/dias/1800/12/05/pdfs/GMD-1800-98.pdf#page=8","Abrir facsímil")</f>
        <v>Abrir facsímil</v>
      </c>
      <c r="K1883" s="15" t="s">
        <v>23</v>
      </c>
    </row>
    <row r="1884" spans="1:11" ht="42" customHeight="1">
      <c r="A1884" s="4" t="s">
        <v>4682</v>
      </c>
      <c r="B1884" s="5" t="s">
        <v>4683</v>
      </c>
      <c r="C1884" s="5" t="s">
        <v>84</v>
      </c>
      <c r="D1884" s="5" t="s">
        <v>85</v>
      </c>
      <c r="E1884" s="5" t="s">
        <v>1433</v>
      </c>
      <c r="F1884" s="9">
        <v>12</v>
      </c>
      <c r="G1884" s="9">
        <v>116</v>
      </c>
      <c r="H1884" s="5" t="s">
        <v>21</v>
      </c>
      <c r="I1884" s="5" t="s">
        <v>4684</v>
      </c>
      <c r="J1884" s="12" t="str">
        <f>HYPERLINK("https://www.boe.es/gazeta/dias/1800/02/11/pdfs/GMD-1800-12.pdf#page=8","Abrir facsímil")</f>
        <v>Abrir facsímil</v>
      </c>
      <c r="K1884" s="15" t="s">
        <v>23</v>
      </c>
    </row>
    <row r="1885" spans="1:11" ht="42" customHeight="1">
      <c r="A1885" s="4" t="s">
        <v>4685</v>
      </c>
      <c r="B1885" s="5" t="s">
        <v>4686</v>
      </c>
      <c r="C1885" s="5" t="s">
        <v>18</v>
      </c>
      <c r="D1885" s="5" t="s">
        <v>19</v>
      </c>
      <c r="E1885" s="5" t="s">
        <v>111</v>
      </c>
      <c r="F1885" s="9">
        <v>98</v>
      </c>
      <c r="G1885" s="9">
        <v>1129</v>
      </c>
      <c r="H1885" s="5" t="s">
        <v>21</v>
      </c>
      <c r="I1885" s="5" t="s">
        <v>4687</v>
      </c>
      <c r="J1885" s="12" t="str">
        <f>HYPERLINK("https://www.boe.es/gazeta/dias/1800/12/05/pdfs/GMD-1800-98.pdf#page=9","Abrir facsímil")</f>
        <v>Abrir facsímil</v>
      </c>
      <c r="K1885" s="15" t="s">
        <v>23</v>
      </c>
    </row>
    <row r="1886" spans="1:11" ht="42" customHeight="1">
      <c r="A1886" s="4" t="s">
        <v>4688</v>
      </c>
      <c r="B1886" s="5" t="s">
        <v>4689</v>
      </c>
      <c r="C1886" s="5" t="s">
        <v>18</v>
      </c>
      <c r="D1886" s="5" t="s">
        <v>19</v>
      </c>
      <c r="E1886" s="5" t="s">
        <v>600</v>
      </c>
      <c r="F1886" s="9">
        <v>45</v>
      </c>
      <c r="G1886" s="9">
        <v>476</v>
      </c>
      <c r="H1886" s="5" t="s">
        <v>21</v>
      </c>
      <c r="I1886" s="5" t="s">
        <v>4690</v>
      </c>
      <c r="J1886" s="12" t="str">
        <f>HYPERLINK("https://www.boe.es/gazeta/dias/1800/06/06/pdfs/GMD-1800-45.pdf#page=12","Abrir facsímil")</f>
        <v>Abrir facsímil</v>
      </c>
      <c r="K1886" s="15" t="s">
        <v>23</v>
      </c>
    </row>
    <row r="1887" spans="1:11" ht="42" customHeight="1">
      <c r="A1887" s="4" t="s">
        <v>4691</v>
      </c>
      <c r="B1887" s="5" t="s">
        <v>4692</v>
      </c>
      <c r="C1887" s="5" t="s">
        <v>207</v>
      </c>
      <c r="D1887" s="5" t="s">
        <v>55</v>
      </c>
      <c r="E1887" s="5" t="s">
        <v>346</v>
      </c>
      <c r="F1887" s="9">
        <v>24</v>
      </c>
      <c r="G1887" s="9">
        <v>248</v>
      </c>
      <c r="H1887" s="5" t="s">
        <v>21</v>
      </c>
      <c r="I1887" s="5" t="s">
        <v>4693</v>
      </c>
      <c r="J1887" s="12" t="str">
        <f>HYPERLINK("https://www.boe.es/gazeta/dias/1800/03/25/pdfs/GMD-1800-24.pdf#page=12","Abrir facsímil")</f>
        <v>Abrir facsímil</v>
      </c>
      <c r="K1887" s="15" t="s">
        <v>23</v>
      </c>
    </row>
    <row r="1888" spans="1:11" ht="42" customHeight="1">
      <c r="A1888" s="4" t="s">
        <v>4694</v>
      </c>
      <c r="B1888" s="5" t="s">
        <v>4695</v>
      </c>
      <c r="C1888" s="5" t="s">
        <v>25</v>
      </c>
      <c r="D1888" s="5" t="s">
        <v>26</v>
      </c>
      <c r="E1888" s="5" t="s">
        <v>45</v>
      </c>
      <c r="F1888" s="9">
        <v>47</v>
      </c>
      <c r="G1888" s="9">
        <v>503</v>
      </c>
      <c r="H1888" s="5" t="s">
        <v>21</v>
      </c>
      <c r="I1888" s="5" t="s">
        <v>4696</v>
      </c>
      <c r="J1888" s="12" t="str">
        <f>HYPERLINK("https://www.boe.es/gazeta/dias/1800/06/13/pdfs/GMD-1800-47.pdf#page=11","Abrir facsímil")</f>
        <v>Abrir facsímil</v>
      </c>
      <c r="K1888" s="15" t="s">
        <v>23</v>
      </c>
    </row>
    <row r="1889" spans="1:11" ht="42" customHeight="1">
      <c r="A1889" s="4" t="s">
        <v>4697</v>
      </c>
      <c r="B1889" s="5" t="s">
        <v>4698</v>
      </c>
      <c r="C1889" s="5" t="s">
        <v>18</v>
      </c>
      <c r="D1889" s="5" t="s">
        <v>19</v>
      </c>
      <c r="E1889" s="5" t="s">
        <v>184</v>
      </c>
      <c r="F1889" s="9">
        <v>82</v>
      </c>
      <c r="G1889" s="9">
        <v>951</v>
      </c>
      <c r="H1889" s="5" t="s">
        <v>21</v>
      </c>
      <c r="I1889" s="5" t="s">
        <v>4699</v>
      </c>
      <c r="J1889" s="12" t="str">
        <f>HYPERLINK("https://www.boe.es/gazeta/dias/1800/10/10/pdfs/GMD-1800-82.pdf#page=9","Abrir facsímil")</f>
        <v>Abrir facsímil</v>
      </c>
      <c r="K1889" s="15" t="s">
        <v>23</v>
      </c>
    </row>
    <row r="1890" spans="1:11" ht="42" customHeight="1">
      <c r="A1890" s="4" t="s">
        <v>4700</v>
      </c>
      <c r="B1890" s="5" t="s">
        <v>4701</v>
      </c>
      <c r="C1890" s="5" t="s">
        <v>84</v>
      </c>
      <c r="D1890" s="5" t="s">
        <v>85</v>
      </c>
      <c r="E1890" s="5" t="s">
        <v>306</v>
      </c>
      <c r="F1890" s="9">
        <v>79</v>
      </c>
      <c r="G1890" s="9">
        <v>901</v>
      </c>
      <c r="H1890" s="5" t="s">
        <v>21</v>
      </c>
      <c r="I1890" s="5" t="s">
        <v>4702</v>
      </c>
      <c r="J1890" s="12" t="str">
        <f>HYPERLINK("https://www.boe.es/gazeta/dias/1800/09/30/pdfs/GMD-1800-79.pdf#page=11","Abrir facsímil")</f>
        <v>Abrir facsímil</v>
      </c>
      <c r="K1890" s="15" t="s">
        <v>23</v>
      </c>
    </row>
    <row r="1891" spans="1:11" ht="42" customHeight="1">
      <c r="A1891" s="4" t="s">
        <v>4703</v>
      </c>
      <c r="B1891" s="5" t="s">
        <v>4704</v>
      </c>
      <c r="C1891" s="5" t="s">
        <v>18</v>
      </c>
      <c r="D1891" s="5" t="s">
        <v>19</v>
      </c>
      <c r="E1891" s="5" t="s">
        <v>45</v>
      </c>
      <c r="F1891" s="9">
        <v>47</v>
      </c>
      <c r="G1891" s="9">
        <v>503</v>
      </c>
      <c r="H1891" s="5" t="s">
        <v>21</v>
      </c>
      <c r="I1891" s="5" t="s">
        <v>4705</v>
      </c>
      <c r="J1891" s="12" t="str">
        <f>HYPERLINK("https://www.boe.es/gazeta/dias/1800/06/13/pdfs/GMD-1800-47.pdf#page=11","Abrir facsímil")</f>
        <v>Abrir facsímil</v>
      </c>
      <c r="K1891" s="15" t="s">
        <v>23</v>
      </c>
    </row>
    <row r="1892" spans="1:11" ht="42" customHeight="1">
      <c r="A1892" s="4" t="s">
        <v>4703</v>
      </c>
      <c r="B1892" s="5" t="s">
        <v>4704</v>
      </c>
      <c r="C1892" s="5" t="s">
        <v>25</v>
      </c>
      <c r="D1892" s="5" t="s">
        <v>26</v>
      </c>
      <c r="E1892" s="5" t="s">
        <v>572</v>
      </c>
      <c r="F1892" s="9">
        <v>76</v>
      </c>
      <c r="G1892" s="9">
        <v>870</v>
      </c>
      <c r="H1892" s="5" t="s">
        <v>21</v>
      </c>
      <c r="I1892" s="5" t="s">
        <v>4706</v>
      </c>
      <c r="J1892" s="12" t="str">
        <f>HYPERLINK("https://www.boe.es/gazeta/dias/1800/09/19/pdfs/GMD-1800-76.pdf#page=12","Abrir facsímil")</f>
        <v>Abrir facsímil</v>
      </c>
      <c r="K1892" s="15" t="s">
        <v>23</v>
      </c>
    </row>
    <row r="1893" spans="1:11" ht="42" customHeight="1">
      <c r="A1893" s="4" t="s">
        <v>4707</v>
      </c>
      <c r="B1893" s="5" t="s">
        <v>4708</v>
      </c>
      <c r="C1893" s="5" t="s">
        <v>54</v>
      </c>
      <c r="D1893" s="5" t="s">
        <v>55</v>
      </c>
      <c r="E1893" s="5" t="s">
        <v>572</v>
      </c>
      <c r="F1893" s="9">
        <v>76</v>
      </c>
      <c r="G1893" s="9">
        <v>868</v>
      </c>
      <c r="H1893" s="5" t="s">
        <v>21</v>
      </c>
      <c r="I1893" s="5" t="s">
        <v>4709</v>
      </c>
      <c r="J1893" s="12" t="str">
        <f>HYPERLINK("https://www.boe.es/gazeta/dias/1800/09/19/pdfs/GMD-1800-76.pdf#page=10","Abrir facsímil")</f>
        <v>Abrir facsímil</v>
      </c>
      <c r="K1893" s="15" t="s">
        <v>23</v>
      </c>
    </row>
    <row r="1894" spans="1:11" ht="42" customHeight="1">
      <c r="A1894" s="4" t="s">
        <v>4710</v>
      </c>
      <c r="B1894" s="5" t="s">
        <v>4711</v>
      </c>
      <c r="C1894" s="5" t="s">
        <v>25</v>
      </c>
      <c r="D1894" s="5" t="s">
        <v>26</v>
      </c>
      <c r="E1894" s="5" t="s">
        <v>45</v>
      </c>
      <c r="F1894" s="9">
        <v>47</v>
      </c>
      <c r="G1894" s="9">
        <v>502</v>
      </c>
      <c r="H1894" s="5" t="s">
        <v>21</v>
      </c>
      <c r="I1894" s="5" t="s">
        <v>4712</v>
      </c>
      <c r="J1894" s="12" t="str">
        <f>HYPERLINK("https://www.boe.es/gazeta/dias/1800/06/13/pdfs/GMD-1800-47.pdf#page=10","Abrir facsímil")</f>
        <v>Abrir facsímil</v>
      </c>
      <c r="K1894" s="15" t="s">
        <v>23</v>
      </c>
    </row>
    <row r="1895" spans="1:11" ht="42" customHeight="1">
      <c r="A1895" s="4" t="s">
        <v>4713</v>
      </c>
      <c r="B1895" s="5" t="s">
        <v>4714</v>
      </c>
      <c r="C1895" s="5" t="s">
        <v>25</v>
      </c>
      <c r="D1895" s="5" t="s">
        <v>26</v>
      </c>
      <c r="E1895" s="5" t="s">
        <v>45</v>
      </c>
      <c r="F1895" s="9">
        <v>47</v>
      </c>
      <c r="G1895" s="9">
        <v>502</v>
      </c>
      <c r="H1895" s="5" t="s">
        <v>21</v>
      </c>
      <c r="I1895" s="5" t="s">
        <v>4715</v>
      </c>
      <c r="J1895" s="12" t="str">
        <f>HYPERLINK("https://www.boe.es/gazeta/dias/1800/06/13/pdfs/GMD-1800-47.pdf#page=10","Abrir facsímil")</f>
        <v>Abrir facsímil</v>
      </c>
      <c r="K1895" s="15" t="s">
        <v>23</v>
      </c>
    </row>
    <row r="1896" spans="1:11" ht="42" customHeight="1">
      <c r="A1896" s="4" t="s">
        <v>4716</v>
      </c>
      <c r="B1896" s="5" t="s">
        <v>4717</v>
      </c>
      <c r="C1896" s="5" t="s">
        <v>54</v>
      </c>
      <c r="D1896" s="5" t="s">
        <v>55</v>
      </c>
      <c r="E1896" s="5" t="s">
        <v>445</v>
      </c>
      <c r="F1896" s="9">
        <v>96</v>
      </c>
      <c r="G1896" s="9">
        <v>1107</v>
      </c>
      <c r="H1896" s="5" t="s">
        <v>21</v>
      </c>
      <c r="I1896" s="5" t="s">
        <v>4718</v>
      </c>
      <c r="J1896" s="12" t="str">
        <f>HYPERLINK("https://www.boe.es/gazeta/dias/1800/11/28/pdfs/GMD-1800-96.pdf#page=11","Abrir facsímil")</f>
        <v>Abrir facsímil</v>
      </c>
      <c r="K1896" s="15" t="s">
        <v>23</v>
      </c>
    </row>
    <row r="1897" spans="1:11" ht="42" customHeight="1">
      <c r="A1897" s="4" t="s">
        <v>4719</v>
      </c>
      <c r="B1897" s="5" t="s">
        <v>4720</v>
      </c>
      <c r="C1897" s="5" t="s">
        <v>25</v>
      </c>
      <c r="D1897" s="5" t="s">
        <v>26</v>
      </c>
      <c r="E1897" s="5" t="s">
        <v>445</v>
      </c>
      <c r="F1897" s="9">
        <v>96</v>
      </c>
      <c r="G1897" s="9">
        <v>1108</v>
      </c>
      <c r="H1897" s="5" t="s">
        <v>21</v>
      </c>
      <c r="I1897" s="5" t="s">
        <v>4721</v>
      </c>
      <c r="J1897" s="12" t="str">
        <f>HYPERLINK("https://www.boe.es/gazeta/dias/1800/11/28/pdfs/GMD-1800-96.pdf#page=12","Abrir facsímil")</f>
        <v>Abrir facsímil</v>
      </c>
      <c r="K1897" s="15" t="s">
        <v>23</v>
      </c>
    </row>
    <row r="1898" spans="1:11" ht="42" customHeight="1">
      <c r="A1898" s="4" t="s">
        <v>4722</v>
      </c>
      <c r="B1898" s="5" t="s">
        <v>4723</v>
      </c>
      <c r="C1898" s="5" t="s">
        <v>41</v>
      </c>
      <c r="D1898" s="5" t="s">
        <v>42</v>
      </c>
      <c r="E1898" s="5" t="s">
        <v>116</v>
      </c>
      <c r="F1898" s="9">
        <v>86</v>
      </c>
      <c r="G1898" s="9">
        <v>991</v>
      </c>
      <c r="H1898" s="5" t="s">
        <v>21</v>
      </c>
      <c r="I1898" s="5" t="s">
        <v>4724</v>
      </c>
      <c r="J1898" s="12" t="str">
        <f>HYPERLINK("https://www.boe.es/gazeta/dias/1800/10/24/pdfs/GMD-1800-86.pdf#page=1","Abrir facsímil")</f>
        <v>Abrir facsímil</v>
      </c>
      <c r="K1898" s="15" t="s">
        <v>23</v>
      </c>
    </row>
    <row r="1899" spans="1:11" ht="42" customHeight="1">
      <c r="A1899" s="4" t="s">
        <v>4725</v>
      </c>
      <c r="B1899" s="5" t="s">
        <v>4726</v>
      </c>
      <c r="C1899" s="5" t="s">
        <v>84</v>
      </c>
      <c r="D1899" s="5" t="s">
        <v>85</v>
      </c>
      <c r="E1899" s="5" t="s">
        <v>143</v>
      </c>
      <c r="F1899" s="9">
        <v>22</v>
      </c>
      <c r="G1899" s="9">
        <v>223</v>
      </c>
      <c r="H1899" s="5" t="s">
        <v>21</v>
      </c>
      <c r="I1899" s="5" t="s">
        <v>4727</v>
      </c>
      <c r="J1899" s="12" t="str">
        <f>HYPERLINK("https://www.boe.es/gazeta/dias/1800/03/18/pdfs/GMD-1800-22.pdf#page=15","Abrir facsímil")</f>
        <v>Abrir facsímil</v>
      </c>
      <c r="K1899" s="15" t="s">
        <v>23</v>
      </c>
    </row>
    <row r="1900" spans="1:11" ht="42" customHeight="1">
      <c r="A1900" s="4" t="s">
        <v>4725</v>
      </c>
      <c r="B1900" s="5" t="s">
        <v>4726</v>
      </c>
      <c r="C1900" s="5" t="s">
        <v>171</v>
      </c>
      <c r="D1900" s="5" t="s">
        <v>172</v>
      </c>
      <c r="E1900" s="5" t="s">
        <v>214</v>
      </c>
      <c r="F1900" s="9">
        <v>41</v>
      </c>
      <c r="G1900" s="9">
        <v>425</v>
      </c>
      <c r="H1900" s="5" t="s">
        <v>21</v>
      </c>
      <c r="I1900" s="5" t="s">
        <v>4728</v>
      </c>
      <c r="J1900" s="12" t="str">
        <f>HYPERLINK("https://www.boe.es/gazeta/dias/1800/05/23/pdfs/GMD-C-1800-41.pdf#page=1","Abrir facsímil")</f>
        <v>Abrir facsímil</v>
      </c>
      <c r="K1900" s="15" t="s">
        <v>23</v>
      </c>
    </row>
    <row r="1901" spans="1:11" ht="42" customHeight="1">
      <c r="A1901" s="4" t="s">
        <v>4729</v>
      </c>
      <c r="B1901" s="5" t="s">
        <v>4730</v>
      </c>
      <c r="C1901" s="5" t="s">
        <v>25</v>
      </c>
      <c r="D1901" s="5" t="s">
        <v>26</v>
      </c>
      <c r="E1901" s="5" t="s">
        <v>618</v>
      </c>
      <c r="F1901" s="9">
        <v>1</v>
      </c>
      <c r="G1901" s="9">
        <v>6</v>
      </c>
      <c r="H1901" s="5" t="s">
        <v>21</v>
      </c>
      <c r="I1901" s="5" t="s">
        <v>4731</v>
      </c>
      <c r="J1901" s="12" t="str">
        <f>HYPERLINK("https://www.boe.es/gazeta/dias/1800/01/03/pdfs/GMD-1800-1.pdf#page=6","Abrir facsímil")</f>
        <v>Abrir facsímil</v>
      </c>
      <c r="K1901" s="15" t="s">
        <v>23</v>
      </c>
    </row>
    <row r="1902" spans="1:11" ht="42" customHeight="1">
      <c r="A1902" s="4" t="s">
        <v>4732</v>
      </c>
      <c r="B1902" s="5" t="s">
        <v>4733</v>
      </c>
      <c r="C1902" s="5" t="s">
        <v>54</v>
      </c>
      <c r="D1902" s="5" t="s">
        <v>55</v>
      </c>
      <c r="E1902" s="5" t="s">
        <v>131</v>
      </c>
      <c r="F1902" s="9">
        <v>8</v>
      </c>
      <c r="G1902" s="9">
        <v>75</v>
      </c>
      <c r="H1902" s="5" t="s">
        <v>21</v>
      </c>
      <c r="I1902" s="5" t="s">
        <v>4734</v>
      </c>
      <c r="J1902" s="12" t="str">
        <f>HYPERLINK("https://www.boe.es/gazeta/dias/1800/01/28/pdfs/GMD-1800-8.pdf#page=7","Abrir facsímil")</f>
        <v>Abrir facsímil</v>
      </c>
      <c r="K1902" s="15" t="s">
        <v>23</v>
      </c>
    </row>
    <row r="1903" spans="1:11" ht="42" customHeight="1">
      <c r="A1903" s="4" t="s">
        <v>4735</v>
      </c>
      <c r="B1903" s="5" t="s">
        <v>4736</v>
      </c>
      <c r="C1903" s="5" t="s">
        <v>41</v>
      </c>
      <c r="D1903" s="5" t="s">
        <v>42</v>
      </c>
      <c r="E1903" s="5" t="s">
        <v>454</v>
      </c>
      <c r="F1903" s="9">
        <v>63</v>
      </c>
      <c r="G1903" s="9">
        <v>714</v>
      </c>
      <c r="H1903" s="5" t="s">
        <v>21</v>
      </c>
      <c r="I1903" s="5" t="s">
        <v>4737</v>
      </c>
      <c r="J1903" s="12" t="str">
        <f>HYPERLINK("https://www.boe.es/gazeta/dias/1800/08/08/pdfs/GMD-1800-63.pdf#page=2","Abrir facsímil")</f>
        <v>Abrir facsímil</v>
      </c>
      <c r="K1903" s="15" t="s">
        <v>23</v>
      </c>
    </row>
    <row r="1904" spans="1:11" ht="42" customHeight="1">
      <c r="A1904" s="4" t="s">
        <v>4738</v>
      </c>
      <c r="B1904" s="5" t="s">
        <v>4739</v>
      </c>
      <c r="C1904" s="5" t="s">
        <v>41</v>
      </c>
      <c r="D1904" s="5" t="s">
        <v>42</v>
      </c>
      <c r="E1904" s="5" t="s">
        <v>27</v>
      </c>
      <c r="F1904" s="9">
        <v>65</v>
      </c>
      <c r="G1904" s="9">
        <v>731</v>
      </c>
      <c r="H1904" s="5" t="s">
        <v>21</v>
      </c>
      <c r="I1904" s="5" t="s">
        <v>4740</v>
      </c>
      <c r="J1904" s="12" t="str">
        <f>HYPERLINK("https://www.boe.es/gazeta/dias/1800/08/15/pdfs/GMD-1800-65.pdf#page=7","Abrir facsímil")</f>
        <v>Abrir facsímil</v>
      </c>
      <c r="K1904" s="15" t="s">
        <v>23</v>
      </c>
    </row>
    <row r="1905" spans="1:11" ht="42" customHeight="1">
      <c r="A1905" s="4" t="s">
        <v>4741</v>
      </c>
      <c r="B1905" s="5" t="s">
        <v>4742</v>
      </c>
      <c r="C1905" s="5" t="s">
        <v>18</v>
      </c>
      <c r="D1905" s="5" t="s">
        <v>19</v>
      </c>
      <c r="E1905" s="5" t="s">
        <v>79</v>
      </c>
      <c r="F1905" s="9">
        <v>7</v>
      </c>
      <c r="G1905" s="9">
        <v>66</v>
      </c>
      <c r="H1905" s="5" t="s">
        <v>21</v>
      </c>
      <c r="I1905" s="5" t="s">
        <v>4743</v>
      </c>
      <c r="J1905" s="12" t="str">
        <f>HYPERLINK("https://www.boe.es/gazeta/dias/1800/01/24/pdfs/GMD-1800-7.pdf#page=6","Abrir facsímil")</f>
        <v>Abrir facsímil</v>
      </c>
      <c r="K1905" s="15" t="s">
        <v>23</v>
      </c>
    </row>
    <row r="1906" spans="1:11" ht="42" customHeight="1">
      <c r="A1906" s="4" t="s">
        <v>4744</v>
      </c>
      <c r="B1906" s="5" t="s">
        <v>4745</v>
      </c>
      <c r="C1906" s="5" t="s">
        <v>18</v>
      </c>
      <c r="D1906" s="5" t="s">
        <v>19</v>
      </c>
      <c r="E1906" s="5" t="s">
        <v>576</v>
      </c>
      <c r="F1906" s="9">
        <v>91</v>
      </c>
      <c r="G1906" s="9">
        <v>1067</v>
      </c>
      <c r="H1906" s="5" t="s">
        <v>21</v>
      </c>
      <c r="I1906" s="5" t="s">
        <v>4746</v>
      </c>
      <c r="J1906" s="12" t="str">
        <f>HYPERLINK("https://www.boe.es/gazeta/dias/1800/11/11/pdfs/GMD-1800-91.pdf#page=9","Abrir facsímil")</f>
        <v>Abrir facsímil</v>
      </c>
      <c r="K1906" s="15" t="s">
        <v>23</v>
      </c>
    </row>
    <row r="1907" spans="1:11" ht="42" customHeight="1">
      <c r="A1907" s="4" t="s">
        <v>4747</v>
      </c>
      <c r="B1907" s="5" t="s">
        <v>4748</v>
      </c>
      <c r="C1907" s="5" t="s">
        <v>25</v>
      </c>
      <c r="D1907" s="5" t="s">
        <v>26</v>
      </c>
      <c r="E1907" s="5" t="s">
        <v>1213</v>
      </c>
      <c r="F1907" s="9">
        <v>4</v>
      </c>
      <c r="G1907" s="9">
        <v>36</v>
      </c>
      <c r="H1907" s="5" t="s">
        <v>21</v>
      </c>
      <c r="I1907" s="5" t="s">
        <v>4749</v>
      </c>
      <c r="J1907" s="12" t="str">
        <f>HYPERLINK("https://www.boe.es/gazeta/dias/1800/01/14/pdfs/GMD-1800-4.pdf#page=8","Abrir facsímil")</f>
        <v>Abrir facsímil</v>
      </c>
      <c r="K1907" s="15" t="s">
        <v>23</v>
      </c>
    </row>
    <row r="1908" spans="1:11" ht="42" customHeight="1">
      <c r="A1908" s="4" t="s">
        <v>4750</v>
      </c>
      <c r="B1908" s="5" t="s">
        <v>4751</v>
      </c>
      <c r="C1908" s="5" t="s">
        <v>25</v>
      </c>
      <c r="D1908" s="5" t="s">
        <v>26</v>
      </c>
      <c r="E1908" s="5" t="s">
        <v>618</v>
      </c>
      <c r="F1908" s="9">
        <v>1</v>
      </c>
      <c r="G1908" s="9">
        <v>6</v>
      </c>
      <c r="H1908" s="5" t="s">
        <v>21</v>
      </c>
      <c r="I1908" s="5" t="s">
        <v>4752</v>
      </c>
      <c r="J1908" s="12" t="str">
        <f>HYPERLINK("https://www.boe.es/gazeta/dias/1800/01/03/pdfs/GMD-1800-1.pdf#page=6","Abrir facsímil")</f>
        <v>Abrir facsímil</v>
      </c>
      <c r="K1908" s="15" t="s">
        <v>23</v>
      </c>
    </row>
    <row r="1909" spans="1:11" ht="42" customHeight="1">
      <c r="A1909" s="4" t="s">
        <v>4753</v>
      </c>
      <c r="B1909" s="5" t="s">
        <v>4754</v>
      </c>
      <c r="C1909" s="5" t="s">
        <v>18</v>
      </c>
      <c r="D1909" s="5" t="s">
        <v>19</v>
      </c>
      <c r="E1909" s="5" t="s">
        <v>45</v>
      </c>
      <c r="F1909" s="9">
        <v>47</v>
      </c>
      <c r="G1909" s="9">
        <v>502</v>
      </c>
      <c r="H1909" s="5" t="s">
        <v>21</v>
      </c>
      <c r="I1909" s="5" t="s">
        <v>4755</v>
      </c>
      <c r="J1909" s="12" t="str">
        <f>HYPERLINK("https://www.boe.es/gazeta/dias/1800/06/13/pdfs/GMD-1800-47.pdf#page=10","Abrir facsímil")</f>
        <v>Abrir facsímil</v>
      </c>
      <c r="K1909" s="15" t="s">
        <v>23</v>
      </c>
    </row>
    <row r="1910" spans="1:11" ht="42" customHeight="1">
      <c r="A1910" s="4" t="s">
        <v>4756</v>
      </c>
      <c r="B1910" s="5" t="s">
        <v>4757</v>
      </c>
      <c r="C1910" s="5" t="s">
        <v>25</v>
      </c>
      <c r="D1910" s="5" t="s">
        <v>26</v>
      </c>
      <c r="E1910" s="5" t="s">
        <v>346</v>
      </c>
      <c r="F1910" s="9">
        <v>24</v>
      </c>
      <c r="G1910" s="9">
        <v>244</v>
      </c>
      <c r="H1910" s="5" t="s">
        <v>21</v>
      </c>
      <c r="I1910" s="5" t="s">
        <v>4758</v>
      </c>
      <c r="J1910" s="12" t="str">
        <f>HYPERLINK("https://www.boe.es/gazeta/dias/1800/03/25/pdfs/GMD-1800-24.pdf#page=8","Abrir facsímil")</f>
        <v>Abrir facsímil</v>
      </c>
      <c r="K1910" s="15" t="s">
        <v>23</v>
      </c>
    </row>
    <row r="1911" spans="1:11" ht="42" customHeight="1">
      <c r="A1911" s="4" t="s">
        <v>4759</v>
      </c>
      <c r="B1911" s="5" t="s">
        <v>4760</v>
      </c>
      <c r="C1911" s="5" t="s">
        <v>25</v>
      </c>
      <c r="D1911" s="5" t="s">
        <v>26</v>
      </c>
      <c r="E1911" s="5" t="s">
        <v>445</v>
      </c>
      <c r="F1911" s="9">
        <v>96</v>
      </c>
      <c r="G1911" s="9">
        <v>1106</v>
      </c>
      <c r="H1911" s="5" t="s">
        <v>21</v>
      </c>
      <c r="I1911" s="5" t="s">
        <v>4761</v>
      </c>
      <c r="J1911" s="12" t="str">
        <f>HYPERLINK("https://www.boe.es/gazeta/dias/1800/11/28/pdfs/GMD-1800-96.pdf#page=10","Abrir facsímil")</f>
        <v>Abrir facsímil</v>
      </c>
      <c r="K1911" s="15" t="s">
        <v>23</v>
      </c>
    </row>
    <row r="1912" spans="1:11" ht="42" customHeight="1">
      <c r="A1912" s="4" t="s">
        <v>4762</v>
      </c>
      <c r="B1912" s="5" t="s">
        <v>4763</v>
      </c>
      <c r="C1912" s="5" t="s">
        <v>25</v>
      </c>
      <c r="D1912" s="5" t="s">
        <v>26</v>
      </c>
      <c r="E1912" s="5" t="s">
        <v>45</v>
      </c>
      <c r="F1912" s="9">
        <v>47</v>
      </c>
      <c r="G1912" s="9">
        <v>502</v>
      </c>
      <c r="H1912" s="5" t="s">
        <v>21</v>
      </c>
      <c r="I1912" s="5" t="s">
        <v>4764</v>
      </c>
      <c r="J1912" s="12" t="str">
        <f>HYPERLINK("https://www.boe.es/gazeta/dias/1800/06/13/pdfs/GMD-1800-47.pdf#page=10","Abrir facsímil")</f>
        <v>Abrir facsímil</v>
      </c>
      <c r="K1912" s="15" t="s">
        <v>23</v>
      </c>
    </row>
    <row r="1913" spans="1:11" ht="42" customHeight="1">
      <c r="A1913" s="4" t="s">
        <v>4765</v>
      </c>
      <c r="B1913" s="5" t="s">
        <v>4766</v>
      </c>
      <c r="C1913" s="5" t="s">
        <v>25</v>
      </c>
      <c r="D1913" s="5" t="s">
        <v>26</v>
      </c>
      <c r="E1913" s="5" t="s">
        <v>45</v>
      </c>
      <c r="F1913" s="9">
        <v>47</v>
      </c>
      <c r="G1913" s="9">
        <v>503</v>
      </c>
      <c r="H1913" s="5" t="s">
        <v>21</v>
      </c>
      <c r="I1913" s="5" t="s">
        <v>4767</v>
      </c>
      <c r="J1913" s="12" t="str">
        <f>HYPERLINK("https://www.boe.es/gazeta/dias/1800/06/13/pdfs/GMD-1800-47.pdf#page=11","Abrir facsímil")</f>
        <v>Abrir facsímil</v>
      </c>
      <c r="K1913" s="15" t="s">
        <v>23</v>
      </c>
    </row>
    <row r="1914" spans="1:11" ht="42" customHeight="1">
      <c r="A1914" s="4" t="s">
        <v>4768</v>
      </c>
      <c r="B1914" s="5" t="s">
        <v>4769</v>
      </c>
      <c r="C1914" s="5" t="s">
        <v>207</v>
      </c>
      <c r="D1914" s="5" t="s">
        <v>55</v>
      </c>
      <c r="E1914" s="5" t="s">
        <v>1231</v>
      </c>
      <c r="F1914" s="9">
        <v>36</v>
      </c>
      <c r="G1914" s="9">
        <v>367</v>
      </c>
      <c r="H1914" s="5" t="s">
        <v>21</v>
      </c>
      <c r="I1914" s="5" t="s">
        <v>4770</v>
      </c>
      <c r="J1914" s="12" t="str">
        <f>HYPERLINK("https://www.boe.es/gazeta/dias/1800/05/06/pdfs/GMD-1800-36.pdf#page=11","Abrir facsímil")</f>
        <v>Abrir facsímil</v>
      </c>
      <c r="K1914" s="15" t="s">
        <v>23</v>
      </c>
    </row>
    <row r="1915" spans="1:11" ht="42" customHeight="1">
      <c r="A1915" s="4" t="s">
        <v>4771</v>
      </c>
      <c r="B1915" s="5" t="s">
        <v>4772</v>
      </c>
      <c r="C1915" s="5" t="s">
        <v>207</v>
      </c>
      <c r="D1915" s="5" t="s">
        <v>55</v>
      </c>
      <c r="E1915" s="5" t="s">
        <v>52</v>
      </c>
      <c r="F1915" s="9">
        <v>83</v>
      </c>
      <c r="G1915" s="9">
        <v>963</v>
      </c>
      <c r="H1915" s="5" t="s">
        <v>21</v>
      </c>
      <c r="I1915" s="5" t="s">
        <v>4773</v>
      </c>
      <c r="J1915" s="12" t="str">
        <f>HYPERLINK("https://www.boe.es/gazeta/dias/1800/10/14/pdfs/GMD-1800-83.pdf#page=9","Abrir facsímil")</f>
        <v>Abrir facsímil</v>
      </c>
      <c r="K1915" s="15" t="s">
        <v>23</v>
      </c>
    </row>
    <row r="1916" spans="1:11" ht="42" customHeight="1">
      <c r="A1916" s="4" t="s">
        <v>4774</v>
      </c>
      <c r="B1916" s="5" t="s">
        <v>4775</v>
      </c>
      <c r="C1916" s="5" t="s">
        <v>84</v>
      </c>
      <c r="D1916" s="5" t="s">
        <v>85</v>
      </c>
      <c r="E1916" s="5" t="s">
        <v>116</v>
      </c>
      <c r="F1916" s="9">
        <v>86</v>
      </c>
      <c r="G1916" s="9">
        <v>998</v>
      </c>
      <c r="H1916" s="5" t="s">
        <v>21</v>
      </c>
      <c r="I1916" s="5" t="s">
        <v>4776</v>
      </c>
      <c r="J1916" s="12" t="str">
        <f>HYPERLINK("https://www.boe.es/gazeta/dias/1800/10/24/pdfs/GMD-1800-86.pdf#page=8","Abrir facsímil")</f>
        <v>Abrir facsímil</v>
      </c>
      <c r="K1916" s="15" t="s">
        <v>23</v>
      </c>
    </row>
    <row r="1917" spans="1:11" ht="42" customHeight="1">
      <c r="A1917" s="4" t="s">
        <v>4777</v>
      </c>
      <c r="B1917" s="5" t="s">
        <v>4778</v>
      </c>
      <c r="C1917" s="5" t="s">
        <v>25</v>
      </c>
      <c r="D1917" s="5" t="s">
        <v>26</v>
      </c>
      <c r="E1917" s="5" t="s">
        <v>618</v>
      </c>
      <c r="F1917" s="9">
        <v>1</v>
      </c>
      <c r="G1917" s="9">
        <v>6</v>
      </c>
      <c r="H1917" s="5" t="s">
        <v>21</v>
      </c>
      <c r="I1917" s="5" t="s">
        <v>4779</v>
      </c>
      <c r="J1917" s="12" t="str">
        <f>HYPERLINK("https://www.boe.es/gazeta/dias/1800/01/03/pdfs/GMD-1800-1.pdf#page=6","Abrir facsímil")</f>
        <v>Abrir facsímil</v>
      </c>
      <c r="K1917" s="15" t="s">
        <v>23</v>
      </c>
    </row>
    <row r="1918" spans="1:11" ht="42" customHeight="1">
      <c r="A1918" s="4" t="s">
        <v>4780</v>
      </c>
      <c r="B1918" s="5" t="s">
        <v>4781</v>
      </c>
      <c r="C1918" s="5" t="s">
        <v>25</v>
      </c>
      <c r="D1918" s="5" t="s">
        <v>26</v>
      </c>
      <c r="E1918" s="5" t="s">
        <v>101</v>
      </c>
      <c r="F1918" s="9">
        <v>37</v>
      </c>
      <c r="G1918" s="9">
        <v>377</v>
      </c>
      <c r="H1918" s="5" t="s">
        <v>21</v>
      </c>
      <c r="I1918" s="5" t="s">
        <v>4782</v>
      </c>
      <c r="J1918" s="12" t="str">
        <f>HYPERLINK("https://www.boe.es/gazeta/dias/1800/05/09/pdfs/GMD-1800-37.pdf#page=9","Abrir facsímil")</f>
        <v>Abrir facsímil</v>
      </c>
      <c r="K1918" s="15" t="s">
        <v>23</v>
      </c>
    </row>
    <row r="1919" spans="1:11" ht="42" customHeight="1">
      <c r="A1919" s="4" t="s">
        <v>4783</v>
      </c>
      <c r="B1919" s="5" t="s">
        <v>4784</v>
      </c>
      <c r="C1919" s="5" t="s">
        <v>207</v>
      </c>
      <c r="D1919" s="5" t="s">
        <v>55</v>
      </c>
      <c r="E1919" s="5" t="s">
        <v>576</v>
      </c>
      <c r="F1919" s="9">
        <v>91</v>
      </c>
      <c r="G1919" s="9">
        <v>1067</v>
      </c>
      <c r="H1919" s="5" t="s">
        <v>21</v>
      </c>
      <c r="I1919" s="5" t="s">
        <v>4785</v>
      </c>
      <c r="J1919" s="12" t="str">
        <f>HYPERLINK("https://www.boe.es/gazeta/dias/1800/11/11/pdfs/GMD-1800-91.pdf#page=9","Abrir facsímil")</f>
        <v>Abrir facsímil</v>
      </c>
      <c r="K1919" s="15" t="s">
        <v>23</v>
      </c>
    </row>
    <row r="1920" spans="1:11" ht="42" customHeight="1">
      <c r="A1920" s="4" t="s">
        <v>4786</v>
      </c>
      <c r="B1920" s="5" t="s">
        <v>4787</v>
      </c>
      <c r="C1920" s="5" t="s">
        <v>18</v>
      </c>
      <c r="D1920" s="5" t="s">
        <v>19</v>
      </c>
      <c r="E1920" s="5" t="s">
        <v>116</v>
      </c>
      <c r="F1920" s="9">
        <v>86</v>
      </c>
      <c r="G1920" s="9">
        <v>997</v>
      </c>
      <c r="H1920" s="5" t="s">
        <v>21</v>
      </c>
      <c r="I1920" s="5" t="s">
        <v>4788</v>
      </c>
      <c r="J1920" s="12" t="str">
        <f>HYPERLINK("https://www.boe.es/gazeta/dias/1800/10/24/pdfs/GMD-1800-86.pdf#page=7","Abrir facsímil")</f>
        <v>Abrir facsímil</v>
      </c>
      <c r="K1920" s="15" t="s">
        <v>23</v>
      </c>
    </row>
    <row r="1921" spans="1:11" ht="42" customHeight="1">
      <c r="A1921" s="4" t="s">
        <v>4789</v>
      </c>
      <c r="B1921" s="5" t="s">
        <v>4790</v>
      </c>
      <c r="C1921" s="5" t="s">
        <v>207</v>
      </c>
      <c r="D1921" s="5" t="s">
        <v>55</v>
      </c>
      <c r="E1921" s="5" t="s">
        <v>319</v>
      </c>
      <c r="F1921" s="9">
        <v>62</v>
      </c>
      <c r="G1921" s="9">
        <v>711</v>
      </c>
      <c r="H1921" s="5" t="s">
        <v>21</v>
      </c>
      <c r="I1921" s="5" t="s">
        <v>4791</v>
      </c>
      <c r="J1921" s="12" t="str">
        <f>HYPERLINK("https://www.boe.es/gazeta/dias/1800/08/05/pdfs/GMD-1800-62.pdf#page=11","Abrir facsímil")</f>
        <v>Abrir facsímil</v>
      </c>
      <c r="K1921" s="15" t="s">
        <v>23</v>
      </c>
    </row>
    <row r="1922" spans="1:11" ht="42" customHeight="1">
      <c r="A1922" s="4" t="s">
        <v>4792</v>
      </c>
      <c r="B1922" s="5" t="s">
        <v>4793</v>
      </c>
      <c r="C1922" s="5" t="s">
        <v>54</v>
      </c>
      <c r="D1922" s="5" t="s">
        <v>55</v>
      </c>
      <c r="E1922" s="5" t="s">
        <v>58</v>
      </c>
      <c r="F1922" s="9">
        <v>92</v>
      </c>
      <c r="G1922" s="9">
        <v>1054</v>
      </c>
      <c r="H1922" s="5" t="s">
        <v>21</v>
      </c>
      <c r="I1922" s="5" t="s">
        <v>4794</v>
      </c>
      <c r="J1922" s="12" t="str">
        <f>HYPERLINK("https://www.boe.es/gazeta/dias/1800/11/14/pdfs/GMD-1800-92.pdf#page=8","Abrir facsímil")</f>
        <v>Abrir facsímil</v>
      </c>
      <c r="K1922" s="15" t="s">
        <v>23</v>
      </c>
    </row>
    <row r="1923" spans="1:11" ht="42" customHeight="1">
      <c r="A1923" s="4" t="s">
        <v>4792</v>
      </c>
      <c r="B1923" s="5" t="s">
        <v>4793</v>
      </c>
      <c r="C1923" s="5" t="s">
        <v>54</v>
      </c>
      <c r="D1923" s="5" t="s">
        <v>55</v>
      </c>
      <c r="E1923" s="5" t="s">
        <v>203</v>
      </c>
      <c r="F1923" s="9">
        <v>94</v>
      </c>
      <c r="G1923" s="9">
        <v>1081</v>
      </c>
      <c r="H1923" s="5" t="s">
        <v>21</v>
      </c>
      <c r="I1923" s="5" t="s">
        <v>4795</v>
      </c>
      <c r="J1923" s="12" t="str">
        <f>HYPERLINK("https://www.boe.es/gazeta/dias/1800/11/21/pdfs/GMD-1800-94.pdf#page=11","Abrir facsímil")</f>
        <v>Abrir facsímil</v>
      </c>
      <c r="K1923" s="15" t="s">
        <v>23</v>
      </c>
    </row>
    <row r="1924" spans="1:11" ht="42" customHeight="1">
      <c r="A1924" s="4" t="s">
        <v>4792</v>
      </c>
      <c r="B1924" s="5" t="s">
        <v>4793</v>
      </c>
      <c r="C1924" s="5" t="s">
        <v>54</v>
      </c>
      <c r="D1924" s="5" t="s">
        <v>55</v>
      </c>
      <c r="E1924" s="5" t="s">
        <v>279</v>
      </c>
      <c r="F1924" s="9">
        <v>103</v>
      </c>
      <c r="G1924" s="9">
        <v>1199</v>
      </c>
      <c r="H1924" s="5" t="s">
        <v>21</v>
      </c>
      <c r="I1924" s="5" t="s">
        <v>4796</v>
      </c>
      <c r="J1924" s="12" t="str">
        <f>HYPERLINK("https://www.boe.es/gazeta/dias/1800/12/23/pdfs/GMD-1800-103.pdf#page=11","Abrir facsímil")</f>
        <v>Abrir facsímil</v>
      </c>
      <c r="K1924" s="15" t="s">
        <v>23</v>
      </c>
    </row>
    <row r="1925" spans="1:11" ht="42" customHeight="1">
      <c r="A1925" s="4" t="s">
        <v>4797</v>
      </c>
      <c r="B1925" s="5" t="s">
        <v>4798</v>
      </c>
      <c r="C1925" s="5" t="s">
        <v>18</v>
      </c>
      <c r="D1925" s="5" t="s">
        <v>19</v>
      </c>
      <c r="E1925" s="5" t="s">
        <v>194</v>
      </c>
      <c r="F1925" s="9">
        <v>48</v>
      </c>
      <c r="G1925" s="9">
        <v>518</v>
      </c>
      <c r="H1925" s="5" t="s">
        <v>21</v>
      </c>
      <c r="I1925" s="5" t="s">
        <v>4799</v>
      </c>
      <c r="J1925" s="12" t="str">
        <f>HYPERLINK("https://www.boe.es/gazeta/dias/1800/06/17/pdfs/GMD-1800-48.pdf#page=10","Abrir facsímil")</f>
        <v>Abrir facsímil</v>
      </c>
      <c r="K1925" s="15" t="s">
        <v>23</v>
      </c>
    </row>
    <row r="1926" spans="1:11" ht="42" customHeight="1">
      <c r="A1926" s="4" t="s">
        <v>4797</v>
      </c>
      <c r="B1926" s="5" t="s">
        <v>4798</v>
      </c>
      <c r="C1926" s="5" t="s">
        <v>18</v>
      </c>
      <c r="D1926" s="5" t="s">
        <v>19</v>
      </c>
      <c r="E1926" s="5" t="s">
        <v>310</v>
      </c>
      <c r="F1926" s="9">
        <v>56</v>
      </c>
      <c r="G1926" s="9">
        <v>633</v>
      </c>
      <c r="H1926" s="5" t="s">
        <v>21</v>
      </c>
      <c r="I1926" s="5" t="s">
        <v>4800</v>
      </c>
      <c r="J1926" s="12" t="str">
        <f>HYPERLINK("https://www.boe.es/gazeta/dias/1800/07/15/pdfs/GMD-1800-56.pdf#page=9","Abrir facsímil")</f>
        <v>Abrir facsímil</v>
      </c>
      <c r="K1926" s="15" t="s">
        <v>23</v>
      </c>
    </row>
    <row r="1927" spans="1:11" ht="42" customHeight="1">
      <c r="A1927" s="4" t="s">
        <v>4797</v>
      </c>
      <c r="B1927" s="5" t="s">
        <v>4798</v>
      </c>
      <c r="C1927" s="5" t="s">
        <v>18</v>
      </c>
      <c r="D1927" s="5" t="s">
        <v>19</v>
      </c>
      <c r="E1927" s="5" t="s">
        <v>56</v>
      </c>
      <c r="F1927" s="9">
        <v>90</v>
      </c>
      <c r="G1927" s="9">
        <v>1055</v>
      </c>
      <c r="H1927" s="5" t="s">
        <v>21</v>
      </c>
      <c r="I1927" s="5" t="s">
        <v>4801</v>
      </c>
      <c r="J1927" s="12" t="str">
        <f>HYPERLINK("https://www.boe.es/gazeta/dias/1800/11/07/pdfs/GMD-1800-90.pdf#page=9","Abrir facsímil")</f>
        <v>Abrir facsímil</v>
      </c>
      <c r="K1927" s="15" t="s">
        <v>23</v>
      </c>
    </row>
    <row r="1928" spans="1:11" ht="42" customHeight="1">
      <c r="A1928" s="4" t="s">
        <v>4802</v>
      </c>
      <c r="B1928" s="5" t="s">
        <v>4803</v>
      </c>
      <c r="C1928" s="5" t="s">
        <v>207</v>
      </c>
      <c r="D1928" s="5" t="s">
        <v>55</v>
      </c>
      <c r="E1928" s="5" t="s">
        <v>319</v>
      </c>
      <c r="F1928" s="9">
        <v>62</v>
      </c>
      <c r="G1928" s="9">
        <v>711</v>
      </c>
      <c r="H1928" s="5" t="s">
        <v>21</v>
      </c>
      <c r="I1928" s="5" t="s">
        <v>4804</v>
      </c>
      <c r="J1928" s="12" t="str">
        <f>HYPERLINK("https://www.boe.es/gazeta/dias/1800/08/05/pdfs/GMD-1800-62.pdf#page=11","Abrir facsímil")</f>
        <v>Abrir facsímil</v>
      </c>
      <c r="K1928" s="15" t="s">
        <v>23</v>
      </c>
    </row>
    <row r="1929" spans="1:11" ht="42" customHeight="1">
      <c r="A1929" s="4" t="s">
        <v>4805</v>
      </c>
      <c r="B1929" s="5" t="s">
        <v>4806</v>
      </c>
      <c r="C1929" s="5" t="s">
        <v>18</v>
      </c>
      <c r="D1929" s="5" t="s">
        <v>19</v>
      </c>
      <c r="E1929" s="5" t="s">
        <v>56</v>
      </c>
      <c r="F1929" s="9">
        <v>90</v>
      </c>
      <c r="G1929" s="9">
        <v>1055</v>
      </c>
      <c r="H1929" s="5" t="s">
        <v>21</v>
      </c>
      <c r="I1929" s="5" t="s">
        <v>4807</v>
      </c>
      <c r="J1929" s="12" t="str">
        <f>HYPERLINK("https://www.boe.es/gazeta/dias/1800/11/07/pdfs/GMD-1800-90.pdf#page=9","Abrir facsímil")</f>
        <v>Abrir facsímil</v>
      </c>
      <c r="K1929" s="15" t="s">
        <v>23</v>
      </c>
    </row>
    <row r="1930" spans="1:11" ht="42" customHeight="1">
      <c r="A1930" s="4" t="s">
        <v>4808</v>
      </c>
      <c r="B1930" s="5" t="s">
        <v>4809</v>
      </c>
      <c r="C1930" s="5" t="s">
        <v>18</v>
      </c>
      <c r="D1930" s="5" t="s">
        <v>19</v>
      </c>
      <c r="E1930" s="5" t="s">
        <v>20</v>
      </c>
      <c r="F1930" s="9">
        <v>104</v>
      </c>
      <c r="G1930" s="9">
        <v>1209</v>
      </c>
      <c r="H1930" s="5" t="s">
        <v>21</v>
      </c>
      <c r="I1930" s="5" t="s">
        <v>4810</v>
      </c>
      <c r="J1930" s="12" t="str">
        <f>HYPERLINK("https://www.boe.es/gazeta/dias/1800/12/26/pdfs/GMD-1800-104.pdf#page=9","Abrir facsímil")</f>
        <v>Abrir facsímil</v>
      </c>
      <c r="K1930" s="15" t="s">
        <v>23</v>
      </c>
    </row>
    <row r="1931" spans="1:11" ht="42" customHeight="1">
      <c r="A1931" s="4" t="s">
        <v>4811</v>
      </c>
      <c r="B1931" s="5" t="s">
        <v>4812</v>
      </c>
      <c r="C1931" s="5" t="s">
        <v>207</v>
      </c>
      <c r="D1931" s="5" t="s">
        <v>55</v>
      </c>
      <c r="E1931" s="5" t="s">
        <v>422</v>
      </c>
      <c r="F1931" s="9">
        <v>85</v>
      </c>
      <c r="G1931" s="9">
        <v>984</v>
      </c>
      <c r="H1931" s="5" t="s">
        <v>21</v>
      </c>
      <c r="I1931" s="5" t="s">
        <v>4813</v>
      </c>
      <c r="J1931" s="12" t="str">
        <f>HYPERLINK("https://www.boe.es/gazeta/dias/1800/10/21/pdfs/GMD-1800-85.pdf#page=6","Abrir facsímil")</f>
        <v>Abrir facsímil</v>
      </c>
      <c r="K1931" s="15" t="s">
        <v>23</v>
      </c>
    </row>
    <row r="1932" spans="1:11" ht="42" customHeight="1">
      <c r="A1932" s="4" t="s">
        <v>4811</v>
      </c>
      <c r="B1932" s="5" t="s">
        <v>4812</v>
      </c>
      <c r="C1932" s="5" t="s">
        <v>18</v>
      </c>
      <c r="D1932" s="5" t="s">
        <v>19</v>
      </c>
      <c r="E1932" s="5" t="s">
        <v>190</v>
      </c>
      <c r="F1932" s="9">
        <v>93</v>
      </c>
      <c r="G1932" s="9">
        <v>1066</v>
      </c>
      <c r="H1932" s="5" t="s">
        <v>21</v>
      </c>
      <c r="I1932" s="5" t="s">
        <v>4814</v>
      </c>
      <c r="J1932" s="12" t="str">
        <f>HYPERLINK("https://www.boe.es/gazeta/dias/1800/11/18/pdfs/GMD-1800-93.pdf#page=12","Abrir facsímil")</f>
        <v>Abrir facsímil</v>
      </c>
      <c r="K1932" s="15" t="s">
        <v>23</v>
      </c>
    </row>
    <row r="1933" spans="1:11" ht="42" customHeight="1">
      <c r="A1933" s="4" t="s">
        <v>4815</v>
      </c>
      <c r="B1933" s="5" t="s">
        <v>4816</v>
      </c>
      <c r="C1933" s="5" t="s">
        <v>25</v>
      </c>
      <c r="D1933" s="5" t="s">
        <v>26</v>
      </c>
      <c r="E1933" s="5" t="s">
        <v>143</v>
      </c>
      <c r="F1933" s="9">
        <v>22</v>
      </c>
      <c r="G1933" s="9">
        <v>223</v>
      </c>
      <c r="H1933" s="5" t="s">
        <v>21</v>
      </c>
      <c r="I1933" s="5" t="s">
        <v>4817</v>
      </c>
      <c r="J1933" s="12" t="str">
        <f>HYPERLINK("https://www.boe.es/gazeta/dias/1800/03/18/pdfs/GMD-1800-22.pdf#page=15","Abrir facsímil")</f>
        <v>Abrir facsímil</v>
      </c>
      <c r="K1933" s="15" t="s">
        <v>23</v>
      </c>
    </row>
    <row r="1934" spans="1:11" ht="42" customHeight="1">
      <c r="A1934" s="4" t="s">
        <v>4818</v>
      </c>
      <c r="B1934" s="5" t="s">
        <v>4819</v>
      </c>
      <c r="C1934" s="5" t="s">
        <v>18</v>
      </c>
      <c r="D1934" s="5" t="s">
        <v>19</v>
      </c>
      <c r="E1934" s="5" t="s">
        <v>618</v>
      </c>
      <c r="F1934" s="9">
        <v>1</v>
      </c>
      <c r="G1934" s="9">
        <v>5</v>
      </c>
      <c r="H1934" s="5" t="s">
        <v>21</v>
      </c>
      <c r="I1934" s="5" t="s">
        <v>4820</v>
      </c>
      <c r="J1934" s="12" t="str">
        <f>HYPERLINK("https://www.boe.es/gazeta/dias/1800/01/03/pdfs/GMD-1800-1.pdf#page=5","Abrir facsímil")</f>
        <v>Abrir facsímil</v>
      </c>
      <c r="K1934" s="15" t="s">
        <v>23</v>
      </c>
    </row>
    <row r="1935" spans="1:11" ht="42" customHeight="1">
      <c r="A1935" s="4" t="s">
        <v>4821</v>
      </c>
      <c r="B1935" s="5" t="s">
        <v>4822</v>
      </c>
      <c r="C1935" s="5" t="s">
        <v>25</v>
      </c>
      <c r="D1935" s="5" t="s">
        <v>26</v>
      </c>
      <c r="E1935" s="5" t="s">
        <v>465</v>
      </c>
      <c r="F1935" s="9">
        <v>49</v>
      </c>
      <c r="G1935" s="9">
        <v>531</v>
      </c>
      <c r="H1935" s="5" t="s">
        <v>21</v>
      </c>
      <c r="I1935" s="5" t="s">
        <v>4823</v>
      </c>
      <c r="J1935" s="12" t="str">
        <f>HYPERLINK("https://www.boe.es/gazeta/dias/1800/06/20/pdfs/GMD-1800-49.pdf#page=7","Abrir facsímil")</f>
        <v>Abrir facsímil</v>
      </c>
      <c r="K1935" s="15" t="s">
        <v>23</v>
      </c>
    </row>
    <row r="1936" spans="1:11" ht="42" customHeight="1">
      <c r="A1936" s="4" t="s">
        <v>4824</v>
      </c>
      <c r="B1936" s="5" t="s">
        <v>4825</v>
      </c>
      <c r="C1936" s="5" t="s">
        <v>54</v>
      </c>
      <c r="D1936" s="5" t="s">
        <v>55</v>
      </c>
      <c r="E1936" s="5" t="s">
        <v>787</v>
      </c>
      <c r="F1936" s="9">
        <v>6</v>
      </c>
      <c r="G1936" s="9">
        <v>58</v>
      </c>
      <c r="H1936" s="5" t="s">
        <v>21</v>
      </c>
      <c r="I1936" s="5" t="s">
        <v>4826</v>
      </c>
      <c r="J1936" s="12" t="str">
        <f>HYPERLINK("https://www.boe.es/gazeta/dias/1800/01/21/pdfs/GMD-1800-6.pdf#page=10","Abrir facsímil")</f>
        <v>Abrir facsímil</v>
      </c>
      <c r="K1936" s="15" t="s">
        <v>23</v>
      </c>
    </row>
    <row r="1937" spans="1:11" ht="42" customHeight="1">
      <c r="A1937" s="4" t="s">
        <v>4827</v>
      </c>
      <c r="B1937" s="5" t="s">
        <v>4828</v>
      </c>
      <c r="C1937" s="5" t="s">
        <v>18</v>
      </c>
      <c r="D1937" s="5" t="s">
        <v>19</v>
      </c>
      <c r="E1937" s="5" t="s">
        <v>176</v>
      </c>
      <c r="F1937" s="9">
        <v>88</v>
      </c>
      <c r="G1937" s="9">
        <v>1034</v>
      </c>
      <c r="H1937" s="5" t="s">
        <v>21</v>
      </c>
      <c r="I1937" s="5" t="s">
        <v>4829</v>
      </c>
      <c r="J1937" s="12" t="str">
        <f>HYPERLINK("https://www.boe.es/gazeta/dias/1800/10/31/pdfs/GMD-1800-88.pdf#page=16","Abrir facsímil")</f>
        <v>Abrir facsímil</v>
      </c>
      <c r="K1937" s="15" t="s">
        <v>23</v>
      </c>
    </row>
    <row r="1938" spans="1:11" ht="42" customHeight="1">
      <c r="A1938" s="4" t="s">
        <v>4830</v>
      </c>
      <c r="B1938" s="5" t="s">
        <v>4831</v>
      </c>
      <c r="C1938" s="5" t="s">
        <v>54</v>
      </c>
      <c r="D1938" s="5" t="s">
        <v>55</v>
      </c>
      <c r="E1938" s="5" t="s">
        <v>190</v>
      </c>
      <c r="F1938" s="9">
        <v>93</v>
      </c>
      <c r="G1938" s="9">
        <v>1069</v>
      </c>
      <c r="H1938" s="5" t="s">
        <v>21</v>
      </c>
      <c r="I1938" s="5" t="s">
        <v>4832</v>
      </c>
      <c r="J1938" s="12" t="str">
        <f>HYPERLINK("https://www.boe.es/gazeta/dias/1800/11/18/pdfs/GMD-1800-93.pdf#page=15","Abrir facsímil")</f>
        <v>Abrir facsímil</v>
      </c>
      <c r="K1938" s="15" t="s">
        <v>23</v>
      </c>
    </row>
    <row r="1939" spans="1:11" ht="42" customHeight="1">
      <c r="A1939" s="4" t="s">
        <v>4833</v>
      </c>
      <c r="B1939" s="5" t="s">
        <v>4834</v>
      </c>
      <c r="C1939" s="5" t="s">
        <v>25</v>
      </c>
      <c r="D1939" s="5" t="s">
        <v>26</v>
      </c>
      <c r="E1939" s="5" t="s">
        <v>101</v>
      </c>
      <c r="F1939" s="9">
        <v>37</v>
      </c>
      <c r="G1939" s="9">
        <v>377</v>
      </c>
      <c r="H1939" s="5" t="s">
        <v>21</v>
      </c>
      <c r="I1939" s="5" t="s">
        <v>4835</v>
      </c>
      <c r="J1939" s="12" t="str">
        <f>HYPERLINK("https://www.boe.es/gazeta/dias/1800/05/09/pdfs/GMD-1800-37.pdf#page=9","Abrir facsímil")</f>
        <v>Abrir facsímil</v>
      </c>
      <c r="K1939" s="15" t="s">
        <v>23</v>
      </c>
    </row>
    <row r="1940" spans="1:11" ht="42" customHeight="1">
      <c r="A1940" s="4" t="s">
        <v>4836</v>
      </c>
      <c r="B1940" s="5" t="s">
        <v>4837</v>
      </c>
      <c r="C1940" s="5" t="s">
        <v>25</v>
      </c>
      <c r="D1940" s="5" t="s">
        <v>26</v>
      </c>
      <c r="E1940" s="5" t="s">
        <v>45</v>
      </c>
      <c r="F1940" s="9">
        <v>47</v>
      </c>
      <c r="G1940" s="9">
        <v>503</v>
      </c>
      <c r="H1940" s="5" t="s">
        <v>21</v>
      </c>
      <c r="I1940" s="5" t="s">
        <v>4838</v>
      </c>
      <c r="J1940" s="12" t="str">
        <f>HYPERLINK("https://www.boe.es/gazeta/dias/1800/06/13/pdfs/GMD-1800-47.pdf#page=11","Abrir facsímil")</f>
        <v>Abrir facsímil</v>
      </c>
      <c r="K1940" s="15" t="s">
        <v>23</v>
      </c>
    </row>
    <row r="1941" spans="1:11" ht="42" customHeight="1">
      <c r="A1941" s="4" t="s">
        <v>4839</v>
      </c>
      <c r="B1941" s="5" t="s">
        <v>4840</v>
      </c>
      <c r="C1941" s="5" t="s">
        <v>18</v>
      </c>
      <c r="D1941" s="5" t="s">
        <v>19</v>
      </c>
      <c r="E1941" s="5" t="s">
        <v>90</v>
      </c>
      <c r="F1941" s="9">
        <v>58</v>
      </c>
      <c r="G1941" s="9">
        <v>662</v>
      </c>
      <c r="H1941" s="5" t="s">
        <v>21</v>
      </c>
      <c r="I1941" s="5" t="s">
        <v>4841</v>
      </c>
      <c r="J1941" s="12" t="str">
        <f>HYPERLINK("https://www.boe.es/gazeta/dias/1800/07/22/pdfs/GMD-1800-58.pdf#page=10","Abrir facsímil")</f>
        <v>Abrir facsímil</v>
      </c>
      <c r="K1941" s="15" t="s">
        <v>23</v>
      </c>
    </row>
    <row r="1942" spans="1:11" ht="42" customHeight="1">
      <c r="A1942" s="4" t="s">
        <v>4842</v>
      </c>
      <c r="B1942" s="5" t="s">
        <v>4843</v>
      </c>
      <c r="C1942" s="5" t="s">
        <v>18</v>
      </c>
      <c r="D1942" s="5" t="s">
        <v>19</v>
      </c>
      <c r="E1942" s="5" t="s">
        <v>1231</v>
      </c>
      <c r="F1942" s="9">
        <v>36</v>
      </c>
      <c r="G1942" s="9">
        <v>366</v>
      </c>
      <c r="H1942" s="5" t="s">
        <v>21</v>
      </c>
      <c r="I1942" s="5" t="s">
        <v>4844</v>
      </c>
      <c r="J1942" s="12" t="str">
        <f>HYPERLINK("https://www.boe.es/gazeta/dias/1800/05/06/pdfs/GMD-1800-36.pdf#page=10","Abrir facsímil")</f>
        <v>Abrir facsímil</v>
      </c>
      <c r="K1942" s="15" t="s">
        <v>23</v>
      </c>
    </row>
    <row r="1943" spans="1:11" ht="42" customHeight="1">
      <c r="A1943" s="4" t="s">
        <v>4845</v>
      </c>
      <c r="B1943" s="5" t="s">
        <v>4846</v>
      </c>
      <c r="C1943" s="5" t="s">
        <v>18</v>
      </c>
      <c r="D1943" s="5" t="s">
        <v>19</v>
      </c>
      <c r="E1943" s="5" t="s">
        <v>43</v>
      </c>
      <c r="F1943" s="9">
        <v>46</v>
      </c>
      <c r="G1943" s="9">
        <v>486</v>
      </c>
      <c r="H1943" s="5" t="s">
        <v>21</v>
      </c>
      <c r="I1943" s="5" t="s">
        <v>4847</v>
      </c>
      <c r="J1943" s="12" t="str">
        <f>HYPERLINK("https://www.boe.es/gazeta/dias/1800/06/10/pdfs/GMD-1800-46.pdf#page=10","Abrir facsímil")</f>
        <v>Abrir facsímil</v>
      </c>
      <c r="K1943" s="15" t="s">
        <v>23</v>
      </c>
    </row>
    <row r="1944" spans="1:11" ht="42" customHeight="1">
      <c r="A1944" s="4" t="s">
        <v>4848</v>
      </c>
      <c r="B1944" s="5" t="s">
        <v>4849</v>
      </c>
      <c r="C1944" s="5" t="s">
        <v>18</v>
      </c>
      <c r="D1944" s="5" t="s">
        <v>19</v>
      </c>
      <c r="E1944" s="5" t="s">
        <v>279</v>
      </c>
      <c r="F1944" s="9">
        <v>103</v>
      </c>
      <c r="G1944" s="9">
        <v>1198</v>
      </c>
      <c r="H1944" s="5" t="s">
        <v>21</v>
      </c>
      <c r="I1944" s="5" t="s">
        <v>4850</v>
      </c>
      <c r="J1944" s="12" t="str">
        <f>HYPERLINK("https://www.boe.es/gazeta/dias/1800/12/23/pdfs/GMD-1800-103.pdf#page=10","Abrir facsímil")</f>
        <v>Abrir facsímil</v>
      </c>
      <c r="K1944" s="15" t="s">
        <v>23</v>
      </c>
    </row>
    <row r="1945" spans="1:11" ht="42" customHeight="1">
      <c r="A1945" s="4" t="s">
        <v>4851</v>
      </c>
      <c r="B1945" s="5" t="s">
        <v>4852</v>
      </c>
      <c r="C1945" s="5" t="s">
        <v>25</v>
      </c>
      <c r="D1945" s="5" t="s">
        <v>26</v>
      </c>
      <c r="E1945" s="5" t="s">
        <v>244</v>
      </c>
      <c r="F1945" s="9">
        <v>9</v>
      </c>
      <c r="G1945" s="9">
        <v>87</v>
      </c>
      <c r="H1945" s="5" t="s">
        <v>21</v>
      </c>
      <c r="I1945" s="5" t="s">
        <v>4853</v>
      </c>
      <c r="J1945" s="12" t="str">
        <f>HYPERLINK("https://www.boe.es/gazeta/dias/1800/01/31/pdfs/GMD-1800-9.pdf#page=11","Abrir facsímil")</f>
        <v>Abrir facsímil</v>
      </c>
      <c r="K1945" s="15" t="s">
        <v>23</v>
      </c>
    </row>
    <row r="1946" spans="1:11" ht="42" customHeight="1">
      <c r="A1946" s="4" t="s">
        <v>4854</v>
      </c>
      <c r="B1946" s="5" t="s">
        <v>4855</v>
      </c>
      <c r="C1946" s="5" t="s">
        <v>25</v>
      </c>
      <c r="D1946" s="5" t="s">
        <v>26</v>
      </c>
      <c r="E1946" s="5" t="s">
        <v>244</v>
      </c>
      <c r="F1946" s="9">
        <v>9</v>
      </c>
      <c r="G1946" s="9">
        <v>87</v>
      </c>
      <c r="H1946" s="5" t="s">
        <v>21</v>
      </c>
      <c r="I1946" s="5" t="s">
        <v>4856</v>
      </c>
      <c r="J1946" s="12" t="str">
        <f>HYPERLINK("https://www.boe.es/gazeta/dias/1800/01/31/pdfs/GMD-1800-9.pdf#page=11","Abrir facsímil")</f>
        <v>Abrir facsímil</v>
      </c>
      <c r="K1946" s="15" t="s">
        <v>23</v>
      </c>
    </row>
    <row r="1947" spans="1:11" ht="42" customHeight="1">
      <c r="A1947" s="4" t="s">
        <v>4857</v>
      </c>
      <c r="B1947" s="5" t="s">
        <v>4858</v>
      </c>
      <c r="C1947" s="5" t="s">
        <v>171</v>
      </c>
      <c r="D1947" s="5" t="s">
        <v>172</v>
      </c>
      <c r="E1947" s="5" t="s">
        <v>595</v>
      </c>
      <c r="F1947" s="9">
        <v>72</v>
      </c>
      <c r="G1947" s="9">
        <v>801</v>
      </c>
      <c r="H1947" s="5" t="s">
        <v>21</v>
      </c>
      <c r="I1947" s="5" t="s">
        <v>4859</v>
      </c>
      <c r="J1947" s="12" t="str">
        <f>HYPERLINK("https://www.boe.es/gazeta/dias/1800/09/05/pdfs/GMD-C-1800-72.pdf#page=3","Abrir facsímil")</f>
        <v>Abrir facsímil</v>
      </c>
      <c r="K1947" s="15" t="s">
        <v>23</v>
      </c>
    </row>
    <row r="1948" spans="1:11" ht="42" customHeight="1">
      <c r="A1948" s="4" t="s">
        <v>4860</v>
      </c>
      <c r="B1948" s="5" t="s">
        <v>4861</v>
      </c>
      <c r="C1948" s="5" t="s">
        <v>25</v>
      </c>
      <c r="D1948" s="5" t="s">
        <v>26</v>
      </c>
      <c r="E1948" s="5" t="s">
        <v>410</v>
      </c>
      <c r="F1948" s="9">
        <v>87</v>
      </c>
      <c r="G1948" s="9">
        <v>1009</v>
      </c>
      <c r="H1948" s="5" t="s">
        <v>21</v>
      </c>
      <c r="I1948" s="5" t="s">
        <v>4862</v>
      </c>
      <c r="J1948" s="12" t="str">
        <f>HYPERLINK("https://www.boe.es/gazeta/dias/1800/10/28/pdfs/GMD-1800-87.pdf#page=7","Abrir facsímil")</f>
        <v>Abrir facsímil</v>
      </c>
      <c r="K1948" s="15" t="s">
        <v>23</v>
      </c>
    </row>
    <row r="1949" spans="1:11" ht="42" customHeight="1">
      <c r="A1949" s="4" t="s">
        <v>4863</v>
      </c>
      <c r="B1949" s="5" t="s">
        <v>4864</v>
      </c>
      <c r="C1949" s="5" t="s">
        <v>171</v>
      </c>
      <c r="D1949" s="5" t="s">
        <v>172</v>
      </c>
      <c r="E1949" s="5" t="s">
        <v>64</v>
      </c>
      <c r="F1949" s="9">
        <v>54</v>
      </c>
      <c r="G1949" s="9">
        <v>612</v>
      </c>
      <c r="H1949" s="5" t="s">
        <v>21</v>
      </c>
      <c r="I1949" s="5" t="s">
        <v>4865</v>
      </c>
      <c r="J1949" s="12" t="str">
        <f>HYPERLINK("https://www.boe.es/gazeta/dias/1800/07/08/pdfs/GMD-C-1800-54.pdf#page=4","Abrir facsímil")</f>
        <v>Abrir facsímil</v>
      </c>
      <c r="K1949" s="15" t="s">
        <v>23</v>
      </c>
    </row>
    <row r="1950" spans="1:11" ht="42" customHeight="1">
      <c r="A1950" s="4" t="s">
        <v>4866</v>
      </c>
      <c r="B1950" s="5" t="s">
        <v>4867</v>
      </c>
      <c r="C1950" s="5" t="s">
        <v>18</v>
      </c>
      <c r="D1950" s="5" t="s">
        <v>19</v>
      </c>
      <c r="E1950" s="5" t="s">
        <v>673</v>
      </c>
      <c r="F1950" s="9">
        <v>89</v>
      </c>
      <c r="G1950" s="9">
        <v>1043</v>
      </c>
      <c r="H1950" s="5" t="s">
        <v>21</v>
      </c>
      <c r="I1950" s="5" t="s">
        <v>4868</v>
      </c>
      <c r="J1950" s="12" t="str">
        <f>HYPERLINK("https://www.boe.es/gazeta/dias/1800/11/04/pdfs/GMD-1800-89.pdf#page=9","Abrir facsímil")</f>
        <v>Abrir facsímil</v>
      </c>
      <c r="K1950" s="15" t="s">
        <v>23</v>
      </c>
    </row>
    <row r="1951" spans="1:11" ht="42" customHeight="1">
      <c r="A1951" s="4" t="s">
        <v>4869</v>
      </c>
      <c r="B1951" s="5" t="s">
        <v>4870</v>
      </c>
      <c r="C1951" s="5" t="s">
        <v>41</v>
      </c>
      <c r="D1951" s="5" t="s">
        <v>42</v>
      </c>
      <c r="E1951" s="5" t="s">
        <v>101</v>
      </c>
      <c r="F1951" s="9">
        <v>37</v>
      </c>
      <c r="G1951" s="9">
        <v>376</v>
      </c>
      <c r="H1951" s="5" t="s">
        <v>21</v>
      </c>
      <c r="I1951" s="5" t="s">
        <v>4871</v>
      </c>
      <c r="J1951" s="12" t="str">
        <f>HYPERLINK("https://www.boe.es/gazeta/dias/1800/05/09/pdfs/GMD-1800-37.pdf#page=8","Abrir facsímil")</f>
        <v>Abrir facsímil</v>
      </c>
      <c r="K1951" s="15" t="s">
        <v>23</v>
      </c>
    </row>
    <row r="1952" spans="1:11" ht="42" customHeight="1">
      <c r="A1952" s="4" t="s">
        <v>4872</v>
      </c>
      <c r="B1952" s="5" t="s">
        <v>4873</v>
      </c>
      <c r="C1952" s="5" t="s">
        <v>54</v>
      </c>
      <c r="D1952" s="5" t="s">
        <v>55</v>
      </c>
      <c r="E1952" s="5" t="s">
        <v>583</v>
      </c>
      <c r="F1952" s="9">
        <v>77</v>
      </c>
      <c r="G1952" s="9">
        <v>880</v>
      </c>
      <c r="H1952" s="5" t="s">
        <v>21</v>
      </c>
      <c r="I1952" s="5" t="s">
        <v>4874</v>
      </c>
      <c r="J1952" s="12" t="str">
        <f>HYPERLINK("https://www.boe.es/gazeta/dias/1800/09/23/pdfs/GMD-1800-77.pdf#page=10","Abrir facsímil")</f>
        <v>Abrir facsímil</v>
      </c>
      <c r="K1952" s="15" t="s">
        <v>23</v>
      </c>
    </row>
    <row r="1953" spans="1:11" ht="42" customHeight="1">
      <c r="A1953" s="4" t="s">
        <v>4875</v>
      </c>
      <c r="B1953" s="5" t="s">
        <v>4876</v>
      </c>
      <c r="C1953" s="5" t="s">
        <v>54</v>
      </c>
      <c r="D1953" s="5" t="s">
        <v>55</v>
      </c>
      <c r="E1953" s="5" t="s">
        <v>279</v>
      </c>
      <c r="F1953" s="9">
        <v>103</v>
      </c>
      <c r="G1953" s="9">
        <v>1199</v>
      </c>
      <c r="H1953" s="5" t="s">
        <v>21</v>
      </c>
      <c r="I1953" s="5" t="s">
        <v>4877</v>
      </c>
      <c r="J1953" s="12" t="str">
        <f>HYPERLINK("https://www.boe.es/gazeta/dias/1800/12/23/pdfs/GMD-1800-103.pdf#page=11","Abrir facsímil")</f>
        <v>Abrir facsímil</v>
      </c>
      <c r="K1953" s="15" t="s">
        <v>23</v>
      </c>
    </row>
    <row r="1954" spans="1:11" ht="42" customHeight="1">
      <c r="A1954" s="4" t="s">
        <v>4878</v>
      </c>
      <c r="B1954" s="5" t="s">
        <v>4879</v>
      </c>
      <c r="C1954" s="5" t="s">
        <v>18</v>
      </c>
      <c r="D1954" s="5" t="s">
        <v>19</v>
      </c>
      <c r="E1954" s="5" t="s">
        <v>180</v>
      </c>
      <c r="F1954" s="9">
        <v>102</v>
      </c>
      <c r="G1954" s="9">
        <v>1185</v>
      </c>
      <c r="H1954" s="5" t="s">
        <v>21</v>
      </c>
      <c r="I1954" s="5" t="s">
        <v>4880</v>
      </c>
      <c r="J1954" s="12" t="str">
        <f>HYPERLINK("https://www.boe.es/gazeta/dias/1800/12/19/pdfs/GMD-1800-102.pdf#page=9","Abrir facsímil")</f>
        <v>Abrir facsímil</v>
      </c>
      <c r="K1954" s="15" t="s">
        <v>23</v>
      </c>
    </row>
    <row r="1955" spans="1:11" ht="42" customHeight="1">
      <c r="A1955" s="4" t="s">
        <v>4881</v>
      </c>
      <c r="B1955" s="5" t="s">
        <v>4882</v>
      </c>
      <c r="C1955" s="5" t="s">
        <v>84</v>
      </c>
      <c r="D1955" s="5" t="s">
        <v>85</v>
      </c>
      <c r="E1955" s="5" t="s">
        <v>598</v>
      </c>
      <c r="F1955" s="9">
        <v>32</v>
      </c>
      <c r="G1955" s="9">
        <v>324</v>
      </c>
      <c r="H1955" s="5" t="s">
        <v>21</v>
      </c>
      <c r="I1955" s="5" t="s">
        <v>4883</v>
      </c>
      <c r="J1955" s="12" t="str">
        <f>HYPERLINK("https://www.boe.es/gazeta/dias/1800/04/22/pdfs/GMD-1800-32.pdf#page=8","Abrir facsímil")</f>
        <v>Abrir facsímil</v>
      </c>
      <c r="K1955" s="15" t="s">
        <v>23</v>
      </c>
    </row>
    <row r="1956" spans="1:11" ht="42" customHeight="1">
      <c r="A1956" s="4" t="s">
        <v>4884</v>
      </c>
      <c r="B1956" s="5" t="s">
        <v>4885</v>
      </c>
      <c r="C1956" s="5" t="s">
        <v>18</v>
      </c>
      <c r="D1956" s="5" t="s">
        <v>19</v>
      </c>
      <c r="E1956" s="5" t="s">
        <v>329</v>
      </c>
      <c r="F1956" s="9">
        <v>99</v>
      </c>
      <c r="G1956" s="9">
        <v>1138</v>
      </c>
      <c r="H1956" s="5" t="s">
        <v>21</v>
      </c>
      <c r="I1956" s="5" t="s">
        <v>4886</v>
      </c>
      <c r="J1956" s="12" t="str">
        <f>HYPERLINK("https://www.boe.es/gazeta/dias/1800/12/09/pdfs/GMD-1800-99.pdf#page=6","Abrir facsímil")</f>
        <v>Abrir facsímil</v>
      </c>
      <c r="K1956" s="15" t="s">
        <v>23</v>
      </c>
    </row>
    <row r="1957" spans="1:11" ht="42" customHeight="1">
      <c r="A1957" s="4" t="s">
        <v>4887</v>
      </c>
      <c r="B1957" s="5" t="s">
        <v>4888</v>
      </c>
      <c r="C1957" s="5" t="s">
        <v>84</v>
      </c>
      <c r="D1957" s="5" t="s">
        <v>85</v>
      </c>
      <c r="E1957" s="5" t="s">
        <v>503</v>
      </c>
      <c r="F1957" s="9">
        <v>13</v>
      </c>
      <c r="G1957" s="9">
        <v>128</v>
      </c>
      <c r="H1957" s="5" t="s">
        <v>21</v>
      </c>
      <c r="I1957" s="5" t="s">
        <v>4889</v>
      </c>
      <c r="J1957" s="12" t="str">
        <f>HYPERLINK("https://www.boe.es/gazeta/dias/1800/02/14/pdfs/GMD-1800-13.pdf#page=12","Abrir facsímil")</f>
        <v>Abrir facsímil</v>
      </c>
      <c r="K1957" s="15" t="s">
        <v>23</v>
      </c>
    </row>
    <row r="1958" spans="1:11" ht="42" customHeight="1">
      <c r="A1958" s="4" t="s">
        <v>4890</v>
      </c>
      <c r="B1958" s="5" t="s">
        <v>4891</v>
      </c>
      <c r="C1958" s="5" t="s">
        <v>1179</v>
      </c>
      <c r="D1958" s="5" t="s">
        <v>1180</v>
      </c>
      <c r="E1958" s="5" t="s">
        <v>314</v>
      </c>
      <c r="F1958" s="9">
        <v>74</v>
      </c>
      <c r="G1958" s="9">
        <v>839</v>
      </c>
      <c r="H1958" s="5" t="s">
        <v>21</v>
      </c>
      <c r="I1958" s="5" t="s">
        <v>4892</v>
      </c>
      <c r="J1958" s="12" t="str">
        <f>HYPERLINK("https://www.boe.es/gazeta/dias/1800/09/12/pdfs/GMD-C-1800-74.pdf#page=1","Abrir facsímil")</f>
        <v>Abrir facsímil</v>
      </c>
      <c r="K1958" s="15" t="s">
        <v>23</v>
      </c>
    </row>
    <row r="1959" spans="1:11" ht="42" customHeight="1">
      <c r="A1959" s="4" t="s">
        <v>4893</v>
      </c>
      <c r="B1959" s="5" t="s">
        <v>4894</v>
      </c>
      <c r="C1959" s="5" t="s">
        <v>18</v>
      </c>
      <c r="D1959" s="5" t="s">
        <v>19</v>
      </c>
      <c r="E1959" s="5" t="s">
        <v>116</v>
      </c>
      <c r="F1959" s="9">
        <v>86</v>
      </c>
      <c r="G1959" s="9">
        <v>998</v>
      </c>
      <c r="H1959" s="5" t="s">
        <v>21</v>
      </c>
      <c r="I1959" s="5" t="s">
        <v>4895</v>
      </c>
      <c r="J1959" s="12" t="str">
        <f>HYPERLINK("https://www.boe.es/gazeta/dias/1800/10/24/pdfs/GMD-1800-86.pdf#page=8","Abrir facsímil")</f>
        <v>Abrir facsímil</v>
      </c>
      <c r="K1959" s="15" t="s">
        <v>23</v>
      </c>
    </row>
    <row r="1960" spans="1:11" ht="42" customHeight="1">
      <c r="A1960" s="4" t="s">
        <v>4896</v>
      </c>
      <c r="B1960" s="5" t="s">
        <v>4897</v>
      </c>
      <c r="C1960" s="5" t="s">
        <v>18</v>
      </c>
      <c r="D1960" s="5" t="s">
        <v>19</v>
      </c>
      <c r="E1960" s="5" t="s">
        <v>461</v>
      </c>
      <c r="F1960" s="9">
        <v>18</v>
      </c>
      <c r="G1960" s="9">
        <v>170</v>
      </c>
      <c r="H1960" s="5" t="s">
        <v>21</v>
      </c>
      <c r="I1960" s="5" t="s">
        <v>4898</v>
      </c>
      <c r="J1960" s="12" t="str">
        <f>HYPERLINK("https://www.boe.es/datos/pdfs/BOE//1800/018/C00173-00176.pdf#page=6","Abrir facsímil")</f>
        <v>Abrir facsímil</v>
      </c>
      <c r="K1960" s="15" t="s">
        <v>23</v>
      </c>
    </row>
    <row r="1961" spans="1:11" ht="42" customHeight="1">
      <c r="A1961" s="4" t="s">
        <v>4899</v>
      </c>
      <c r="B1961" s="5" t="s">
        <v>4900</v>
      </c>
      <c r="C1961" s="5" t="s">
        <v>18</v>
      </c>
      <c r="D1961" s="5" t="s">
        <v>19</v>
      </c>
      <c r="E1961" s="5" t="s">
        <v>255</v>
      </c>
      <c r="F1961" s="9">
        <v>75</v>
      </c>
      <c r="G1961" s="9">
        <v>856</v>
      </c>
      <c r="H1961" s="5" t="s">
        <v>21</v>
      </c>
      <c r="I1961" s="5" t="s">
        <v>4901</v>
      </c>
      <c r="J1961" s="12" t="str">
        <f>HYPERLINK("https://www.boe.es/gazeta/dias/1800/09/16/pdfs/GMD-1800-75.pdf#page=10","Abrir facsímil")</f>
        <v>Abrir facsímil</v>
      </c>
      <c r="K1961" s="15" t="s">
        <v>23</v>
      </c>
    </row>
    <row r="1962" spans="1:11" ht="42" customHeight="1">
      <c r="A1962" s="4" t="s">
        <v>4902</v>
      </c>
      <c r="B1962" s="5" t="s">
        <v>4903</v>
      </c>
      <c r="C1962" s="5" t="s">
        <v>18</v>
      </c>
      <c r="D1962" s="5" t="s">
        <v>19</v>
      </c>
      <c r="E1962" s="5" t="s">
        <v>1231</v>
      </c>
      <c r="F1962" s="9">
        <v>36</v>
      </c>
      <c r="G1962" s="9">
        <v>366</v>
      </c>
      <c r="H1962" s="5" t="s">
        <v>21</v>
      </c>
      <c r="I1962" s="5" t="s">
        <v>4904</v>
      </c>
      <c r="J1962" s="12" t="str">
        <f>HYPERLINK("https://www.boe.es/gazeta/dias/1800/05/06/pdfs/GMD-1800-36.pdf#page=10","Abrir facsímil")</f>
        <v>Abrir facsímil</v>
      </c>
      <c r="K1962" s="15" t="s">
        <v>23</v>
      </c>
    </row>
    <row r="1963" spans="1:11" ht="42" customHeight="1">
      <c r="A1963" s="4" t="s">
        <v>4905</v>
      </c>
      <c r="B1963" s="5" t="s">
        <v>4906</v>
      </c>
      <c r="C1963" s="5" t="s">
        <v>18</v>
      </c>
      <c r="D1963" s="5" t="s">
        <v>19</v>
      </c>
      <c r="E1963" s="5" t="s">
        <v>116</v>
      </c>
      <c r="F1963" s="9">
        <v>86</v>
      </c>
      <c r="G1963" s="9">
        <v>996</v>
      </c>
      <c r="H1963" s="5" t="s">
        <v>21</v>
      </c>
      <c r="I1963" s="5" t="s">
        <v>4907</v>
      </c>
      <c r="J1963" s="12" t="str">
        <f>HYPERLINK("https://www.boe.es/gazeta/dias/1800/10/24/pdfs/GMD-1800-86.pdf#page=6","Abrir facsímil")</f>
        <v>Abrir facsímil</v>
      </c>
      <c r="K1963" s="15" t="s">
        <v>23</v>
      </c>
    </row>
    <row r="1964" spans="1:11" ht="42" customHeight="1">
      <c r="A1964" s="4" t="s">
        <v>4905</v>
      </c>
      <c r="B1964" s="5" t="s">
        <v>4906</v>
      </c>
      <c r="C1964" s="5" t="s">
        <v>18</v>
      </c>
      <c r="D1964" s="5" t="s">
        <v>19</v>
      </c>
      <c r="E1964" s="5" t="s">
        <v>190</v>
      </c>
      <c r="F1964" s="9">
        <v>93</v>
      </c>
      <c r="G1964" s="9">
        <v>1066</v>
      </c>
      <c r="H1964" s="5" t="s">
        <v>21</v>
      </c>
      <c r="I1964" s="5" t="s">
        <v>4908</v>
      </c>
      <c r="J1964" s="12" t="str">
        <f>HYPERLINK("https://www.boe.es/gazeta/dias/1800/11/18/pdfs/GMD-1800-93.pdf#page=12","Abrir facsímil")</f>
        <v>Abrir facsímil</v>
      </c>
      <c r="K1964" s="15" t="s">
        <v>23</v>
      </c>
    </row>
    <row r="1965" spans="1:11" ht="42" customHeight="1">
      <c r="A1965" s="4" t="s">
        <v>4909</v>
      </c>
      <c r="B1965" s="5" t="s">
        <v>4910</v>
      </c>
      <c r="C1965" s="5" t="s">
        <v>18</v>
      </c>
      <c r="D1965" s="5" t="s">
        <v>19</v>
      </c>
      <c r="E1965" s="5" t="s">
        <v>620</v>
      </c>
      <c r="F1965" s="9">
        <v>19</v>
      </c>
      <c r="G1965" s="9">
        <v>183</v>
      </c>
      <c r="H1965" s="5" t="s">
        <v>21</v>
      </c>
      <c r="I1965" s="5" t="s">
        <v>4911</v>
      </c>
      <c r="J1965" s="12" t="str">
        <f>HYPERLINK("https://www.boe.es/gazeta/dias/1800/03/07/pdfs/GMD-1800-19.pdf#page=7","Abrir facsímil")</f>
        <v>Abrir facsímil</v>
      </c>
      <c r="K1965" s="15" t="s">
        <v>23</v>
      </c>
    </row>
    <row r="1966" spans="1:11" ht="42" customHeight="1">
      <c r="A1966" s="4" t="s">
        <v>4912</v>
      </c>
      <c r="B1966" s="5" t="s">
        <v>4913</v>
      </c>
      <c r="C1966" s="5" t="s">
        <v>54</v>
      </c>
      <c r="D1966" s="5" t="s">
        <v>55</v>
      </c>
      <c r="E1966" s="5" t="s">
        <v>226</v>
      </c>
      <c r="F1966" s="9">
        <v>27</v>
      </c>
      <c r="G1966" s="9">
        <v>283</v>
      </c>
      <c r="H1966" s="5" t="s">
        <v>21</v>
      </c>
      <c r="I1966" s="5" t="s">
        <v>4914</v>
      </c>
      <c r="J1966" s="12" t="str">
        <f>HYPERLINK("https://www.boe.es/gazeta/dias/1800/04/04/pdfs/GMD-1800-27.pdf#page=11","Abrir facsímil")</f>
        <v>Abrir facsímil</v>
      </c>
      <c r="K1966" s="15" t="s">
        <v>23</v>
      </c>
    </row>
    <row r="1967" spans="1:11" ht="42" customHeight="1">
      <c r="A1967" s="4" t="s">
        <v>4915</v>
      </c>
      <c r="B1967" s="5" t="s">
        <v>4916</v>
      </c>
      <c r="C1967" s="5" t="s">
        <v>25</v>
      </c>
      <c r="D1967" s="5" t="s">
        <v>26</v>
      </c>
      <c r="E1967" s="5" t="s">
        <v>101</v>
      </c>
      <c r="F1967" s="9">
        <v>37</v>
      </c>
      <c r="G1967" s="9">
        <v>377</v>
      </c>
      <c r="H1967" s="5" t="s">
        <v>21</v>
      </c>
      <c r="I1967" s="5" t="s">
        <v>4917</v>
      </c>
      <c r="J1967" s="12" t="str">
        <f>HYPERLINK("https://www.boe.es/gazeta/dias/1800/05/09/pdfs/GMD-1800-37.pdf#page=9","Abrir facsímil")</f>
        <v>Abrir facsímil</v>
      </c>
      <c r="K1967" s="15" t="s">
        <v>23</v>
      </c>
    </row>
    <row r="1968" spans="1:11" ht="42" customHeight="1">
      <c r="A1968" s="4" t="s">
        <v>4918</v>
      </c>
      <c r="B1968" s="5" t="s">
        <v>4919</v>
      </c>
      <c r="C1968" s="5" t="s">
        <v>41</v>
      </c>
      <c r="D1968" s="5" t="s">
        <v>42</v>
      </c>
      <c r="E1968" s="5" t="s">
        <v>1231</v>
      </c>
      <c r="F1968" s="9">
        <v>36</v>
      </c>
      <c r="G1968" s="9">
        <v>365</v>
      </c>
      <c r="H1968" s="5" t="s">
        <v>21</v>
      </c>
      <c r="I1968" s="5" t="s">
        <v>4920</v>
      </c>
      <c r="J1968" s="12" t="str">
        <f>HYPERLINK("https://www.boe.es/gazeta/dias/1800/05/06/pdfs/GMD-1800-36.pdf#page=9","Abrir facsímil")</f>
        <v>Abrir facsímil</v>
      </c>
      <c r="K1968" s="15" t="s">
        <v>23</v>
      </c>
    </row>
    <row r="1969" spans="1:11" ht="42" customHeight="1">
      <c r="A1969" s="4" t="s">
        <v>4921</v>
      </c>
      <c r="B1969" s="5" t="s">
        <v>4922</v>
      </c>
      <c r="C1969" s="5" t="s">
        <v>54</v>
      </c>
      <c r="D1969" s="5" t="s">
        <v>55</v>
      </c>
      <c r="E1969" s="5" t="s">
        <v>1433</v>
      </c>
      <c r="F1969" s="9">
        <v>12</v>
      </c>
      <c r="G1969" s="9">
        <v>116</v>
      </c>
      <c r="H1969" s="5" t="s">
        <v>21</v>
      </c>
      <c r="I1969" s="5" t="s">
        <v>4923</v>
      </c>
      <c r="J1969" s="12" t="str">
        <f>HYPERLINK("https://www.boe.es/gazeta/dias/1800/02/11/pdfs/GMD-1800-12.pdf#page=8","Abrir facsímil")</f>
        <v>Abrir facsímil</v>
      </c>
      <c r="K1969" s="15" t="s">
        <v>23</v>
      </c>
    </row>
    <row r="1970" spans="1:11" ht="42" customHeight="1">
      <c r="A1970" s="4" t="s">
        <v>4924</v>
      </c>
      <c r="B1970" s="5" t="s">
        <v>4925</v>
      </c>
      <c r="C1970" s="5" t="s">
        <v>18</v>
      </c>
      <c r="D1970" s="5" t="s">
        <v>19</v>
      </c>
      <c r="E1970" s="5" t="s">
        <v>567</v>
      </c>
      <c r="F1970" s="9">
        <v>3</v>
      </c>
      <c r="G1970" s="9">
        <v>27</v>
      </c>
      <c r="H1970" s="5" t="s">
        <v>21</v>
      </c>
      <c r="I1970" s="5" t="s">
        <v>4926</v>
      </c>
      <c r="J1970" s="12" t="str">
        <f>HYPERLINK("https://www.boe.es/gazeta/dias/1800/01/10/pdfs/GMD-1800-3.pdf#page=7","Abrir facsímil")</f>
        <v>Abrir facsímil</v>
      </c>
      <c r="K1970" s="15" t="s">
        <v>23</v>
      </c>
    </row>
    <row r="1971" spans="1:11" ht="42" customHeight="1">
      <c r="A1971" s="4" t="s">
        <v>4927</v>
      </c>
      <c r="B1971" s="5" t="s">
        <v>4928</v>
      </c>
      <c r="C1971" s="5" t="s">
        <v>18</v>
      </c>
      <c r="D1971" s="5" t="s">
        <v>19</v>
      </c>
      <c r="E1971" s="5" t="s">
        <v>618</v>
      </c>
      <c r="F1971" s="9">
        <v>1</v>
      </c>
      <c r="G1971" s="9">
        <v>6</v>
      </c>
      <c r="H1971" s="5" t="s">
        <v>21</v>
      </c>
      <c r="I1971" s="5" t="s">
        <v>4929</v>
      </c>
      <c r="J1971" s="12" t="str">
        <f>HYPERLINK("https://www.boe.es/gazeta/dias/1800/01/03/pdfs/GMD-1800-1.pdf#page=6","Abrir facsímil")</f>
        <v>Abrir facsímil</v>
      </c>
      <c r="K1971" s="15" t="s">
        <v>23</v>
      </c>
    </row>
    <row r="1972" spans="1:11" ht="42" customHeight="1">
      <c r="A1972" s="4" t="s">
        <v>4930</v>
      </c>
      <c r="B1972" s="5" t="s">
        <v>4931</v>
      </c>
      <c r="C1972" s="5" t="s">
        <v>18</v>
      </c>
      <c r="D1972" s="5" t="s">
        <v>19</v>
      </c>
      <c r="E1972" s="5" t="s">
        <v>111</v>
      </c>
      <c r="F1972" s="9">
        <v>98</v>
      </c>
      <c r="G1972" s="9">
        <v>1128</v>
      </c>
      <c r="H1972" s="5" t="s">
        <v>21</v>
      </c>
      <c r="I1972" s="5" t="s">
        <v>4932</v>
      </c>
      <c r="J1972" s="12" t="str">
        <f>HYPERLINK("https://www.boe.es/gazeta/dias/1800/12/05/pdfs/GMD-1800-98.pdf#page=8","Abrir facsímil")</f>
        <v>Abrir facsímil</v>
      </c>
      <c r="K1972" s="15" t="s">
        <v>23</v>
      </c>
    </row>
    <row r="1973" spans="1:11" ht="42" customHeight="1">
      <c r="A1973" s="4" t="s">
        <v>4933</v>
      </c>
      <c r="B1973" s="5" t="s">
        <v>4934</v>
      </c>
      <c r="C1973" s="5" t="s">
        <v>25</v>
      </c>
      <c r="D1973" s="5" t="s">
        <v>26</v>
      </c>
      <c r="E1973" s="5" t="s">
        <v>420</v>
      </c>
      <c r="F1973" s="9">
        <v>38</v>
      </c>
      <c r="G1973" s="9">
        <v>388</v>
      </c>
      <c r="H1973" s="5" t="s">
        <v>21</v>
      </c>
      <c r="I1973" s="5" t="s">
        <v>4935</v>
      </c>
      <c r="J1973" s="12" t="str">
        <f>HYPERLINK("https://www.boe.es/gazeta/dias/1800/05/13/pdfs/GMD-1800-38.pdf#page=8","Abrir facsímil")</f>
        <v>Abrir facsímil</v>
      </c>
      <c r="K1973" s="15" t="s">
        <v>23</v>
      </c>
    </row>
    <row r="1974" spans="1:11" ht="42" customHeight="1">
      <c r="A1974" s="4" t="s">
        <v>4936</v>
      </c>
      <c r="B1974" s="5" t="s">
        <v>4937</v>
      </c>
      <c r="C1974" s="5" t="s">
        <v>18</v>
      </c>
      <c r="D1974" s="5" t="s">
        <v>19</v>
      </c>
      <c r="E1974" s="5" t="s">
        <v>56</v>
      </c>
      <c r="F1974" s="9">
        <v>90</v>
      </c>
      <c r="G1974" s="9">
        <v>1056</v>
      </c>
      <c r="H1974" s="5" t="s">
        <v>21</v>
      </c>
      <c r="I1974" s="5" t="s">
        <v>4938</v>
      </c>
      <c r="J1974" s="12" t="str">
        <f>HYPERLINK("https://www.boe.es/gazeta/dias/1800/11/07/pdfs/GMD-1800-90.pdf#page=10","Abrir facsímil")</f>
        <v>Abrir facsímil</v>
      </c>
      <c r="K1974" s="15" t="s">
        <v>23</v>
      </c>
    </row>
    <row r="1975" spans="1:11" ht="42" customHeight="1">
      <c r="A1975" s="4" t="s">
        <v>4939</v>
      </c>
      <c r="B1975" s="5" t="s">
        <v>4940</v>
      </c>
      <c r="C1975" s="5" t="s">
        <v>25</v>
      </c>
      <c r="D1975" s="5" t="s">
        <v>26</v>
      </c>
      <c r="E1975" s="5" t="s">
        <v>45</v>
      </c>
      <c r="F1975" s="9">
        <v>47</v>
      </c>
      <c r="G1975" s="9">
        <v>503</v>
      </c>
      <c r="H1975" s="5" t="s">
        <v>21</v>
      </c>
      <c r="I1975" s="5" t="s">
        <v>4941</v>
      </c>
      <c r="J1975" s="12" t="str">
        <f>HYPERLINK("https://www.boe.es/gazeta/dias/1800/06/13/pdfs/GMD-1800-47.pdf#page=11","Abrir facsímil")</f>
        <v>Abrir facsímil</v>
      </c>
      <c r="K1975" s="15" t="s">
        <v>23</v>
      </c>
    </row>
    <row r="1976" spans="1:11" ht="42" customHeight="1">
      <c r="A1976" s="4" t="s">
        <v>4942</v>
      </c>
      <c r="B1976" s="5" t="s">
        <v>4943</v>
      </c>
      <c r="C1976" s="5" t="s">
        <v>1035</v>
      </c>
      <c r="D1976" s="5" t="s">
        <v>1036</v>
      </c>
      <c r="E1976" s="5" t="s">
        <v>50</v>
      </c>
      <c r="F1976" s="9">
        <v>81</v>
      </c>
      <c r="G1976" s="9">
        <v>941</v>
      </c>
      <c r="H1976" s="5" t="s">
        <v>21</v>
      </c>
      <c r="I1976" s="5" t="s">
        <v>4944</v>
      </c>
      <c r="J1976" s="12" t="str">
        <f>HYPERLINK("https://www.boe.es/gazeta/dias/1800/10/07/pdfs/GMD-C-1800-81.pdf#page=23","Abrir facsímil")</f>
        <v>Abrir facsímil</v>
      </c>
      <c r="K1976" s="15" t="s">
        <v>23</v>
      </c>
    </row>
    <row r="1977" spans="1:11" ht="42" customHeight="1">
      <c r="A1977" s="4" t="s">
        <v>4945</v>
      </c>
      <c r="B1977" s="5" t="s">
        <v>4946</v>
      </c>
      <c r="C1977" s="5" t="s">
        <v>18</v>
      </c>
      <c r="D1977" s="5" t="s">
        <v>19</v>
      </c>
      <c r="E1977" s="5" t="s">
        <v>244</v>
      </c>
      <c r="F1977" s="9">
        <v>9</v>
      </c>
      <c r="G1977" s="9">
        <v>86</v>
      </c>
      <c r="H1977" s="5" t="s">
        <v>21</v>
      </c>
      <c r="I1977" s="5" t="s">
        <v>4947</v>
      </c>
      <c r="J1977" s="12" t="str">
        <f>HYPERLINK("https://www.boe.es/gazeta/dias/1800/01/31/pdfs/GMD-1800-9.pdf#page=10","Abrir facsímil")</f>
        <v>Abrir facsímil</v>
      </c>
      <c r="K1977" s="15" t="s">
        <v>23</v>
      </c>
    </row>
    <row r="1978" spans="1:11" ht="42" customHeight="1">
      <c r="A1978" s="4" t="s">
        <v>4948</v>
      </c>
      <c r="B1978" s="5" t="s">
        <v>4949</v>
      </c>
      <c r="C1978" s="5" t="s">
        <v>25</v>
      </c>
      <c r="D1978" s="5" t="s">
        <v>26</v>
      </c>
      <c r="E1978" s="5" t="s">
        <v>503</v>
      </c>
      <c r="F1978" s="9">
        <v>13</v>
      </c>
      <c r="G1978" s="9">
        <v>126</v>
      </c>
      <c r="H1978" s="5" t="s">
        <v>21</v>
      </c>
      <c r="I1978" s="5" t="s">
        <v>4950</v>
      </c>
      <c r="J1978" s="12" t="str">
        <f>HYPERLINK("https://www.boe.es/gazeta/dias/1800/02/14/pdfs/GMD-1800-13.pdf#page=10","Abrir facsímil")</f>
        <v>Abrir facsímil</v>
      </c>
      <c r="K1978" s="15" t="s">
        <v>23</v>
      </c>
    </row>
    <row r="1979" spans="1:11" ht="42" customHeight="1">
      <c r="A1979" s="4" t="s">
        <v>4951</v>
      </c>
      <c r="B1979" s="5" t="s">
        <v>4952</v>
      </c>
      <c r="C1979" s="5" t="s">
        <v>18</v>
      </c>
      <c r="D1979" s="5" t="s">
        <v>19</v>
      </c>
      <c r="E1979" s="5" t="s">
        <v>445</v>
      </c>
      <c r="F1979" s="9">
        <v>96</v>
      </c>
      <c r="G1979" s="9">
        <v>1106</v>
      </c>
      <c r="H1979" s="5" t="s">
        <v>21</v>
      </c>
      <c r="I1979" s="5" t="s">
        <v>4953</v>
      </c>
      <c r="J1979" s="12" t="str">
        <f>HYPERLINK("https://www.boe.es/gazeta/dias/1800/11/28/pdfs/GMD-1800-96.pdf#page=10","Abrir facsímil")</f>
        <v>Abrir facsímil</v>
      </c>
      <c r="K1979" s="15" t="s">
        <v>23</v>
      </c>
    </row>
    <row r="1980" spans="1:11" ht="42" customHeight="1">
      <c r="A1980" s="4" t="s">
        <v>4954</v>
      </c>
      <c r="B1980" s="5" t="s">
        <v>4955</v>
      </c>
      <c r="C1980" s="5" t="s">
        <v>18</v>
      </c>
      <c r="D1980" s="5" t="s">
        <v>19</v>
      </c>
      <c r="E1980" s="5" t="s">
        <v>279</v>
      </c>
      <c r="F1980" s="9">
        <v>103</v>
      </c>
      <c r="G1980" s="9">
        <v>1197</v>
      </c>
      <c r="H1980" s="5" t="s">
        <v>21</v>
      </c>
      <c r="I1980" s="5" t="s">
        <v>4956</v>
      </c>
      <c r="J1980" s="12" t="str">
        <f>HYPERLINK("https://www.boe.es/gazeta/dias/1800/12/23/pdfs/GMD-1800-103.pdf#page=9","Abrir facsímil")</f>
        <v>Abrir facsímil</v>
      </c>
      <c r="K1980" s="15" t="s">
        <v>23</v>
      </c>
    </row>
    <row r="1981" spans="1:11" ht="42" customHeight="1">
      <c r="A1981" s="4" t="s">
        <v>4957</v>
      </c>
      <c r="B1981" s="5" t="s">
        <v>4958</v>
      </c>
      <c r="C1981" s="5" t="s">
        <v>18</v>
      </c>
      <c r="D1981" s="5" t="s">
        <v>19</v>
      </c>
      <c r="E1981" s="5" t="s">
        <v>836</v>
      </c>
      <c r="F1981" s="9">
        <v>71</v>
      </c>
      <c r="G1981" s="9">
        <v>789</v>
      </c>
      <c r="H1981" s="5" t="s">
        <v>21</v>
      </c>
      <c r="I1981" s="5" t="s">
        <v>4959</v>
      </c>
      <c r="J1981" s="12" t="str">
        <f>HYPERLINK("https://www.boe.es/gazeta/dias/1800/09/02/pdfs/GMD-1800-71.pdf#page=7","Abrir facsímil")</f>
        <v>Abrir facsímil</v>
      </c>
      <c r="K1981" s="15" t="s">
        <v>23</v>
      </c>
    </row>
    <row r="1982" spans="1:11" ht="42" customHeight="1">
      <c r="A1982" s="4" t="s">
        <v>4960</v>
      </c>
      <c r="B1982" s="5" t="s">
        <v>4961</v>
      </c>
      <c r="C1982" s="5" t="s">
        <v>54</v>
      </c>
      <c r="D1982" s="5" t="s">
        <v>55</v>
      </c>
      <c r="E1982" s="5" t="s">
        <v>534</v>
      </c>
      <c r="F1982" s="9">
        <v>100</v>
      </c>
      <c r="G1982" s="9">
        <v>1161</v>
      </c>
      <c r="H1982" s="5" t="s">
        <v>21</v>
      </c>
      <c r="I1982" s="5" t="s">
        <v>4962</v>
      </c>
      <c r="J1982" s="12" t="str">
        <f>HYPERLINK("https://www.boe.es/gazeta/dias/1800/12/12/pdfs/GMD-1800-100.pdf#page=13","Abrir facsímil")</f>
        <v>Abrir facsímil</v>
      </c>
      <c r="K1982" s="15" t="s">
        <v>23</v>
      </c>
    </row>
    <row r="1983" spans="1:11" ht="42" customHeight="1">
      <c r="A1983" s="4" t="s">
        <v>4963</v>
      </c>
      <c r="B1983" s="5" t="s">
        <v>4964</v>
      </c>
      <c r="C1983" s="5" t="s">
        <v>25</v>
      </c>
      <c r="D1983" s="5" t="s">
        <v>26</v>
      </c>
      <c r="E1983" s="5" t="s">
        <v>101</v>
      </c>
      <c r="F1983" s="9">
        <v>37</v>
      </c>
      <c r="G1983" s="9">
        <v>377</v>
      </c>
      <c r="H1983" s="5" t="s">
        <v>21</v>
      </c>
      <c r="I1983" s="5" t="s">
        <v>4965</v>
      </c>
      <c r="J1983" s="12" t="str">
        <f>HYPERLINK("https://www.boe.es/gazeta/dias/1800/05/09/pdfs/GMD-1800-37.pdf#page=9","Abrir facsímil")</f>
        <v>Abrir facsímil</v>
      </c>
      <c r="K1983" s="15" t="s">
        <v>23</v>
      </c>
    </row>
    <row r="1984" spans="1:11" ht="42" customHeight="1">
      <c r="A1984" s="4" t="s">
        <v>4966</v>
      </c>
      <c r="B1984" s="5" t="s">
        <v>4967</v>
      </c>
      <c r="C1984" s="5" t="s">
        <v>18</v>
      </c>
      <c r="D1984" s="5" t="s">
        <v>19</v>
      </c>
      <c r="E1984" s="5" t="s">
        <v>1231</v>
      </c>
      <c r="F1984" s="9">
        <v>36</v>
      </c>
      <c r="G1984" s="9">
        <v>366</v>
      </c>
      <c r="H1984" s="5" t="s">
        <v>21</v>
      </c>
      <c r="I1984" s="5" t="s">
        <v>4968</v>
      </c>
      <c r="J1984" s="12" t="str">
        <f>HYPERLINK("https://www.boe.es/gazeta/dias/1800/05/06/pdfs/GMD-1800-36.pdf#page=10","Abrir facsímil")</f>
        <v>Abrir facsímil</v>
      </c>
      <c r="K1984" s="15" t="s">
        <v>23</v>
      </c>
    </row>
    <row r="1985" spans="1:11" ht="42" customHeight="1">
      <c r="A1985" s="4" t="s">
        <v>4969</v>
      </c>
      <c r="B1985" s="5" t="s">
        <v>4970</v>
      </c>
      <c r="C1985" s="5" t="s">
        <v>18</v>
      </c>
      <c r="D1985" s="5" t="s">
        <v>19</v>
      </c>
      <c r="E1985" s="5" t="s">
        <v>240</v>
      </c>
      <c r="F1985" s="9">
        <v>26</v>
      </c>
      <c r="G1985" s="9">
        <v>269</v>
      </c>
      <c r="H1985" s="5" t="s">
        <v>21</v>
      </c>
      <c r="I1985" s="5" t="s">
        <v>4971</v>
      </c>
      <c r="J1985" s="12" t="str">
        <f>HYPERLINK("https://www.boe.es/gazeta/dias/1800/04/01/pdfs/GMD-1800-26.pdf#page=9","Abrir facsímil")</f>
        <v>Abrir facsímil</v>
      </c>
      <c r="K1985" s="15" t="s">
        <v>23</v>
      </c>
    </row>
    <row r="1986" spans="1:11" ht="42" customHeight="1">
      <c r="A1986" s="4" t="s">
        <v>4972</v>
      </c>
      <c r="B1986" s="5" t="s">
        <v>4973</v>
      </c>
      <c r="C1986" s="5" t="s">
        <v>84</v>
      </c>
      <c r="D1986" s="5" t="s">
        <v>85</v>
      </c>
      <c r="E1986" s="5" t="s">
        <v>48</v>
      </c>
      <c r="F1986" s="9">
        <v>66</v>
      </c>
      <c r="G1986" s="9">
        <v>747</v>
      </c>
      <c r="H1986" s="5" t="s">
        <v>21</v>
      </c>
      <c r="I1986" s="5" t="s">
        <v>4974</v>
      </c>
      <c r="J1986" s="12" t="str">
        <f>HYPERLINK("https://www.boe.es/gazeta/dias/1800/08/19/pdfs/GMD-1800-66.pdf#page=11","Abrir facsímil")</f>
        <v>Abrir facsímil</v>
      </c>
      <c r="K1986" s="15" t="s">
        <v>23</v>
      </c>
    </row>
    <row r="1987" spans="1:11" ht="42" customHeight="1">
      <c r="A1987" s="4" t="s">
        <v>4975</v>
      </c>
      <c r="B1987" s="5" t="s">
        <v>4976</v>
      </c>
      <c r="C1987" s="5" t="s">
        <v>207</v>
      </c>
      <c r="D1987" s="5" t="s">
        <v>55</v>
      </c>
      <c r="E1987" s="5" t="s">
        <v>836</v>
      </c>
      <c r="F1987" s="9">
        <v>71</v>
      </c>
      <c r="G1987" s="9">
        <v>789</v>
      </c>
      <c r="H1987" s="5" t="s">
        <v>21</v>
      </c>
      <c r="I1987" s="5" t="s">
        <v>4977</v>
      </c>
      <c r="J1987" s="12" t="str">
        <f>HYPERLINK("https://www.boe.es/gazeta/dias/1800/09/02/pdfs/GMD-1800-71.pdf#page=7","Abrir facsímil")</f>
        <v>Abrir facsímil</v>
      </c>
      <c r="K1987" s="15" t="s">
        <v>23</v>
      </c>
    </row>
    <row r="1988" spans="1:11" ht="42" customHeight="1">
      <c r="A1988" s="4" t="s">
        <v>4978</v>
      </c>
      <c r="B1988" s="5" t="s">
        <v>4979</v>
      </c>
      <c r="C1988" s="5" t="s">
        <v>54</v>
      </c>
      <c r="D1988" s="5" t="s">
        <v>55</v>
      </c>
      <c r="E1988" s="5" t="s">
        <v>836</v>
      </c>
      <c r="F1988" s="9">
        <v>71</v>
      </c>
      <c r="G1988" s="9">
        <v>790</v>
      </c>
      <c r="H1988" s="5" t="s">
        <v>21</v>
      </c>
      <c r="I1988" s="5" t="s">
        <v>4980</v>
      </c>
      <c r="J1988" s="12" t="str">
        <f>HYPERLINK("https://www.boe.es/gazeta/dias/1800/09/02/pdfs/GMD-1800-71.pdf#page=8","Abrir facsímil")</f>
        <v>Abrir facsímil</v>
      </c>
      <c r="K1988" s="15" t="s">
        <v>23</v>
      </c>
    </row>
    <row r="1989" spans="1:11" ht="42" customHeight="1">
      <c r="A1989" s="4" t="s">
        <v>4981</v>
      </c>
      <c r="B1989" s="5" t="s">
        <v>4982</v>
      </c>
      <c r="C1989" s="5" t="s">
        <v>18</v>
      </c>
      <c r="D1989" s="5" t="s">
        <v>19</v>
      </c>
      <c r="E1989" s="5" t="s">
        <v>420</v>
      </c>
      <c r="F1989" s="9">
        <v>38</v>
      </c>
      <c r="G1989" s="9">
        <v>388</v>
      </c>
      <c r="H1989" s="5" t="s">
        <v>21</v>
      </c>
      <c r="I1989" s="5" t="s">
        <v>4983</v>
      </c>
      <c r="J1989" s="12" t="str">
        <f>HYPERLINK("https://www.boe.es/gazeta/dias/1800/05/13/pdfs/GMD-1800-38.pdf#page=8","Abrir facsímil")</f>
        <v>Abrir facsímil</v>
      </c>
      <c r="K1989" s="15" t="s">
        <v>23</v>
      </c>
    </row>
    <row r="1990" spans="1:11" ht="42" customHeight="1">
      <c r="A1990" s="4" t="s">
        <v>4984</v>
      </c>
      <c r="B1990" s="5" t="s">
        <v>4985</v>
      </c>
      <c r="C1990" s="5" t="s">
        <v>84</v>
      </c>
      <c r="D1990" s="5" t="s">
        <v>85</v>
      </c>
      <c r="E1990" s="5" t="s">
        <v>131</v>
      </c>
      <c r="F1990" s="9">
        <v>8</v>
      </c>
      <c r="G1990" s="9">
        <v>75</v>
      </c>
      <c r="H1990" s="5" t="s">
        <v>21</v>
      </c>
      <c r="I1990" s="5" t="s">
        <v>4986</v>
      </c>
      <c r="J1990" s="12" t="str">
        <f>HYPERLINK("https://www.boe.es/gazeta/dias/1800/01/28/pdfs/GMD-1800-8.pdf#page=7","Abrir facsímil")</f>
        <v>Abrir facsímil</v>
      </c>
      <c r="K1990" s="15" t="s">
        <v>23</v>
      </c>
    </row>
    <row r="1991" spans="1:11" ht="42" customHeight="1">
      <c r="A1991" s="4" t="s">
        <v>4987</v>
      </c>
      <c r="B1991" s="5" t="s">
        <v>4988</v>
      </c>
      <c r="C1991" s="5" t="s">
        <v>84</v>
      </c>
      <c r="D1991" s="5" t="s">
        <v>85</v>
      </c>
      <c r="E1991" s="5" t="s">
        <v>845</v>
      </c>
      <c r="F1991" s="9">
        <v>80</v>
      </c>
      <c r="G1991" s="9">
        <v>909</v>
      </c>
      <c r="H1991" s="5" t="s">
        <v>21</v>
      </c>
      <c r="I1991" s="5" t="s">
        <v>4989</v>
      </c>
      <c r="J1991" s="12" t="str">
        <f>HYPERLINK("https://www.boe.es/gazeta/dias/1800/10/03/pdfs/GMD-1800-80.pdf#page=7","Abrir facsímil")</f>
        <v>Abrir facsímil</v>
      </c>
      <c r="K1991" s="15" t="s">
        <v>23</v>
      </c>
    </row>
    <row r="1992" spans="1:11" ht="42" customHeight="1">
      <c r="A1992" s="4" t="s">
        <v>4990</v>
      </c>
      <c r="B1992" s="5" t="s">
        <v>4991</v>
      </c>
      <c r="C1992" s="5" t="s">
        <v>18</v>
      </c>
      <c r="D1992" s="5" t="s">
        <v>19</v>
      </c>
      <c r="E1992" s="5" t="s">
        <v>567</v>
      </c>
      <c r="F1992" s="9">
        <v>3</v>
      </c>
      <c r="G1992" s="9">
        <v>28</v>
      </c>
      <c r="H1992" s="5" t="s">
        <v>21</v>
      </c>
      <c r="I1992" s="5" t="s">
        <v>4992</v>
      </c>
      <c r="J1992" s="12" t="str">
        <f>HYPERLINK("https://www.boe.es/gazeta/dias/1800/01/10/pdfs/GMD-1800-3.pdf#page=8","Abrir facsímil")</f>
        <v>Abrir facsímil</v>
      </c>
      <c r="K1992" s="15" t="s">
        <v>23</v>
      </c>
    </row>
    <row r="1993" spans="1:11" ht="42" customHeight="1">
      <c r="A1993" s="4" t="s">
        <v>4993</v>
      </c>
      <c r="B1993" s="5" t="s">
        <v>4994</v>
      </c>
      <c r="C1993" s="5" t="s">
        <v>41</v>
      </c>
      <c r="D1993" s="5" t="s">
        <v>42</v>
      </c>
      <c r="E1993" s="5" t="s">
        <v>454</v>
      </c>
      <c r="F1993" s="9">
        <v>63</v>
      </c>
      <c r="G1993" s="9">
        <v>719</v>
      </c>
      <c r="H1993" s="5" t="s">
        <v>21</v>
      </c>
      <c r="I1993" s="5" t="s">
        <v>4995</v>
      </c>
      <c r="J1993" s="12" t="str">
        <f>HYPERLINK("https://www.boe.es/gazeta/dias/1800/08/08/pdfs/GMD-1800-63.pdf#page=7","Abrir facsímil")</f>
        <v>Abrir facsímil</v>
      </c>
      <c r="K1993" s="15" t="s">
        <v>23</v>
      </c>
    </row>
    <row r="1994" spans="1:11" ht="42" customHeight="1">
      <c r="A1994" s="4" t="s">
        <v>4996</v>
      </c>
      <c r="B1994" s="5" t="s">
        <v>4997</v>
      </c>
      <c r="C1994" s="5" t="s">
        <v>18</v>
      </c>
      <c r="D1994" s="5" t="s">
        <v>19</v>
      </c>
      <c r="E1994" s="5" t="s">
        <v>120</v>
      </c>
      <c r="F1994" s="9">
        <v>52</v>
      </c>
      <c r="G1994" s="9">
        <v>575</v>
      </c>
      <c r="H1994" s="5" t="s">
        <v>21</v>
      </c>
      <c r="I1994" s="5" t="s">
        <v>4998</v>
      </c>
      <c r="J1994" s="12" t="str">
        <f>HYPERLINK("https://www.boe.es/gazeta/dias/1800/07/01/pdfs/GMD-1800-52.pdf#page=11","Abrir facsímil")</f>
        <v>Abrir facsímil</v>
      </c>
      <c r="K1994" s="15" t="s">
        <v>23</v>
      </c>
    </row>
    <row r="1995" spans="1:11" ht="42" customHeight="1">
      <c r="A1995" s="4" t="s">
        <v>4999</v>
      </c>
      <c r="B1995" s="5" t="s">
        <v>5000</v>
      </c>
      <c r="C1995" s="5" t="s">
        <v>207</v>
      </c>
      <c r="D1995" s="5" t="s">
        <v>55</v>
      </c>
      <c r="E1995" s="5" t="s">
        <v>576</v>
      </c>
      <c r="F1995" s="9">
        <v>91</v>
      </c>
      <c r="G1995" s="9">
        <v>1068</v>
      </c>
      <c r="H1995" s="5" t="s">
        <v>21</v>
      </c>
      <c r="I1995" s="5" t="s">
        <v>5001</v>
      </c>
      <c r="J1995" s="12" t="str">
        <f>HYPERLINK("https://www.boe.es/gazeta/dias/1800/11/11/pdfs/GMD-1800-91.pdf#page=10","Abrir facsímil")</f>
        <v>Abrir facsímil</v>
      </c>
      <c r="K1995" s="15" t="s">
        <v>23</v>
      </c>
    </row>
    <row r="1996" spans="1:11" ht="42" customHeight="1">
      <c r="A1996" s="4" t="s">
        <v>5002</v>
      </c>
      <c r="B1996" s="5" t="s">
        <v>5003</v>
      </c>
      <c r="C1996" s="5" t="s">
        <v>18</v>
      </c>
      <c r="D1996" s="5" t="s">
        <v>19</v>
      </c>
      <c r="E1996" s="5" t="s">
        <v>180</v>
      </c>
      <c r="F1996" s="9">
        <v>102</v>
      </c>
      <c r="G1996" s="9">
        <v>1185</v>
      </c>
      <c r="H1996" s="5" t="s">
        <v>21</v>
      </c>
      <c r="I1996" s="5" t="s">
        <v>5004</v>
      </c>
      <c r="J1996" s="12" t="str">
        <f>HYPERLINK("https://www.boe.es/gazeta/dias/1800/12/19/pdfs/GMD-1800-102.pdf#page=9","Abrir facsímil")</f>
        <v>Abrir facsímil</v>
      </c>
      <c r="K1996" s="15" t="s">
        <v>23</v>
      </c>
    </row>
    <row r="1997" spans="1:11" ht="42" customHeight="1">
      <c r="A1997" s="4" t="s">
        <v>5005</v>
      </c>
      <c r="B1997" s="5" t="s">
        <v>5006</v>
      </c>
      <c r="C1997" s="5" t="s">
        <v>41</v>
      </c>
      <c r="D1997" s="5" t="s">
        <v>42</v>
      </c>
      <c r="E1997" s="5" t="s">
        <v>454</v>
      </c>
      <c r="F1997" s="9">
        <v>63</v>
      </c>
      <c r="G1997" s="9">
        <v>719</v>
      </c>
      <c r="H1997" s="5" t="s">
        <v>21</v>
      </c>
      <c r="I1997" s="5" t="s">
        <v>5007</v>
      </c>
      <c r="J1997" s="12" t="str">
        <f>HYPERLINK("https://www.boe.es/gazeta/dias/1800/08/08/pdfs/GMD-1800-63.pdf#page=7","Abrir facsímil")</f>
        <v>Abrir facsímil</v>
      </c>
      <c r="K1997" s="15" t="s">
        <v>23</v>
      </c>
    </row>
    <row r="1998" spans="1:11" ht="42" customHeight="1">
      <c r="A1998" s="4" t="s">
        <v>5008</v>
      </c>
      <c r="B1998" s="5" t="s">
        <v>5009</v>
      </c>
      <c r="C1998" s="5" t="s">
        <v>18</v>
      </c>
      <c r="D1998" s="5" t="s">
        <v>19</v>
      </c>
      <c r="E1998" s="5" t="s">
        <v>567</v>
      </c>
      <c r="F1998" s="9">
        <v>3</v>
      </c>
      <c r="G1998" s="9">
        <v>27</v>
      </c>
      <c r="H1998" s="5" t="s">
        <v>21</v>
      </c>
      <c r="I1998" s="5" t="s">
        <v>5010</v>
      </c>
      <c r="J1998" s="12" t="str">
        <f>HYPERLINK("https://www.boe.es/gazeta/dias/1800/01/10/pdfs/GMD-1800-3.pdf#page=7","Abrir facsímil")</f>
        <v>Abrir facsímil</v>
      </c>
      <c r="K1998" s="15" t="s">
        <v>23</v>
      </c>
    </row>
    <row r="1999" spans="1:11" ht="42" customHeight="1">
      <c r="A1999" s="4" t="s">
        <v>5011</v>
      </c>
      <c r="B1999" s="5" t="s">
        <v>5012</v>
      </c>
      <c r="C1999" s="5" t="s">
        <v>207</v>
      </c>
      <c r="D1999" s="5" t="s">
        <v>55</v>
      </c>
      <c r="E1999" s="5" t="s">
        <v>461</v>
      </c>
      <c r="F1999" s="9">
        <v>18</v>
      </c>
      <c r="G1999" s="9">
        <v>171</v>
      </c>
      <c r="H1999" s="5" t="s">
        <v>21</v>
      </c>
      <c r="I1999" s="5" t="s">
        <v>5013</v>
      </c>
      <c r="J1999" s="12" t="str">
        <f>HYPERLINK("https://www.boe.es/datos/pdfs/BOE//1800/018/C00173-00176.pdf#page=7","Abrir facsímil")</f>
        <v>Abrir facsímil</v>
      </c>
      <c r="K1999" s="15" t="s">
        <v>23</v>
      </c>
    </row>
    <row r="2000" spans="1:11" ht="42" customHeight="1">
      <c r="A2000" s="4" t="s">
        <v>5014</v>
      </c>
      <c r="B2000" s="5" t="s">
        <v>5015</v>
      </c>
      <c r="C2000" s="5" t="s">
        <v>18</v>
      </c>
      <c r="D2000" s="5" t="s">
        <v>19</v>
      </c>
      <c r="E2000" s="5" t="s">
        <v>31</v>
      </c>
      <c r="F2000" s="9">
        <v>20</v>
      </c>
      <c r="G2000" s="9">
        <v>191</v>
      </c>
      <c r="H2000" s="5" t="s">
        <v>21</v>
      </c>
      <c r="I2000" s="5" t="s">
        <v>5016</v>
      </c>
      <c r="J2000" s="12" t="str">
        <f>HYPERLINK("https://www.boe.es/gazeta/dias/1800/03/11/pdfs/GMD-1800-20.pdf#page=7","Abrir facsímil")</f>
        <v>Abrir facsímil</v>
      </c>
      <c r="K2000" s="15" t="s">
        <v>23</v>
      </c>
    </row>
    <row r="2001" spans="1:11" ht="42" customHeight="1">
      <c r="A2001" s="4" t="s">
        <v>5014</v>
      </c>
      <c r="B2001" s="5" t="s">
        <v>5015</v>
      </c>
      <c r="C2001" s="5" t="s">
        <v>18</v>
      </c>
      <c r="D2001" s="5" t="s">
        <v>19</v>
      </c>
      <c r="E2001" s="5" t="s">
        <v>226</v>
      </c>
      <c r="F2001" s="9">
        <v>27</v>
      </c>
      <c r="G2001" s="9">
        <v>281</v>
      </c>
      <c r="H2001" s="5" t="s">
        <v>21</v>
      </c>
      <c r="I2001" s="5" t="s">
        <v>5017</v>
      </c>
      <c r="J2001" s="12" t="str">
        <f>HYPERLINK("https://www.boe.es/gazeta/dias/1800/04/04/pdfs/GMD-1800-27.pdf#page=9","Abrir facsímil")</f>
        <v>Abrir facsímil</v>
      </c>
      <c r="K2001" s="15" t="s">
        <v>23</v>
      </c>
    </row>
    <row r="2002" spans="1:11" ht="42" customHeight="1">
      <c r="A2002" s="4" t="s">
        <v>5018</v>
      </c>
      <c r="B2002" s="5" t="s">
        <v>5019</v>
      </c>
      <c r="C2002" s="5" t="s">
        <v>207</v>
      </c>
      <c r="D2002" s="5" t="s">
        <v>55</v>
      </c>
      <c r="E2002" s="5" t="s">
        <v>329</v>
      </c>
      <c r="F2002" s="9">
        <v>99</v>
      </c>
      <c r="G2002" s="9">
        <v>1138</v>
      </c>
      <c r="H2002" s="5" t="s">
        <v>21</v>
      </c>
      <c r="I2002" s="5" t="s">
        <v>5020</v>
      </c>
      <c r="J2002" s="12" t="str">
        <f>HYPERLINK("https://www.boe.es/gazeta/dias/1800/12/09/pdfs/GMD-1800-99.pdf#page=6","Abrir facsímil")</f>
        <v>Abrir facsímil</v>
      </c>
      <c r="K2002" s="15" t="s">
        <v>23</v>
      </c>
    </row>
    <row r="2003" spans="1:11" ht="42" customHeight="1">
      <c r="A2003" s="4" t="s">
        <v>5021</v>
      </c>
      <c r="B2003" s="5" t="s">
        <v>5022</v>
      </c>
      <c r="C2003" s="5" t="s">
        <v>84</v>
      </c>
      <c r="D2003" s="5" t="s">
        <v>85</v>
      </c>
      <c r="E2003" s="5" t="s">
        <v>162</v>
      </c>
      <c r="F2003" s="9">
        <v>15</v>
      </c>
      <c r="G2003" s="9">
        <v>144</v>
      </c>
      <c r="H2003" s="5" t="s">
        <v>21</v>
      </c>
      <c r="I2003" s="5" t="s">
        <v>5023</v>
      </c>
      <c r="J2003" s="12" t="str">
        <f>HYPERLINK("https://www.boe.es/gazeta/dias/1800/02/21/pdfs/GMD-1800-15.pdf#page=8","Abrir facsímil")</f>
        <v>Abrir facsímil</v>
      </c>
      <c r="K2003" s="15" t="s">
        <v>23</v>
      </c>
    </row>
    <row r="2004" spans="1:11" ht="42" customHeight="1">
      <c r="A2004" s="4" t="s">
        <v>5021</v>
      </c>
      <c r="B2004" s="5" t="s">
        <v>5022</v>
      </c>
      <c r="C2004" s="5" t="s">
        <v>84</v>
      </c>
      <c r="D2004" s="5" t="s">
        <v>85</v>
      </c>
      <c r="E2004" s="5" t="s">
        <v>52</v>
      </c>
      <c r="F2004" s="9">
        <v>83</v>
      </c>
      <c r="G2004" s="9">
        <v>965</v>
      </c>
      <c r="H2004" s="5" t="s">
        <v>21</v>
      </c>
      <c r="I2004" s="5" t="s">
        <v>5024</v>
      </c>
      <c r="J2004" s="12" t="str">
        <f>HYPERLINK("https://www.boe.es/gazeta/dias/1800/10/14/pdfs/GMD-1800-83.pdf#page=11","Abrir facsímil")</f>
        <v>Abrir facsímil</v>
      </c>
      <c r="K2004" s="15" t="s">
        <v>23</v>
      </c>
    </row>
    <row r="2005" spans="1:11" ht="42" customHeight="1">
      <c r="A2005" s="4" t="s">
        <v>5025</v>
      </c>
      <c r="B2005" s="5" t="s">
        <v>5026</v>
      </c>
      <c r="C2005" s="5" t="s">
        <v>18</v>
      </c>
      <c r="D2005" s="5" t="s">
        <v>19</v>
      </c>
      <c r="E2005" s="5" t="s">
        <v>31</v>
      </c>
      <c r="F2005" s="9">
        <v>20</v>
      </c>
      <c r="G2005" s="9">
        <v>193</v>
      </c>
      <c r="H2005" s="5" t="s">
        <v>21</v>
      </c>
      <c r="I2005" s="5" t="s">
        <v>5027</v>
      </c>
      <c r="J2005" s="12" t="str">
        <f>HYPERLINK("https://www.boe.es/gazeta/dias/1800/03/11/pdfs/GMD-1800-20.pdf#page=9","Abrir facsímil")</f>
        <v>Abrir facsímil</v>
      </c>
      <c r="K2005" s="15" t="s">
        <v>23</v>
      </c>
    </row>
    <row r="2006" spans="1:11" ht="42" customHeight="1">
      <c r="A2006" s="4" t="s">
        <v>5028</v>
      </c>
      <c r="B2006" s="5" t="s">
        <v>5029</v>
      </c>
      <c r="C2006" s="5" t="s">
        <v>41</v>
      </c>
      <c r="D2006" s="5" t="s">
        <v>42</v>
      </c>
      <c r="E2006" s="5" t="s">
        <v>143</v>
      </c>
      <c r="F2006" s="9">
        <v>22</v>
      </c>
      <c r="G2006" s="9">
        <v>218</v>
      </c>
      <c r="H2006" s="5" t="s">
        <v>21</v>
      </c>
      <c r="I2006" s="5" t="s">
        <v>5030</v>
      </c>
      <c r="J2006" s="12" t="str">
        <f>HYPERLINK("https://www.boe.es/gazeta/dias/1800/03/18/pdfs/GMD-1800-22.pdf#page=10","Abrir facsímil")</f>
        <v>Abrir facsímil</v>
      </c>
      <c r="K2006" s="15" t="s">
        <v>23</v>
      </c>
    </row>
    <row r="2007" spans="1:11" ht="42" customHeight="1">
      <c r="A2007" s="4" t="s">
        <v>5031</v>
      </c>
      <c r="B2007" s="5" t="s">
        <v>5032</v>
      </c>
      <c r="C2007" s="5" t="s">
        <v>18</v>
      </c>
      <c r="D2007" s="5" t="s">
        <v>19</v>
      </c>
      <c r="E2007" s="5" t="s">
        <v>116</v>
      </c>
      <c r="F2007" s="9">
        <v>86</v>
      </c>
      <c r="G2007" s="9">
        <v>996</v>
      </c>
      <c r="H2007" s="5" t="s">
        <v>21</v>
      </c>
      <c r="I2007" s="5" t="s">
        <v>5033</v>
      </c>
      <c r="J2007" s="12" t="str">
        <f>HYPERLINK("https://www.boe.es/gazeta/dias/1800/10/24/pdfs/GMD-1800-86.pdf#page=6","Abrir facsímil")</f>
        <v>Abrir facsímil</v>
      </c>
      <c r="K2007" s="15" t="s">
        <v>23</v>
      </c>
    </row>
    <row r="2008" spans="1:11" ht="42" customHeight="1">
      <c r="A2008" s="4" t="s">
        <v>5034</v>
      </c>
      <c r="B2008" s="5" t="s">
        <v>5035</v>
      </c>
      <c r="C2008" s="5" t="s">
        <v>84</v>
      </c>
      <c r="D2008" s="5" t="s">
        <v>85</v>
      </c>
      <c r="E2008" s="5" t="s">
        <v>88</v>
      </c>
      <c r="F2008" s="9">
        <v>23</v>
      </c>
      <c r="G2008" s="9">
        <v>236</v>
      </c>
      <c r="H2008" s="5" t="s">
        <v>21</v>
      </c>
      <c r="I2008" s="5" t="s">
        <v>5036</v>
      </c>
      <c r="J2008" s="12" t="str">
        <f>HYPERLINK("https://www.boe.es/gazeta/dias/1800/03/21/pdfs/GMD-1800-23.pdf#page=12","Abrir facsímil")</f>
        <v>Abrir facsímil</v>
      </c>
      <c r="K2008" s="15" t="s">
        <v>23</v>
      </c>
    </row>
    <row r="2009" spans="1:11" ht="42" customHeight="1">
      <c r="A2009" s="4" t="s">
        <v>5034</v>
      </c>
      <c r="B2009" s="5" t="s">
        <v>5035</v>
      </c>
      <c r="C2009" s="5" t="s">
        <v>25</v>
      </c>
      <c r="D2009" s="5" t="s">
        <v>26</v>
      </c>
      <c r="E2009" s="5" t="s">
        <v>248</v>
      </c>
      <c r="F2009" s="9">
        <v>33</v>
      </c>
      <c r="G2009" s="9">
        <v>335</v>
      </c>
      <c r="H2009" s="5" t="s">
        <v>21</v>
      </c>
      <c r="I2009" s="5" t="s">
        <v>5037</v>
      </c>
      <c r="J2009" s="12" t="str">
        <f>HYPERLINK("https://www.boe.es/gazeta/dias/1800/04/25/pdfs/GMD-1800-33.pdf#page=11","Abrir facsímil")</f>
        <v>Abrir facsímil</v>
      </c>
      <c r="K2009" s="15" t="s">
        <v>23</v>
      </c>
    </row>
    <row r="2010" spans="1:11" ht="42" customHeight="1">
      <c r="A2010" s="4" t="s">
        <v>5034</v>
      </c>
      <c r="B2010" s="5" t="s">
        <v>5035</v>
      </c>
      <c r="C2010" s="5" t="s">
        <v>84</v>
      </c>
      <c r="D2010" s="5" t="s">
        <v>85</v>
      </c>
      <c r="E2010" s="5" t="s">
        <v>64</v>
      </c>
      <c r="F2010" s="9">
        <v>54</v>
      </c>
      <c r="G2010" s="9">
        <v>608</v>
      </c>
      <c r="H2010" s="5" t="s">
        <v>21</v>
      </c>
      <c r="I2010" s="5" t="s">
        <v>5038</v>
      </c>
      <c r="J2010" s="12" t="str">
        <f>HYPERLINK("https://www.boe.es/gazeta/dias/1800/07/08/pdfs/GMD-1800-54.pdf#page=12","Abrir facsímil")</f>
        <v>Abrir facsímil</v>
      </c>
      <c r="K2010" s="15" t="s">
        <v>23</v>
      </c>
    </row>
    <row r="2011" spans="1:11" ht="42" customHeight="1">
      <c r="A2011" s="4" t="s">
        <v>5039</v>
      </c>
      <c r="B2011" s="5" t="s">
        <v>5040</v>
      </c>
      <c r="C2011" s="5" t="s">
        <v>18</v>
      </c>
      <c r="D2011" s="5" t="s">
        <v>19</v>
      </c>
      <c r="E2011" s="5" t="s">
        <v>190</v>
      </c>
      <c r="F2011" s="9">
        <v>93</v>
      </c>
      <c r="G2011" s="9">
        <v>1067</v>
      </c>
      <c r="H2011" s="5" t="s">
        <v>21</v>
      </c>
      <c r="I2011" s="5" t="s">
        <v>5041</v>
      </c>
      <c r="J2011" s="12" t="str">
        <f>HYPERLINK("https://www.boe.es/gazeta/dias/1800/11/18/pdfs/GMD-1800-93.pdf#page=13","Abrir facsímil")</f>
        <v>Abrir facsímil</v>
      </c>
      <c r="K2011" s="15" t="s">
        <v>23</v>
      </c>
    </row>
    <row r="2012" spans="1:11" ht="42" customHeight="1">
      <c r="A2012" s="4" t="s">
        <v>5042</v>
      </c>
      <c r="B2012" s="5" t="s">
        <v>5043</v>
      </c>
      <c r="C2012" s="5" t="s">
        <v>18</v>
      </c>
      <c r="D2012" s="5" t="s">
        <v>19</v>
      </c>
      <c r="E2012" s="5" t="s">
        <v>478</v>
      </c>
      <c r="F2012" s="9">
        <v>34</v>
      </c>
      <c r="G2012" s="9">
        <v>346</v>
      </c>
      <c r="H2012" s="5" t="s">
        <v>21</v>
      </c>
      <c r="I2012" s="5" t="s">
        <v>5044</v>
      </c>
      <c r="J2012" s="12" t="str">
        <f>HYPERLINK("https://www.boe.es/gazeta/dias/1800/04/29/pdfs/GMD-1800-34.pdf#page=10","Abrir facsímil")</f>
        <v>Abrir facsímil</v>
      </c>
      <c r="K2012" s="15" t="s">
        <v>23</v>
      </c>
    </row>
    <row r="2013" spans="1:11" ht="42" customHeight="1">
      <c r="A2013" s="4" t="s">
        <v>5045</v>
      </c>
      <c r="B2013" s="5" t="s">
        <v>5046</v>
      </c>
      <c r="C2013" s="5" t="s">
        <v>18</v>
      </c>
      <c r="D2013" s="5" t="s">
        <v>19</v>
      </c>
      <c r="E2013" s="5" t="s">
        <v>75</v>
      </c>
      <c r="F2013" s="9">
        <v>64</v>
      </c>
      <c r="G2013" s="9">
        <v>733</v>
      </c>
      <c r="H2013" s="5" t="s">
        <v>21</v>
      </c>
      <c r="I2013" s="5" t="s">
        <v>5047</v>
      </c>
      <c r="J2013" s="12" t="str">
        <f>HYPERLINK("https://www.boe.es/gazeta/dias/1800/08/12/pdfs/GMD-1800-64.pdf#page=9","Abrir facsímil")</f>
        <v>Abrir facsímil</v>
      </c>
      <c r="K2013" s="15" t="s">
        <v>23</v>
      </c>
    </row>
    <row r="2014" spans="1:11" ht="42" customHeight="1">
      <c r="A2014" s="4" t="s">
        <v>5048</v>
      </c>
      <c r="B2014" s="5" t="s">
        <v>5049</v>
      </c>
      <c r="C2014" s="5" t="s">
        <v>1179</v>
      </c>
      <c r="D2014" s="5" t="s">
        <v>1180</v>
      </c>
      <c r="E2014" s="5" t="s">
        <v>314</v>
      </c>
      <c r="F2014" s="9">
        <v>74</v>
      </c>
      <c r="G2014" s="9">
        <v>841</v>
      </c>
      <c r="H2014" s="5" t="s">
        <v>21</v>
      </c>
      <c r="I2014" s="5" t="s">
        <v>5050</v>
      </c>
      <c r="J2014" s="12" t="str">
        <f>HYPERLINK("https://www.boe.es/gazeta/dias/1800/09/12/pdfs/GMD-C-1800-74.pdf#page=3","Abrir facsímil")</f>
        <v>Abrir facsímil</v>
      </c>
      <c r="K2014" s="15" t="s">
        <v>23</v>
      </c>
    </row>
    <row r="2015" spans="1:11" ht="42" customHeight="1">
      <c r="A2015" s="4" t="s">
        <v>5051</v>
      </c>
      <c r="B2015" s="5" t="s">
        <v>5052</v>
      </c>
      <c r="C2015" s="5" t="s">
        <v>54</v>
      </c>
      <c r="D2015" s="5" t="s">
        <v>55</v>
      </c>
      <c r="E2015" s="5" t="s">
        <v>240</v>
      </c>
      <c r="F2015" s="9">
        <v>26</v>
      </c>
      <c r="G2015" s="9">
        <v>270</v>
      </c>
      <c r="H2015" s="5" t="s">
        <v>21</v>
      </c>
      <c r="I2015" s="5" t="s">
        <v>5053</v>
      </c>
      <c r="J2015" s="12" t="str">
        <f>HYPERLINK("https://www.boe.es/gazeta/dias/1800/04/01/pdfs/GMD-1800-26.pdf#page=10","Abrir facsímil")</f>
        <v>Abrir facsímil</v>
      </c>
      <c r="K2015" s="15" t="s">
        <v>23</v>
      </c>
    </row>
    <row r="2016" spans="1:11" ht="42" customHeight="1">
      <c r="A2016" s="4" t="s">
        <v>5054</v>
      </c>
      <c r="B2016" s="5" t="s">
        <v>5055</v>
      </c>
      <c r="C2016" s="5" t="s">
        <v>1179</v>
      </c>
      <c r="D2016" s="5" t="s">
        <v>1180</v>
      </c>
      <c r="E2016" s="5" t="s">
        <v>314</v>
      </c>
      <c r="F2016" s="9">
        <v>74</v>
      </c>
      <c r="G2016" s="9">
        <v>842</v>
      </c>
      <c r="H2016" s="5" t="s">
        <v>21</v>
      </c>
      <c r="I2016" s="5" t="s">
        <v>5056</v>
      </c>
      <c r="J2016" s="12" t="str">
        <f>HYPERLINK("https://www.boe.es/gazeta/dias/1800/09/12/pdfs/GMD-C-1800-74.pdf#page=4","Abrir facsímil")</f>
        <v>Abrir facsímil</v>
      </c>
      <c r="K2016" s="15" t="s">
        <v>23</v>
      </c>
    </row>
    <row r="2017" spans="1:11" ht="42" customHeight="1">
      <c r="A2017" s="4" t="s">
        <v>5057</v>
      </c>
      <c r="B2017" s="5" t="s">
        <v>5058</v>
      </c>
      <c r="C2017" s="5" t="s">
        <v>84</v>
      </c>
      <c r="D2017" s="5" t="s">
        <v>85</v>
      </c>
      <c r="E2017" s="5" t="s">
        <v>218</v>
      </c>
      <c r="F2017" s="9">
        <v>5</v>
      </c>
      <c r="G2017" s="9">
        <v>48</v>
      </c>
      <c r="H2017" s="5" t="s">
        <v>21</v>
      </c>
      <c r="I2017" s="5" t="s">
        <v>5059</v>
      </c>
      <c r="J2017" s="12" t="str">
        <f>HYPERLINK("https://www.boe.es/gazeta/dias/1800/01/17/pdfs/GMD-1800-5.pdf#page=8","Abrir facsímil")</f>
        <v>Abrir facsímil</v>
      </c>
      <c r="K2017" s="15" t="s">
        <v>23</v>
      </c>
    </row>
    <row r="2018" spans="1:11" ht="42" customHeight="1">
      <c r="A2018" s="4" t="s">
        <v>5060</v>
      </c>
      <c r="B2018" s="5" t="s">
        <v>5061</v>
      </c>
      <c r="C2018" s="5" t="s">
        <v>54</v>
      </c>
      <c r="D2018" s="5" t="s">
        <v>55</v>
      </c>
      <c r="E2018" s="5" t="s">
        <v>598</v>
      </c>
      <c r="F2018" s="9">
        <v>32</v>
      </c>
      <c r="G2018" s="9">
        <v>323</v>
      </c>
      <c r="H2018" s="5" t="s">
        <v>21</v>
      </c>
      <c r="I2018" s="5" t="s">
        <v>5062</v>
      </c>
      <c r="J2018" s="12" t="str">
        <f>HYPERLINK("https://www.boe.es/gazeta/dias/1800/04/22/pdfs/GMD-1800-32.pdf#page=7","Abrir facsímil")</f>
        <v>Abrir facsímil</v>
      </c>
      <c r="K2018" s="15" t="s">
        <v>23</v>
      </c>
    </row>
    <row r="2019" spans="1:11" ht="42" customHeight="1">
      <c r="A2019" s="4" t="s">
        <v>5063</v>
      </c>
      <c r="B2019" s="5" t="s">
        <v>5064</v>
      </c>
      <c r="C2019" s="5" t="s">
        <v>207</v>
      </c>
      <c r="D2019" s="5" t="s">
        <v>55</v>
      </c>
      <c r="E2019" s="5" t="s">
        <v>90</v>
      </c>
      <c r="F2019" s="9">
        <v>58</v>
      </c>
      <c r="G2019" s="9">
        <v>663</v>
      </c>
      <c r="H2019" s="5" t="s">
        <v>21</v>
      </c>
      <c r="I2019" s="5" t="s">
        <v>5065</v>
      </c>
      <c r="J2019" s="12" t="str">
        <f>HYPERLINK("https://www.boe.es/gazeta/dias/1800/07/22/pdfs/GMD-1800-58.pdf#page=11","Abrir facsímil")</f>
        <v>Abrir facsímil</v>
      </c>
      <c r="K2019" s="15" t="s">
        <v>23</v>
      </c>
    </row>
    <row r="2020" spans="1:11" ht="42" customHeight="1">
      <c r="A2020" s="4" t="s">
        <v>5066</v>
      </c>
      <c r="B2020" s="5" t="s">
        <v>5067</v>
      </c>
      <c r="C2020" s="5" t="s">
        <v>18</v>
      </c>
      <c r="D2020" s="5" t="s">
        <v>19</v>
      </c>
      <c r="E2020" s="5" t="s">
        <v>244</v>
      </c>
      <c r="F2020" s="9">
        <v>9</v>
      </c>
      <c r="G2020" s="9">
        <v>86</v>
      </c>
      <c r="H2020" s="5" t="s">
        <v>21</v>
      </c>
      <c r="I2020" s="5" t="s">
        <v>5068</v>
      </c>
      <c r="J2020" s="12" t="str">
        <f>HYPERLINK("https://www.boe.es/gazeta/dias/1800/01/31/pdfs/GMD-1800-9.pdf#page=10","Abrir facsímil")</f>
        <v>Abrir facsímil</v>
      </c>
      <c r="K2020" s="15" t="s">
        <v>23</v>
      </c>
    </row>
    <row r="2021" spans="1:11" ht="42" customHeight="1">
      <c r="A2021" s="4" t="s">
        <v>5069</v>
      </c>
      <c r="B2021" s="5" t="s">
        <v>5070</v>
      </c>
      <c r="C2021" s="5" t="s">
        <v>25</v>
      </c>
      <c r="D2021" s="5" t="s">
        <v>26</v>
      </c>
      <c r="E2021" s="5" t="s">
        <v>203</v>
      </c>
      <c r="F2021" s="9">
        <v>94</v>
      </c>
      <c r="G2021" s="9">
        <v>1078</v>
      </c>
      <c r="H2021" s="5" t="s">
        <v>21</v>
      </c>
      <c r="I2021" s="5" t="s">
        <v>5071</v>
      </c>
      <c r="J2021" s="12" t="str">
        <f>HYPERLINK("https://www.boe.es/gazeta/dias/1800/11/21/pdfs/GMD-1800-94.pdf#page=8","Abrir facsímil")</f>
        <v>Abrir facsímil</v>
      </c>
      <c r="K2021" s="15" t="s">
        <v>23</v>
      </c>
    </row>
    <row r="2022" spans="1:11" ht="42" customHeight="1">
      <c r="A2022" s="4" t="s">
        <v>5072</v>
      </c>
      <c r="B2022" s="5" t="s">
        <v>5073</v>
      </c>
      <c r="C2022" s="5" t="s">
        <v>18</v>
      </c>
      <c r="D2022" s="5" t="s">
        <v>19</v>
      </c>
      <c r="E2022" s="5" t="s">
        <v>310</v>
      </c>
      <c r="F2022" s="9">
        <v>56</v>
      </c>
      <c r="G2022" s="9">
        <v>633</v>
      </c>
      <c r="H2022" s="5" t="s">
        <v>21</v>
      </c>
      <c r="I2022" s="5" t="s">
        <v>5074</v>
      </c>
      <c r="J2022" s="12" t="str">
        <f>HYPERLINK("https://www.boe.es/gazeta/dias/1800/07/15/pdfs/GMD-1800-56.pdf#page=9","Abrir facsímil")</f>
        <v>Abrir facsímil</v>
      </c>
      <c r="K2022" s="15" t="s">
        <v>23</v>
      </c>
    </row>
    <row r="2023" spans="1:11" ht="42" customHeight="1">
      <c r="A2023" s="4" t="s">
        <v>5075</v>
      </c>
      <c r="B2023" s="5" t="s">
        <v>5076</v>
      </c>
      <c r="C2023" s="5" t="s">
        <v>18</v>
      </c>
      <c r="D2023" s="5" t="s">
        <v>19</v>
      </c>
      <c r="E2023" s="5" t="s">
        <v>356</v>
      </c>
      <c r="F2023" s="9">
        <v>31</v>
      </c>
      <c r="G2023" s="9">
        <v>315</v>
      </c>
      <c r="H2023" s="5" t="s">
        <v>21</v>
      </c>
      <c r="I2023" s="5" t="s">
        <v>5077</v>
      </c>
      <c r="J2023" s="12" t="str">
        <f>HYPERLINK("https://www.boe.es/gazeta/dias/1800/04/18/pdfs/GMD-1800-31.pdf#page=7","Abrir facsímil")</f>
        <v>Abrir facsímil</v>
      </c>
      <c r="K2023" s="15" t="s">
        <v>23</v>
      </c>
    </row>
    <row r="2024" spans="1:11" ht="42" customHeight="1">
      <c r="A2024" s="4" t="s">
        <v>5078</v>
      </c>
      <c r="B2024" s="5" t="s">
        <v>5079</v>
      </c>
      <c r="C2024" s="5" t="s">
        <v>25</v>
      </c>
      <c r="D2024" s="5" t="s">
        <v>26</v>
      </c>
      <c r="E2024" s="5" t="s">
        <v>162</v>
      </c>
      <c r="F2024" s="9">
        <v>15</v>
      </c>
      <c r="G2024" s="9">
        <v>143</v>
      </c>
      <c r="H2024" s="5" t="s">
        <v>21</v>
      </c>
      <c r="I2024" s="5" t="s">
        <v>5080</v>
      </c>
      <c r="J2024" s="12" t="str">
        <f>HYPERLINK("https://www.boe.es/gazeta/dias/1800/02/21/pdfs/GMD-1800-15.pdf#page=7","Abrir facsímil")</f>
        <v>Abrir facsímil</v>
      </c>
      <c r="K2024" s="15" t="s">
        <v>23</v>
      </c>
    </row>
    <row r="2025" spans="1:11" ht="42" customHeight="1">
      <c r="A2025" s="4" t="s">
        <v>5081</v>
      </c>
      <c r="B2025" s="5" t="s">
        <v>5082</v>
      </c>
      <c r="C2025" s="5" t="s">
        <v>18</v>
      </c>
      <c r="D2025" s="5" t="s">
        <v>19</v>
      </c>
      <c r="E2025" s="5" t="s">
        <v>20</v>
      </c>
      <c r="F2025" s="9">
        <v>104</v>
      </c>
      <c r="G2025" s="9">
        <v>1210</v>
      </c>
      <c r="H2025" s="5" t="s">
        <v>21</v>
      </c>
      <c r="I2025" s="5" t="s">
        <v>5083</v>
      </c>
      <c r="J2025" s="12" t="str">
        <f>HYPERLINK("https://www.boe.es/gazeta/dias/1800/12/26/pdfs/GMD-1800-104.pdf#page=10","Abrir facsímil")</f>
        <v>Abrir facsímil</v>
      </c>
      <c r="K2025" s="15" t="s">
        <v>23</v>
      </c>
    </row>
    <row r="2026" spans="1:11" ht="42" customHeight="1">
      <c r="A2026" s="4" t="s">
        <v>5084</v>
      </c>
      <c r="B2026" s="5" t="s">
        <v>5085</v>
      </c>
      <c r="C2026" s="5" t="s">
        <v>18</v>
      </c>
      <c r="D2026" s="5" t="s">
        <v>19</v>
      </c>
      <c r="E2026" s="5" t="s">
        <v>56</v>
      </c>
      <c r="F2026" s="9">
        <v>90</v>
      </c>
      <c r="G2026" s="9">
        <v>1056</v>
      </c>
      <c r="H2026" s="5" t="s">
        <v>21</v>
      </c>
      <c r="I2026" s="5" t="s">
        <v>5086</v>
      </c>
      <c r="J2026" s="12" t="str">
        <f>HYPERLINK("https://www.boe.es/gazeta/dias/1800/11/07/pdfs/GMD-1800-90.pdf#page=10","Abrir facsímil")</f>
        <v>Abrir facsímil</v>
      </c>
      <c r="K2026" s="15" t="s">
        <v>23</v>
      </c>
    </row>
    <row r="2027" spans="1:11" ht="42" customHeight="1">
      <c r="A2027" s="4" t="s">
        <v>5087</v>
      </c>
      <c r="B2027" s="5" t="s">
        <v>5088</v>
      </c>
      <c r="C2027" s="5" t="s">
        <v>18</v>
      </c>
      <c r="D2027" s="5" t="s">
        <v>19</v>
      </c>
      <c r="E2027" s="5" t="s">
        <v>56</v>
      </c>
      <c r="F2027" s="9">
        <v>90</v>
      </c>
      <c r="G2027" s="9">
        <v>1056</v>
      </c>
      <c r="H2027" s="5" t="s">
        <v>21</v>
      </c>
      <c r="I2027" s="5" t="s">
        <v>5089</v>
      </c>
      <c r="J2027" s="12" t="str">
        <f>HYPERLINK("https://www.boe.es/gazeta/dias/1800/11/07/pdfs/GMD-1800-90.pdf#page=10","Abrir facsímil")</f>
        <v>Abrir facsímil</v>
      </c>
      <c r="K2027" s="15" t="s">
        <v>23</v>
      </c>
    </row>
    <row r="2028" spans="1:11" ht="42" customHeight="1">
      <c r="A2028" s="4" t="s">
        <v>5090</v>
      </c>
      <c r="B2028" s="5" t="s">
        <v>5091</v>
      </c>
      <c r="C2028" s="5" t="s">
        <v>41</v>
      </c>
      <c r="D2028" s="5" t="s">
        <v>42</v>
      </c>
      <c r="E2028" s="5" t="s">
        <v>101</v>
      </c>
      <c r="F2028" s="9">
        <v>37</v>
      </c>
      <c r="G2028" s="9">
        <v>371</v>
      </c>
      <c r="H2028" s="5" t="s">
        <v>21</v>
      </c>
      <c r="I2028" s="5" t="s">
        <v>5092</v>
      </c>
      <c r="J2028" s="12" t="str">
        <f>HYPERLINK("https://www.boe.es/gazeta/dias/1800/05/09/pdfs/GMD-1800-37.pdf#page=3","Abrir facsímil")</f>
        <v>Abrir facsímil</v>
      </c>
      <c r="K2028" s="15" t="s">
        <v>23</v>
      </c>
    </row>
    <row r="2029" spans="1:11" ht="42" customHeight="1">
      <c r="A2029" s="4" t="s">
        <v>5090</v>
      </c>
      <c r="B2029" s="5" t="s">
        <v>5091</v>
      </c>
      <c r="C2029" s="5" t="s">
        <v>18</v>
      </c>
      <c r="D2029" s="5" t="s">
        <v>19</v>
      </c>
      <c r="E2029" s="5" t="s">
        <v>828</v>
      </c>
      <c r="F2029" s="9">
        <v>53</v>
      </c>
      <c r="G2029" s="9">
        <v>583</v>
      </c>
      <c r="H2029" s="5" t="s">
        <v>21</v>
      </c>
      <c r="I2029" s="5" t="s">
        <v>5093</v>
      </c>
      <c r="J2029" s="12" t="str">
        <f>HYPERLINK("https://www.boe.es/gazeta/dias/1800/07/04/pdfs/GMD-1800-53.pdf#page=3","Abrir facsímil")</f>
        <v>Abrir facsímil</v>
      </c>
      <c r="K2029" s="15" t="s">
        <v>23</v>
      </c>
    </row>
    <row r="2030" spans="1:11" ht="42" customHeight="1">
      <c r="A2030" s="4" t="s">
        <v>5094</v>
      </c>
      <c r="B2030" s="5" t="s">
        <v>5095</v>
      </c>
      <c r="C2030" s="5" t="s">
        <v>41</v>
      </c>
      <c r="D2030" s="5" t="s">
        <v>42</v>
      </c>
      <c r="E2030" s="5" t="s">
        <v>454</v>
      </c>
      <c r="F2030" s="9">
        <v>63</v>
      </c>
      <c r="G2030" s="9">
        <v>714</v>
      </c>
      <c r="H2030" s="5" t="s">
        <v>21</v>
      </c>
      <c r="I2030" s="5" t="s">
        <v>5096</v>
      </c>
      <c r="J2030" s="12" t="str">
        <f>HYPERLINK("https://www.boe.es/gazeta/dias/1800/08/08/pdfs/GMD-1800-63.pdf#page=2","Abrir facsímil")</f>
        <v>Abrir facsímil</v>
      </c>
      <c r="K2030" s="15" t="s">
        <v>23</v>
      </c>
    </row>
    <row r="2031" spans="1:11" ht="42" customHeight="1">
      <c r="A2031" s="4" t="s">
        <v>5097</v>
      </c>
      <c r="B2031" s="5" t="s">
        <v>5098</v>
      </c>
      <c r="C2031" s="5" t="s">
        <v>41</v>
      </c>
      <c r="D2031" s="5" t="s">
        <v>42</v>
      </c>
      <c r="E2031" s="5" t="s">
        <v>226</v>
      </c>
      <c r="F2031" s="9">
        <v>27</v>
      </c>
      <c r="G2031" s="9">
        <v>273</v>
      </c>
      <c r="H2031" s="5" t="s">
        <v>21</v>
      </c>
      <c r="I2031" s="5" t="s">
        <v>5099</v>
      </c>
      <c r="J2031" s="12" t="str">
        <f>HYPERLINK("https://www.boe.es/gazeta/dias/1800/04/04/pdfs/GMD-1800-27.pdf#page=1","Abrir facsímil")</f>
        <v>Abrir facsímil</v>
      </c>
      <c r="K2031" s="15" t="s">
        <v>23</v>
      </c>
    </row>
    <row r="2032" spans="1:11" ht="42" customHeight="1">
      <c r="A2032" s="4" t="s">
        <v>5097</v>
      </c>
      <c r="B2032" s="5" t="s">
        <v>5098</v>
      </c>
      <c r="C2032" s="5" t="s">
        <v>41</v>
      </c>
      <c r="D2032" s="5" t="s">
        <v>42</v>
      </c>
      <c r="E2032" s="5" t="s">
        <v>836</v>
      </c>
      <c r="F2032" s="9">
        <v>71</v>
      </c>
      <c r="G2032" s="9">
        <v>784</v>
      </c>
      <c r="H2032" s="5" t="s">
        <v>21</v>
      </c>
      <c r="I2032" s="5" t="s">
        <v>5100</v>
      </c>
      <c r="J2032" s="12" t="str">
        <f>HYPERLINK("https://www.boe.es/gazeta/dias/1800/09/02/pdfs/GMD-1800-71.pdf#page=2","Abrir facsímil")</f>
        <v>Abrir facsímil</v>
      </c>
      <c r="K2032" s="15" t="s">
        <v>23</v>
      </c>
    </row>
    <row r="2033" spans="1:11" ht="42" customHeight="1">
      <c r="A2033" s="4" t="s">
        <v>5101</v>
      </c>
      <c r="B2033" s="5" t="s">
        <v>5102</v>
      </c>
      <c r="C2033" s="5" t="s">
        <v>171</v>
      </c>
      <c r="D2033" s="5" t="s">
        <v>172</v>
      </c>
      <c r="E2033" s="5" t="s">
        <v>90</v>
      </c>
      <c r="F2033" s="9">
        <v>58</v>
      </c>
      <c r="G2033" s="9">
        <v>665</v>
      </c>
      <c r="H2033" s="5" t="s">
        <v>21</v>
      </c>
      <c r="I2033" s="5" t="s">
        <v>5103</v>
      </c>
      <c r="J2033" s="12" t="str">
        <f>HYPERLINK("https://www.boe.es/gazeta/dias/1800/07/22/pdfs/GMD-C-1800-58.pdf#page=1","Abrir facsímil")</f>
        <v>Abrir facsímil</v>
      </c>
      <c r="K2033" s="15" t="s">
        <v>23</v>
      </c>
    </row>
    <row r="2034" spans="1:11" ht="42" customHeight="1">
      <c r="A2034" s="4" t="s">
        <v>5104</v>
      </c>
      <c r="B2034" s="5" t="s">
        <v>5105</v>
      </c>
      <c r="C2034" s="5" t="s">
        <v>18</v>
      </c>
      <c r="D2034" s="5" t="s">
        <v>19</v>
      </c>
      <c r="E2034" s="5" t="s">
        <v>184</v>
      </c>
      <c r="F2034" s="9">
        <v>82</v>
      </c>
      <c r="G2034" s="9">
        <v>950</v>
      </c>
      <c r="H2034" s="5" t="s">
        <v>21</v>
      </c>
      <c r="I2034" s="5" t="s">
        <v>5106</v>
      </c>
      <c r="J2034" s="12" t="str">
        <f>HYPERLINK("https://www.boe.es/gazeta/dias/1800/10/10/pdfs/GMD-1800-82.pdf#page=8","Abrir facsímil")</f>
        <v>Abrir facsímil</v>
      </c>
      <c r="K2034" s="15" t="s">
        <v>23</v>
      </c>
    </row>
    <row r="2035" spans="1:11" ht="42" customHeight="1">
      <c r="A2035" s="4" t="s">
        <v>5107</v>
      </c>
      <c r="B2035" s="5" t="s">
        <v>5108</v>
      </c>
      <c r="C2035" s="5" t="s">
        <v>84</v>
      </c>
      <c r="D2035" s="5" t="s">
        <v>85</v>
      </c>
      <c r="E2035" s="5" t="s">
        <v>255</v>
      </c>
      <c r="F2035" s="9">
        <v>75</v>
      </c>
      <c r="G2035" s="9">
        <v>858</v>
      </c>
      <c r="H2035" s="5" t="s">
        <v>21</v>
      </c>
      <c r="I2035" s="5" t="s">
        <v>5109</v>
      </c>
      <c r="J2035" s="12" t="str">
        <f>HYPERLINK("https://www.boe.es/gazeta/dias/1800/09/16/pdfs/GMD-1800-75.pdf#page=12","Abrir facsímil")</f>
        <v>Abrir facsímil</v>
      </c>
      <c r="K2035" s="15" t="s">
        <v>23</v>
      </c>
    </row>
    <row r="2036" spans="1:11" ht="42" customHeight="1">
      <c r="A2036" s="4" t="s">
        <v>5107</v>
      </c>
      <c r="B2036" s="5" t="s">
        <v>5108</v>
      </c>
      <c r="C2036" s="5" t="s">
        <v>84</v>
      </c>
      <c r="D2036" s="5" t="s">
        <v>85</v>
      </c>
      <c r="E2036" s="5" t="s">
        <v>203</v>
      </c>
      <c r="F2036" s="9">
        <v>94</v>
      </c>
      <c r="G2036" s="9">
        <v>1082</v>
      </c>
      <c r="H2036" s="5" t="s">
        <v>21</v>
      </c>
      <c r="I2036" s="5" t="s">
        <v>5110</v>
      </c>
      <c r="J2036" s="12" t="str">
        <f>HYPERLINK("https://www.boe.es/gazeta/dias/1800/11/21/pdfs/GMD-1800-94.pdf#page=12","Abrir facsímil")</f>
        <v>Abrir facsímil</v>
      </c>
      <c r="K2036" s="15" t="s">
        <v>23</v>
      </c>
    </row>
    <row r="2037" spans="1:11" ht="42" customHeight="1">
      <c r="A2037" s="4" t="s">
        <v>5111</v>
      </c>
      <c r="B2037" s="5" t="s">
        <v>5112</v>
      </c>
      <c r="C2037" s="5" t="s">
        <v>18</v>
      </c>
      <c r="D2037" s="5" t="s">
        <v>19</v>
      </c>
      <c r="E2037" s="5" t="s">
        <v>244</v>
      </c>
      <c r="F2037" s="9">
        <v>9</v>
      </c>
      <c r="G2037" s="9">
        <v>86</v>
      </c>
      <c r="H2037" s="5" t="s">
        <v>21</v>
      </c>
      <c r="I2037" s="5" t="s">
        <v>5113</v>
      </c>
      <c r="J2037" s="12" t="str">
        <f>HYPERLINK("https://www.boe.es/gazeta/dias/1800/01/31/pdfs/GMD-1800-9.pdf#page=10","Abrir facsímil")</f>
        <v>Abrir facsímil</v>
      </c>
      <c r="K2037" s="15" t="s">
        <v>23</v>
      </c>
    </row>
    <row r="2038" spans="1:11" ht="42" customHeight="1">
      <c r="A2038" s="4" t="s">
        <v>5114</v>
      </c>
      <c r="B2038" s="5" t="s">
        <v>5115</v>
      </c>
      <c r="C2038" s="5" t="s">
        <v>25</v>
      </c>
      <c r="D2038" s="5" t="s">
        <v>26</v>
      </c>
      <c r="E2038" s="5" t="s">
        <v>105</v>
      </c>
      <c r="F2038" s="9">
        <v>28</v>
      </c>
      <c r="G2038" s="9">
        <v>291</v>
      </c>
      <c r="H2038" s="5" t="s">
        <v>21</v>
      </c>
      <c r="I2038" s="5" t="s">
        <v>5116</v>
      </c>
      <c r="J2038" s="12" t="str">
        <f>HYPERLINK("https://www.boe.es/gazeta/dias/1800/04/08/pdfs/GMD-1800-28.pdf#page=7","Abrir facsímil")</f>
        <v>Abrir facsímil</v>
      </c>
      <c r="K2038" s="15" t="s">
        <v>23</v>
      </c>
    </row>
    <row r="2039" spans="1:11" ht="42" customHeight="1">
      <c r="A2039" s="4" t="s">
        <v>5117</v>
      </c>
      <c r="B2039" s="5" t="s">
        <v>5118</v>
      </c>
      <c r="C2039" s="5" t="s">
        <v>41</v>
      </c>
      <c r="D2039" s="5" t="s">
        <v>42</v>
      </c>
      <c r="E2039" s="5" t="s">
        <v>88</v>
      </c>
      <c r="F2039" s="9">
        <v>23</v>
      </c>
      <c r="G2039" s="9">
        <v>231</v>
      </c>
      <c r="H2039" s="5" t="s">
        <v>21</v>
      </c>
      <c r="I2039" s="5" t="s">
        <v>5119</v>
      </c>
      <c r="J2039" s="12" t="str">
        <f>HYPERLINK("https://www.boe.es/gazeta/dias/1800/03/21/pdfs/GMD-1800-23.pdf#page=7","Abrir facsímil")</f>
        <v>Abrir facsímil</v>
      </c>
      <c r="K2039" s="15" t="s">
        <v>23</v>
      </c>
    </row>
    <row r="2040" spans="1:11" ht="42" customHeight="1">
      <c r="A2040" s="4" t="s">
        <v>5120</v>
      </c>
      <c r="B2040" s="5" t="s">
        <v>5121</v>
      </c>
      <c r="C2040" s="5" t="s">
        <v>171</v>
      </c>
      <c r="D2040" s="5" t="s">
        <v>172</v>
      </c>
      <c r="E2040" s="5" t="s">
        <v>90</v>
      </c>
      <c r="F2040" s="9">
        <v>58</v>
      </c>
      <c r="G2040" s="9">
        <v>668</v>
      </c>
      <c r="H2040" s="5" t="s">
        <v>21</v>
      </c>
      <c r="I2040" s="5" t="s">
        <v>5122</v>
      </c>
      <c r="J2040" s="12" t="str">
        <f>HYPERLINK("https://www.boe.es/gazeta/dias/1800/07/22/pdfs/GMD-C-1800-58.pdf#page=4","Abrir facsímil")</f>
        <v>Abrir facsímil</v>
      </c>
      <c r="K2040" s="15" t="s">
        <v>23</v>
      </c>
    </row>
    <row r="2041" spans="1:11" ht="42" customHeight="1">
      <c r="A2041" s="4" t="s">
        <v>5123</v>
      </c>
      <c r="B2041" s="5" t="s">
        <v>5124</v>
      </c>
      <c r="C2041" s="5" t="s">
        <v>18</v>
      </c>
      <c r="D2041" s="5" t="s">
        <v>19</v>
      </c>
      <c r="E2041" s="5" t="s">
        <v>598</v>
      </c>
      <c r="F2041" s="9">
        <v>32</v>
      </c>
      <c r="G2041" s="9">
        <v>323</v>
      </c>
      <c r="H2041" s="5" t="s">
        <v>21</v>
      </c>
      <c r="I2041" s="5" t="s">
        <v>5125</v>
      </c>
      <c r="J2041" s="12" t="str">
        <f>HYPERLINK("https://www.boe.es/gazeta/dias/1800/04/22/pdfs/GMD-1800-32.pdf#page=7","Abrir facsímil")</f>
        <v>Abrir facsímil</v>
      </c>
      <c r="K2041" s="15" t="s">
        <v>23</v>
      </c>
    </row>
    <row r="2042" spans="1:11" ht="42" customHeight="1">
      <c r="A2042" s="4" t="s">
        <v>5126</v>
      </c>
      <c r="B2042" s="5" t="s">
        <v>5127</v>
      </c>
      <c r="C2042" s="5" t="s">
        <v>54</v>
      </c>
      <c r="D2042" s="5" t="s">
        <v>55</v>
      </c>
      <c r="E2042" s="5" t="s">
        <v>214</v>
      </c>
      <c r="F2042" s="9">
        <v>41</v>
      </c>
      <c r="G2042" s="9">
        <v>424</v>
      </c>
      <c r="H2042" s="5" t="s">
        <v>21</v>
      </c>
      <c r="I2042" s="5" t="s">
        <v>5128</v>
      </c>
      <c r="J2042" s="12" t="str">
        <f>HYPERLINK("https://www.boe.es/gazeta/dias/1800/05/23/pdfs/GMD-1800-41.pdf#page=8","Abrir facsímil")</f>
        <v>Abrir facsímil</v>
      </c>
      <c r="K2042" s="15" t="s">
        <v>23</v>
      </c>
    </row>
    <row r="2043" spans="1:11" ht="42" customHeight="1">
      <c r="A2043" s="4" t="s">
        <v>5126</v>
      </c>
      <c r="B2043" s="5" t="s">
        <v>5127</v>
      </c>
      <c r="C2043" s="5" t="s">
        <v>54</v>
      </c>
      <c r="D2043" s="5" t="s">
        <v>55</v>
      </c>
      <c r="E2043" s="5" t="s">
        <v>406</v>
      </c>
      <c r="F2043" s="9">
        <v>44</v>
      </c>
      <c r="G2043" s="9">
        <v>463</v>
      </c>
      <c r="H2043" s="5" t="s">
        <v>21</v>
      </c>
      <c r="I2043" s="5" t="s">
        <v>5129</v>
      </c>
      <c r="J2043" s="12" t="str">
        <f>HYPERLINK("https://www.boe.es/gazeta/dias/1800/06/03/pdfs/GMD-1800-44.pdf#page=11","Abrir facsímil")</f>
        <v>Abrir facsímil</v>
      </c>
      <c r="K2043" s="15" t="s">
        <v>23</v>
      </c>
    </row>
    <row r="2044" spans="1:11" ht="42" customHeight="1">
      <c r="A2044" s="4" t="s">
        <v>5126</v>
      </c>
      <c r="B2044" s="5" t="s">
        <v>5127</v>
      </c>
      <c r="C2044" s="5" t="s">
        <v>54</v>
      </c>
      <c r="D2044" s="5" t="s">
        <v>55</v>
      </c>
      <c r="E2044" s="5" t="s">
        <v>825</v>
      </c>
      <c r="F2044" s="9">
        <v>51</v>
      </c>
      <c r="G2044" s="9">
        <v>562</v>
      </c>
      <c r="H2044" s="5" t="s">
        <v>21</v>
      </c>
      <c r="I2044" s="5" t="s">
        <v>5130</v>
      </c>
      <c r="J2044" s="12" t="str">
        <f>HYPERLINK("https://www.boe.es/gazeta/dias/1800/06/27/pdfs/GMD-1800-51.pdf#page=14","Abrir facsímil")</f>
        <v>Abrir facsímil</v>
      </c>
      <c r="K2044" s="15" t="s">
        <v>23</v>
      </c>
    </row>
    <row r="2045" spans="1:11" ht="42" customHeight="1">
      <c r="A2045" s="4" t="s">
        <v>5126</v>
      </c>
      <c r="B2045" s="5" t="s">
        <v>5127</v>
      </c>
      <c r="C2045" s="5" t="s">
        <v>18</v>
      </c>
      <c r="D2045" s="5" t="s">
        <v>19</v>
      </c>
      <c r="E2045" s="5" t="s">
        <v>530</v>
      </c>
      <c r="F2045" s="9">
        <v>55</v>
      </c>
      <c r="G2045" s="9">
        <v>623</v>
      </c>
      <c r="H2045" s="5" t="s">
        <v>21</v>
      </c>
      <c r="I2045" s="5" t="s">
        <v>5131</v>
      </c>
      <c r="J2045" s="12" t="str">
        <f>HYPERLINK("https://www.boe.es/gazeta/dias/1800/07/11/pdfs/GMD-1800-55.pdf#page=11","Abrir facsímil")</f>
        <v>Abrir facsímil</v>
      </c>
      <c r="K2045" s="15" t="s">
        <v>23</v>
      </c>
    </row>
    <row r="2046" spans="1:11" ht="42" customHeight="1">
      <c r="A2046" s="4" t="s">
        <v>5126</v>
      </c>
      <c r="B2046" s="5" t="s">
        <v>5127</v>
      </c>
      <c r="C2046" s="5" t="s">
        <v>25</v>
      </c>
      <c r="D2046" s="5" t="s">
        <v>26</v>
      </c>
      <c r="E2046" s="5" t="s">
        <v>154</v>
      </c>
      <c r="F2046" s="9">
        <v>61</v>
      </c>
      <c r="G2046" s="9">
        <v>699</v>
      </c>
      <c r="H2046" s="5" t="s">
        <v>21</v>
      </c>
      <c r="I2046" s="5" t="s">
        <v>5132</v>
      </c>
      <c r="J2046" s="12" t="str">
        <f>HYPERLINK("https://www.boe.es/gazeta/dias/1800/08/01/pdfs/GMD-1800-61.pdf#page=11","Abrir facsímil")</f>
        <v>Abrir facsímil</v>
      </c>
      <c r="K2046" s="15" t="s">
        <v>23</v>
      </c>
    </row>
    <row r="2047" spans="1:11" ht="42" customHeight="1">
      <c r="A2047" s="4" t="s">
        <v>5126</v>
      </c>
      <c r="B2047" s="5" t="s">
        <v>5127</v>
      </c>
      <c r="C2047" s="5" t="s">
        <v>18</v>
      </c>
      <c r="D2047" s="5" t="s">
        <v>19</v>
      </c>
      <c r="E2047" s="5" t="s">
        <v>52</v>
      </c>
      <c r="F2047" s="9">
        <v>83</v>
      </c>
      <c r="G2047" s="9">
        <v>964</v>
      </c>
      <c r="H2047" s="5" t="s">
        <v>21</v>
      </c>
      <c r="I2047" s="5" t="s">
        <v>5133</v>
      </c>
      <c r="J2047" s="12" t="str">
        <f>HYPERLINK("https://www.boe.es/gazeta/dias/1800/10/14/pdfs/GMD-1800-83.pdf#page=10","Abrir facsímil")</f>
        <v>Abrir facsímil</v>
      </c>
      <c r="K2047" s="15" t="s">
        <v>23</v>
      </c>
    </row>
    <row r="2048" spans="1:11" ht="42" customHeight="1">
      <c r="A2048" s="4" t="s">
        <v>5126</v>
      </c>
      <c r="B2048" s="5" t="s">
        <v>5127</v>
      </c>
      <c r="C2048" s="5" t="s">
        <v>18</v>
      </c>
      <c r="D2048" s="5" t="s">
        <v>19</v>
      </c>
      <c r="E2048" s="5" t="s">
        <v>329</v>
      </c>
      <c r="F2048" s="9">
        <v>99</v>
      </c>
      <c r="G2048" s="9">
        <v>1139</v>
      </c>
      <c r="H2048" s="5" t="s">
        <v>21</v>
      </c>
      <c r="I2048" s="5" t="s">
        <v>5134</v>
      </c>
      <c r="J2048" s="12" t="str">
        <f>HYPERLINK("https://www.boe.es/gazeta/dias/1800/12/09/pdfs/GMD-1800-99.pdf#page=7","Abrir facsímil")</f>
        <v>Abrir facsímil</v>
      </c>
      <c r="K2048" s="15" t="s">
        <v>23</v>
      </c>
    </row>
    <row r="2049" spans="1:11" ht="42" customHeight="1">
      <c r="A2049" s="4" t="s">
        <v>5135</v>
      </c>
      <c r="B2049" s="5" t="s">
        <v>5136</v>
      </c>
      <c r="C2049" s="5" t="s">
        <v>41</v>
      </c>
      <c r="D2049" s="5" t="s">
        <v>42</v>
      </c>
      <c r="E2049" s="5" t="s">
        <v>454</v>
      </c>
      <c r="F2049" s="9">
        <v>63</v>
      </c>
      <c r="G2049" s="9">
        <v>719</v>
      </c>
      <c r="H2049" s="5" t="s">
        <v>21</v>
      </c>
      <c r="I2049" s="5" t="s">
        <v>5137</v>
      </c>
      <c r="J2049" s="12" t="str">
        <f>HYPERLINK("https://www.boe.es/gazeta/dias/1800/08/08/pdfs/GMD-1800-63.pdf#page=7","Abrir facsímil")</f>
        <v>Abrir facsímil</v>
      </c>
      <c r="K2049" s="15" t="s">
        <v>23</v>
      </c>
    </row>
    <row r="2050" spans="1:11" ht="42" customHeight="1">
      <c r="A2050" s="4" t="s">
        <v>5138</v>
      </c>
      <c r="B2050" s="5" t="s">
        <v>5139</v>
      </c>
      <c r="C2050" s="5" t="s">
        <v>54</v>
      </c>
      <c r="D2050" s="5" t="s">
        <v>55</v>
      </c>
      <c r="E2050" s="5" t="s">
        <v>534</v>
      </c>
      <c r="F2050" s="9">
        <v>100</v>
      </c>
      <c r="G2050" s="9">
        <v>1162</v>
      </c>
      <c r="H2050" s="5" t="s">
        <v>21</v>
      </c>
      <c r="I2050" s="5" t="s">
        <v>5140</v>
      </c>
      <c r="J2050" s="12" t="str">
        <f>HYPERLINK("https://www.boe.es/gazeta/dias/1800/12/12/pdfs/GMD-1800-100.pdf#page=14","Abrir facsímil")</f>
        <v>Abrir facsímil</v>
      </c>
      <c r="K2050" s="15" t="s">
        <v>23</v>
      </c>
    </row>
    <row r="2051" spans="1:11" ht="42" customHeight="1">
      <c r="A2051" s="4" t="s">
        <v>5141</v>
      </c>
      <c r="B2051" s="5" t="s">
        <v>5142</v>
      </c>
      <c r="C2051" s="5" t="s">
        <v>18</v>
      </c>
      <c r="D2051" s="5" t="s">
        <v>19</v>
      </c>
      <c r="E2051" s="5" t="s">
        <v>240</v>
      </c>
      <c r="F2051" s="9">
        <v>26</v>
      </c>
      <c r="G2051" s="9">
        <v>269</v>
      </c>
      <c r="H2051" s="5" t="s">
        <v>21</v>
      </c>
      <c r="I2051" s="5" t="s">
        <v>5143</v>
      </c>
      <c r="J2051" s="12" t="str">
        <f>HYPERLINK("https://www.boe.es/gazeta/dias/1800/04/01/pdfs/GMD-1800-26.pdf#page=9","Abrir facsímil")</f>
        <v>Abrir facsímil</v>
      </c>
      <c r="K2051" s="15" t="s">
        <v>23</v>
      </c>
    </row>
    <row r="2052" spans="1:11" ht="42" customHeight="1">
      <c r="A2052" s="4" t="s">
        <v>5141</v>
      </c>
      <c r="B2052" s="5" t="s">
        <v>5142</v>
      </c>
      <c r="C2052" s="5" t="s">
        <v>18</v>
      </c>
      <c r="D2052" s="5" t="s">
        <v>19</v>
      </c>
      <c r="E2052" s="5" t="s">
        <v>196</v>
      </c>
      <c r="F2052" s="9">
        <v>97</v>
      </c>
      <c r="G2052" s="9">
        <v>1117</v>
      </c>
      <c r="H2052" s="5" t="s">
        <v>21</v>
      </c>
      <c r="I2052" s="5" t="s">
        <v>5144</v>
      </c>
      <c r="J2052" s="12" t="str">
        <f>HYPERLINK("https://www.boe.es/gazeta/dias/1800/12/02/pdfs/GMD-1800-97.pdf#page=9","Abrir facsímil")</f>
        <v>Abrir facsímil</v>
      </c>
      <c r="K2052" s="15" t="s">
        <v>23</v>
      </c>
    </row>
    <row r="2053" spans="1:11" ht="42" customHeight="1">
      <c r="A2053" s="4" t="s">
        <v>5145</v>
      </c>
      <c r="B2053" s="5" t="s">
        <v>5146</v>
      </c>
      <c r="C2053" s="5" t="s">
        <v>18</v>
      </c>
      <c r="D2053" s="5" t="s">
        <v>19</v>
      </c>
      <c r="E2053" s="5" t="s">
        <v>139</v>
      </c>
      <c r="F2053" s="9">
        <v>2</v>
      </c>
      <c r="G2053" s="9">
        <v>17</v>
      </c>
      <c r="H2053" s="5" t="s">
        <v>21</v>
      </c>
      <c r="I2053" s="5" t="s">
        <v>5147</v>
      </c>
      <c r="J2053" s="12" t="str">
        <f>HYPERLINK("https://www.boe.es/gazeta/dias/1800/01/07/pdfs/GMD-1800-2.pdf#page=9","Abrir facsímil")</f>
        <v>Abrir facsímil</v>
      </c>
      <c r="K2053" s="15" t="s">
        <v>23</v>
      </c>
    </row>
    <row r="2054" spans="1:11" ht="42" customHeight="1">
      <c r="A2054" s="4" t="s">
        <v>5148</v>
      </c>
      <c r="B2054" s="5" t="s">
        <v>5149</v>
      </c>
      <c r="C2054" s="5" t="s">
        <v>18</v>
      </c>
      <c r="D2054" s="5" t="s">
        <v>19</v>
      </c>
      <c r="E2054" s="5" t="s">
        <v>618</v>
      </c>
      <c r="F2054" s="9">
        <v>1</v>
      </c>
      <c r="G2054" s="9">
        <v>5</v>
      </c>
      <c r="H2054" s="5" t="s">
        <v>21</v>
      </c>
      <c r="I2054" s="5" t="s">
        <v>5150</v>
      </c>
      <c r="J2054" s="12" t="str">
        <f>HYPERLINK("https://www.boe.es/gazeta/dias/1800/01/03/pdfs/GMD-1800-1.pdf#page=5","Abrir facsímil")</f>
        <v>Abrir facsímil</v>
      </c>
      <c r="K2054" s="15" t="s">
        <v>23</v>
      </c>
    </row>
    <row r="2055" spans="1:11" ht="42" customHeight="1">
      <c r="A2055" s="4" t="s">
        <v>5151</v>
      </c>
      <c r="B2055" s="5" t="s">
        <v>5152</v>
      </c>
      <c r="C2055" s="5" t="s">
        <v>25</v>
      </c>
      <c r="D2055" s="5" t="s">
        <v>26</v>
      </c>
      <c r="E2055" s="5" t="s">
        <v>45</v>
      </c>
      <c r="F2055" s="9">
        <v>47</v>
      </c>
      <c r="G2055" s="9">
        <v>503</v>
      </c>
      <c r="H2055" s="5" t="s">
        <v>21</v>
      </c>
      <c r="I2055" s="5" t="s">
        <v>5153</v>
      </c>
      <c r="J2055" s="12" t="str">
        <f>HYPERLINK("https://www.boe.es/gazeta/dias/1800/06/13/pdfs/GMD-1800-47.pdf#page=11","Abrir facsímil")</f>
        <v>Abrir facsímil</v>
      </c>
      <c r="K2055" s="15" t="s">
        <v>23</v>
      </c>
    </row>
    <row r="2056" spans="1:11" ht="42" customHeight="1">
      <c r="A2056" s="4" t="s">
        <v>5154</v>
      </c>
      <c r="B2056" s="5" t="s">
        <v>5155</v>
      </c>
      <c r="C2056" s="5" t="s">
        <v>18</v>
      </c>
      <c r="D2056" s="5" t="s">
        <v>19</v>
      </c>
      <c r="E2056" s="5" t="s">
        <v>310</v>
      </c>
      <c r="F2056" s="9">
        <v>56</v>
      </c>
      <c r="G2056" s="9">
        <v>633</v>
      </c>
      <c r="H2056" s="5" t="s">
        <v>21</v>
      </c>
      <c r="I2056" s="5" t="s">
        <v>5156</v>
      </c>
      <c r="J2056" s="12" t="str">
        <f>HYPERLINK("https://www.boe.es/gazeta/dias/1800/07/15/pdfs/GMD-1800-56.pdf#page=9","Abrir facsímil")</f>
        <v>Abrir facsímil</v>
      </c>
      <c r="K2056" s="15" t="s">
        <v>23</v>
      </c>
    </row>
    <row r="2057" spans="1:11" ht="42" customHeight="1">
      <c r="A2057" s="4" t="s">
        <v>5157</v>
      </c>
      <c r="B2057" s="5" t="s">
        <v>5158</v>
      </c>
      <c r="C2057" s="5" t="s">
        <v>54</v>
      </c>
      <c r="D2057" s="5" t="s">
        <v>55</v>
      </c>
      <c r="E2057" s="5" t="s">
        <v>615</v>
      </c>
      <c r="F2057" s="9">
        <v>95</v>
      </c>
      <c r="G2057" s="9">
        <v>1090</v>
      </c>
      <c r="H2057" s="5" t="s">
        <v>21</v>
      </c>
      <c r="I2057" s="5" t="s">
        <v>5159</v>
      </c>
      <c r="J2057" s="12" t="str">
        <f>HYPERLINK("https://www.boe.es/gazeta/dias/1800/11/25/pdfs/GMD-1800-95.pdf#page=8","Abrir facsímil")</f>
        <v>Abrir facsímil</v>
      </c>
      <c r="K2057" s="15" t="s">
        <v>23</v>
      </c>
    </row>
    <row r="2058" spans="1:11" ht="42" customHeight="1">
      <c r="A2058" s="4" t="s">
        <v>5160</v>
      </c>
      <c r="B2058" s="5" t="s">
        <v>5161</v>
      </c>
      <c r="C2058" s="5" t="s">
        <v>18</v>
      </c>
      <c r="D2058" s="5" t="s">
        <v>19</v>
      </c>
      <c r="E2058" s="5" t="s">
        <v>39</v>
      </c>
      <c r="F2058" s="9">
        <v>43</v>
      </c>
      <c r="G2058" s="9">
        <v>441</v>
      </c>
      <c r="H2058" s="5" t="s">
        <v>21</v>
      </c>
      <c r="I2058" s="5" t="s">
        <v>5162</v>
      </c>
      <c r="J2058" s="12" t="str">
        <f>HYPERLINK("https://www.boe.es/gazeta/dias/1800/05/30/pdfs/GMD-1800-43.pdf#page=1","Abrir facsímil")</f>
        <v>Abrir facsímil</v>
      </c>
      <c r="K2058" s="15" t="s">
        <v>23</v>
      </c>
    </row>
    <row r="2059" spans="1:11" ht="42" customHeight="1">
      <c r="A2059" s="4" t="s">
        <v>5163</v>
      </c>
      <c r="B2059" s="5" t="s">
        <v>5164</v>
      </c>
      <c r="C2059" s="5" t="s">
        <v>18</v>
      </c>
      <c r="D2059" s="5" t="s">
        <v>19</v>
      </c>
      <c r="E2059" s="5" t="s">
        <v>314</v>
      </c>
      <c r="F2059" s="9">
        <v>74</v>
      </c>
      <c r="G2059" s="9">
        <v>831</v>
      </c>
      <c r="H2059" s="5" t="s">
        <v>21</v>
      </c>
      <c r="I2059" s="5" t="s">
        <v>5165</v>
      </c>
      <c r="J2059" s="12" t="str">
        <f>HYPERLINK("https://www.boe.es/gazeta/dias/1800/09/12/pdfs/GMD-1800-74.pdf#page=9","Abrir facsímil")</f>
        <v>Abrir facsímil</v>
      </c>
      <c r="K2059" s="15" t="s">
        <v>23</v>
      </c>
    </row>
    <row r="2060" spans="1:11" ht="42" customHeight="1">
      <c r="A2060" s="4" t="s">
        <v>5166</v>
      </c>
      <c r="B2060" s="5" t="s">
        <v>5167</v>
      </c>
      <c r="C2060" s="5" t="s">
        <v>84</v>
      </c>
      <c r="D2060" s="5" t="s">
        <v>85</v>
      </c>
      <c r="E2060" s="5" t="s">
        <v>194</v>
      </c>
      <c r="F2060" s="9">
        <v>48</v>
      </c>
      <c r="G2060" s="9">
        <v>516</v>
      </c>
      <c r="H2060" s="5" t="s">
        <v>21</v>
      </c>
      <c r="I2060" s="5" t="s">
        <v>5168</v>
      </c>
      <c r="J2060" s="12" t="str">
        <f>HYPERLINK("https://www.boe.es/gazeta/dias/1800/06/17/pdfs/GMD-1800-48.pdf#page=8","Abrir facsímil")</f>
        <v>Abrir facsímil</v>
      </c>
      <c r="K2060" s="15" t="s">
        <v>23</v>
      </c>
    </row>
    <row r="2061" spans="1:11" ht="42" customHeight="1">
      <c r="A2061" s="4" t="s">
        <v>5169</v>
      </c>
      <c r="B2061" s="5" t="s">
        <v>5170</v>
      </c>
      <c r="C2061" s="5" t="s">
        <v>18</v>
      </c>
      <c r="D2061" s="5" t="s">
        <v>19</v>
      </c>
      <c r="E2061" s="5" t="s">
        <v>1231</v>
      </c>
      <c r="F2061" s="9">
        <v>36</v>
      </c>
      <c r="G2061" s="9">
        <v>366</v>
      </c>
      <c r="H2061" s="5" t="s">
        <v>21</v>
      </c>
      <c r="I2061" s="5" t="s">
        <v>5171</v>
      </c>
      <c r="J2061" s="12" t="str">
        <f>HYPERLINK("https://www.boe.es/gazeta/dias/1800/05/06/pdfs/GMD-1800-36.pdf#page=10","Abrir facsímil")</f>
        <v>Abrir facsímil</v>
      </c>
      <c r="K2061" s="15" t="s">
        <v>23</v>
      </c>
    </row>
    <row r="2062" spans="1:11" ht="42" customHeight="1">
      <c r="A2062" s="4" t="s">
        <v>5172</v>
      </c>
      <c r="B2062" s="5" t="s">
        <v>5173</v>
      </c>
      <c r="C2062" s="5" t="s">
        <v>25</v>
      </c>
      <c r="D2062" s="5" t="s">
        <v>26</v>
      </c>
      <c r="E2062" s="5" t="s">
        <v>45</v>
      </c>
      <c r="F2062" s="9">
        <v>47</v>
      </c>
      <c r="G2062" s="9">
        <v>503</v>
      </c>
      <c r="H2062" s="5" t="s">
        <v>21</v>
      </c>
      <c r="I2062" s="5" t="s">
        <v>5174</v>
      </c>
      <c r="J2062" s="12" t="str">
        <f>HYPERLINK("https://www.boe.es/gazeta/dias/1800/06/13/pdfs/GMD-1800-47.pdf#page=11","Abrir facsímil")</f>
        <v>Abrir facsímil</v>
      </c>
      <c r="K2062" s="15" t="s">
        <v>23</v>
      </c>
    </row>
    <row r="2063" spans="1:11" ht="42" customHeight="1">
      <c r="A2063" s="4" t="s">
        <v>5175</v>
      </c>
      <c r="B2063" s="5" t="s">
        <v>5176</v>
      </c>
      <c r="C2063" s="5" t="s">
        <v>207</v>
      </c>
      <c r="D2063" s="5" t="s">
        <v>55</v>
      </c>
      <c r="E2063" s="5" t="s">
        <v>116</v>
      </c>
      <c r="F2063" s="9">
        <v>86</v>
      </c>
      <c r="G2063" s="9">
        <v>997</v>
      </c>
      <c r="H2063" s="5" t="s">
        <v>21</v>
      </c>
      <c r="I2063" s="5" t="s">
        <v>5177</v>
      </c>
      <c r="J2063" s="12" t="str">
        <f>HYPERLINK("https://www.boe.es/gazeta/dias/1800/10/24/pdfs/GMD-1800-86.pdf#page=7","Abrir facsímil")</f>
        <v>Abrir facsímil</v>
      </c>
      <c r="K2063" s="15" t="s">
        <v>23</v>
      </c>
    </row>
    <row r="2064" spans="1:11" ht="42" customHeight="1">
      <c r="A2064" s="4" t="s">
        <v>5178</v>
      </c>
      <c r="B2064" s="5" t="s">
        <v>5179</v>
      </c>
      <c r="C2064" s="5" t="s">
        <v>18</v>
      </c>
      <c r="D2064" s="5" t="s">
        <v>19</v>
      </c>
      <c r="E2064" s="5" t="s">
        <v>31</v>
      </c>
      <c r="F2064" s="9">
        <v>20</v>
      </c>
      <c r="G2064" s="9">
        <v>191</v>
      </c>
      <c r="H2064" s="5" t="s">
        <v>21</v>
      </c>
      <c r="I2064" s="5" t="s">
        <v>5180</v>
      </c>
      <c r="J2064" s="12" t="str">
        <f>HYPERLINK("https://www.boe.es/gazeta/dias/1800/03/11/pdfs/GMD-1800-20.pdf#page=7","Abrir facsímil")</f>
        <v>Abrir facsímil</v>
      </c>
      <c r="K2064" s="15" t="s">
        <v>23</v>
      </c>
    </row>
    <row r="2065" spans="1:11" ht="42" customHeight="1">
      <c r="A2065" s="4" t="s">
        <v>5181</v>
      </c>
      <c r="B2065" s="5" t="s">
        <v>5182</v>
      </c>
      <c r="C2065" s="5" t="s">
        <v>41</v>
      </c>
      <c r="D2065" s="5" t="s">
        <v>42</v>
      </c>
      <c r="E2065" s="5" t="s">
        <v>836</v>
      </c>
      <c r="F2065" s="9">
        <v>71</v>
      </c>
      <c r="G2065" s="9">
        <v>784</v>
      </c>
      <c r="H2065" s="5" t="s">
        <v>21</v>
      </c>
      <c r="I2065" s="5" t="s">
        <v>5183</v>
      </c>
      <c r="J2065" s="12" t="str">
        <f>HYPERLINK("https://www.boe.es/gazeta/dias/1800/09/02/pdfs/GMD-1800-71.pdf#page=2","Abrir facsímil")</f>
        <v>Abrir facsímil</v>
      </c>
      <c r="K2065" s="15" t="s">
        <v>23</v>
      </c>
    </row>
    <row r="2066" spans="1:11" ht="42" customHeight="1">
      <c r="A2066" s="4" t="s">
        <v>5184</v>
      </c>
      <c r="B2066" s="5" t="s">
        <v>5185</v>
      </c>
      <c r="C2066" s="5" t="s">
        <v>18</v>
      </c>
      <c r="D2066" s="5" t="s">
        <v>19</v>
      </c>
      <c r="E2066" s="5" t="s">
        <v>422</v>
      </c>
      <c r="F2066" s="9">
        <v>85</v>
      </c>
      <c r="G2066" s="9">
        <v>985</v>
      </c>
      <c r="H2066" s="5" t="s">
        <v>21</v>
      </c>
      <c r="I2066" s="5" t="s">
        <v>5186</v>
      </c>
      <c r="J2066" s="12" t="str">
        <f>HYPERLINK("https://www.boe.es/gazeta/dias/1800/10/21/pdfs/GMD-1800-85.pdf#page=7","Abrir facsímil")</f>
        <v>Abrir facsímil</v>
      </c>
      <c r="K2066" s="15" t="s">
        <v>23</v>
      </c>
    </row>
    <row r="2067" spans="1:11" ht="42" customHeight="1">
      <c r="A2067" s="4" t="s">
        <v>5187</v>
      </c>
      <c r="B2067" s="5" t="s">
        <v>5188</v>
      </c>
      <c r="C2067" s="5" t="s">
        <v>18</v>
      </c>
      <c r="D2067" s="5" t="s">
        <v>19</v>
      </c>
      <c r="E2067" s="5" t="s">
        <v>299</v>
      </c>
      <c r="F2067" s="9">
        <v>40</v>
      </c>
      <c r="G2067" s="9">
        <v>412</v>
      </c>
      <c r="H2067" s="5" t="s">
        <v>21</v>
      </c>
      <c r="I2067" s="5" t="s">
        <v>5189</v>
      </c>
      <c r="J2067" s="12" t="str">
        <f>HYPERLINK("https://www.boe.es/gazeta/dias/1800/05/20/pdfs/GMD-1800-40.pdf#page=8","Abrir facsímil")</f>
        <v>Abrir facsímil</v>
      </c>
      <c r="K2067" s="15" t="s">
        <v>23</v>
      </c>
    </row>
    <row r="2068" spans="1:11" ht="42" customHeight="1">
      <c r="A2068" s="4" t="s">
        <v>5190</v>
      </c>
      <c r="B2068" s="5" t="s">
        <v>5191</v>
      </c>
      <c r="C2068" s="5" t="s">
        <v>41</v>
      </c>
      <c r="D2068" s="5" t="s">
        <v>42</v>
      </c>
      <c r="E2068" s="5" t="s">
        <v>52</v>
      </c>
      <c r="F2068" s="9">
        <v>83</v>
      </c>
      <c r="G2068" s="9">
        <v>956</v>
      </c>
      <c r="H2068" s="5" t="s">
        <v>21</v>
      </c>
      <c r="I2068" s="5" t="s">
        <v>5192</v>
      </c>
      <c r="J2068" s="12" t="str">
        <f>HYPERLINK("https://www.boe.es/gazeta/dias/1800/10/14/pdfs/GMD-1800-83.pdf#page=2","Abrir facsímil")</f>
        <v>Abrir facsímil</v>
      </c>
      <c r="K2068" s="15" t="s">
        <v>23</v>
      </c>
    </row>
    <row r="2069" spans="1:11" ht="42" customHeight="1">
      <c r="A2069" s="4" t="s">
        <v>5193</v>
      </c>
      <c r="B2069" s="5" t="s">
        <v>5194</v>
      </c>
      <c r="C2069" s="5" t="s">
        <v>18</v>
      </c>
      <c r="D2069" s="5" t="s">
        <v>19</v>
      </c>
      <c r="E2069" s="5" t="s">
        <v>75</v>
      </c>
      <c r="F2069" s="9">
        <v>64</v>
      </c>
      <c r="G2069" s="9">
        <v>733</v>
      </c>
      <c r="H2069" s="5" t="s">
        <v>21</v>
      </c>
      <c r="I2069" s="5" t="s">
        <v>5195</v>
      </c>
      <c r="J2069" s="12" t="str">
        <f>HYPERLINK("https://www.boe.es/gazeta/dias/1800/08/12/pdfs/GMD-1800-64.pdf#page=9","Abrir facsímil")</f>
        <v>Abrir facsímil</v>
      </c>
      <c r="K2069" s="15" t="s">
        <v>23</v>
      </c>
    </row>
    <row r="2070" spans="1:11" ht="42" customHeight="1">
      <c r="A2070" s="4" t="s">
        <v>5196</v>
      </c>
      <c r="B2070" s="5" t="s">
        <v>5197</v>
      </c>
      <c r="C2070" s="5" t="s">
        <v>18</v>
      </c>
      <c r="D2070" s="5" t="s">
        <v>19</v>
      </c>
      <c r="E2070" s="5" t="s">
        <v>275</v>
      </c>
      <c r="F2070" s="9">
        <v>60</v>
      </c>
      <c r="G2070" s="9">
        <v>687</v>
      </c>
      <c r="H2070" s="5" t="s">
        <v>21</v>
      </c>
      <c r="I2070" s="5" t="s">
        <v>5198</v>
      </c>
      <c r="J2070" s="12" t="str">
        <f>HYPERLINK("https://www.boe.es/gazeta/dias/1800/07/29/pdfs/GMD-1800-60.pdf#page=7","Abrir facsímil")</f>
        <v>Abrir facsímil</v>
      </c>
      <c r="K2070" s="15" t="s">
        <v>23</v>
      </c>
    </row>
    <row r="2071" spans="1:11" ht="42" customHeight="1">
      <c r="A2071" s="4" t="s">
        <v>5199</v>
      </c>
      <c r="B2071" s="5" t="s">
        <v>5200</v>
      </c>
      <c r="C2071" s="5" t="s">
        <v>207</v>
      </c>
      <c r="D2071" s="5" t="s">
        <v>55</v>
      </c>
      <c r="E2071" s="5" t="s">
        <v>1231</v>
      </c>
      <c r="F2071" s="9">
        <v>36</v>
      </c>
      <c r="G2071" s="9">
        <v>366</v>
      </c>
      <c r="H2071" s="5" t="s">
        <v>21</v>
      </c>
      <c r="I2071" s="5" t="s">
        <v>5201</v>
      </c>
      <c r="J2071" s="12" t="str">
        <f>HYPERLINK("https://www.boe.es/gazeta/dias/1800/05/06/pdfs/GMD-1800-36.pdf#page=10","Abrir facsímil")</f>
        <v>Abrir facsímil</v>
      </c>
      <c r="K2071" s="15" t="s">
        <v>23</v>
      </c>
    </row>
    <row r="2072" spans="1:11" ht="42" customHeight="1">
      <c r="A2072" s="4" t="s">
        <v>5202</v>
      </c>
      <c r="B2072" s="5" t="s">
        <v>5203</v>
      </c>
      <c r="C2072" s="5" t="s">
        <v>207</v>
      </c>
      <c r="D2072" s="5" t="s">
        <v>55</v>
      </c>
      <c r="E2072" s="5" t="s">
        <v>240</v>
      </c>
      <c r="F2072" s="9">
        <v>26</v>
      </c>
      <c r="G2072" s="9">
        <v>268</v>
      </c>
      <c r="H2072" s="5" t="s">
        <v>21</v>
      </c>
      <c r="I2072" s="5" t="s">
        <v>5204</v>
      </c>
      <c r="J2072" s="12" t="str">
        <f>HYPERLINK("https://www.boe.es/gazeta/dias/1800/04/01/pdfs/GMD-1800-26.pdf#page=8","Abrir facsímil")</f>
        <v>Abrir facsímil</v>
      </c>
      <c r="K2072" s="15" t="s">
        <v>23</v>
      </c>
    </row>
    <row r="2073" spans="1:11" ht="42" customHeight="1">
      <c r="A2073" s="4" t="s">
        <v>5205</v>
      </c>
      <c r="B2073" s="5" t="s">
        <v>5206</v>
      </c>
      <c r="C2073" s="5" t="s">
        <v>54</v>
      </c>
      <c r="D2073" s="5" t="s">
        <v>55</v>
      </c>
      <c r="E2073" s="5" t="s">
        <v>226</v>
      </c>
      <c r="F2073" s="9">
        <v>27</v>
      </c>
      <c r="G2073" s="9">
        <v>283</v>
      </c>
      <c r="H2073" s="5" t="s">
        <v>21</v>
      </c>
      <c r="I2073" s="5" t="s">
        <v>5207</v>
      </c>
      <c r="J2073" s="12" t="str">
        <f>HYPERLINK("https://www.boe.es/gazeta/dias/1800/04/04/pdfs/GMD-1800-27.pdf#page=11","Abrir facsímil")</f>
        <v>Abrir facsímil</v>
      </c>
      <c r="K2073" s="15" t="s">
        <v>23</v>
      </c>
    </row>
    <row r="2074" spans="1:11" ht="42" customHeight="1">
      <c r="A2074" s="4" t="s">
        <v>5208</v>
      </c>
      <c r="B2074" s="5" t="s">
        <v>5209</v>
      </c>
      <c r="C2074" s="5" t="s">
        <v>84</v>
      </c>
      <c r="D2074" s="5" t="s">
        <v>85</v>
      </c>
      <c r="E2074" s="5" t="s">
        <v>461</v>
      </c>
      <c r="F2074" s="9">
        <v>18</v>
      </c>
      <c r="G2074" s="9">
        <v>171</v>
      </c>
      <c r="H2074" s="5" t="s">
        <v>21</v>
      </c>
      <c r="I2074" s="5" t="s">
        <v>5210</v>
      </c>
      <c r="J2074" s="12" t="str">
        <f>HYPERLINK("https://www.boe.es/datos/pdfs/BOE//1800/018/C00173-00176.pdf#page=7","Abrir facsímil")</f>
        <v>Abrir facsímil</v>
      </c>
      <c r="K2074" s="15" t="s">
        <v>23</v>
      </c>
    </row>
    <row r="2075" spans="1:11" ht="42" customHeight="1">
      <c r="A2075" s="4" t="s">
        <v>5208</v>
      </c>
      <c r="B2075" s="5" t="s">
        <v>5209</v>
      </c>
      <c r="C2075" s="5" t="s">
        <v>25</v>
      </c>
      <c r="D2075" s="5" t="s">
        <v>26</v>
      </c>
      <c r="E2075" s="5" t="s">
        <v>346</v>
      </c>
      <c r="F2075" s="9">
        <v>24</v>
      </c>
      <c r="G2075" s="9">
        <v>248</v>
      </c>
      <c r="H2075" s="5" t="s">
        <v>21</v>
      </c>
      <c r="I2075" s="5" t="s">
        <v>5211</v>
      </c>
      <c r="J2075" s="12" t="str">
        <f>HYPERLINK("https://www.boe.es/gazeta/dias/1800/03/25/pdfs/GMD-1800-24.pdf#page=12","Abrir facsímil")</f>
        <v>Abrir facsímil</v>
      </c>
      <c r="K2075" s="15" t="s">
        <v>23</v>
      </c>
    </row>
    <row r="2076" spans="1:11" ht="42" customHeight="1">
      <c r="A2076" s="4" t="s">
        <v>5212</v>
      </c>
      <c r="B2076" s="5" t="s">
        <v>5213</v>
      </c>
      <c r="C2076" s="5" t="s">
        <v>18</v>
      </c>
      <c r="D2076" s="5" t="s">
        <v>19</v>
      </c>
      <c r="E2076" s="5" t="s">
        <v>346</v>
      </c>
      <c r="F2076" s="9">
        <v>24</v>
      </c>
      <c r="G2076" s="9">
        <v>244</v>
      </c>
      <c r="H2076" s="5" t="s">
        <v>21</v>
      </c>
      <c r="I2076" s="5" t="s">
        <v>5214</v>
      </c>
      <c r="J2076" s="12" t="str">
        <f>HYPERLINK("https://www.boe.es/gazeta/dias/1800/03/25/pdfs/GMD-1800-24.pdf#page=8","Abrir facsímil")</f>
        <v>Abrir facsímil</v>
      </c>
      <c r="K2076" s="15" t="s">
        <v>23</v>
      </c>
    </row>
    <row r="2077" spans="1:11" ht="42" customHeight="1">
      <c r="A2077" s="4" t="s">
        <v>5215</v>
      </c>
      <c r="B2077" s="5" t="s">
        <v>5216</v>
      </c>
      <c r="C2077" s="5" t="s">
        <v>207</v>
      </c>
      <c r="D2077" s="5" t="s">
        <v>55</v>
      </c>
      <c r="E2077" s="5" t="s">
        <v>31</v>
      </c>
      <c r="F2077" s="9">
        <v>20</v>
      </c>
      <c r="G2077" s="9">
        <v>191</v>
      </c>
      <c r="H2077" s="5" t="s">
        <v>21</v>
      </c>
      <c r="I2077" s="5" t="s">
        <v>5217</v>
      </c>
      <c r="J2077" s="12" t="str">
        <f>HYPERLINK("https://www.boe.es/gazeta/dias/1800/03/11/pdfs/GMD-1800-20.pdf#page=7","Abrir facsímil")</f>
        <v>Abrir facsímil</v>
      </c>
      <c r="K2077" s="15" t="s">
        <v>23</v>
      </c>
    </row>
    <row r="2078" spans="1:11" ht="42" customHeight="1">
      <c r="A2078" s="4" t="s">
        <v>5218</v>
      </c>
      <c r="B2078" s="5" t="s">
        <v>5219</v>
      </c>
      <c r="C2078" s="5" t="s">
        <v>18</v>
      </c>
      <c r="D2078" s="5" t="s">
        <v>19</v>
      </c>
      <c r="E2078" s="5" t="s">
        <v>314</v>
      </c>
      <c r="F2078" s="9">
        <v>74</v>
      </c>
      <c r="G2078" s="9">
        <v>832</v>
      </c>
      <c r="H2078" s="5" t="s">
        <v>21</v>
      </c>
      <c r="I2078" s="5" t="s">
        <v>5220</v>
      </c>
      <c r="J2078" s="12" t="str">
        <f>HYPERLINK("https://www.boe.es/gazeta/dias/1800/09/12/pdfs/GMD-1800-74.pdf#page=10","Abrir facsímil")</f>
        <v>Abrir facsímil</v>
      </c>
      <c r="K2078" s="15" t="s">
        <v>23</v>
      </c>
    </row>
    <row r="2079" spans="1:11" ht="42" customHeight="1">
      <c r="A2079" s="4" t="s">
        <v>5221</v>
      </c>
      <c r="B2079" s="5" t="s">
        <v>5222</v>
      </c>
      <c r="C2079" s="5" t="s">
        <v>18</v>
      </c>
      <c r="D2079" s="5" t="s">
        <v>19</v>
      </c>
      <c r="E2079" s="5" t="s">
        <v>1213</v>
      </c>
      <c r="F2079" s="9">
        <v>4</v>
      </c>
      <c r="G2079" s="9">
        <v>36</v>
      </c>
      <c r="H2079" s="5" t="s">
        <v>21</v>
      </c>
      <c r="I2079" s="5" t="s">
        <v>5223</v>
      </c>
      <c r="J2079" s="12" t="str">
        <f>HYPERLINK("https://www.boe.es/gazeta/dias/1800/01/14/pdfs/GMD-1800-4.pdf#page=8","Abrir facsímil")</f>
        <v>Abrir facsímil</v>
      </c>
      <c r="K2079" s="15" t="s">
        <v>23</v>
      </c>
    </row>
    <row r="2080" spans="1:11" ht="42" customHeight="1">
      <c r="A2080" s="4" t="s">
        <v>5224</v>
      </c>
      <c r="B2080" s="5" t="s">
        <v>5225</v>
      </c>
      <c r="C2080" s="5" t="s">
        <v>54</v>
      </c>
      <c r="D2080" s="5" t="s">
        <v>55</v>
      </c>
      <c r="E2080" s="5" t="s">
        <v>45</v>
      </c>
      <c r="F2080" s="9">
        <v>47</v>
      </c>
      <c r="G2080" s="9">
        <v>502</v>
      </c>
      <c r="H2080" s="5" t="s">
        <v>21</v>
      </c>
      <c r="I2080" s="5" t="s">
        <v>5226</v>
      </c>
      <c r="J2080" s="12" t="str">
        <f>HYPERLINK("https://www.boe.es/gazeta/dias/1800/06/13/pdfs/GMD-1800-47.pdf#page=10","Abrir facsímil")</f>
        <v>Abrir facsímil</v>
      </c>
      <c r="K2080" s="15" t="s">
        <v>23</v>
      </c>
    </row>
    <row r="2081" spans="1:11" ht="42" customHeight="1">
      <c r="A2081" s="4" t="s">
        <v>5227</v>
      </c>
      <c r="B2081" s="5" t="s">
        <v>5228</v>
      </c>
      <c r="C2081" s="5" t="s">
        <v>84</v>
      </c>
      <c r="D2081" s="5" t="s">
        <v>85</v>
      </c>
      <c r="E2081" s="5" t="s">
        <v>787</v>
      </c>
      <c r="F2081" s="9">
        <v>6</v>
      </c>
      <c r="G2081" s="9">
        <v>60</v>
      </c>
      <c r="H2081" s="5" t="s">
        <v>21</v>
      </c>
      <c r="I2081" s="5" t="s">
        <v>5229</v>
      </c>
      <c r="J2081" s="12" t="str">
        <f>HYPERLINK("https://www.boe.es/gazeta/dias/1800/01/21/pdfs/GMD-1800-6.pdf#page=12","Abrir facsímil")</f>
        <v>Abrir facsímil</v>
      </c>
      <c r="K2081" s="15" t="s">
        <v>23</v>
      </c>
    </row>
    <row r="2082" spans="1:11" ht="42" customHeight="1">
      <c r="A2082" s="4" t="s">
        <v>5230</v>
      </c>
      <c r="B2082" s="5" t="s">
        <v>5231</v>
      </c>
      <c r="C2082" s="5" t="s">
        <v>207</v>
      </c>
      <c r="D2082" s="5" t="s">
        <v>55</v>
      </c>
      <c r="E2082" s="5" t="s">
        <v>64</v>
      </c>
      <c r="F2082" s="9">
        <v>54</v>
      </c>
      <c r="G2082" s="9">
        <v>607</v>
      </c>
      <c r="H2082" s="5" t="s">
        <v>21</v>
      </c>
      <c r="I2082" s="5" t="s">
        <v>5232</v>
      </c>
      <c r="J2082" s="12" t="str">
        <f>HYPERLINK("https://www.boe.es/gazeta/dias/1800/07/08/pdfs/GMD-1800-54.pdf#page=11","Abrir facsímil")</f>
        <v>Abrir facsímil</v>
      </c>
      <c r="K2082" s="15" t="s">
        <v>23</v>
      </c>
    </row>
    <row r="2083" spans="1:11" ht="42" customHeight="1">
      <c r="A2083" s="4" t="s">
        <v>5230</v>
      </c>
      <c r="B2083" s="5" t="s">
        <v>5231</v>
      </c>
      <c r="C2083" s="5" t="s">
        <v>1035</v>
      </c>
      <c r="D2083" s="5" t="s">
        <v>1036</v>
      </c>
      <c r="E2083" s="5" t="s">
        <v>50</v>
      </c>
      <c r="F2083" s="9">
        <v>81</v>
      </c>
      <c r="G2083" s="9">
        <v>941</v>
      </c>
      <c r="H2083" s="5" t="s">
        <v>21</v>
      </c>
      <c r="I2083" s="5" t="s">
        <v>5233</v>
      </c>
      <c r="J2083" s="12" t="str">
        <f>HYPERLINK("https://www.boe.es/gazeta/dias/1800/10/07/pdfs/GMD-C-1800-81.pdf#page=23","Abrir facsímil")</f>
        <v>Abrir facsímil</v>
      </c>
      <c r="K2083" s="15" t="s">
        <v>23</v>
      </c>
    </row>
    <row r="2084" spans="1:11" ht="42" customHeight="1">
      <c r="A2084" s="4" t="s">
        <v>5234</v>
      </c>
      <c r="B2084" s="5" t="s">
        <v>5235</v>
      </c>
      <c r="C2084" s="5" t="s">
        <v>18</v>
      </c>
      <c r="D2084" s="5" t="s">
        <v>19</v>
      </c>
      <c r="E2084" s="5" t="s">
        <v>1231</v>
      </c>
      <c r="F2084" s="9">
        <v>36</v>
      </c>
      <c r="G2084" s="9">
        <v>367</v>
      </c>
      <c r="H2084" s="5" t="s">
        <v>21</v>
      </c>
      <c r="I2084" s="5" t="s">
        <v>5236</v>
      </c>
      <c r="J2084" s="12" t="str">
        <f>HYPERLINK("https://www.boe.es/gazeta/dias/1800/05/06/pdfs/GMD-1800-36.pdf#page=11","Abrir facsímil")</f>
        <v>Abrir facsímil</v>
      </c>
      <c r="K2084" s="15" t="s">
        <v>23</v>
      </c>
    </row>
    <row r="2085" spans="1:11" ht="42" customHeight="1">
      <c r="A2085" s="4" t="s">
        <v>5237</v>
      </c>
      <c r="B2085" s="5" t="s">
        <v>5238</v>
      </c>
      <c r="C2085" s="5" t="s">
        <v>207</v>
      </c>
      <c r="D2085" s="5" t="s">
        <v>55</v>
      </c>
      <c r="E2085" s="5" t="s">
        <v>116</v>
      </c>
      <c r="F2085" s="9">
        <v>86</v>
      </c>
      <c r="G2085" s="9">
        <v>998</v>
      </c>
      <c r="H2085" s="5" t="s">
        <v>21</v>
      </c>
      <c r="I2085" s="5" t="s">
        <v>5239</v>
      </c>
      <c r="J2085" s="12" t="str">
        <f>HYPERLINK("https://www.boe.es/gazeta/dias/1800/10/24/pdfs/GMD-1800-86.pdf#page=8","Abrir facsímil")</f>
        <v>Abrir facsímil</v>
      </c>
      <c r="K2085" s="15" t="s">
        <v>23</v>
      </c>
    </row>
    <row r="2086" spans="1:11" ht="42" customHeight="1">
      <c r="A2086" s="4" t="s">
        <v>5240</v>
      </c>
      <c r="B2086" s="5" t="s">
        <v>5241</v>
      </c>
      <c r="C2086" s="5" t="s">
        <v>171</v>
      </c>
      <c r="D2086" s="5" t="s">
        <v>172</v>
      </c>
      <c r="E2086" s="5" t="s">
        <v>461</v>
      </c>
      <c r="F2086" s="9">
        <v>18</v>
      </c>
      <c r="G2086" s="9">
        <v>176</v>
      </c>
      <c r="H2086" s="5" t="s">
        <v>21</v>
      </c>
      <c r="I2086" s="5" t="s">
        <v>5242</v>
      </c>
      <c r="J2086" s="12" t="str">
        <f>HYPERLINK("https://www.boe.es/datos/pdfs/BOE//1800/018/C00173-00176.pdf#page=4","Abrir facsímil")</f>
        <v>Abrir facsímil</v>
      </c>
      <c r="K2086" s="15" t="s">
        <v>23</v>
      </c>
    </row>
    <row r="2087" spans="1:11" ht="42" customHeight="1">
      <c r="A2087" s="4" t="s">
        <v>5243</v>
      </c>
      <c r="B2087" s="5" t="s">
        <v>5244</v>
      </c>
      <c r="C2087" s="5" t="s">
        <v>207</v>
      </c>
      <c r="D2087" s="5" t="s">
        <v>55</v>
      </c>
      <c r="E2087" s="5" t="s">
        <v>306</v>
      </c>
      <c r="F2087" s="9">
        <v>79</v>
      </c>
      <c r="G2087" s="9">
        <v>899</v>
      </c>
      <c r="H2087" s="5" t="s">
        <v>21</v>
      </c>
      <c r="I2087" s="5" t="s">
        <v>5245</v>
      </c>
      <c r="J2087" s="12" t="str">
        <f>HYPERLINK("https://www.boe.es/gazeta/dias/1800/09/30/pdfs/GMD-1800-79.pdf#page=9","Abrir facsímil")</f>
        <v>Abrir facsímil</v>
      </c>
      <c r="K2087" s="15" t="s">
        <v>23</v>
      </c>
    </row>
    <row r="2088" spans="1:11" ht="42" customHeight="1">
      <c r="A2088" s="4" t="s">
        <v>5246</v>
      </c>
      <c r="B2088" s="5" t="s">
        <v>5247</v>
      </c>
      <c r="C2088" s="5" t="s">
        <v>18</v>
      </c>
      <c r="D2088" s="5" t="s">
        <v>19</v>
      </c>
      <c r="E2088" s="5" t="s">
        <v>143</v>
      </c>
      <c r="F2088" s="9">
        <v>22</v>
      </c>
      <c r="G2088" s="9">
        <v>220</v>
      </c>
      <c r="H2088" s="5" t="s">
        <v>21</v>
      </c>
      <c r="I2088" s="5" t="s">
        <v>5248</v>
      </c>
      <c r="J2088" s="12" t="str">
        <f>HYPERLINK("https://www.boe.es/gazeta/dias/1800/03/18/pdfs/GMD-1800-22.pdf#page=12","Abrir facsímil")</f>
        <v>Abrir facsímil</v>
      </c>
      <c r="K2088" s="15" t="s">
        <v>23</v>
      </c>
    </row>
    <row r="2089" spans="1:11" ht="42" customHeight="1">
      <c r="A2089" s="4" t="s">
        <v>5249</v>
      </c>
      <c r="B2089" s="5" t="s">
        <v>5250</v>
      </c>
      <c r="C2089" s="5" t="s">
        <v>207</v>
      </c>
      <c r="D2089" s="5" t="s">
        <v>55</v>
      </c>
      <c r="E2089" s="5" t="s">
        <v>306</v>
      </c>
      <c r="F2089" s="9">
        <v>79</v>
      </c>
      <c r="G2089" s="9">
        <v>899</v>
      </c>
      <c r="H2089" s="5" t="s">
        <v>21</v>
      </c>
      <c r="I2089" s="5" t="s">
        <v>5251</v>
      </c>
      <c r="J2089" s="12" t="str">
        <f>HYPERLINK("https://www.boe.es/gazeta/dias/1800/09/30/pdfs/GMD-1800-79.pdf#page=9","Abrir facsímil")</f>
        <v>Abrir facsímil</v>
      </c>
      <c r="K2089" s="15" t="s">
        <v>23</v>
      </c>
    </row>
    <row r="2090" spans="1:11" ht="42" customHeight="1">
      <c r="A2090" s="4" t="s">
        <v>5252</v>
      </c>
      <c r="B2090" s="5" t="s">
        <v>5253</v>
      </c>
      <c r="C2090" s="5" t="s">
        <v>18</v>
      </c>
      <c r="D2090" s="5" t="s">
        <v>19</v>
      </c>
      <c r="E2090" s="5" t="s">
        <v>196</v>
      </c>
      <c r="F2090" s="9">
        <v>97</v>
      </c>
      <c r="G2090" s="9">
        <v>1119</v>
      </c>
      <c r="H2090" s="5" t="s">
        <v>21</v>
      </c>
      <c r="I2090" s="5" t="s">
        <v>5254</v>
      </c>
      <c r="J2090" s="12" t="str">
        <f>HYPERLINK("https://www.boe.es/gazeta/dias/1800/12/02/pdfs/GMD-1800-97.pdf#page=11","Abrir facsímil")</f>
        <v>Abrir facsímil</v>
      </c>
      <c r="K2090" s="15" t="s">
        <v>23</v>
      </c>
    </row>
    <row r="2091" spans="1:11" ht="42" customHeight="1">
      <c r="A2091" s="4" t="s">
        <v>5255</v>
      </c>
      <c r="B2091" s="5" t="s">
        <v>5256</v>
      </c>
      <c r="C2091" s="5" t="s">
        <v>18</v>
      </c>
      <c r="D2091" s="5" t="s">
        <v>19</v>
      </c>
      <c r="E2091" s="5" t="s">
        <v>478</v>
      </c>
      <c r="F2091" s="9">
        <v>34</v>
      </c>
      <c r="G2091" s="9">
        <v>347</v>
      </c>
      <c r="H2091" s="5" t="s">
        <v>21</v>
      </c>
      <c r="I2091" s="5" t="s">
        <v>5257</v>
      </c>
      <c r="J2091" s="12" t="str">
        <f>HYPERLINK("https://www.boe.es/gazeta/dias/1800/04/29/pdfs/GMD-1800-34.pdf#page=11","Abrir facsímil")</f>
        <v>Abrir facsímil</v>
      </c>
      <c r="K2091" s="15" t="s">
        <v>23</v>
      </c>
    </row>
    <row r="2092" spans="1:11" ht="42" customHeight="1">
      <c r="A2092" s="4" t="s">
        <v>5255</v>
      </c>
      <c r="B2092" s="5" t="s">
        <v>5256</v>
      </c>
      <c r="C2092" s="5" t="s">
        <v>18</v>
      </c>
      <c r="D2092" s="5" t="s">
        <v>19</v>
      </c>
      <c r="E2092" s="5" t="s">
        <v>1231</v>
      </c>
      <c r="F2092" s="9">
        <v>36</v>
      </c>
      <c r="G2092" s="9">
        <v>367</v>
      </c>
      <c r="H2092" s="5" t="s">
        <v>21</v>
      </c>
      <c r="I2092" s="5" t="s">
        <v>5258</v>
      </c>
      <c r="J2092" s="12" t="str">
        <f>HYPERLINK("https://www.boe.es/gazeta/dias/1800/05/06/pdfs/GMD-1800-36.pdf#page=11","Abrir facsímil")</f>
        <v>Abrir facsímil</v>
      </c>
      <c r="K2092" s="15" t="s">
        <v>23</v>
      </c>
    </row>
    <row r="2093" spans="1:11" ht="42" customHeight="1">
      <c r="A2093" s="4" t="s">
        <v>5255</v>
      </c>
      <c r="B2093" s="5" t="s">
        <v>5256</v>
      </c>
      <c r="C2093" s="5" t="s">
        <v>54</v>
      </c>
      <c r="D2093" s="5" t="s">
        <v>55</v>
      </c>
      <c r="E2093" s="5" t="s">
        <v>101</v>
      </c>
      <c r="F2093" s="9">
        <v>37</v>
      </c>
      <c r="G2093" s="9">
        <v>378</v>
      </c>
      <c r="H2093" s="5" t="s">
        <v>21</v>
      </c>
      <c r="I2093" s="5" t="s">
        <v>5259</v>
      </c>
      <c r="J2093" s="12" t="str">
        <f>HYPERLINK("https://www.boe.es/gazeta/dias/1800/05/09/pdfs/GMD-1800-37.pdf#page=10","Abrir facsímil")</f>
        <v>Abrir facsímil</v>
      </c>
      <c r="K2093" s="15" t="s">
        <v>23</v>
      </c>
    </row>
    <row r="2094" spans="1:11" ht="42" customHeight="1">
      <c r="A2094" s="4" t="s">
        <v>5255</v>
      </c>
      <c r="B2094" s="5" t="s">
        <v>5256</v>
      </c>
      <c r="C2094" s="5" t="s">
        <v>18</v>
      </c>
      <c r="D2094" s="5" t="s">
        <v>19</v>
      </c>
      <c r="E2094" s="5" t="s">
        <v>1287</v>
      </c>
      <c r="F2094" s="9">
        <v>57</v>
      </c>
      <c r="G2094" s="9">
        <v>649</v>
      </c>
      <c r="H2094" s="5" t="s">
        <v>21</v>
      </c>
      <c r="I2094" s="5" t="s">
        <v>5260</v>
      </c>
      <c r="J2094" s="12" t="str">
        <f>HYPERLINK("https://www.boe.es/gazeta/dias/1800/07/18/pdfs/GMD-1800-57.pdf#page=13","Abrir facsímil")</f>
        <v>Abrir facsímil</v>
      </c>
      <c r="K2094" s="15" t="s">
        <v>23</v>
      </c>
    </row>
    <row r="2095" spans="1:11" ht="42" customHeight="1">
      <c r="A2095" s="4" t="s">
        <v>5255</v>
      </c>
      <c r="B2095" s="5" t="s">
        <v>5256</v>
      </c>
      <c r="C2095" s="5" t="s">
        <v>171</v>
      </c>
      <c r="D2095" s="5" t="s">
        <v>172</v>
      </c>
      <c r="E2095" s="5" t="s">
        <v>90</v>
      </c>
      <c r="F2095" s="9">
        <v>58</v>
      </c>
      <c r="G2095" s="9">
        <v>665</v>
      </c>
      <c r="H2095" s="5" t="s">
        <v>21</v>
      </c>
      <c r="I2095" s="5" t="s">
        <v>5261</v>
      </c>
      <c r="J2095" s="12" t="str">
        <f>HYPERLINK("https://www.boe.es/gazeta/dias/1800/07/22/pdfs/GMD-C-1800-58.pdf#page=1","Abrir facsímil")</f>
        <v>Abrir facsímil</v>
      </c>
      <c r="K2095" s="15" t="s">
        <v>23</v>
      </c>
    </row>
    <row r="2096" spans="1:11" ht="42" customHeight="1">
      <c r="A2096" s="4" t="s">
        <v>5255</v>
      </c>
      <c r="B2096" s="5" t="s">
        <v>5256</v>
      </c>
      <c r="C2096" s="5" t="s">
        <v>171</v>
      </c>
      <c r="D2096" s="5" t="s">
        <v>172</v>
      </c>
      <c r="E2096" s="5" t="s">
        <v>595</v>
      </c>
      <c r="F2096" s="9">
        <v>72</v>
      </c>
      <c r="G2096" s="9">
        <v>799</v>
      </c>
      <c r="H2096" s="5" t="s">
        <v>21</v>
      </c>
      <c r="I2096" s="5" t="s">
        <v>5262</v>
      </c>
      <c r="J2096" s="12" t="str">
        <f>HYPERLINK("https://www.boe.es/gazeta/dias/1800/09/05/pdfs/GMD-C-1800-72.pdf#page=1","Abrir facsímil")</f>
        <v>Abrir facsímil</v>
      </c>
      <c r="K2096" s="15" t="s">
        <v>23</v>
      </c>
    </row>
    <row r="2097" spans="1:11" ht="42" customHeight="1">
      <c r="A2097" s="4" t="s">
        <v>5255</v>
      </c>
      <c r="B2097" s="5" t="s">
        <v>5256</v>
      </c>
      <c r="C2097" s="5" t="s">
        <v>171</v>
      </c>
      <c r="D2097" s="5" t="s">
        <v>172</v>
      </c>
      <c r="E2097" s="5" t="s">
        <v>135</v>
      </c>
      <c r="F2097" s="9">
        <v>73</v>
      </c>
      <c r="G2097" s="9">
        <v>819</v>
      </c>
      <c r="H2097" s="5" t="s">
        <v>21</v>
      </c>
      <c r="I2097" s="5" t="s">
        <v>5263</v>
      </c>
      <c r="J2097" s="12" t="str">
        <f>HYPERLINK("https://www.boe.es/gazeta/dias/1800/09/09/pdfs/GMD-C-1800-73.pdf#page=1","Abrir facsímil")</f>
        <v>Abrir facsímil</v>
      </c>
      <c r="K2097" s="15" t="s">
        <v>23</v>
      </c>
    </row>
    <row r="2098" spans="1:11" ht="42" customHeight="1">
      <c r="A2098" s="4" t="s">
        <v>5255</v>
      </c>
      <c r="B2098" s="5" t="s">
        <v>5256</v>
      </c>
      <c r="C2098" s="5" t="s">
        <v>54</v>
      </c>
      <c r="D2098" s="5" t="s">
        <v>55</v>
      </c>
      <c r="E2098" s="5" t="s">
        <v>410</v>
      </c>
      <c r="F2098" s="9">
        <v>87</v>
      </c>
      <c r="G2098" s="9">
        <v>1010</v>
      </c>
      <c r="H2098" s="5" t="s">
        <v>21</v>
      </c>
      <c r="I2098" s="5" t="s">
        <v>5264</v>
      </c>
      <c r="J2098" s="12" t="str">
        <f>HYPERLINK("https://www.boe.es/gazeta/dias/1800/10/28/pdfs/GMD-1800-87.pdf#page=8","Abrir facsímil")</f>
        <v>Abrir facsímil</v>
      </c>
      <c r="K2098" s="15" t="s">
        <v>23</v>
      </c>
    </row>
    <row r="2099" spans="1:11" ht="42" customHeight="1">
      <c r="A2099" s="4" t="s">
        <v>5255</v>
      </c>
      <c r="B2099" s="5" t="s">
        <v>5256</v>
      </c>
      <c r="C2099" s="5" t="s">
        <v>18</v>
      </c>
      <c r="D2099" s="5" t="s">
        <v>19</v>
      </c>
      <c r="E2099" s="5" t="s">
        <v>190</v>
      </c>
      <c r="F2099" s="9">
        <v>93</v>
      </c>
      <c r="G2099" s="9">
        <v>1069</v>
      </c>
      <c r="H2099" s="5" t="s">
        <v>21</v>
      </c>
      <c r="I2099" s="5" t="s">
        <v>5265</v>
      </c>
      <c r="J2099" s="12" t="str">
        <f>HYPERLINK("https://www.boe.es/gazeta/dias/1800/11/18/pdfs/GMD-1800-93.pdf#page=15","Abrir facsímil")</f>
        <v>Abrir facsímil</v>
      </c>
      <c r="K2099" s="15" t="s">
        <v>23</v>
      </c>
    </row>
    <row r="2100" spans="1:11" ht="42" customHeight="1">
      <c r="A2100" s="4" t="s">
        <v>5255</v>
      </c>
      <c r="B2100" s="5" t="s">
        <v>5256</v>
      </c>
      <c r="C2100" s="5" t="s">
        <v>18</v>
      </c>
      <c r="D2100" s="5" t="s">
        <v>19</v>
      </c>
      <c r="E2100" s="5" t="s">
        <v>534</v>
      </c>
      <c r="F2100" s="9">
        <v>100</v>
      </c>
      <c r="G2100" s="9">
        <v>1162</v>
      </c>
      <c r="H2100" s="5" t="s">
        <v>21</v>
      </c>
      <c r="I2100" s="5" t="s">
        <v>5266</v>
      </c>
      <c r="J2100" s="12" t="str">
        <f>HYPERLINK("https://www.boe.es/gazeta/dias/1800/12/12/pdfs/GMD-1800-100.pdf#page=14","Abrir facsímil")</f>
        <v>Abrir facsímil</v>
      </c>
      <c r="K2100" s="15" t="s">
        <v>23</v>
      </c>
    </row>
    <row r="2101" spans="1:11" ht="42" customHeight="1">
      <c r="A2101" s="4" t="s">
        <v>5255</v>
      </c>
      <c r="B2101" s="5" t="s">
        <v>5256</v>
      </c>
      <c r="C2101" s="5" t="s">
        <v>18</v>
      </c>
      <c r="D2101" s="5" t="s">
        <v>19</v>
      </c>
      <c r="E2101" s="5" t="s">
        <v>279</v>
      </c>
      <c r="F2101" s="9">
        <v>103</v>
      </c>
      <c r="G2101" s="9">
        <v>1199</v>
      </c>
      <c r="H2101" s="5" t="s">
        <v>21</v>
      </c>
      <c r="I2101" s="5" t="s">
        <v>5267</v>
      </c>
      <c r="J2101" s="12" t="str">
        <f>HYPERLINK("https://www.boe.es/gazeta/dias/1800/12/23/pdfs/GMD-1800-103.pdf#page=11","Abrir facsímil")</f>
        <v>Abrir facsímil</v>
      </c>
      <c r="K2101" s="15" t="s">
        <v>23</v>
      </c>
    </row>
    <row r="2102" spans="1:11" ht="42" customHeight="1">
      <c r="A2102" s="4" t="s">
        <v>5268</v>
      </c>
      <c r="B2102" s="5" t="s">
        <v>5269</v>
      </c>
      <c r="C2102" s="5" t="s">
        <v>18</v>
      </c>
      <c r="D2102" s="5" t="s">
        <v>19</v>
      </c>
      <c r="E2102" s="5" t="s">
        <v>1433</v>
      </c>
      <c r="F2102" s="9">
        <v>12</v>
      </c>
      <c r="G2102" s="9">
        <v>116</v>
      </c>
      <c r="H2102" s="5" t="s">
        <v>21</v>
      </c>
      <c r="I2102" s="5" t="s">
        <v>5270</v>
      </c>
      <c r="J2102" s="12" t="str">
        <f>HYPERLINK("https://www.boe.es/gazeta/dias/1800/02/11/pdfs/GMD-1800-12.pdf#page=8","Abrir facsímil")</f>
        <v>Abrir facsímil</v>
      </c>
      <c r="K2102" s="15" t="s">
        <v>23</v>
      </c>
    </row>
    <row r="2103" spans="1:11" ht="42" customHeight="1">
      <c r="A2103" s="4" t="s">
        <v>5271</v>
      </c>
      <c r="B2103" s="5" t="s">
        <v>5272</v>
      </c>
      <c r="C2103" s="5" t="s">
        <v>41</v>
      </c>
      <c r="D2103" s="5" t="s">
        <v>42</v>
      </c>
      <c r="E2103" s="5" t="s">
        <v>88</v>
      </c>
      <c r="F2103" s="9">
        <v>23</v>
      </c>
      <c r="G2103" s="9">
        <v>230</v>
      </c>
      <c r="H2103" s="5" t="s">
        <v>21</v>
      </c>
      <c r="I2103" s="5" t="s">
        <v>5273</v>
      </c>
      <c r="J2103" s="12" t="str">
        <f>HYPERLINK("https://www.boe.es/gazeta/dias/1800/03/21/pdfs/GMD-1800-23.pdf#page=6","Abrir facsímil")</f>
        <v>Abrir facsímil</v>
      </c>
      <c r="K2103" s="15" t="s">
        <v>23</v>
      </c>
    </row>
    <row r="2104" spans="1:11" ht="42" customHeight="1">
      <c r="A2104" s="4" t="s">
        <v>5274</v>
      </c>
      <c r="B2104" s="5" t="s">
        <v>5275</v>
      </c>
      <c r="C2104" s="5" t="s">
        <v>18</v>
      </c>
      <c r="D2104" s="5" t="s">
        <v>19</v>
      </c>
      <c r="E2104" s="5" t="s">
        <v>31</v>
      </c>
      <c r="F2104" s="9">
        <v>20</v>
      </c>
      <c r="G2104" s="9">
        <v>192</v>
      </c>
      <c r="H2104" s="5" t="s">
        <v>21</v>
      </c>
      <c r="I2104" s="5" t="s">
        <v>5276</v>
      </c>
      <c r="J2104" s="12" t="str">
        <f>HYPERLINK("https://www.boe.es/gazeta/dias/1800/03/11/pdfs/GMD-1800-20.pdf#page=8","Abrir facsímil")</f>
        <v>Abrir facsímil</v>
      </c>
      <c r="K2104" s="15" t="s">
        <v>23</v>
      </c>
    </row>
    <row r="2105" spans="1:11" ht="42" customHeight="1">
      <c r="A2105" s="4" t="s">
        <v>5277</v>
      </c>
      <c r="B2105" s="5" t="s">
        <v>5278</v>
      </c>
      <c r="C2105" s="5" t="s">
        <v>54</v>
      </c>
      <c r="D2105" s="5" t="s">
        <v>55</v>
      </c>
      <c r="E2105" s="5" t="s">
        <v>82</v>
      </c>
      <c r="F2105" s="9">
        <v>10</v>
      </c>
      <c r="G2105" s="9">
        <v>97</v>
      </c>
      <c r="H2105" s="5" t="s">
        <v>21</v>
      </c>
      <c r="I2105" s="5" t="s">
        <v>5279</v>
      </c>
      <c r="J2105" s="12" t="str">
        <f>HYPERLINK("https://www.boe.es/gazeta/dias/1800/02/04/pdfs/GMD-1800-10.pdf#page=9","Abrir facsímil")</f>
        <v>Abrir facsímil</v>
      </c>
      <c r="K2105" s="15" t="s">
        <v>23</v>
      </c>
    </row>
    <row r="2106" spans="1:11" ht="42" customHeight="1">
      <c r="A2106" s="4" t="s">
        <v>5277</v>
      </c>
      <c r="B2106" s="5" t="s">
        <v>5278</v>
      </c>
      <c r="C2106" s="5" t="s">
        <v>18</v>
      </c>
      <c r="D2106" s="5" t="s">
        <v>19</v>
      </c>
      <c r="E2106" s="5" t="s">
        <v>598</v>
      </c>
      <c r="F2106" s="9">
        <v>32</v>
      </c>
      <c r="G2106" s="9">
        <v>323</v>
      </c>
      <c r="H2106" s="5" t="s">
        <v>21</v>
      </c>
      <c r="I2106" s="5" t="s">
        <v>5280</v>
      </c>
      <c r="J2106" s="12" t="str">
        <f>HYPERLINK("https://www.boe.es/gazeta/dias/1800/04/22/pdfs/GMD-1800-32.pdf#page=7","Abrir facsímil")</f>
        <v>Abrir facsímil</v>
      </c>
      <c r="K2106" s="15" t="s">
        <v>23</v>
      </c>
    </row>
    <row r="2107" spans="1:11" ht="42" customHeight="1">
      <c r="A2107" s="4" t="s">
        <v>5277</v>
      </c>
      <c r="B2107" s="5" t="s">
        <v>5278</v>
      </c>
      <c r="C2107" s="5" t="s">
        <v>18</v>
      </c>
      <c r="D2107" s="5" t="s">
        <v>19</v>
      </c>
      <c r="E2107" s="5" t="s">
        <v>101</v>
      </c>
      <c r="F2107" s="9">
        <v>37</v>
      </c>
      <c r="G2107" s="9">
        <v>380</v>
      </c>
      <c r="H2107" s="5" t="s">
        <v>21</v>
      </c>
      <c r="I2107" s="5" t="s">
        <v>5281</v>
      </c>
      <c r="J2107" s="12" t="str">
        <f>HYPERLINK("https://www.boe.es/gazeta/dias/1800/05/09/pdfs/GMD-1800-37.pdf#page=12","Abrir facsímil")</f>
        <v>Abrir facsímil</v>
      </c>
      <c r="K2107" s="15" t="s">
        <v>23</v>
      </c>
    </row>
    <row r="2108" spans="1:11" ht="42" customHeight="1">
      <c r="A2108" s="4" t="s">
        <v>5282</v>
      </c>
      <c r="B2108" s="5" t="s">
        <v>5283</v>
      </c>
      <c r="C2108" s="5" t="s">
        <v>18</v>
      </c>
      <c r="D2108" s="5" t="s">
        <v>19</v>
      </c>
      <c r="E2108" s="5" t="s">
        <v>180</v>
      </c>
      <c r="F2108" s="9">
        <v>102</v>
      </c>
      <c r="G2108" s="9">
        <v>1187</v>
      </c>
      <c r="H2108" s="5" t="s">
        <v>21</v>
      </c>
      <c r="I2108" s="5" t="s">
        <v>5284</v>
      </c>
      <c r="J2108" s="12" t="str">
        <f>HYPERLINK("https://www.boe.es/gazeta/dias/1800/12/19/pdfs/GMD-1800-102.pdf#page=11","Abrir facsímil")</f>
        <v>Abrir facsímil</v>
      </c>
      <c r="K2108" s="15" t="s">
        <v>23</v>
      </c>
    </row>
    <row r="2109" spans="1:11" ht="42" customHeight="1">
      <c r="A2109" s="4" t="s">
        <v>5285</v>
      </c>
      <c r="B2109" s="5" t="s">
        <v>5286</v>
      </c>
      <c r="C2109" s="5" t="s">
        <v>18</v>
      </c>
      <c r="D2109" s="5" t="s">
        <v>19</v>
      </c>
      <c r="E2109" s="5" t="s">
        <v>314</v>
      </c>
      <c r="F2109" s="9">
        <v>74</v>
      </c>
      <c r="G2109" s="9">
        <v>833</v>
      </c>
      <c r="H2109" s="5" t="s">
        <v>21</v>
      </c>
      <c r="I2109" s="5" t="s">
        <v>5287</v>
      </c>
      <c r="J2109" s="12" t="str">
        <f>HYPERLINK("https://www.boe.es/gazeta/dias/1800/09/12/pdfs/GMD-1800-74.pdf#page=11","Abrir facsímil")</f>
        <v>Abrir facsímil</v>
      </c>
      <c r="K2109" s="15" t="s">
        <v>23</v>
      </c>
    </row>
    <row r="2110" spans="1:11" ht="42" customHeight="1">
      <c r="A2110" s="4" t="s">
        <v>5288</v>
      </c>
      <c r="B2110" s="5" t="s">
        <v>5289</v>
      </c>
      <c r="C2110" s="5" t="s">
        <v>25</v>
      </c>
      <c r="D2110" s="5" t="s">
        <v>26</v>
      </c>
      <c r="E2110" s="5" t="s">
        <v>82</v>
      </c>
      <c r="F2110" s="9">
        <v>10</v>
      </c>
      <c r="G2110" s="9">
        <v>98</v>
      </c>
      <c r="H2110" s="5" t="s">
        <v>21</v>
      </c>
      <c r="I2110" s="5" t="s">
        <v>5290</v>
      </c>
      <c r="J2110" s="12" t="str">
        <f>HYPERLINK("https://www.boe.es/gazeta/dias/1800/02/04/pdfs/GMD-1800-10.pdf#page=10","Abrir facsímil")</f>
        <v>Abrir facsímil</v>
      </c>
      <c r="K2110" s="15" t="s">
        <v>23</v>
      </c>
    </row>
    <row r="2111" spans="1:11" ht="42" customHeight="1">
      <c r="A2111" s="4" t="s">
        <v>5291</v>
      </c>
      <c r="B2111" s="5" t="s">
        <v>5292</v>
      </c>
      <c r="C2111" s="5" t="s">
        <v>18</v>
      </c>
      <c r="D2111" s="5" t="s">
        <v>19</v>
      </c>
      <c r="E2111" s="5" t="s">
        <v>567</v>
      </c>
      <c r="F2111" s="9">
        <v>3</v>
      </c>
      <c r="G2111" s="9">
        <v>27</v>
      </c>
      <c r="H2111" s="5" t="s">
        <v>21</v>
      </c>
      <c r="I2111" s="5" t="s">
        <v>5293</v>
      </c>
      <c r="J2111" s="12" t="str">
        <f>HYPERLINK("https://www.boe.es/gazeta/dias/1800/01/10/pdfs/GMD-1800-3.pdf#page=7","Abrir facsímil")</f>
        <v>Abrir facsímil</v>
      </c>
      <c r="K2111" s="15" t="s">
        <v>23</v>
      </c>
    </row>
    <row r="2112" spans="1:11" ht="42" customHeight="1">
      <c r="A2112" s="4" t="s">
        <v>5294</v>
      </c>
      <c r="B2112" s="5" t="s">
        <v>5295</v>
      </c>
      <c r="C2112" s="5" t="s">
        <v>41</v>
      </c>
      <c r="D2112" s="5" t="s">
        <v>42</v>
      </c>
      <c r="E2112" s="5" t="s">
        <v>101</v>
      </c>
      <c r="F2112" s="9">
        <v>37</v>
      </c>
      <c r="G2112" s="9">
        <v>371</v>
      </c>
      <c r="H2112" s="5" t="s">
        <v>21</v>
      </c>
      <c r="I2112" s="5" t="s">
        <v>5296</v>
      </c>
      <c r="J2112" s="12" t="str">
        <f>HYPERLINK("https://www.boe.es/gazeta/dias/1800/05/09/pdfs/GMD-1800-37.pdf#page=3","Abrir facsímil")</f>
        <v>Abrir facsímil</v>
      </c>
      <c r="K2112" s="15" t="s">
        <v>23</v>
      </c>
    </row>
    <row r="2113" spans="1:11" ht="42" customHeight="1">
      <c r="A2113" s="4" t="s">
        <v>5297</v>
      </c>
      <c r="B2113" s="5" t="s">
        <v>5298</v>
      </c>
      <c r="C2113" s="5" t="s">
        <v>41</v>
      </c>
      <c r="D2113" s="5" t="s">
        <v>42</v>
      </c>
      <c r="E2113" s="5" t="s">
        <v>1231</v>
      </c>
      <c r="F2113" s="9">
        <v>36</v>
      </c>
      <c r="G2113" s="9">
        <v>359</v>
      </c>
      <c r="H2113" s="5" t="s">
        <v>21</v>
      </c>
      <c r="I2113" s="5" t="s">
        <v>5299</v>
      </c>
      <c r="J2113" s="12" t="str">
        <f>HYPERLINK("https://www.boe.es/gazeta/dias/1800/05/06/pdfs/GMD-1800-36.pdf#page=3","Abrir facsímil")</f>
        <v>Abrir facsímil</v>
      </c>
      <c r="K2113" s="15" t="s">
        <v>23</v>
      </c>
    </row>
    <row r="2114" spans="1:11" ht="42" customHeight="1">
      <c r="A2114" s="4" t="s">
        <v>5300</v>
      </c>
      <c r="B2114" s="5" t="s">
        <v>5301</v>
      </c>
      <c r="C2114" s="5" t="s">
        <v>41</v>
      </c>
      <c r="D2114" s="5" t="s">
        <v>42</v>
      </c>
      <c r="E2114" s="5" t="s">
        <v>329</v>
      </c>
      <c r="F2114" s="9">
        <v>99</v>
      </c>
      <c r="G2114" s="9">
        <v>1137</v>
      </c>
      <c r="H2114" s="5" t="s">
        <v>21</v>
      </c>
      <c r="I2114" s="5" t="s">
        <v>5302</v>
      </c>
      <c r="J2114" s="12" t="str">
        <f>HYPERLINK("https://www.boe.es/gazeta/dias/1800/12/09/pdfs/GMD-1800-99.pdf#page=5","Abrir facsímil")</f>
        <v>Abrir facsímil</v>
      </c>
      <c r="K2114" s="15" t="s">
        <v>23</v>
      </c>
    </row>
    <row r="2115" spans="1:11" ht="42" customHeight="1">
      <c r="A2115" s="4" t="s">
        <v>5303</v>
      </c>
      <c r="B2115" s="5" t="s">
        <v>5304</v>
      </c>
      <c r="C2115" s="5" t="s">
        <v>18</v>
      </c>
      <c r="D2115" s="5" t="s">
        <v>19</v>
      </c>
      <c r="E2115" s="5" t="s">
        <v>319</v>
      </c>
      <c r="F2115" s="9">
        <v>62</v>
      </c>
      <c r="G2115" s="9">
        <v>711</v>
      </c>
      <c r="H2115" s="5" t="s">
        <v>21</v>
      </c>
      <c r="I2115" s="5" t="s">
        <v>5305</v>
      </c>
      <c r="J2115" s="12" t="str">
        <f>HYPERLINK("https://www.boe.es/gazeta/dias/1800/08/05/pdfs/GMD-1800-62.pdf#page=11","Abrir facsímil")</f>
        <v>Abrir facsímil</v>
      </c>
      <c r="K2115" s="15" t="s">
        <v>23</v>
      </c>
    </row>
    <row r="2116" spans="1:11" ht="42" customHeight="1">
      <c r="A2116" s="4" t="s">
        <v>5306</v>
      </c>
      <c r="B2116" s="5" t="s">
        <v>5307</v>
      </c>
      <c r="C2116" s="5" t="s">
        <v>18</v>
      </c>
      <c r="D2116" s="5" t="s">
        <v>19</v>
      </c>
      <c r="E2116" s="5" t="s">
        <v>45</v>
      </c>
      <c r="F2116" s="9">
        <v>47</v>
      </c>
      <c r="G2116" s="9">
        <v>501</v>
      </c>
      <c r="H2116" s="5" t="s">
        <v>21</v>
      </c>
      <c r="I2116" s="5" t="s">
        <v>5308</v>
      </c>
      <c r="J2116" s="12" t="str">
        <f>HYPERLINK("https://www.boe.es/gazeta/dias/1800/06/13/pdfs/GMD-1800-47.pdf#page=9","Abrir facsímil")</f>
        <v>Abrir facsímil</v>
      </c>
      <c r="K2116" s="15" t="s">
        <v>23</v>
      </c>
    </row>
    <row r="2117" spans="1:11" ht="42" customHeight="1">
      <c r="A2117" s="4" t="s">
        <v>5309</v>
      </c>
      <c r="B2117" s="5" t="s">
        <v>5310</v>
      </c>
      <c r="C2117" s="5" t="s">
        <v>1035</v>
      </c>
      <c r="D2117" s="5" t="s">
        <v>1036</v>
      </c>
      <c r="E2117" s="5" t="s">
        <v>50</v>
      </c>
      <c r="F2117" s="9">
        <v>81</v>
      </c>
      <c r="G2117" s="9">
        <v>942</v>
      </c>
      <c r="H2117" s="5" t="s">
        <v>21</v>
      </c>
      <c r="I2117" s="5" t="s">
        <v>5311</v>
      </c>
      <c r="J2117" s="12" t="str">
        <f>HYPERLINK("https://www.boe.es/gazeta/dias/1800/10/07/pdfs/GMD-C-1800-81.pdf#page=24","Abrir facsímil")</f>
        <v>Abrir facsímil</v>
      </c>
      <c r="K2117" s="15" t="s">
        <v>23</v>
      </c>
    </row>
    <row r="2118" spans="1:11" ht="42" customHeight="1">
      <c r="A2118" s="4" t="s">
        <v>5312</v>
      </c>
      <c r="B2118" s="5" t="s">
        <v>5313</v>
      </c>
      <c r="C2118" s="5" t="s">
        <v>18</v>
      </c>
      <c r="D2118" s="5" t="s">
        <v>19</v>
      </c>
      <c r="E2118" s="5" t="s">
        <v>56</v>
      </c>
      <c r="F2118" s="9">
        <v>90</v>
      </c>
      <c r="G2118" s="9">
        <v>1055</v>
      </c>
      <c r="H2118" s="5" t="s">
        <v>21</v>
      </c>
      <c r="I2118" s="5" t="s">
        <v>5314</v>
      </c>
      <c r="J2118" s="12" t="str">
        <f>HYPERLINK("https://www.boe.es/gazeta/dias/1800/11/07/pdfs/GMD-1800-90.pdf#page=9","Abrir facsímil")</f>
        <v>Abrir facsímil</v>
      </c>
      <c r="K2118" s="15" t="s">
        <v>23</v>
      </c>
    </row>
    <row r="2119" spans="1:11" ht="42" customHeight="1">
      <c r="A2119" s="4" t="s">
        <v>5315</v>
      </c>
      <c r="B2119" s="5" t="s">
        <v>5316</v>
      </c>
      <c r="C2119" s="5" t="s">
        <v>18</v>
      </c>
      <c r="D2119" s="5" t="s">
        <v>19</v>
      </c>
      <c r="E2119" s="5" t="s">
        <v>203</v>
      </c>
      <c r="F2119" s="9">
        <v>94</v>
      </c>
      <c r="G2119" s="9">
        <v>1077</v>
      </c>
      <c r="H2119" s="5" t="s">
        <v>21</v>
      </c>
      <c r="I2119" s="5" t="s">
        <v>5317</v>
      </c>
      <c r="J2119" s="12" t="str">
        <f>HYPERLINK("https://www.boe.es/gazeta/dias/1800/11/21/pdfs/GMD-1800-94.pdf#page=7","Abrir facsímil")</f>
        <v>Abrir facsímil</v>
      </c>
      <c r="K2119" s="15" t="s">
        <v>23</v>
      </c>
    </row>
    <row r="2120" spans="1:11" ht="42" customHeight="1">
      <c r="A2120" s="4" t="s">
        <v>5318</v>
      </c>
      <c r="B2120" s="5" t="s">
        <v>5319</v>
      </c>
      <c r="C2120" s="5" t="s">
        <v>18</v>
      </c>
      <c r="D2120" s="5" t="s">
        <v>19</v>
      </c>
      <c r="E2120" s="5" t="s">
        <v>39</v>
      </c>
      <c r="F2120" s="9">
        <v>43</v>
      </c>
      <c r="G2120" s="9">
        <v>449</v>
      </c>
      <c r="H2120" s="5" t="s">
        <v>21</v>
      </c>
      <c r="I2120" s="5" t="s">
        <v>5320</v>
      </c>
      <c r="J2120" s="12" t="str">
        <f>HYPERLINK("https://www.boe.es/gazeta/dias/1800/05/30/pdfs/GMD-1800-43.pdf#page=9","Abrir facsímil")</f>
        <v>Abrir facsímil</v>
      </c>
      <c r="K2120" s="15" t="s">
        <v>23</v>
      </c>
    </row>
    <row r="2121" spans="1:11" ht="42" customHeight="1">
      <c r="A2121" s="4" t="s">
        <v>5318</v>
      </c>
      <c r="B2121" s="5" t="s">
        <v>5319</v>
      </c>
      <c r="C2121" s="5" t="s">
        <v>18</v>
      </c>
      <c r="D2121" s="5" t="s">
        <v>19</v>
      </c>
      <c r="E2121" s="5" t="s">
        <v>135</v>
      </c>
      <c r="F2121" s="9">
        <v>73</v>
      </c>
      <c r="G2121" s="9">
        <v>815</v>
      </c>
      <c r="H2121" s="5" t="s">
        <v>21</v>
      </c>
      <c r="I2121" s="5" t="s">
        <v>5321</v>
      </c>
      <c r="J2121" s="12" t="str">
        <f>HYPERLINK("https://www.boe.es/gazeta/dias/1800/09/09/pdfs/GMD-1800-73.pdf#page=9","Abrir facsímil")</f>
        <v>Abrir facsímil</v>
      </c>
      <c r="K2121" s="15" t="s">
        <v>23</v>
      </c>
    </row>
    <row r="2122" spans="1:11" ht="42" customHeight="1">
      <c r="A2122" s="4" t="s">
        <v>5322</v>
      </c>
      <c r="B2122" s="5" t="s">
        <v>5323</v>
      </c>
      <c r="C2122" s="5" t="s">
        <v>18</v>
      </c>
      <c r="D2122" s="5" t="s">
        <v>19</v>
      </c>
      <c r="E2122" s="5" t="s">
        <v>31</v>
      </c>
      <c r="F2122" s="9">
        <v>20</v>
      </c>
      <c r="G2122" s="9">
        <v>192</v>
      </c>
      <c r="H2122" s="5" t="s">
        <v>21</v>
      </c>
      <c r="I2122" s="5" t="s">
        <v>5324</v>
      </c>
      <c r="J2122" s="12" t="str">
        <f>HYPERLINK("https://www.boe.es/gazeta/dias/1800/03/11/pdfs/GMD-1800-20.pdf#page=8","Abrir facsímil")</f>
        <v>Abrir facsímil</v>
      </c>
      <c r="K2122" s="15" t="s">
        <v>23</v>
      </c>
    </row>
    <row r="2123" spans="1:11" ht="42" customHeight="1">
      <c r="A2123" s="4" t="s">
        <v>5325</v>
      </c>
      <c r="B2123" s="5" t="s">
        <v>5326</v>
      </c>
      <c r="C2123" s="5" t="s">
        <v>18</v>
      </c>
      <c r="D2123" s="5" t="s">
        <v>19</v>
      </c>
      <c r="E2123" s="5" t="s">
        <v>31</v>
      </c>
      <c r="F2123" s="9">
        <v>20</v>
      </c>
      <c r="G2123" s="9">
        <v>191</v>
      </c>
      <c r="H2123" s="5" t="s">
        <v>21</v>
      </c>
      <c r="I2123" s="5" t="s">
        <v>5327</v>
      </c>
      <c r="J2123" s="12" t="str">
        <f>HYPERLINK("https://www.boe.es/gazeta/dias/1800/03/11/pdfs/GMD-1800-20.pdf#page=7","Abrir facsímil")</f>
        <v>Abrir facsímil</v>
      </c>
      <c r="K2123" s="15" t="s">
        <v>23</v>
      </c>
    </row>
    <row r="2124" spans="1:11" ht="42" customHeight="1">
      <c r="A2124" s="4" t="s">
        <v>5328</v>
      </c>
      <c r="B2124" s="5" t="s">
        <v>5329</v>
      </c>
      <c r="C2124" s="5" t="s">
        <v>18</v>
      </c>
      <c r="D2124" s="5" t="s">
        <v>19</v>
      </c>
      <c r="E2124" s="5" t="s">
        <v>194</v>
      </c>
      <c r="F2124" s="9">
        <v>48</v>
      </c>
      <c r="G2124" s="9">
        <v>519</v>
      </c>
      <c r="H2124" s="5" t="s">
        <v>21</v>
      </c>
      <c r="I2124" s="5" t="s">
        <v>5330</v>
      </c>
      <c r="J2124" s="12" t="str">
        <f>HYPERLINK("https://www.boe.es/gazeta/dias/1800/06/17/pdfs/GMD-1800-48.pdf#page=11","Abrir facsímil")</f>
        <v>Abrir facsímil</v>
      </c>
      <c r="K2124" s="15" t="s">
        <v>23</v>
      </c>
    </row>
    <row r="2125" spans="1:11" ht="42" customHeight="1">
      <c r="A2125" s="4" t="s">
        <v>5331</v>
      </c>
      <c r="B2125" s="5" t="s">
        <v>5332</v>
      </c>
      <c r="C2125" s="5" t="s">
        <v>18</v>
      </c>
      <c r="D2125" s="5" t="s">
        <v>19</v>
      </c>
      <c r="E2125" s="5" t="s">
        <v>306</v>
      </c>
      <c r="F2125" s="9">
        <v>79</v>
      </c>
      <c r="G2125" s="9">
        <v>900</v>
      </c>
      <c r="H2125" s="5" t="s">
        <v>21</v>
      </c>
      <c r="I2125" s="5" t="s">
        <v>5333</v>
      </c>
      <c r="J2125" s="12" t="str">
        <f>HYPERLINK("https://www.boe.es/gazeta/dias/1800/09/30/pdfs/GMD-1800-79.pdf#page=10","Abrir facsímil")</f>
        <v>Abrir facsímil</v>
      </c>
      <c r="K2125" s="15" t="s">
        <v>23</v>
      </c>
    </row>
    <row r="2126" spans="1:11" ht="42" customHeight="1">
      <c r="A2126" s="4" t="s">
        <v>5334</v>
      </c>
      <c r="B2126" s="5" t="s">
        <v>5335</v>
      </c>
      <c r="C2126" s="5" t="s">
        <v>25</v>
      </c>
      <c r="D2126" s="5" t="s">
        <v>26</v>
      </c>
      <c r="E2126" s="5" t="s">
        <v>618</v>
      </c>
      <c r="F2126" s="9">
        <v>1</v>
      </c>
      <c r="G2126" s="9">
        <v>6</v>
      </c>
      <c r="H2126" s="5" t="s">
        <v>21</v>
      </c>
      <c r="I2126" s="5" t="s">
        <v>5336</v>
      </c>
      <c r="J2126" s="12" t="str">
        <f>HYPERLINK("https://www.boe.es/gazeta/dias/1800/01/03/pdfs/GMD-1800-1.pdf#page=6","Abrir facsímil")</f>
        <v>Abrir facsímil</v>
      </c>
      <c r="K2126" s="15" t="s">
        <v>23</v>
      </c>
    </row>
    <row r="2127" spans="1:11" ht="42" customHeight="1">
      <c r="A2127" s="4" t="s">
        <v>5337</v>
      </c>
      <c r="B2127" s="5" t="s">
        <v>5338</v>
      </c>
      <c r="C2127" s="5" t="s">
        <v>171</v>
      </c>
      <c r="D2127" s="5" t="s">
        <v>172</v>
      </c>
      <c r="E2127" s="5" t="s">
        <v>135</v>
      </c>
      <c r="F2127" s="9">
        <v>73</v>
      </c>
      <c r="G2127" s="9">
        <v>819</v>
      </c>
      <c r="H2127" s="5" t="s">
        <v>21</v>
      </c>
      <c r="I2127" s="5" t="s">
        <v>5339</v>
      </c>
      <c r="J2127" s="12" t="str">
        <f>HYPERLINK("https://www.boe.es/gazeta/dias/1800/09/09/pdfs/GMD-C-1800-73.pdf#page=1","Abrir facsímil")</f>
        <v>Abrir facsímil</v>
      </c>
      <c r="K2127" s="15" t="s">
        <v>23</v>
      </c>
    </row>
    <row r="2128" spans="1:11" ht="42" customHeight="1">
      <c r="A2128" s="4" t="s">
        <v>5340</v>
      </c>
      <c r="B2128" s="5" t="s">
        <v>5341</v>
      </c>
      <c r="C2128" s="5" t="s">
        <v>25</v>
      </c>
      <c r="D2128" s="5" t="s">
        <v>26</v>
      </c>
      <c r="E2128" s="5" t="s">
        <v>196</v>
      </c>
      <c r="F2128" s="9">
        <v>97</v>
      </c>
      <c r="G2128" s="9">
        <v>1119</v>
      </c>
      <c r="H2128" s="5" t="s">
        <v>21</v>
      </c>
      <c r="I2128" s="5" t="s">
        <v>5342</v>
      </c>
      <c r="J2128" s="12" t="str">
        <f>HYPERLINK("https://www.boe.es/gazeta/dias/1800/12/02/pdfs/GMD-1800-97.pdf#page=11","Abrir facsímil")</f>
        <v>Abrir facsímil</v>
      </c>
      <c r="K2128" s="15" t="s">
        <v>23</v>
      </c>
    </row>
    <row r="2129" spans="1:11" ht="42" customHeight="1">
      <c r="A2129" s="4" t="s">
        <v>5343</v>
      </c>
      <c r="B2129" s="5" t="s">
        <v>5344</v>
      </c>
      <c r="C2129" s="5" t="s">
        <v>18</v>
      </c>
      <c r="D2129" s="5" t="s">
        <v>19</v>
      </c>
      <c r="E2129" s="5" t="s">
        <v>823</v>
      </c>
      <c r="F2129" s="9">
        <v>50</v>
      </c>
      <c r="G2129" s="9">
        <v>545</v>
      </c>
      <c r="H2129" s="5" t="s">
        <v>21</v>
      </c>
      <c r="I2129" s="5" t="s">
        <v>5345</v>
      </c>
      <c r="J2129" s="12" t="str">
        <f>HYPERLINK("https://www.boe.es/gazeta/dias/1800/06/24/pdfs/GMD-1800-50.pdf#page=9","Abrir facsímil")</f>
        <v>Abrir facsímil</v>
      </c>
      <c r="K2129" s="15" t="s">
        <v>23</v>
      </c>
    </row>
    <row r="2130" spans="1:11" ht="42" customHeight="1">
      <c r="A2130" s="4" t="s">
        <v>5346</v>
      </c>
      <c r="B2130" s="5" t="s">
        <v>5347</v>
      </c>
      <c r="C2130" s="5" t="s">
        <v>41</v>
      </c>
      <c r="D2130" s="5" t="s">
        <v>42</v>
      </c>
      <c r="E2130" s="5" t="s">
        <v>147</v>
      </c>
      <c r="F2130" s="9">
        <v>84</v>
      </c>
      <c r="G2130" s="9">
        <v>972</v>
      </c>
      <c r="H2130" s="5" t="s">
        <v>21</v>
      </c>
      <c r="I2130" s="5" t="s">
        <v>5348</v>
      </c>
      <c r="J2130" s="12" t="str">
        <f>HYPERLINK("https://www.boe.es/gazeta/dias/1800/10/17/pdfs/GMD-1800-84.pdf#page=6","Abrir facsímil")</f>
        <v>Abrir facsímil</v>
      </c>
      <c r="K2130" s="15" t="s">
        <v>23</v>
      </c>
    </row>
    <row r="2131" spans="1:11" ht="42" customHeight="1">
      <c r="A2131" s="4" t="s">
        <v>5349</v>
      </c>
      <c r="B2131" s="5" t="s">
        <v>5350</v>
      </c>
      <c r="C2131" s="5" t="s">
        <v>18</v>
      </c>
      <c r="D2131" s="5" t="s">
        <v>19</v>
      </c>
      <c r="E2131" s="5" t="s">
        <v>56</v>
      </c>
      <c r="F2131" s="9">
        <v>90</v>
      </c>
      <c r="G2131" s="9">
        <v>1055</v>
      </c>
      <c r="H2131" s="5" t="s">
        <v>21</v>
      </c>
      <c r="I2131" s="5" t="s">
        <v>5351</v>
      </c>
      <c r="J2131" s="12" t="str">
        <f>HYPERLINK("https://www.boe.es/gazeta/dias/1800/11/07/pdfs/GMD-1800-90.pdf#page=9","Abrir facsímil")</f>
        <v>Abrir facsímil</v>
      </c>
      <c r="K2131" s="15" t="s">
        <v>23</v>
      </c>
    </row>
    <row r="2132" spans="1:11" ht="42" customHeight="1">
      <c r="A2132" s="4" t="s">
        <v>5352</v>
      </c>
      <c r="B2132" s="5" t="s">
        <v>5353</v>
      </c>
      <c r="C2132" s="5" t="s">
        <v>18</v>
      </c>
      <c r="D2132" s="5" t="s">
        <v>19</v>
      </c>
      <c r="E2132" s="5" t="s">
        <v>135</v>
      </c>
      <c r="F2132" s="9">
        <v>73</v>
      </c>
      <c r="G2132" s="9">
        <v>815</v>
      </c>
      <c r="H2132" s="5" t="s">
        <v>21</v>
      </c>
      <c r="I2132" s="5" t="s">
        <v>5354</v>
      </c>
      <c r="J2132" s="12" t="str">
        <f>HYPERLINK("https://www.boe.es/gazeta/dias/1800/09/09/pdfs/GMD-1800-73.pdf#page=9","Abrir facsímil")</f>
        <v>Abrir facsímil</v>
      </c>
      <c r="K2132" s="15" t="s">
        <v>23</v>
      </c>
    </row>
    <row r="2133" spans="1:11" ht="42" customHeight="1">
      <c r="A2133" s="4" t="s">
        <v>5355</v>
      </c>
      <c r="B2133" s="5" t="s">
        <v>5356</v>
      </c>
      <c r="C2133" s="5" t="s">
        <v>25</v>
      </c>
      <c r="D2133" s="5" t="s">
        <v>26</v>
      </c>
      <c r="E2133" s="5" t="s">
        <v>45</v>
      </c>
      <c r="F2133" s="9">
        <v>47</v>
      </c>
      <c r="G2133" s="9">
        <v>502</v>
      </c>
      <c r="H2133" s="5" t="s">
        <v>21</v>
      </c>
      <c r="I2133" s="5" t="s">
        <v>5357</v>
      </c>
      <c r="J2133" s="12" t="str">
        <f>HYPERLINK("https://www.boe.es/gazeta/dias/1800/06/13/pdfs/GMD-1800-47.pdf#page=10","Abrir facsímil")</f>
        <v>Abrir facsímil</v>
      </c>
      <c r="K2133" s="15" t="s">
        <v>23</v>
      </c>
    </row>
    <row r="2134" spans="1:11" ht="42" customHeight="1">
      <c r="A2134" s="4" t="s">
        <v>5358</v>
      </c>
      <c r="B2134" s="5" t="s">
        <v>5359</v>
      </c>
      <c r="C2134" s="5" t="s">
        <v>25</v>
      </c>
      <c r="D2134" s="5" t="s">
        <v>26</v>
      </c>
      <c r="E2134" s="5" t="s">
        <v>45</v>
      </c>
      <c r="F2134" s="9">
        <v>47</v>
      </c>
      <c r="G2134" s="9">
        <v>502</v>
      </c>
      <c r="H2134" s="5" t="s">
        <v>21</v>
      </c>
      <c r="I2134" s="5" t="s">
        <v>5360</v>
      </c>
      <c r="J2134" s="12" t="str">
        <f>HYPERLINK("https://www.boe.es/gazeta/dias/1800/06/13/pdfs/GMD-1800-47.pdf#page=10","Abrir facsímil")</f>
        <v>Abrir facsímil</v>
      </c>
      <c r="K2134" s="15" t="s">
        <v>23</v>
      </c>
    </row>
    <row r="2135" spans="1:11" ht="42" customHeight="1">
      <c r="A2135" s="4" t="s">
        <v>5361</v>
      </c>
      <c r="B2135" s="5" t="s">
        <v>5362</v>
      </c>
      <c r="C2135" s="5" t="s">
        <v>18</v>
      </c>
      <c r="D2135" s="5" t="s">
        <v>19</v>
      </c>
      <c r="E2135" s="5" t="s">
        <v>158</v>
      </c>
      <c r="F2135" s="9">
        <v>25</v>
      </c>
      <c r="G2135" s="9">
        <v>256</v>
      </c>
      <c r="H2135" s="5" t="s">
        <v>21</v>
      </c>
      <c r="I2135" s="5" t="s">
        <v>5363</v>
      </c>
      <c r="J2135" s="12" t="str">
        <f>HYPERLINK("https://www.boe.es/gazeta/dias/1800/03/28/pdfs/GMD-1800-25.pdf#page=8","Abrir facsímil")</f>
        <v>Abrir facsímil</v>
      </c>
      <c r="K2135" s="15" t="s">
        <v>23</v>
      </c>
    </row>
    <row r="2136" spans="1:11" ht="42" customHeight="1">
      <c r="A2136" s="4" t="s">
        <v>5364</v>
      </c>
      <c r="B2136" s="5" t="s">
        <v>5365</v>
      </c>
      <c r="C2136" s="5" t="s">
        <v>18</v>
      </c>
      <c r="D2136" s="5" t="s">
        <v>19</v>
      </c>
      <c r="E2136" s="5" t="s">
        <v>595</v>
      </c>
      <c r="F2136" s="9">
        <v>72</v>
      </c>
      <c r="G2136" s="9">
        <v>797</v>
      </c>
      <c r="H2136" s="5" t="s">
        <v>21</v>
      </c>
      <c r="I2136" s="5" t="s">
        <v>5366</v>
      </c>
      <c r="J2136" s="12" t="str">
        <f>HYPERLINK("https://www.boe.es/gazeta/dias/1800/09/05/pdfs/GMD-1800-72.pdf#page=7","Abrir facsímil")</f>
        <v>Abrir facsímil</v>
      </c>
      <c r="K2136" s="15" t="s">
        <v>23</v>
      </c>
    </row>
    <row r="2137" spans="1:11" ht="42" customHeight="1">
      <c r="A2137" s="4" t="s">
        <v>5367</v>
      </c>
      <c r="B2137" s="5" t="s">
        <v>5368</v>
      </c>
      <c r="C2137" s="5" t="s">
        <v>18</v>
      </c>
      <c r="D2137" s="5" t="s">
        <v>19</v>
      </c>
      <c r="E2137" s="5" t="s">
        <v>196</v>
      </c>
      <c r="F2137" s="9">
        <v>97</v>
      </c>
      <c r="G2137" s="9">
        <v>1117</v>
      </c>
      <c r="H2137" s="5" t="s">
        <v>21</v>
      </c>
      <c r="I2137" s="5" t="s">
        <v>5369</v>
      </c>
      <c r="J2137" s="12" t="str">
        <f>HYPERLINK("https://www.boe.es/gazeta/dias/1800/12/02/pdfs/GMD-1800-97.pdf#page=9","Abrir facsímil")</f>
        <v>Abrir facsímil</v>
      </c>
      <c r="K2137" s="15" t="s">
        <v>23</v>
      </c>
    </row>
    <row r="2138" spans="1:11" ht="42" customHeight="1">
      <c r="A2138" s="4" t="s">
        <v>5370</v>
      </c>
      <c r="B2138" s="5" t="s">
        <v>5371</v>
      </c>
      <c r="C2138" s="5" t="s">
        <v>18</v>
      </c>
      <c r="D2138" s="5" t="s">
        <v>19</v>
      </c>
      <c r="E2138" s="5" t="s">
        <v>319</v>
      </c>
      <c r="F2138" s="9">
        <v>62</v>
      </c>
      <c r="G2138" s="9">
        <v>708</v>
      </c>
      <c r="H2138" s="5" t="s">
        <v>21</v>
      </c>
      <c r="I2138" s="5" t="s">
        <v>5372</v>
      </c>
      <c r="J2138" s="12" t="str">
        <f>HYPERLINK("https://www.boe.es/gazeta/dias/1800/08/05/pdfs/GMD-1800-62.pdf#page=8","Abrir facsímil")</f>
        <v>Abrir facsímil</v>
      </c>
      <c r="K2138" s="15" t="s">
        <v>23</v>
      </c>
    </row>
    <row r="2139" spans="1:11" ht="42" customHeight="1">
      <c r="A2139" s="4" t="s">
        <v>5373</v>
      </c>
      <c r="B2139" s="5" t="s">
        <v>5374</v>
      </c>
      <c r="C2139" s="5" t="s">
        <v>18</v>
      </c>
      <c r="D2139" s="5" t="s">
        <v>19</v>
      </c>
      <c r="E2139" s="5" t="s">
        <v>5375</v>
      </c>
      <c r="F2139" s="9">
        <v>70</v>
      </c>
      <c r="G2139" s="9">
        <v>778</v>
      </c>
      <c r="H2139" s="5" t="s">
        <v>21</v>
      </c>
      <c r="I2139" s="5" t="s">
        <v>5376</v>
      </c>
      <c r="J2139" s="12" t="str">
        <f>HYPERLINK("https://www.boe.es/gazeta/dias/1800/08/31/pdfs/GMD-1800-70E.pdf#page=2","Abrir facsímil")</f>
        <v>Abrir facsímil</v>
      </c>
      <c r="K2139" s="15" t="s">
        <v>23</v>
      </c>
    </row>
    <row r="2140" spans="1:11" ht="42" customHeight="1">
      <c r="A2140" s="4" t="s">
        <v>5377</v>
      </c>
      <c r="B2140" s="5" t="s">
        <v>5378</v>
      </c>
      <c r="C2140" s="5" t="s">
        <v>18</v>
      </c>
      <c r="D2140" s="5" t="s">
        <v>19</v>
      </c>
      <c r="E2140" s="5" t="s">
        <v>39</v>
      </c>
      <c r="F2140" s="9">
        <v>43</v>
      </c>
      <c r="G2140" s="9">
        <v>449</v>
      </c>
      <c r="H2140" s="5" t="s">
        <v>21</v>
      </c>
      <c r="I2140" s="5" t="s">
        <v>5379</v>
      </c>
      <c r="J2140" s="12" t="str">
        <f>HYPERLINK("https://www.boe.es/gazeta/dias/1800/05/30/pdfs/GMD-1800-43.pdf#page=9","Abrir facsímil")</f>
        <v>Abrir facsímil</v>
      </c>
      <c r="K2140" s="15" t="s">
        <v>23</v>
      </c>
    </row>
    <row r="2141" spans="1:11" ht="42" customHeight="1">
      <c r="A2141" s="4" t="s">
        <v>5380</v>
      </c>
      <c r="B2141" s="5" t="s">
        <v>5381</v>
      </c>
      <c r="C2141" s="5" t="s">
        <v>18</v>
      </c>
      <c r="D2141" s="5" t="s">
        <v>19</v>
      </c>
      <c r="E2141" s="5" t="s">
        <v>43</v>
      </c>
      <c r="F2141" s="9">
        <v>46</v>
      </c>
      <c r="G2141" s="9">
        <v>486</v>
      </c>
      <c r="H2141" s="5" t="s">
        <v>21</v>
      </c>
      <c r="I2141" s="5" t="s">
        <v>5382</v>
      </c>
      <c r="J2141" s="12" t="str">
        <f>HYPERLINK("https://www.boe.es/gazeta/dias/1800/06/10/pdfs/GMD-1800-46.pdf#page=10","Abrir facsímil")</f>
        <v>Abrir facsímil</v>
      </c>
      <c r="K2141" s="15" t="s">
        <v>23</v>
      </c>
    </row>
    <row r="2142" spans="1:11" ht="42" customHeight="1">
      <c r="A2142" s="4" t="s">
        <v>5383</v>
      </c>
      <c r="B2142" s="5" t="s">
        <v>5384</v>
      </c>
      <c r="C2142" s="5" t="s">
        <v>41</v>
      </c>
      <c r="D2142" s="5" t="s">
        <v>42</v>
      </c>
      <c r="E2142" s="5" t="s">
        <v>101</v>
      </c>
      <c r="F2142" s="9">
        <v>37</v>
      </c>
      <c r="G2142" s="9">
        <v>376</v>
      </c>
      <c r="H2142" s="5" t="s">
        <v>21</v>
      </c>
      <c r="I2142" s="5" t="s">
        <v>5385</v>
      </c>
      <c r="J2142" s="12" t="str">
        <f>HYPERLINK("https://www.boe.es/gazeta/dias/1800/05/09/pdfs/GMD-1800-37.pdf#page=8","Abrir facsímil")</f>
        <v>Abrir facsímil</v>
      </c>
      <c r="K2142" s="15" t="s">
        <v>23</v>
      </c>
    </row>
    <row r="2143" spans="1:11" ht="42" customHeight="1">
      <c r="A2143" s="4" t="s">
        <v>5386</v>
      </c>
      <c r="B2143" s="5" t="s">
        <v>5387</v>
      </c>
      <c r="C2143" s="5" t="s">
        <v>41</v>
      </c>
      <c r="D2143" s="5" t="s">
        <v>42</v>
      </c>
      <c r="E2143" s="5" t="s">
        <v>139</v>
      </c>
      <c r="F2143" s="9">
        <v>2</v>
      </c>
      <c r="G2143" s="9">
        <v>10</v>
      </c>
      <c r="H2143" s="5" t="s">
        <v>21</v>
      </c>
      <c r="I2143" s="5" t="s">
        <v>5388</v>
      </c>
      <c r="J2143" s="12" t="str">
        <f>HYPERLINK("https://www.boe.es/gazeta/dias/1800/01/07/pdfs/GMD-1800-2.pdf#page=2","Abrir facsímil")</f>
        <v>Abrir facsímil</v>
      </c>
      <c r="K2143" s="15" t="s">
        <v>23</v>
      </c>
    </row>
    <row r="2144" spans="1:11" ht="42" customHeight="1">
      <c r="A2144" s="4" t="s">
        <v>5386</v>
      </c>
      <c r="B2144" s="5" t="s">
        <v>5387</v>
      </c>
      <c r="C2144" s="5" t="s">
        <v>41</v>
      </c>
      <c r="D2144" s="5" t="s">
        <v>42</v>
      </c>
      <c r="E2144" s="5" t="s">
        <v>346</v>
      </c>
      <c r="F2144" s="9">
        <v>24</v>
      </c>
      <c r="G2144" s="9">
        <v>237</v>
      </c>
      <c r="H2144" s="5" t="s">
        <v>21</v>
      </c>
      <c r="I2144" s="5" t="s">
        <v>5389</v>
      </c>
      <c r="J2144" s="12" t="str">
        <f>HYPERLINK("https://www.boe.es/gazeta/dias/1800/03/25/pdfs/GMD-1800-24.pdf#page=1","Abrir facsímil")</f>
        <v>Abrir facsímil</v>
      </c>
      <c r="K2144" s="15" t="s">
        <v>23</v>
      </c>
    </row>
    <row r="2145" spans="1:11" ht="42" customHeight="1">
      <c r="A2145" s="4" t="s">
        <v>5386</v>
      </c>
      <c r="B2145" s="5" t="s">
        <v>5387</v>
      </c>
      <c r="C2145" s="5" t="s">
        <v>41</v>
      </c>
      <c r="D2145" s="5" t="s">
        <v>42</v>
      </c>
      <c r="E2145" s="5" t="s">
        <v>2338</v>
      </c>
      <c r="F2145" s="9">
        <v>42</v>
      </c>
      <c r="G2145" s="9">
        <v>430</v>
      </c>
      <c r="H2145" s="5" t="s">
        <v>21</v>
      </c>
      <c r="I2145" s="5" t="s">
        <v>5390</v>
      </c>
      <c r="J2145" s="12" t="str">
        <f>HYPERLINK("https://www.boe.es/gazeta/dias/1800/05/27/pdfs/GMD-1800-42.pdf#page=2","Abrir facsímil")</f>
        <v>Abrir facsímil</v>
      </c>
      <c r="K2145" s="15" t="s">
        <v>23</v>
      </c>
    </row>
    <row r="2146" spans="1:11" ht="42" customHeight="1">
      <c r="A2146" s="4" t="s">
        <v>5386</v>
      </c>
      <c r="B2146" s="5" t="s">
        <v>5387</v>
      </c>
      <c r="C2146" s="5" t="s">
        <v>84</v>
      </c>
      <c r="D2146" s="5" t="s">
        <v>85</v>
      </c>
      <c r="E2146" s="5" t="s">
        <v>48</v>
      </c>
      <c r="F2146" s="9">
        <v>66</v>
      </c>
      <c r="G2146" s="9">
        <v>739</v>
      </c>
      <c r="H2146" s="5" t="s">
        <v>21</v>
      </c>
      <c r="I2146" s="5" t="s">
        <v>5391</v>
      </c>
      <c r="J2146" s="12" t="str">
        <f>HYPERLINK("https://www.boe.es/gazeta/dias/1800/08/19/pdfs/GMD-1800-66.pdf#page=3","Abrir facsímil")</f>
        <v>Abrir facsímil</v>
      </c>
      <c r="K2146" s="15" t="s">
        <v>23</v>
      </c>
    </row>
    <row r="2147" spans="1:11" ht="42" customHeight="1">
      <c r="A2147" s="4" t="s">
        <v>5392</v>
      </c>
      <c r="B2147" s="5" t="s">
        <v>5393</v>
      </c>
      <c r="C2147" s="5" t="s">
        <v>25</v>
      </c>
      <c r="D2147" s="5" t="s">
        <v>26</v>
      </c>
      <c r="E2147" s="5" t="s">
        <v>45</v>
      </c>
      <c r="F2147" s="9">
        <v>47</v>
      </c>
      <c r="G2147" s="9">
        <v>502</v>
      </c>
      <c r="H2147" s="5" t="s">
        <v>21</v>
      </c>
      <c r="I2147" s="5" t="s">
        <v>5394</v>
      </c>
      <c r="J2147" s="12" t="str">
        <f>HYPERLINK("https://www.boe.es/gazeta/dias/1800/06/13/pdfs/GMD-1800-47.pdf#page=10","Abrir facsímil")</f>
        <v>Abrir facsímil</v>
      </c>
      <c r="K2147" s="15" t="s">
        <v>23</v>
      </c>
    </row>
    <row r="2148" spans="1:11" ht="42" customHeight="1">
      <c r="A2148" s="4" t="s">
        <v>5395</v>
      </c>
      <c r="B2148" s="5" t="s">
        <v>5396</v>
      </c>
      <c r="C2148" s="5" t="s">
        <v>18</v>
      </c>
      <c r="D2148" s="5" t="s">
        <v>19</v>
      </c>
      <c r="E2148" s="5" t="s">
        <v>406</v>
      </c>
      <c r="F2148" s="9">
        <v>44</v>
      </c>
      <c r="G2148" s="9">
        <v>454</v>
      </c>
      <c r="H2148" s="5" t="s">
        <v>21</v>
      </c>
      <c r="I2148" s="5" t="s">
        <v>5397</v>
      </c>
      <c r="J2148" s="12" t="str">
        <f>HYPERLINK("https://www.boe.es/gazeta/dias/1800/06/03/pdfs/GMD-1800-44.pdf#page=2","Abrir facsímil")</f>
        <v>Abrir facsímil</v>
      </c>
      <c r="K2148" s="15" t="s">
        <v>23</v>
      </c>
    </row>
    <row r="2149" spans="1:11" ht="42" customHeight="1">
      <c r="A2149" s="4" t="s">
        <v>5398</v>
      </c>
      <c r="B2149" s="5" t="s">
        <v>5399</v>
      </c>
      <c r="C2149" s="5" t="s">
        <v>18</v>
      </c>
      <c r="D2149" s="5" t="s">
        <v>19</v>
      </c>
      <c r="E2149" s="5" t="s">
        <v>310</v>
      </c>
      <c r="F2149" s="9">
        <v>56</v>
      </c>
      <c r="G2149" s="9">
        <v>633</v>
      </c>
      <c r="H2149" s="5" t="s">
        <v>21</v>
      </c>
      <c r="I2149" s="5" t="s">
        <v>5400</v>
      </c>
      <c r="J2149" s="12" t="str">
        <f>HYPERLINK("https://www.boe.es/gazeta/dias/1800/07/15/pdfs/GMD-1800-56.pdf#page=9","Abrir facsímil")</f>
        <v>Abrir facsímil</v>
      </c>
      <c r="K2149" s="15" t="s">
        <v>23</v>
      </c>
    </row>
    <row r="2150" spans="1:11" ht="42" customHeight="1">
      <c r="A2150" s="4" t="s">
        <v>5401</v>
      </c>
      <c r="B2150" s="5" t="s">
        <v>5402</v>
      </c>
      <c r="C2150" s="5" t="s">
        <v>25</v>
      </c>
      <c r="D2150" s="5" t="s">
        <v>26</v>
      </c>
      <c r="E2150" s="5" t="s">
        <v>45</v>
      </c>
      <c r="F2150" s="9">
        <v>47</v>
      </c>
      <c r="G2150" s="9">
        <v>502</v>
      </c>
      <c r="H2150" s="5" t="s">
        <v>21</v>
      </c>
      <c r="I2150" s="5" t="s">
        <v>5403</v>
      </c>
      <c r="J2150" s="12" t="str">
        <f>HYPERLINK("https://www.boe.es/gazeta/dias/1800/06/13/pdfs/GMD-1800-47.pdf#page=10","Abrir facsímil")</f>
        <v>Abrir facsímil</v>
      </c>
      <c r="K2150" s="15" t="s">
        <v>23</v>
      </c>
    </row>
    <row r="2151" spans="1:11" ht="42" customHeight="1">
      <c r="A2151" s="4" t="s">
        <v>5404</v>
      </c>
      <c r="B2151" s="5" t="s">
        <v>5405</v>
      </c>
      <c r="C2151" s="5" t="s">
        <v>25</v>
      </c>
      <c r="D2151" s="5" t="s">
        <v>26</v>
      </c>
      <c r="E2151" s="5" t="s">
        <v>346</v>
      </c>
      <c r="F2151" s="9">
        <v>24</v>
      </c>
      <c r="G2151" s="9">
        <v>244</v>
      </c>
      <c r="H2151" s="5" t="s">
        <v>21</v>
      </c>
      <c r="I2151" s="5" t="s">
        <v>5406</v>
      </c>
      <c r="J2151" s="12" t="str">
        <f>HYPERLINK("https://www.boe.es/gazeta/dias/1800/03/25/pdfs/GMD-1800-24.pdf#page=8","Abrir facsímil")</f>
        <v>Abrir facsímil</v>
      </c>
      <c r="K2151" s="15" t="s">
        <v>23</v>
      </c>
    </row>
    <row r="2152" spans="1:11" ht="42" customHeight="1">
      <c r="A2152" s="4" t="s">
        <v>5407</v>
      </c>
      <c r="B2152" s="5" t="s">
        <v>5408</v>
      </c>
      <c r="C2152" s="5" t="s">
        <v>18</v>
      </c>
      <c r="D2152" s="5" t="s">
        <v>19</v>
      </c>
      <c r="E2152" s="5" t="s">
        <v>319</v>
      </c>
      <c r="F2152" s="9">
        <v>62</v>
      </c>
      <c r="G2152" s="9">
        <v>708</v>
      </c>
      <c r="H2152" s="5" t="s">
        <v>21</v>
      </c>
      <c r="I2152" s="5" t="s">
        <v>5409</v>
      </c>
      <c r="J2152" s="12" t="str">
        <f>HYPERLINK("https://www.boe.es/gazeta/dias/1800/08/05/pdfs/GMD-1800-62.pdf#page=8","Abrir facsímil")</f>
        <v>Abrir facsímil</v>
      </c>
      <c r="K2152" s="15" t="s">
        <v>23</v>
      </c>
    </row>
    <row r="2153" spans="1:11" ht="42" customHeight="1">
      <c r="A2153" s="4" t="s">
        <v>5410</v>
      </c>
      <c r="B2153" s="5" t="s">
        <v>5411</v>
      </c>
      <c r="C2153" s="5" t="s">
        <v>18</v>
      </c>
      <c r="D2153" s="5" t="s">
        <v>19</v>
      </c>
      <c r="E2153" s="5" t="s">
        <v>314</v>
      </c>
      <c r="F2153" s="9">
        <v>74</v>
      </c>
      <c r="G2153" s="9">
        <v>833</v>
      </c>
      <c r="H2153" s="5" t="s">
        <v>21</v>
      </c>
      <c r="I2153" s="5" t="s">
        <v>5412</v>
      </c>
      <c r="J2153" s="12" t="str">
        <f>HYPERLINK("https://www.boe.es/gazeta/dias/1800/09/12/pdfs/GMD-1800-74.pdf#page=11","Abrir facsímil")</f>
        <v>Abrir facsímil</v>
      </c>
      <c r="K2153" s="15" t="s">
        <v>23</v>
      </c>
    </row>
    <row r="2154" spans="1:11" ht="42" customHeight="1">
      <c r="A2154" s="4" t="s">
        <v>5413</v>
      </c>
      <c r="B2154" s="5" t="s">
        <v>5414</v>
      </c>
      <c r="C2154" s="5" t="s">
        <v>25</v>
      </c>
      <c r="D2154" s="5" t="s">
        <v>26</v>
      </c>
      <c r="E2154" s="5" t="s">
        <v>180</v>
      </c>
      <c r="F2154" s="9">
        <v>102</v>
      </c>
      <c r="G2154" s="9">
        <v>1186</v>
      </c>
      <c r="H2154" s="5" t="s">
        <v>21</v>
      </c>
      <c r="I2154" s="5" t="s">
        <v>5415</v>
      </c>
      <c r="J2154" s="12" t="str">
        <f>HYPERLINK("https://www.boe.es/gazeta/dias/1800/12/19/pdfs/GMD-1800-102.pdf#page=10","Abrir facsímil")</f>
        <v>Abrir facsímil</v>
      </c>
      <c r="K2154" s="15" t="s">
        <v>23</v>
      </c>
    </row>
    <row r="2155" spans="1:11" ht="42" customHeight="1">
      <c r="A2155" s="4" t="s">
        <v>5416</v>
      </c>
      <c r="B2155" s="5" t="s">
        <v>5417</v>
      </c>
      <c r="C2155" s="5" t="s">
        <v>25</v>
      </c>
      <c r="D2155" s="5" t="s">
        <v>26</v>
      </c>
      <c r="E2155" s="5" t="s">
        <v>196</v>
      </c>
      <c r="F2155" s="9">
        <v>97</v>
      </c>
      <c r="G2155" s="9">
        <v>1117</v>
      </c>
      <c r="H2155" s="5" t="s">
        <v>21</v>
      </c>
      <c r="I2155" s="5" t="s">
        <v>5418</v>
      </c>
      <c r="J2155" s="12" t="str">
        <f>HYPERLINK("https://www.boe.es/gazeta/dias/1800/12/02/pdfs/GMD-1800-97.pdf#page=9","Abrir facsímil")</f>
        <v>Abrir facsímil</v>
      </c>
      <c r="K2155" s="15" t="s">
        <v>23</v>
      </c>
    </row>
    <row r="2156" spans="1:11" ht="42" customHeight="1">
      <c r="A2156" s="4" t="s">
        <v>5419</v>
      </c>
      <c r="B2156" s="5" t="s">
        <v>5420</v>
      </c>
      <c r="C2156" s="5" t="s">
        <v>207</v>
      </c>
      <c r="D2156" s="5" t="s">
        <v>55</v>
      </c>
      <c r="E2156" s="5" t="s">
        <v>329</v>
      </c>
      <c r="F2156" s="9">
        <v>99</v>
      </c>
      <c r="G2156" s="9">
        <v>1138</v>
      </c>
      <c r="H2156" s="5" t="s">
        <v>21</v>
      </c>
      <c r="I2156" s="5" t="s">
        <v>5421</v>
      </c>
      <c r="J2156" s="12" t="str">
        <f>HYPERLINK("https://www.boe.es/gazeta/dias/1800/12/09/pdfs/GMD-1800-99.pdf#page=6","Abrir facsímil")</f>
        <v>Abrir facsímil</v>
      </c>
      <c r="K2156" s="15" t="s">
        <v>23</v>
      </c>
    </row>
    <row r="2157" spans="1:11" ht="42" customHeight="1">
      <c r="A2157" s="4" t="s">
        <v>5422</v>
      </c>
      <c r="B2157" s="5" t="s">
        <v>5423</v>
      </c>
      <c r="C2157" s="5" t="s">
        <v>25</v>
      </c>
      <c r="D2157" s="5" t="s">
        <v>26</v>
      </c>
      <c r="E2157" s="5" t="s">
        <v>45</v>
      </c>
      <c r="F2157" s="9">
        <v>47</v>
      </c>
      <c r="G2157" s="9">
        <v>502</v>
      </c>
      <c r="H2157" s="5" t="s">
        <v>21</v>
      </c>
      <c r="I2157" s="5" t="s">
        <v>5424</v>
      </c>
      <c r="J2157" s="12" t="str">
        <f>HYPERLINK("https://www.boe.es/gazeta/dias/1800/06/13/pdfs/GMD-1800-47.pdf#page=10","Abrir facsímil")</f>
        <v>Abrir facsímil</v>
      </c>
      <c r="K2157" s="15" t="s">
        <v>23</v>
      </c>
    </row>
    <row r="2158" spans="1:11" ht="42" customHeight="1">
      <c r="A2158" s="4" t="s">
        <v>5425</v>
      </c>
      <c r="B2158" s="5" t="s">
        <v>5426</v>
      </c>
      <c r="C2158" s="5" t="s">
        <v>18</v>
      </c>
      <c r="D2158" s="5" t="s">
        <v>19</v>
      </c>
      <c r="E2158" s="5" t="s">
        <v>45</v>
      </c>
      <c r="F2158" s="9">
        <v>47</v>
      </c>
      <c r="G2158" s="9">
        <v>503</v>
      </c>
      <c r="H2158" s="5" t="s">
        <v>21</v>
      </c>
      <c r="I2158" s="5" t="s">
        <v>5427</v>
      </c>
      <c r="J2158" s="12" t="str">
        <f>HYPERLINK("https://www.boe.es/gazeta/dias/1800/06/13/pdfs/GMD-1800-47.pdf#page=11","Abrir facsímil")</f>
        <v>Abrir facsímil</v>
      </c>
      <c r="K2158" s="15" t="s">
        <v>23</v>
      </c>
    </row>
    <row r="2159" spans="1:11" ht="42" customHeight="1">
      <c r="A2159" s="4" t="s">
        <v>5428</v>
      </c>
      <c r="B2159" s="5" t="s">
        <v>5429</v>
      </c>
      <c r="C2159" s="5" t="s">
        <v>18</v>
      </c>
      <c r="D2159" s="5" t="s">
        <v>19</v>
      </c>
      <c r="E2159" s="5" t="s">
        <v>158</v>
      </c>
      <c r="F2159" s="9">
        <v>25</v>
      </c>
      <c r="G2159" s="9">
        <v>256</v>
      </c>
      <c r="H2159" s="5" t="s">
        <v>21</v>
      </c>
      <c r="I2159" s="5" t="s">
        <v>5430</v>
      </c>
      <c r="J2159" s="12" t="str">
        <f>HYPERLINK("https://www.boe.es/gazeta/dias/1800/03/28/pdfs/GMD-1800-25.pdf#page=8","Abrir facsímil")</f>
        <v>Abrir facsímil</v>
      </c>
      <c r="K2159" s="15" t="s">
        <v>23</v>
      </c>
    </row>
    <row r="2160" spans="1:11" ht="42" customHeight="1">
      <c r="A2160" s="4" t="s">
        <v>5431</v>
      </c>
      <c r="B2160" s="5" t="s">
        <v>5432</v>
      </c>
      <c r="C2160" s="5" t="s">
        <v>207</v>
      </c>
      <c r="D2160" s="5" t="s">
        <v>55</v>
      </c>
      <c r="E2160" s="5" t="s">
        <v>823</v>
      </c>
      <c r="F2160" s="9">
        <v>50</v>
      </c>
      <c r="G2160" s="9">
        <v>545</v>
      </c>
      <c r="H2160" s="5" t="s">
        <v>21</v>
      </c>
      <c r="I2160" s="5" t="s">
        <v>5433</v>
      </c>
      <c r="J2160" s="12" t="str">
        <f>HYPERLINK("https://www.boe.es/gazeta/dias/1800/06/24/pdfs/GMD-1800-50.pdf#page=9","Abrir facsímil")</f>
        <v>Abrir facsímil</v>
      </c>
      <c r="K2160" s="15" t="s">
        <v>23</v>
      </c>
    </row>
    <row r="2161" spans="1:11" ht="42" customHeight="1">
      <c r="A2161" s="4" t="s">
        <v>5434</v>
      </c>
      <c r="B2161" s="5" t="s">
        <v>5435</v>
      </c>
      <c r="C2161" s="5" t="s">
        <v>18</v>
      </c>
      <c r="D2161" s="5" t="s">
        <v>19</v>
      </c>
      <c r="E2161" s="5" t="s">
        <v>82</v>
      </c>
      <c r="F2161" s="9">
        <v>10</v>
      </c>
      <c r="G2161" s="9">
        <v>96</v>
      </c>
      <c r="H2161" s="5" t="s">
        <v>21</v>
      </c>
      <c r="I2161" s="5" t="s">
        <v>5436</v>
      </c>
      <c r="J2161" s="12" t="str">
        <f>HYPERLINK("https://www.boe.es/gazeta/dias/1800/02/04/pdfs/GMD-1800-10.pdf#page=8","Abrir facsímil")</f>
        <v>Abrir facsímil</v>
      </c>
      <c r="K2161" s="15" t="s">
        <v>23</v>
      </c>
    </row>
    <row r="2162" spans="1:11" ht="42" customHeight="1">
      <c r="A2162" s="4" t="s">
        <v>5437</v>
      </c>
      <c r="B2162" s="5" t="s">
        <v>5438</v>
      </c>
      <c r="C2162" s="5" t="s">
        <v>18</v>
      </c>
      <c r="D2162" s="5" t="s">
        <v>19</v>
      </c>
      <c r="E2162" s="5" t="s">
        <v>1213</v>
      </c>
      <c r="F2162" s="9">
        <v>4</v>
      </c>
      <c r="G2162" s="9">
        <v>36</v>
      </c>
      <c r="H2162" s="5" t="s">
        <v>21</v>
      </c>
      <c r="I2162" s="5" t="s">
        <v>5439</v>
      </c>
      <c r="J2162" s="12" t="str">
        <f>HYPERLINK("https://www.boe.es/gazeta/dias/1800/01/14/pdfs/GMD-1800-4.pdf#page=8","Abrir facsímil")</f>
        <v>Abrir facsímil</v>
      </c>
      <c r="K2162" s="15" t="s">
        <v>23</v>
      </c>
    </row>
    <row r="2163" spans="1:11" ht="42" customHeight="1">
      <c r="A2163" s="4" t="s">
        <v>5440</v>
      </c>
      <c r="B2163" s="5" t="s">
        <v>5441</v>
      </c>
      <c r="C2163" s="5" t="s">
        <v>25</v>
      </c>
      <c r="D2163" s="5" t="s">
        <v>26</v>
      </c>
      <c r="E2163" s="5" t="s">
        <v>116</v>
      </c>
      <c r="F2163" s="9">
        <v>86</v>
      </c>
      <c r="G2163" s="9">
        <v>997</v>
      </c>
      <c r="H2163" s="5" t="s">
        <v>21</v>
      </c>
      <c r="I2163" s="5" t="s">
        <v>5442</v>
      </c>
      <c r="J2163" s="12" t="str">
        <f>HYPERLINK("https://www.boe.es/gazeta/dias/1800/10/24/pdfs/GMD-1800-86.pdf#page=7","Abrir facsímil")</f>
        <v>Abrir facsímil</v>
      </c>
      <c r="K2163" s="15" t="s">
        <v>23</v>
      </c>
    </row>
    <row r="2164" spans="1:11" ht="42" customHeight="1">
      <c r="A2164" s="4" t="s">
        <v>5443</v>
      </c>
      <c r="B2164" s="5" t="s">
        <v>5444</v>
      </c>
      <c r="C2164" s="5" t="s">
        <v>18</v>
      </c>
      <c r="D2164" s="5" t="s">
        <v>19</v>
      </c>
      <c r="E2164" s="5" t="s">
        <v>262</v>
      </c>
      <c r="F2164" s="9">
        <v>39</v>
      </c>
      <c r="G2164" s="9">
        <v>401</v>
      </c>
      <c r="H2164" s="5" t="s">
        <v>21</v>
      </c>
      <c r="I2164" s="5" t="s">
        <v>5445</v>
      </c>
      <c r="J2164" s="12" t="str">
        <f>HYPERLINK("https://www.boe.es/gazeta/dias/1800/05/16/pdfs/GMD-1800-39.pdf#page=9","Abrir facsímil")</f>
        <v>Abrir facsímil</v>
      </c>
      <c r="K2164" s="15" t="s">
        <v>23</v>
      </c>
    </row>
    <row r="2165" spans="1:11" ht="42" customHeight="1">
      <c r="A2165" s="4" t="s">
        <v>5446</v>
      </c>
      <c r="B2165" s="5" t="s">
        <v>5447</v>
      </c>
      <c r="C2165" s="5" t="s">
        <v>25</v>
      </c>
      <c r="D2165" s="5" t="s">
        <v>26</v>
      </c>
      <c r="E2165" s="5" t="s">
        <v>583</v>
      </c>
      <c r="F2165" s="9">
        <v>77</v>
      </c>
      <c r="G2165" s="9">
        <v>878</v>
      </c>
      <c r="H2165" s="5" t="s">
        <v>21</v>
      </c>
      <c r="I2165" s="5" t="s">
        <v>5448</v>
      </c>
      <c r="J2165" s="12" t="str">
        <f>HYPERLINK("https://www.boe.es/gazeta/dias/1800/09/23/pdfs/GMD-1800-77.pdf#page=8","Abrir facsímil")</f>
        <v>Abrir facsímil</v>
      </c>
      <c r="K2165" s="15" t="s">
        <v>23</v>
      </c>
    </row>
    <row r="2166" spans="1:11" ht="42" customHeight="1">
      <c r="A2166" s="4" t="s">
        <v>5449</v>
      </c>
      <c r="B2166" s="5" t="s">
        <v>5450</v>
      </c>
      <c r="C2166" s="5" t="s">
        <v>207</v>
      </c>
      <c r="D2166" s="5" t="s">
        <v>55</v>
      </c>
      <c r="E2166" s="5" t="s">
        <v>1108</v>
      </c>
      <c r="F2166" s="9">
        <v>30</v>
      </c>
      <c r="G2166" s="9">
        <v>307</v>
      </c>
      <c r="H2166" s="5" t="s">
        <v>21</v>
      </c>
      <c r="I2166" s="5" t="s">
        <v>5451</v>
      </c>
      <c r="J2166" s="12" t="str">
        <f>HYPERLINK("https://www.boe.es/gazeta/dias/1800/04/15/pdfs/GMD-1800-30.pdf#page=7","Abrir facsímil")</f>
        <v>Abrir facsímil</v>
      </c>
      <c r="K2166" s="15" t="s">
        <v>23</v>
      </c>
    </row>
    <row r="2167" spans="1:11" ht="42" customHeight="1">
      <c r="A2167" s="4" t="s">
        <v>5452</v>
      </c>
      <c r="B2167" s="5" t="s">
        <v>5453</v>
      </c>
      <c r="C2167" s="5" t="s">
        <v>207</v>
      </c>
      <c r="D2167" s="5" t="s">
        <v>55</v>
      </c>
      <c r="E2167" s="5" t="s">
        <v>1213</v>
      </c>
      <c r="F2167" s="9">
        <v>4</v>
      </c>
      <c r="G2167" s="9">
        <v>39</v>
      </c>
      <c r="H2167" s="5" t="s">
        <v>21</v>
      </c>
      <c r="I2167" s="5" t="s">
        <v>5454</v>
      </c>
      <c r="J2167" s="12" t="str">
        <f>HYPERLINK("https://www.boe.es/gazeta/dias/1800/01/14/pdfs/GMD-1800-4.pdf#page=11","Abrir facsímil")</f>
        <v>Abrir facsímil</v>
      </c>
      <c r="K2167" s="15" t="s">
        <v>23</v>
      </c>
    </row>
    <row r="2168" spans="1:11" ht="42" customHeight="1">
      <c r="A2168" s="4" t="s">
        <v>5455</v>
      </c>
      <c r="B2168" s="5" t="s">
        <v>5456</v>
      </c>
      <c r="C2168" s="5" t="s">
        <v>25</v>
      </c>
      <c r="D2168" s="5" t="s">
        <v>26</v>
      </c>
      <c r="E2168" s="5" t="s">
        <v>406</v>
      </c>
      <c r="F2168" s="9">
        <v>44</v>
      </c>
      <c r="G2168" s="9">
        <v>463</v>
      </c>
      <c r="H2168" s="5" t="s">
        <v>21</v>
      </c>
      <c r="I2168" s="5" t="s">
        <v>5457</v>
      </c>
      <c r="J2168" s="12" t="str">
        <f>HYPERLINK("https://www.boe.es/gazeta/dias/1800/06/03/pdfs/GMD-1800-44.pdf#page=11","Abrir facsímil")</f>
        <v>Abrir facsímil</v>
      </c>
      <c r="K2168" s="15" t="s">
        <v>23</v>
      </c>
    </row>
    <row r="2169" spans="1:11" ht="42" customHeight="1">
      <c r="A2169" s="4" t="s">
        <v>5455</v>
      </c>
      <c r="B2169" s="5" t="s">
        <v>5456</v>
      </c>
      <c r="C2169" s="5" t="s">
        <v>25</v>
      </c>
      <c r="D2169" s="5" t="s">
        <v>26</v>
      </c>
      <c r="E2169" s="5" t="s">
        <v>319</v>
      </c>
      <c r="F2169" s="9">
        <v>62</v>
      </c>
      <c r="G2169" s="9">
        <v>711</v>
      </c>
      <c r="H2169" s="5" t="s">
        <v>21</v>
      </c>
      <c r="I2169" s="5" t="s">
        <v>5458</v>
      </c>
      <c r="J2169" s="12" t="str">
        <f>HYPERLINK("https://www.boe.es/gazeta/dias/1800/08/05/pdfs/GMD-1800-62.pdf#page=11","Abrir facsímil")</f>
        <v>Abrir facsímil</v>
      </c>
      <c r="K2169" s="15" t="s">
        <v>23</v>
      </c>
    </row>
    <row r="2170" spans="1:11" ht="42" customHeight="1">
      <c r="A2170" s="4" t="s">
        <v>5459</v>
      </c>
      <c r="B2170" s="5" t="s">
        <v>5460</v>
      </c>
      <c r="C2170" s="5" t="s">
        <v>18</v>
      </c>
      <c r="D2170" s="5" t="s">
        <v>19</v>
      </c>
      <c r="E2170" s="5" t="s">
        <v>196</v>
      </c>
      <c r="F2170" s="9">
        <v>97</v>
      </c>
      <c r="G2170" s="9">
        <v>1117</v>
      </c>
      <c r="H2170" s="5" t="s">
        <v>21</v>
      </c>
      <c r="I2170" s="5" t="s">
        <v>5461</v>
      </c>
      <c r="J2170" s="12" t="str">
        <f>HYPERLINK("https://www.boe.es/gazeta/dias/1800/12/02/pdfs/GMD-1800-97.pdf#page=9","Abrir facsímil")</f>
        <v>Abrir facsímil</v>
      </c>
      <c r="K2170" s="15" t="s">
        <v>23</v>
      </c>
    </row>
    <row r="2171" spans="1:11" ht="42" customHeight="1">
      <c r="A2171" s="4" t="s">
        <v>5462</v>
      </c>
      <c r="B2171" s="5" t="s">
        <v>5463</v>
      </c>
      <c r="C2171" s="5" t="s">
        <v>41</v>
      </c>
      <c r="D2171" s="5" t="s">
        <v>42</v>
      </c>
      <c r="E2171" s="5" t="s">
        <v>101</v>
      </c>
      <c r="F2171" s="9">
        <v>37</v>
      </c>
      <c r="G2171" s="9">
        <v>376</v>
      </c>
      <c r="H2171" s="5" t="s">
        <v>21</v>
      </c>
      <c r="I2171" s="5" t="s">
        <v>5464</v>
      </c>
      <c r="J2171" s="12" t="str">
        <f>HYPERLINK("https://www.boe.es/gazeta/dias/1800/05/09/pdfs/GMD-1800-37.pdf#page=8","Abrir facsímil")</f>
        <v>Abrir facsímil</v>
      </c>
      <c r="K2171" s="15" t="s">
        <v>23</v>
      </c>
    </row>
    <row r="2172" spans="1:11" ht="42" customHeight="1">
      <c r="A2172" s="4" t="s">
        <v>5465</v>
      </c>
      <c r="B2172" s="5" t="s">
        <v>5466</v>
      </c>
      <c r="C2172" s="5" t="s">
        <v>171</v>
      </c>
      <c r="D2172" s="5" t="s">
        <v>172</v>
      </c>
      <c r="E2172" s="5" t="s">
        <v>465</v>
      </c>
      <c r="F2172" s="9">
        <v>49</v>
      </c>
      <c r="G2172" s="9">
        <v>535</v>
      </c>
      <c r="H2172" s="5" t="s">
        <v>21</v>
      </c>
      <c r="I2172" s="5" t="s">
        <v>5467</v>
      </c>
      <c r="J2172" s="12" t="str">
        <f>HYPERLINK("https://www.boe.es/gazeta/dias/1800/06/20/pdfs/GMD-C-1800-49.pdf#page=3","Abrir facsímil")</f>
        <v>Abrir facsímil</v>
      </c>
      <c r="K2172" s="15" t="s">
        <v>23</v>
      </c>
    </row>
    <row r="2173" spans="1:11" ht="42" customHeight="1">
      <c r="A2173" s="4" t="s">
        <v>5468</v>
      </c>
      <c r="B2173" s="5" t="s">
        <v>5469</v>
      </c>
      <c r="C2173" s="5" t="s">
        <v>171</v>
      </c>
      <c r="D2173" s="5" t="s">
        <v>172</v>
      </c>
      <c r="E2173" s="5" t="s">
        <v>465</v>
      </c>
      <c r="F2173" s="9">
        <v>49</v>
      </c>
      <c r="G2173" s="9">
        <v>535</v>
      </c>
      <c r="H2173" s="5" t="s">
        <v>21</v>
      </c>
      <c r="I2173" s="5" t="s">
        <v>5470</v>
      </c>
      <c r="J2173" s="12" t="str">
        <f>HYPERLINK("https://www.boe.es/gazeta/dias/1800/06/20/pdfs/GMD-C-1800-49.pdf#page=3","Abrir facsímil")</f>
        <v>Abrir facsímil</v>
      </c>
      <c r="K2173" s="15" t="s">
        <v>23</v>
      </c>
    </row>
    <row r="2174" spans="1:11" ht="42" customHeight="1">
      <c r="A2174" s="4" t="s">
        <v>5471</v>
      </c>
      <c r="B2174" s="5" t="s">
        <v>5472</v>
      </c>
      <c r="C2174" s="5" t="s">
        <v>25</v>
      </c>
      <c r="D2174" s="5" t="s">
        <v>26</v>
      </c>
      <c r="E2174" s="5" t="s">
        <v>20</v>
      </c>
      <c r="F2174" s="9">
        <v>104</v>
      </c>
      <c r="G2174" s="9">
        <v>1209</v>
      </c>
      <c r="H2174" s="5" t="s">
        <v>21</v>
      </c>
      <c r="I2174" s="5" t="s">
        <v>5473</v>
      </c>
      <c r="J2174" s="12" t="str">
        <f>HYPERLINK("https://www.boe.es/gazeta/dias/1800/12/26/pdfs/GMD-1800-104.pdf#page=9","Abrir facsímil")</f>
        <v>Abrir facsímil</v>
      </c>
      <c r="K2174" s="15" t="s">
        <v>23</v>
      </c>
    </row>
    <row r="2175" spans="1:11" ht="42" customHeight="1">
      <c r="A2175" s="4" t="s">
        <v>5474</v>
      </c>
      <c r="B2175" s="5" t="s">
        <v>5475</v>
      </c>
      <c r="C2175" s="5" t="s">
        <v>171</v>
      </c>
      <c r="D2175" s="5" t="s">
        <v>172</v>
      </c>
      <c r="E2175" s="5" t="s">
        <v>214</v>
      </c>
      <c r="F2175" s="9">
        <v>41</v>
      </c>
      <c r="G2175" s="9">
        <v>425</v>
      </c>
      <c r="H2175" s="5" t="s">
        <v>21</v>
      </c>
      <c r="I2175" s="5" t="s">
        <v>5476</v>
      </c>
      <c r="J2175" s="12" t="str">
        <f>HYPERLINK("https://www.boe.es/gazeta/dias/1800/05/23/pdfs/GMD-C-1800-41.pdf#page=1","Abrir facsímil")</f>
        <v>Abrir facsímil</v>
      </c>
      <c r="K2175" s="15" t="s">
        <v>23</v>
      </c>
    </row>
    <row r="2176" spans="1:11" ht="42" customHeight="1">
      <c r="A2176" s="4" t="s">
        <v>5477</v>
      </c>
      <c r="B2176" s="5" t="s">
        <v>5478</v>
      </c>
      <c r="C2176" s="5" t="s">
        <v>25</v>
      </c>
      <c r="D2176" s="5" t="s">
        <v>26</v>
      </c>
      <c r="E2176" s="5" t="s">
        <v>190</v>
      </c>
      <c r="F2176" s="9">
        <v>93</v>
      </c>
      <c r="G2176" s="9">
        <v>1068</v>
      </c>
      <c r="H2176" s="5" t="s">
        <v>21</v>
      </c>
      <c r="I2176" s="5" t="s">
        <v>5479</v>
      </c>
      <c r="J2176" s="12" t="str">
        <f>HYPERLINK("https://www.boe.es/gazeta/dias/1800/11/18/pdfs/GMD-1800-93.pdf#page=14","Abrir facsímil")</f>
        <v>Abrir facsímil</v>
      </c>
      <c r="K2176" s="15" t="s">
        <v>23</v>
      </c>
    </row>
    <row r="2177" spans="1:11" ht="42" customHeight="1">
      <c r="A2177" s="4" t="s">
        <v>5480</v>
      </c>
      <c r="B2177" s="5" t="s">
        <v>5481</v>
      </c>
      <c r="C2177" s="5" t="s">
        <v>41</v>
      </c>
      <c r="D2177" s="5" t="s">
        <v>42</v>
      </c>
      <c r="E2177" s="5" t="s">
        <v>64</v>
      </c>
      <c r="F2177" s="9">
        <v>54</v>
      </c>
      <c r="G2177" s="9">
        <v>605</v>
      </c>
      <c r="H2177" s="5" t="s">
        <v>21</v>
      </c>
      <c r="I2177" s="5" t="s">
        <v>5482</v>
      </c>
      <c r="J2177" s="12" t="str">
        <f>HYPERLINK("https://www.boe.es/gazeta/dias/1800/07/08/pdfs/GMD-1800-54.pdf#page=9","Abrir facsímil")</f>
        <v>Abrir facsímil</v>
      </c>
      <c r="K2177" s="15" t="s">
        <v>23</v>
      </c>
    </row>
    <row r="2178" spans="1:11" ht="42" customHeight="1">
      <c r="A2178" s="4" t="s">
        <v>5483</v>
      </c>
      <c r="B2178" s="5" t="s">
        <v>5484</v>
      </c>
      <c r="C2178" s="5" t="s">
        <v>25</v>
      </c>
      <c r="D2178" s="5" t="s">
        <v>26</v>
      </c>
      <c r="E2178" s="5" t="s">
        <v>64</v>
      </c>
      <c r="F2178" s="9">
        <v>54</v>
      </c>
      <c r="G2178" s="9">
        <v>606</v>
      </c>
      <c r="H2178" s="5" t="s">
        <v>21</v>
      </c>
      <c r="I2178" s="5" t="s">
        <v>5485</v>
      </c>
      <c r="J2178" s="12" t="str">
        <f>HYPERLINK("https://www.boe.es/gazeta/dias/1800/07/08/pdfs/GMD-1800-54.pdf#page=10","Abrir facsímil")</f>
        <v>Abrir facsímil</v>
      </c>
      <c r="K2178" s="15" t="s">
        <v>23</v>
      </c>
    </row>
    <row r="2179" spans="1:11" ht="42" customHeight="1">
      <c r="A2179" s="4" t="s">
        <v>5486</v>
      </c>
      <c r="B2179" s="5" t="s">
        <v>5487</v>
      </c>
      <c r="C2179" s="5" t="s">
        <v>25</v>
      </c>
      <c r="D2179" s="5" t="s">
        <v>26</v>
      </c>
      <c r="E2179" s="5" t="s">
        <v>139</v>
      </c>
      <c r="F2179" s="9">
        <v>2</v>
      </c>
      <c r="G2179" s="9">
        <v>16</v>
      </c>
      <c r="H2179" s="5" t="s">
        <v>21</v>
      </c>
      <c r="I2179" s="5" t="s">
        <v>5488</v>
      </c>
      <c r="J2179" s="12" t="str">
        <f>HYPERLINK("https://www.boe.es/gazeta/dias/1800/01/07/pdfs/GMD-1800-2.pdf#page=8","Abrir facsímil")</f>
        <v>Abrir facsímil</v>
      </c>
      <c r="K2179" s="15" t="s">
        <v>23</v>
      </c>
    </row>
    <row r="2180" spans="1:11" ht="42" customHeight="1">
      <c r="A2180" s="4" t="s">
        <v>5489</v>
      </c>
      <c r="B2180" s="5" t="s">
        <v>5490</v>
      </c>
      <c r="C2180" s="5" t="s">
        <v>25</v>
      </c>
      <c r="D2180" s="5" t="s">
        <v>26</v>
      </c>
      <c r="E2180" s="5" t="s">
        <v>618</v>
      </c>
      <c r="F2180" s="9">
        <v>1</v>
      </c>
      <c r="G2180" s="9">
        <v>7</v>
      </c>
      <c r="H2180" s="5" t="s">
        <v>21</v>
      </c>
      <c r="I2180" s="5" t="s">
        <v>5491</v>
      </c>
      <c r="J2180" s="12" t="str">
        <f>HYPERLINK("https://www.boe.es/gazeta/dias/1800/01/03/pdfs/GMD-1800-1.pdf#page=7","Abrir facsímil")</f>
        <v>Abrir facsímil</v>
      </c>
      <c r="K2180" s="15" t="s">
        <v>23</v>
      </c>
    </row>
    <row r="2181" spans="1:11" ht="42" customHeight="1">
      <c r="A2181" s="4" t="s">
        <v>5492</v>
      </c>
      <c r="B2181" s="5" t="s">
        <v>5493</v>
      </c>
      <c r="C2181" s="5" t="s">
        <v>25</v>
      </c>
      <c r="D2181" s="5" t="s">
        <v>26</v>
      </c>
      <c r="E2181" s="5" t="s">
        <v>618</v>
      </c>
      <c r="F2181" s="9">
        <v>1</v>
      </c>
      <c r="G2181" s="9">
        <v>7</v>
      </c>
      <c r="H2181" s="5" t="s">
        <v>21</v>
      </c>
      <c r="I2181" s="5" t="s">
        <v>5494</v>
      </c>
      <c r="J2181" s="12" t="str">
        <f>HYPERLINK("https://www.boe.es/gazeta/dias/1800/01/03/pdfs/GMD-1800-1.pdf#page=7","Abrir facsímil")</f>
        <v>Abrir facsímil</v>
      </c>
      <c r="K2181" s="15" t="s">
        <v>23</v>
      </c>
    </row>
    <row r="2182" spans="1:11" ht="42" customHeight="1">
      <c r="A2182" s="4" t="s">
        <v>5495</v>
      </c>
      <c r="B2182" s="5" t="s">
        <v>5496</v>
      </c>
      <c r="C2182" s="5" t="s">
        <v>18</v>
      </c>
      <c r="D2182" s="5" t="s">
        <v>19</v>
      </c>
      <c r="E2182" s="5" t="s">
        <v>240</v>
      </c>
      <c r="F2182" s="9">
        <v>26</v>
      </c>
      <c r="G2182" s="9">
        <v>269</v>
      </c>
      <c r="H2182" s="5" t="s">
        <v>21</v>
      </c>
      <c r="I2182" s="5" t="s">
        <v>5497</v>
      </c>
      <c r="J2182" s="12" t="str">
        <f>HYPERLINK("https://www.boe.es/gazeta/dias/1800/04/01/pdfs/GMD-1800-26.pdf#page=9","Abrir facsímil")</f>
        <v>Abrir facsímil</v>
      </c>
      <c r="K2182" s="15" t="s">
        <v>23</v>
      </c>
    </row>
    <row r="2183" spans="1:11" ht="42" customHeight="1">
      <c r="A2183" s="4" t="s">
        <v>5498</v>
      </c>
      <c r="B2183" s="5" t="s">
        <v>5499</v>
      </c>
      <c r="C2183" s="5" t="s">
        <v>18</v>
      </c>
      <c r="D2183" s="5" t="s">
        <v>19</v>
      </c>
      <c r="E2183" s="5" t="s">
        <v>1213</v>
      </c>
      <c r="F2183" s="9">
        <v>4</v>
      </c>
      <c r="G2183" s="9">
        <v>40</v>
      </c>
      <c r="H2183" s="5" t="s">
        <v>21</v>
      </c>
      <c r="I2183" s="5" t="s">
        <v>5500</v>
      </c>
      <c r="J2183" s="12" t="str">
        <f>HYPERLINK("https://www.boe.es/gazeta/dias/1800/01/14/pdfs/GMD-1800-4.pdf#page=12","Abrir facsímil")</f>
        <v>Abrir facsímil</v>
      </c>
      <c r="K2183" s="15" t="s">
        <v>23</v>
      </c>
    </row>
    <row r="2184" spans="1:11" ht="42" customHeight="1">
      <c r="A2184" s="4" t="s">
        <v>5498</v>
      </c>
      <c r="B2184" s="5" t="s">
        <v>5499</v>
      </c>
      <c r="C2184" s="5" t="s">
        <v>54</v>
      </c>
      <c r="D2184" s="5" t="s">
        <v>55</v>
      </c>
      <c r="E2184" s="5" t="s">
        <v>787</v>
      </c>
      <c r="F2184" s="9">
        <v>6</v>
      </c>
      <c r="G2184" s="9">
        <v>59</v>
      </c>
      <c r="H2184" s="5" t="s">
        <v>21</v>
      </c>
      <c r="I2184" s="5" t="s">
        <v>5501</v>
      </c>
      <c r="J2184" s="12" t="str">
        <f>HYPERLINK("https://www.boe.es/gazeta/dias/1800/01/21/pdfs/GMD-1800-6.pdf#page=11","Abrir facsímil")</f>
        <v>Abrir facsímil</v>
      </c>
      <c r="K2184" s="15" t="s">
        <v>23</v>
      </c>
    </row>
    <row r="2185" spans="1:11" ht="42" customHeight="1">
      <c r="A2185" s="4" t="s">
        <v>5498</v>
      </c>
      <c r="B2185" s="5" t="s">
        <v>5499</v>
      </c>
      <c r="C2185" s="5" t="s">
        <v>54</v>
      </c>
      <c r="D2185" s="5" t="s">
        <v>55</v>
      </c>
      <c r="E2185" s="5" t="s">
        <v>244</v>
      </c>
      <c r="F2185" s="9">
        <v>9</v>
      </c>
      <c r="G2185" s="9">
        <v>87</v>
      </c>
      <c r="H2185" s="5" t="s">
        <v>21</v>
      </c>
      <c r="I2185" s="5" t="s">
        <v>5502</v>
      </c>
      <c r="J2185" s="12" t="str">
        <f>HYPERLINK("https://www.boe.es/gazeta/dias/1800/01/31/pdfs/GMD-1800-9.pdf#page=11","Abrir facsímil")</f>
        <v>Abrir facsímil</v>
      </c>
      <c r="K2185" s="15" t="s">
        <v>23</v>
      </c>
    </row>
    <row r="2186" spans="1:11" ht="42" customHeight="1">
      <c r="A2186" s="4" t="s">
        <v>5498</v>
      </c>
      <c r="B2186" s="5" t="s">
        <v>5499</v>
      </c>
      <c r="C2186" s="5" t="s">
        <v>18</v>
      </c>
      <c r="D2186" s="5" t="s">
        <v>19</v>
      </c>
      <c r="E2186" s="5" t="s">
        <v>82</v>
      </c>
      <c r="F2186" s="9">
        <v>10</v>
      </c>
      <c r="G2186" s="9">
        <v>98</v>
      </c>
      <c r="H2186" s="5" t="s">
        <v>21</v>
      </c>
      <c r="I2186" s="5" t="s">
        <v>5503</v>
      </c>
      <c r="J2186" s="12" t="str">
        <f>HYPERLINK("https://www.boe.es/gazeta/dias/1800/02/04/pdfs/GMD-1800-10.pdf#page=10","Abrir facsímil")</f>
        <v>Abrir facsímil</v>
      </c>
      <c r="K2186" s="15" t="s">
        <v>23</v>
      </c>
    </row>
    <row r="2187" spans="1:11" ht="42" customHeight="1">
      <c r="A2187" s="4" t="s">
        <v>5498</v>
      </c>
      <c r="B2187" s="5" t="s">
        <v>5499</v>
      </c>
      <c r="C2187" s="5" t="s">
        <v>18</v>
      </c>
      <c r="D2187" s="5" t="s">
        <v>19</v>
      </c>
      <c r="E2187" s="5" t="s">
        <v>1127</v>
      </c>
      <c r="F2187" s="9">
        <v>11</v>
      </c>
      <c r="G2187" s="9">
        <v>107</v>
      </c>
      <c r="H2187" s="5" t="s">
        <v>21</v>
      </c>
      <c r="I2187" s="5" t="s">
        <v>5504</v>
      </c>
      <c r="J2187" s="12" t="str">
        <f>HYPERLINK("https://www.boe.es/gazeta/dias/1800/02/07/pdfs/GMD-1800-11.pdf#page=7","Abrir facsímil")</f>
        <v>Abrir facsímil</v>
      </c>
      <c r="K2187" s="15" t="s">
        <v>23</v>
      </c>
    </row>
    <row r="2188" spans="1:11" ht="42" customHeight="1">
      <c r="A2188" s="4" t="s">
        <v>5498</v>
      </c>
      <c r="B2188" s="5" t="s">
        <v>5499</v>
      </c>
      <c r="C2188" s="5" t="s">
        <v>54</v>
      </c>
      <c r="D2188" s="5" t="s">
        <v>55</v>
      </c>
      <c r="E2188" s="5" t="s">
        <v>124</v>
      </c>
      <c r="F2188" s="9">
        <v>16</v>
      </c>
      <c r="G2188" s="9">
        <v>152</v>
      </c>
      <c r="H2188" s="5" t="s">
        <v>21</v>
      </c>
      <c r="I2188" s="5" t="s">
        <v>5505</v>
      </c>
      <c r="J2188" s="12" t="str">
        <f>HYPERLINK("https://www.boe.es/gazeta/dias/1800/02/25/pdfs/GMD-1800-16.pdf#page=8","Abrir facsímil")</f>
        <v>Abrir facsímil</v>
      </c>
      <c r="K2188" s="15" t="s">
        <v>23</v>
      </c>
    </row>
    <row r="2189" spans="1:11" ht="42" customHeight="1">
      <c r="A2189" s="4" t="s">
        <v>5498</v>
      </c>
      <c r="B2189" s="5" t="s">
        <v>5499</v>
      </c>
      <c r="C2189" s="5" t="s">
        <v>18</v>
      </c>
      <c r="D2189" s="5" t="s">
        <v>19</v>
      </c>
      <c r="E2189" s="5" t="s">
        <v>105</v>
      </c>
      <c r="F2189" s="9">
        <v>28</v>
      </c>
      <c r="G2189" s="9">
        <v>291</v>
      </c>
      <c r="H2189" s="5" t="s">
        <v>21</v>
      </c>
      <c r="I2189" s="5" t="s">
        <v>5506</v>
      </c>
      <c r="J2189" s="12" t="str">
        <f>HYPERLINK("https://www.boe.es/gazeta/dias/1800/04/08/pdfs/GMD-1800-28.pdf#page=7","Abrir facsímil")</f>
        <v>Abrir facsímil</v>
      </c>
      <c r="K2189" s="15" t="s">
        <v>23</v>
      </c>
    </row>
    <row r="2190" spans="1:11" ht="42" customHeight="1">
      <c r="A2190" s="4" t="s">
        <v>5498</v>
      </c>
      <c r="B2190" s="5" t="s">
        <v>5499</v>
      </c>
      <c r="C2190" s="5" t="s">
        <v>18</v>
      </c>
      <c r="D2190" s="5" t="s">
        <v>19</v>
      </c>
      <c r="E2190" s="5" t="s">
        <v>420</v>
      </c>
      <c r="F2190" s="9">
        <v>38</v>
      </c>
      <c r="G2190" s="9">
        <v>391</v>
      </c>
      <c r="H2190" s="5" t="s">
        <v>21</v>
      </c>
      <c r="I2190" s="5" t="s">
        <v>5507</v>
      </c>
      <c r="J2190" s="12" t="str">
        <f>HYPERLINK("https://www.boe.es/gazeta/dias/1800/05/13/pdfs/GMD-1800-38.pdf#page=11","Abrir facsímil")</f>
        <v>Abrir facsímil</v>
      </c>
      <c r="K2190" s="15" t="s">
        <v>23</v>
      </c>
    </row>
    <row r="2191" spans="1:11" ht="42" customHeight="1">
      <c r="A2191" s="4" t="s">
        <v>5498</v>
      </c>
      <c r="B2191" s="5" t="s">
        <v>5499</v>
      </c>
      <c r="C2191" s="5" t="s">
        <v>54</v>
      </c>
      <c r="D2191" s="5" t="s">
        <v>55</v>
      </c>
      <c r="E2191" s="5" t="s">
        <v>299</v>
      </c>
      <c r="F2191" s="9">
        <v>40</v>
      </c>
      <c r="G2191" s="9">
        <v>416</v>
      </c>
      <c r="H2191" s="5" t="s">
        <v>21</v>
      </c>
      <c r="I2191" s="5" t="s">
        <v>5508</v>
      </c>
      <c r="J2191" s="12" t="str">
        <f>HYPERLINK("https://www.boe.es/gazeta/dias/1800/05/20/pdfs/GMD-1800-40.pdf#page=12","Abrir facsímil")</f>
        <v>Abrir facsímil</v>
      </c>
      <c r="K2191" s="15" t="s">
        <v>23</v>
      </c>
    </row>
    <row r="2192" spans="1:11" ht="42" customHeight="1">
      <c r="A2192" s="4" t="s">
        <v>5498</v>
      </c>
      <c r="B2192" s="5" t="s">
        <v>5499</v>
      </c>
      <c r="C2192" s="5" t="s">
        <v>171</v>
      </c>
      <c r="D2192" s="5" t="s">
        <v>172</v>
      </c>
      <c r="E2192" s="5" t="s">
        <v>2338</v>
      </c>
      <c r="F2192" s="9">
        <v>42</v>
      </c>
      <c r="G2192" s="9">
        <v>437</v>
      </c>
      <c r="H2192" s="5" t="s">
        <v>21</v>
      </c>
      <c r="I2192" s="5" t="s">
        <v>5509</v>
      </c>
      <c r="J2192" s="12" t="str">
        <f>HYPERLINK("https://www.boe.es/gazeta/dias/1800/05/27/pdfs/GMD-C-1800-42.pdf#page=1","Abrir facsímil")</f>
        <v>Abrir facsímil</v>
      </c>
      <c r="K2192" s="15" t="s">
        <v>23</v>
      </c>
    </row>
    <row r="2193" spans="1:11" ht="42" customHeight="1">
      <c r="A2193" s="4" t="s">
        <v>5498</v>
      </c>
      <c r="B2193" s="5" t="s">
        <v>5499</v>
      </c>
      <c r="C2193" s="5" t="s">
        <v>18</v>
      </c>
      <c r="D2193" s="5" t="s">
        <v>19</v>
      </c>
      <c r="E2193" s="5" t="s">
        <v>39</v>
      </c>
      <c r="F2193" s="9">
        <v>43</v>
      </c>
      <c r="G2193" s="9">
        <v>451</v>
      </c>
      <c r="H2193" s="5" t="s">
        <v>21</v>
      </c>
      <c r="I2193" s="5" t="s">
        <v>5510</v>
      </c>
      <c r="J2193" s="12" t="str">
        <f>HYPERLINK("https://www.boe.es/gazeta/dias/1800/05/30/pdfs/GMD-1800-43.pdf#page=11","Abrir facsímil")</f>
        <v>Abrir facsímil</v>
      </c>
      <c r="K2193" s="15" t="s">
        <v>23</v>
      </c>
    </row>
    <row r="2194" spans="1:11" ht="42" customHeight="1">
      <c r="A2194" s="4" t="s">
        <v>5498</v>
      </c>
      <c r="B2194" s="5" t="s">
        <v>5499</v>
      </c>
      <c r="C2194" s="5" t="s">
        <v>54</v>
      </c>
      <c r="D2194" s="5" t="s">
        <v>55</v>
      </c>
      <c r="E2194" s="5" t="s">
        <v>600</v>
      </c>
      <c r="F2194" s="9">
        <v>45</v>
      </c>
      <c r="G2194" s="9">
        <v>472</v>
      </c>
      <c r="H2194" s="5" t="s">
        <v>21</v>
      </c>
      <c r="I2194" s="5" t="s">
        <v>5511</v>
      </c>
      <c r="J2194" s="12" t="str">
        <f>HYPERLINK("https://www.boe.es/gazeta/dias/1800/06/06/pdfs/GMD-1800-45.pdf#page=8","Abrir facsímil")</f>
        <v>Abrir facsímil</v>
      </c>
      <c r="K2194" s="15" t="s">
        <v>23</v>
      </c>
    </row>
    <row r="2195" spans="1:11" ht="42" customHeight="1">
      <c r="A2195" s="4" t="s">
        <v>5498</v>
      </c>
      <c r="B2195" s="5" t="s">
        <v>5499</v>
      </c>
      <c r="C2195" s="5" t="s">
        <v>18</v>
      </c>
      <c r="D2195" s="5" t="s">
        <v>19</v>
      </c>
      <c r="E2195" s="5" t="s">
        <v>583</v>
      </c>
      <c r="F2195" s="9">
        <v>77</v>
      </c>
      <c r="G2195" s="9">
        <v>881</v>
      </c>
      <c r="H2195" s="5" t="s">
        <v>21</v>
      </c>
      <c r="I2195" s="5" t="s">
        <v>5512</v>
      </c>
      <c r="J2195" s="12" t="str">
        <f>HYPERLINK("https://www.boe.es/gazeta/dias/1800/09/23/pdfs/GMD-1800-77.pdf#page=11","Abrir facsímil")</f>
        <v>Abrir facsímil</v>
      </c>
      <c r="K2195" s="15" t="s">
        <v>23</v>
      </c>
    </row>
    <row r="2196" spans="1:11" ht="42" customHeight="1">
      <c r="A2196" s="4" t="s">
        <v>5498</v>
      </c>
      <c r="B2196" s="5" t="s">
        <v>5499</v>
      </c>
      <c r="C2196" s="5" t="s">
        <v>84</v>
      </c>
      <c r="D2196" s="5" t="s">
        <v>85</v>
      </c>
      <c r="E2196" s="5" t="s">
        <v>329</v>
      </c>
      <c r="F2196" s="9">
        <v>99</v>
      </c>
      <c r="G2196" s="9">
        <v>1140</v>
      </c>
      <c r="H2196" s="5" t="s">
        <v>21</v>
      </c>
      <c r="I2196" s="5" t="s">
        <v>5513</v>
      </c>
      <c r="J2196" s="12" t="str">
        <f>HYPERLINK("https://www.boe.es/gazeta/dias/1800/12/09/pdfs/GMD-1800-99.pdf#page=8","Abrir facsímil")</f>
        <v>Abrir facsímil</v>
      </c>
      <c r="K2196" s="15" t="s">
        <v>23</v>
      </c>
    </row>
    <row r="2197" spans="1:11" ht="42" customHeight="1">
      <c r="A2197" s="4" t="s">
        <v>5498</v>
      </c>
      <c r="B2197" s="5" t="s">
        <v>5499</v>
      </c>
      <c r="C2197" s="5" t="s">
        <v>18</v>
      </c>
      <c r="D2197" s="5" t="s">
        <v>19</v>
      </c>
      <c r="E2197" s="5" t="s">
        <v>180</v>
      </c>
      <c r="F2197" s="9">
        <v>102</v>
      </c>
      <c r="G2197" s="9">
        <v>1187</v>
      </c>
      <c r="H2197" s="5" t="s">
        <v>21</v>
      </c>
      <c r="I2197" s="5" t="s">
        <v>5514</v>
      </c>
      <c r="J2197" s="12" t="str">
        <f>HYPERLINK("https://www.boe.es/gazeta/dias/1800/12/19/pdfs/GMD-1800-102.pdf#page=11","Abrir facsímil")</f>
        <v>Abrir facsímil</v>
      </c>
      <c r="K2197" s="15" t="s">
        <v>23</v>
      </c>
    </row>
    <row r="2198" spans="1:11" ht="42" customHeight="1">
      <c r="A2198" s="4" t="s">
        <v>5515</v>
      </c>
      <c r="B2198" s="5" t="s">
        <v>5516</v>
      </c>
      <c r="C2198" s="5" t="s">
        <v>1035</v>
      </c>
      <c r="D2198" s="5" t="s">
        <v>1036</v>
      </c>
      <c r="E2198" s="5" t="s">
        <v>50</v>
      </c>
      <c r="F2198" s="9">
        <v>81</v>
      </c>
      <c r="G2198" s="9">
        <v>940</v>
      </c>
      <c r="H2198" s="5" t="s">
        <v>21</v>
      </c>
      <c r="I2198" s="5" t="s">
        <v>5517</v>
      </c>
      <c r="J2198" s="12" t="str">
        <f>HYPERLINK("https://www.boe.es/gazeta/dias/1800/10/07/pdfs/GMD-C-1800-81.pdf#page=22","Abrir facsímil")</f>
        <v>Abrir facsímil</v>
      </c>
      <c r="K2198" s="15" t="s">
        <v>23</v>
      </c>
    </row>
    <row r="2199" spans="1:11" ht="42" customHeight="1">
      <c r="A2199" s="4" t="s">
        <v>5518</v>
      </c>
      <c r="B2199" s="5" t="s">
        <v>5519</v>
      </c>
      <c r="C2199" s="5" t="s">
        <v>54</v>
      </c>
      <c r="D2199" s="5" t="s">
        <v>55</v>
      </c>
      <c r="E2199" s="5" t="s">
        <v>101</v>
      </c>
      <c r="F2199" s="9">
        <v>37</v>
      </c>
      <c r="G2199" s="9">
        <v>378</v>
      </c>
      <c r="H2199" s="5" t="s">
        <v>21</v>
      </c>
      <c r="I2199" s="5" t="s">
        <v>5520</v>
      </c>
      <c r="J2199" s="12" t="str">
        <f>HYPERLINK("https://www.boe.es/gazeta/dias/1800/05/09/pdfs/GMD-1800-37.pdf#page=10","Abrir facsímil")</f>
        <v>Abrir facsímil</v>
      </c>
      <c r="K2199" s="15" t="s">
        <v>23</v>
      </c>
    </row>
    <row r="2200" spans="1:11" ht="42" customHeight="1">
      <c r="A2200" s="4" t="s">
        <v>5521</v>
      </c>
      <c r="B2200" s="5" t="s">
        <v>5522</v>
      </c>
      <c r="C2200" s="5" t="s">
        <v>18</v>
      </c>
      <c r="D2200" s="5" t="s">
        <v>19</v>
      </c>
      <c r="E2200" s="5" t="s">
        <v>176</v>
      </c>
      <c r="F2200" s="9">
        <v>88</v>
      </c>
      <c r="G2200" s="9">
        <v>1030</v>
      </c>
      <c r="H2200" s="5" t="s">
        <v>21</v>
      </c>
      <c r="I2200" s="5" t="s">
        <v>5523</v>
      </c>
      <c r="J2200" s="12" t="str">
        <f>HYPERLINK("https://www.boe.es/gazeta/dias/1800/10/31/pdfs/GMD-1800-88.pdf#page=12","Abrir facsímil")</f>
        <v>Abrir facsímil</v>
      </c>
      <c r="K2200" s="15" t="s">
        <v>23</v>
      </c>
    </row>
    <row r="2201" spans="1:11" ht="42" customHeight="1">
      <c r="A2201" s="4" t="s">
        <v>5524</v>
      </c>
      <c r="B2201" s="5" t="s">
        <v>5525</v>
      </c>
      <c r="C2201" s="5" t="s">
        <v>207</v>
      </c>
      <c r="D2201" s="5" t="s">
        <v>55</v>
      </c>
      <c r="E2201" s="5" t="s">
        <v>576</v>
      </c>
      <c r="F2201" s="9">
        <v>91</v>
      </c>
      <c r="G2201" s="9">
        <v>1068</v>
      </c>
      <c r="H2201" s="5" t="s">
        <v>21</v>
      </c>
      <c r="I2201" s="5" t="s">
        <v>5526</v>
      </c>
      <c r="J2201" s="12" t="str">
        <f>HYPERLINK("https://www.boe.es/gazeta/dias/1800/11/11/pdfs/GMD-1800-91.pdf#page=10","Abrir facsímil")</f>
        <v>Abrir facsímil</v>
      </c>
      <c r="K2201" s="15" t="s">
        <v>23</v>
      </c>
    </row>
    <row r="2202" spans="1:11" ht="42" customHeight="1">
      <c r="A2202" s="4" t="s">
        <v>5527</v>
      </c>
      <c r="B2202" s="5" t="s">
        <v>5528</v>
      </c>
      <c r="C2202" s="5" t="s">
        <v>25</v>
      </c>
      <c r="D2202" s="5" t="s">
        <v>26</v>
      </c>
      <c r="E2202" s="5" t="s">
        <v>39</v>
      </c>
      <c r="F2202" s="9">
        <v>43</v>
      </c>
      <c r="G2202" s="9">
        <v>450</v>
      </c>
      <c r="H2202" s="5" t="s">
        <v>21</v>
      </c>
      <c r="I2202" s="5" t="s">
        <v>5529</v>
      </c>
      <c r="J2202" s="12" t="str">
        <f>HYPERLINK("https://www.boe.es/gazeta/dias/1800/05/30/pdfs/GMD-1800-43.pdf#page=10","Abrir facsímil")</f>
        <v>Abrir facsímil</v>
      </c>
      <c r="K2202" s="15" t="s">
        <v>23</v>
      </c>
    </row>
    <row r="2203" spans="1:11" ht="42" customHeight="1">
      <c r="A2203" s="4" t="s">
        <v>5527</v>
      </c>
      <c r="B2203" s="5" t="s">
        <v>5528</v>
      </c>
      <c r="C2203" s="5" t="s">
        <v>25</v>
      </c>
      <c r="D2203" s="5" t="s">
        <v>26</v>
      </c>
      <c r="E2203" s="5" t="s">
        <v>180</v>
      </c>
      <c r="F2203" s="9">
        <v>102</v>
      </c>
      <c r="G2203" s="9">
        <v>1186</v>
      </c>
      <c r="H2203" s="5" t="s">
        <v>21</v>
      </c>
      <c r="I2203" s="5" t="s">
        <v>5530</v>
      </c>
      <c r="J2203" s="12" t="str">
        <f>HYPERLINK("https://www.boe.es/gazeta/dias/1800/12/19/pdfs/GMD-1800-102.pdf#page=10","Abrir facsímil")</f>
        <v>Abrir facsímil</v>
      </c>
      <c r="K2203" s="15" t="s">
        <v>23</v>
      </c>
    </row>
    <row r="2204" spans="1:11" ht="42" customHeight="1">
      <c r="A2204" s="4" t="s">
        <v>5531</v>
      </c>
      <c r="B2204" s="5" t="s">
        <v>5532</v>
      </c>
      <c r="C2204" s="5" t="s">
        <v>18</v>
      </c>
      <c r="D2204" s="5" t="s">
        <v>19</v>
      </c>
      <c r="E2204" s="5" t="s">
        <v>618</v>
      </c>
      <c r="F2204" s="9">
        <v>1</v>
      </c>
      <c r="G2204" s="9">
        <v>7</v>
      </c>
      <c r="H2204" s="5" t="s">
        <v>21</v>
      </c>
      <c r="I2204" s="5" t="s">
        <v>5533</v>
      </c>
      <c r="J2204" s="12" t="str">
        <f>HYPERLINK("https://www.boe.es/gazeta/dias/1800/01/03/pdfs/GMD-1800-1.pdf#page=7","Abrir facsímil")</f>
        <v>Abrir facsímil</v>
      </c>
      <c r="K2204" s="15" t="s">
        <v>23</v>
      </c>
    </row>
    <row r="2205" spans="1:11" ht="42" customHeight="1">
      <c r="A2205" s="4" t="s">
        <v>5534</v>
      </c>
      <c r="B2205" s="5" t="s">
        <v>5535</v>
      </c>
      <c r="C2205" s="5" t="s">
        <v>207</v>
      </c>
      <c r="D2205" s="5" t="s">
        <v>55</v>
      </c>
      <c r="E2205" s="5" t="s">
        <v>39</v>
      </c>
      <c r="F2205" s="9">
        <v>43</v>
      </c>
      <c r="G2205" s="9">
        <v>450</v>
      </c>
      <c r="H2205" s="5" t="s">
        <v>21</v>
      </c>
      <c r="I2205" s="5" t="s">
        <v>5536</v>
      </c>
      <c r="J2205" s="12" t="str">
        <f>HYPERLINK("https://www.boe.es/gazeta/dias/1800/05/30/pdfs/GMD-1800-43.pdf#page=10","Abrir facsímil")</f>
        <v>Abrir facsímil</v>
      </c>
      <c r="K2205" s="15" t="s">
        <v>23</v>
      </c>
    </row>
    <row r="2206" spans="1:11" ht="42" customHeight="1">
      <c r="A2206" s="4" t="s">
        <v>5537</v>
      </c>
      <c r="B2206" s="5" t="s">
        <v>5538</v>
      </c>
      <c r="C2206" s="5" t="s">
        <v>207</v>
      </c>
      <c r="D2206" s="5" t="s">
        <v>55</v>
      </c>
      <c r="E2206" s="5" t="s">
        <v>180</v>
      </c>
      <c r="F2206" s="9">
        <v>102</v>
      </c>
      <c r="G2206" s="9">
        <v>1186</v>
      </c>
      <c r="H2206" s="5" t="s">
        <v>21</v>
      </c>
      <c r="I2206" s="5" t="s">
        <v>5539</v>
      </c>
      <c r="J2206" s="12" t="str">
        <f>HYPERLINK("https://www.boe.es/gazeta/dias/1800/12/19/pdfs/GMD-1800-102.pdf#page=10","Abrir facsímil")</f>
        <v>Abrir facsímil</v>
      </c>
      <c r="K2206" s="15" t="s">
        <v>23</v>
      </c>
    </row>
    <row r="2207" spans="1:11" ht="42" customHeight="1">
      <c r="A2207" s="4" t="s">
        <v>5540</v>
      </c>
      <c r="B2207" s="5" t="s">
        <v>5541</v>
      </c>
      <c r="C2207" s="5" t="s">
        <v>54</v>
      </c>
      <c r="D2207" s="5" t="s">
        <v>55</v>
      </c>
      <c r="E2207" s="5" t="s">
        <v>600</v>
      </c>
      <c r="F2207" s="9">
        <v>45</v>
      </c>
      <c r="G2207" s="9">
        <v>473</v>
      </c>
      <c r="H2207" s="5" t="s">
        <v>21</v>
      </c>
      <c r="I2207" s="5" t="s">
        <v>5542</v>
      </c>
      <c r="J2207" s="12" t="str">
        <f>HYPERLINK("https://www.boe.es/gazeta/dias/1800/06/06/pdfs/GMD-1800-45.pdf#page=9","Abrir facsímil")</f>
        <v>Abrir facsímil</v>
      </c>
      <c r="K2207" s="15" t="s">
        <v>23</v>
      </c>
    </row>
    <row r="2208" spans="1:11" ht="42" customHeight="1">
      <c r="A2208" s="4" t="s">
        <v>5543</v>
      </c>
      <c r="B2208" s="5" t="s">
        <v>5544</v>
      </c>
      <c r="C2208" s="5" t="s">
        <v>54</v>
      </c>
      <c r="D2208" s="5" t="s">
        <v>55</v>
      </c>
      <c r="E2208" s="5" t="s">
        <v>410</v>
      </c>
      <c r="F2208" s="9">
        <v>87</v>
      </c>
      <c r="G2208" s="9">
        <v>1010</v>
      </c>
      <c r="H2208" s="5" t="s">
        <v>21</v>
      </c>
      <c r="I2208" s="5" t="s">
        <v>5545</v>
      </c>
      <c r="J2208" s="12" t="str">
        <f>HYPERLINK("https://www.boe.es/gazeta/dias/1800/10/28/pdfs/GMD-1800-87.pdf#page=8","Abrir facsímil")</f>
        <v>Abrir facsímil</v>
      </c>
      <c r="K2208" s="15" t="s">
        <v>23</v>
      </c>
    </row>
    <row r="2209" spans="1:11" ht="42" customHeight="1">
      <c r="A2209" s="4" t="s">
        <v>5546</v>
      </c>
      <c r="B2209" s="5" t="s">
        <v>5547</v>
      </c>
      <c r="C2209" s="5" t="s">
        <v>41</v>
      </c>
      <c r="D2209" s="5" t="s">
        <v>42</v>
      </c>
      <c r="E2209" s="5" t="s">
        <v>101</v>
      </c>
      <c r="F2209" s="9">
        <v>37</v>
      </c>
      <c r="G2209" s="9">
        <v>376</v>
      </c>
      <c r="H2209" s="5" t="s">
        <v>21</v>
      </c>
      <c r="I2209" s="5" t="s">
        <v>5548</v>
      </c>
      <c r="J2209" s="12" t="str">
        <f>HYPERLINK("https://www.boe.es/gazeta/dias/1800/05/09/pdfs/GMD-1800-37.pdf#page=8","Abrir facsímil")</f>
        <v>Abrir facsímil</v>
      </c>
      <c r="K2209" s="15" t="s">
        <v>23</v>
      </c>
    </row>
    <row r="2210" spans="1:11" ht="42" customHeight="1">
      <c r="A2210" s="4" t="s">
        <v>5549</v>
      </c>
      <c r="B2210" s="5" t="s">
        <v>5550</v>
      </c>
      <c r="C2210" s="5" t="s">
        <v>25</v>
      </c>
      <c r="D2210" s="5" t="s">
        <v>26</v>
      </c>
      <c r="E2210" s="5" t="s">
        <v>402</v>
      </c>
      <c r="F2210" s="9">
        <v>101</v>
      </c>
      <c r="G2210" s="9">
        <v>1175</v>
      </c>
      <c r="H2210" s="5" t="s">
        <v>21</v>
      </c>
      <c r="I2210" s="5" t="s">
        <v>5551</v>
      </c>
      <c r="J2210" s="12" t="str">
        <f>HYPERLINK("https://www.boe.es/gazeta/dias/1800/12/16/pdfs/GMD-1800-101.pdf#page=11","Abrir facsímil")</f>
        <v>Abrir facsímil</v>
      </c>
      <c r="K2210" s="15" t="s">
        <v>23</v>
      </c>
    </row>
    <row r="2211" spans="1:11" ht="42" customHeight="1">
      <c r="A2211" s="4" t="s">
        <v>5552</v>
      </c>
      <c r="B2211" s="5" t="s">
        <v>5553</v>
      </c>
      <c r="C2211" s="5" t="s">
        <v>25</v>
      </c>
      <c r="D2211" s="5" t="s">
        <v>26</v>
      </c>
      <c r="E2211" s="5" t="s">
        <v>314</v>
      </c>
      <c r="F2211" s="9">
        <v>74</v>
      </c>
      <c r="G2211" s="9">
        <v>836</v>
      </c>
      <c r="H2211" s="5" t="s">
        <v>21</v>
      </c>
      <c r="I2211" s="5" t="s">
        <v>5554</v>
      </c>
      <c r="J2211" s="12" t="str">
        <f>HYPERLINK("https://www.boe.es/gazeta/dias/1800/09/12/pdfs/GMD-1800-74.pdf#page=14","Abrir facsímil")</f>
        <v>Abrir facsímil</v>
      </c>
      <c r="K2211" s="15" t="s">
        <v>23</v>
      </c>
    </row>
    <row r="2212" spans="1:11" ht="42" customHeight="1">
      <c r="A2212" s="4" t="s">
        <v>5555</v>
      </c>
      <c r="B2212" s="5" t="s">
        <v>5556</v>
      </c>
      <c r="C2212" s="5" t="s">
        <v>18</v>
      </c>
      <c r="D2212" s="5" t="s">
        <v>19</v>
      </c>
      <c r="E2212" s="5" t="s">
        <v>56</v>
      </c>
      <c r="F2212" s="9">
        <v>90</v>
      </c>
      <c r="G2212" s="9">
        <v>1055</v>
      </c>
      <c r="H2212" s="5" t="s">
        <v>21</v>
      </c>
      <c r="I2212" s="5" t="s">
        <v>5557</v>
      </c>
      <c r="J2212" s="12" t="str">
        <f>HYPERLINK("https://www.boe.es/gazeta/dias/1800/11/07/pdfs/GMD-1800-90.pdf#page=9","Abrir facsímil")</f>
        <v>Abrir facsímil</v>
      </c>
      <c r="K2212" s="15" t="s">
        <v>23</v>
      </c>
    </row>
    <row r="2213" spans="1:11" ht="42" customHeight="1">
      <c r="A2213" s="4" t="s">
        <v>5558</v>
      </c>
      <c r="B2213" s="5" t="s">
        <v>5559</v>
      </c>
      <c r="C2213" s="5" t="s">
        <v>54</v>
      </c>
      <c r="D2213" s="5" t="s">
        <v>55</v>
      </c>
      <c r="E2213" s="5" t="s">
        <v>45</v>
      </c>
      <c r="F2213" s="9">
        <v>47</v>
      </c>
      <c r="G2213" s="9">
        <v>502</v>
      </c>
      <c r="H2213" s="5" t="s">
        <v>21</v>
      </c>
      <c r="I2213" s="5" t="s">
        <v>5560</v>
      </c>
      <c r="J2213" s="12" t="str">
        <f>HYPERLINK("https://www.boe.es/gazeta/dias/1800/06/13/pdfs/GMD-1800-47.pdf#page=10","Abrir facsímil")</f>
        <v>Abrir facsímil</v>
      </c>
      <c r="K2213" s="15" t="s">
        <v>23</v>
      </c>
    </row>
    <row r="2214" spans="1:11" ht="42" customHeight="1">
      <c r="A2214" s="4" t="s">
        <v>5561</v>
      </c>
      <c r="B2214" s="5" t="s">
        <v>5562</v>
      </c>
      <c r="C2214" s="5" t="s">
        <v>54</v>
      </c>
      <c r="D2214" s="5" t="s">
        <v>55</v>
      </c>
      <c r="E2214" s="5" t="s">
        <v>20</v>
      </c>
      <c r="F2214" s="9">
        <v>104</v>
      </c>
      <c r="G2214" s="9">
        <v>1209</v>
      </c>
      <c r="H2214" s="5" t="s">
        <v>21</v>
      </c>
      <c r="I2214" s="5" t="s">
        <v>5563</v>
      </c>
      <c r="J2214" s="12" t="str">
        <f>HYPERLINK("https://www.boe.es/gazeta/dias/1800/12/26/pdfs/GMD-1800-104.pdf#page=9","Abrir facsímil")</f>
        <v>Abrir facsímil</v>
      </c>
      <c r="K2214" s="15" t="s">
        <v>23</v>
      </c>
    </row>
    <row r="2215" spans="1:11" ht="42" customHeight="1">
      <c r="A2215" s="4" t="s">
        <v>5564</v>
      </c>
      <c r="B2215" s="5" t="s">
        <v>5565</v>
      </c>
      <c r="C2215" s="5" t="s">
        <v>54</v>
      </c>
      <c r="D2215" s="5" t="s">
        <v>55</v>
      </c>
      <c r="E2215" s="5" t="s">
        <v>131</v>
      </c>
      <c r="F2215" s="9">
        <v>8</v>
      </c>
      <c r="G2215" s="9">
        <v>76</v>
      </c>
      <c r="H2215" s="5" t="s">
        <v>21</v>
      </c>
      <c r="I2215" s="5" t="s">
        <v>5566</v>
      </c>
      <c r="J2215" s="12" t="str">
        <f>HYPERLINK("https://www.boe.es/gazeta/dias/1800/01/28/pdfs/GMD-1800-8.pdf#page=8","Abrir facsímil")</f>
        <v>Abrir facsímil</v>
      </c>
      <c r="K2215" s="15" t="s">
        <v>23</v>
      </c>
    </row>
    <row r="2216" spans="1:11" ht="42" customHeight="1">
      <c r="A2216" s="4" t="s">
        <v>5564</v>
      </c>
      <c r="B2216" s="5" t="s">
        <v>5565</v>
      </c>
      <c r="C2216" s="5" t="s">
        <v>54</v>
      </c>
      <c r="D2216" s="5" t="s">
        <v>55</v>
      </c>
      <c r="E2216" s="5" t="s">
        <v>620</v>
      </c>
      <c r="F2216" s="9">
        <v>19</v>
      </c>
      <c r="G2216" s="9">
        <v>183</v>
      </c>
      <c r="H2216" s="5" t="s">
        <v>21</v>
      </c>
      <c r="I2216" s="5" t="s">
        <v>5567</v>
      </c>
      <c r="J2216" s="12" t="str">
        <f>HYPERLINK("https://www.boe.es/gazeta/dias/1800/03/07/pdfs/GMD-1800-19.pdf#page=7","Abrir facsímil")</f>
        <v>Abrir facsímil</v>
      </c>
      <c r="K2216" s="15" t="s">
        <v>23</v>
      </c>
    </row>
    <row r="2217" spans="1:11" ht="42" customHeight="1">
      <c r="A2217" s="4" t="s">
        <v>5568</v>
      </c>
      <c r="B2217" s="5" t="s">
        <v>5569</v>
      </c>
      <c r="C2217" s="5" t="s">
        <v>54</v>
      </c>
      <c r="D2217" s="5" t="s">
        <v>55</v>
      </c>
      <c r="E2217" s="5" t="s">
        <v>420</v>
      </c>
      <c r="F2217" s="9">
        <v>38</v>
      </c>
      <c r="G2217" s="9">
        <v>390</v>
      </c>
      <c r="H2217" s="5" t="s">
        <v>21</v>
      </c>
      <c r="I2217" s="5" t="s">
        <v>5570</v>
      </c>
      <c r="J2217" s="12" t="str">
        <f>HYPERLINK("https://www.boe.es/gazeta/dias/1800/05/13/pdfs/GMD-1800-38.pdf#page=10","Abrir facsímil")</f>
        <v>Abrir facsímil</v>
      </c>
      <c r="K2217" s="15" t="s">
        <v>23</v>
      </c>
    </row>
    <row r="2218" spans="1:11" ht="42" customHeight="1">
      <c r="A2218" s="4" t="s">
        <v>5568</v>
      </c>
      <c r="B2218" s="5" t="s">
        <v>5569</v>
      </c>
      <c r="C2218" s="5" t="s">
        <v>84</v>
      </c>
      <c r="D2218" s="5" t="s">
        <v>85</v>
      </c>
      <c r="E2218" s="5" t="s">
        <v>52</v>
      </c>
      <c r="F2218" s="9">
        <v>83</v>
      </c>
      <c r="G2218" s="9">
        <v>965</v>
      </c>
      <c r="H2218" s="5" t="s">
        <v>21</v>
      </c>
      <c r="I2218" s="5" t="s">
        <v>5571</v>
      </c>
      <c r="J2218" s="12" t="str">
        <f>HYPERLINK("https://www.boe.es/gazeta/dias/1800/10/14/pdfs/GMD-1800-83.pdf#page=11","Abrir facsímil")</f>
        <v>Abrir facsímil</v>
      </c>
      <c r="K2218" s="15" t="s">
        <v>23</v>
      </c>
    </row>
    <row r="2219" spans="1:11" ht="42" customHeight="1">
      <c r="A2219" s="4" t="s">
        <v>5564</v>
      </c>
      <c r="B2219" s="5" t="s">
        <v>5565</v>
      </c>
      <c r="C2219" s="5" t="s">
        <v>54</v>
      </c>
      <c r="D2219" s="5" t="s">
        <v>55</v>
      </c>
      <c r="E2219" s="5" t="s">
        <v>402</v>
      </c>
      <c r="F2219" s="9">
        <v>101</v>
      </c>
      <c r="G2219" s="9">
        <v>1175</v>
      </c>
      <c r="H2219" s="5" t="s">
        <v>21</v>
      </c>
      <c r="I2219" s="5" t="s">
        <v>5572</v>
      </c>
      <c r="J2219" s="12" t="str">
        <f>HYPERLINK("https://www.boe.es/gazeta/dias/1800/12/16/pdfs/GMD-1800-101.pdf#page=11","Abrir facsímil")</f>
        <v>Abrir facsímil</v>
      </c>
      <c r="K2219" s="15" t="s">
        <v>23</v>
      </c>
    </row>
    <row r="2220" spans="1:11" ht="42" customHeight="1">
      <c r="A2220" s="4" t="s">
        <v>5573</v>
      </c>
      <c r="B2220" s="5" t="s">
        <v>5574</v>
      </c>
      <c r="C2220" s="5" t="s">
        <v>84</v>
      </c>
      <c r="D2220" s="5" t="s">
        <v>85</v>
      </c>
      <c r="E2220" s="5" t="s">
        <v>319</v>
      </c>
      <c r="F2220" s="9">
        <v>62</v>
      </c>
      <c r="G2220" s="9">
        <v>709</v>
      </c>
      <c r="H2220" s="5" t="s">
        <v>21</v>
      </c>
      <c r="I2220" s="5" t="s">
        <v>5575</v>
      </c>
      <c r="J2220" s="12" t="str">
        <f>HYPERLINK("https://www.boe.es/gazeta/dias/1800/08/05/pdfs/GMD-1800-62.pdf#page=9","Abrir facsímil")</f>
        <v>Abrir facsímil</v>
      </c>
      <c r="K2220" s="15" t="s">
        <v>23</v>
      </c>
    </row>
    <row r="2221" spans="1:11" ht="42" customHeight="1">
      <c r="A2221" s="4" t="s">
        <v>5576</v>
      </c>
      <c r="B2221" s="5" t="s">
        <v>5577</v>
      </c>
      <c r="C2221" s="5" t="s">
        <v>171</v>
      </c>
      <c r="D2221" s="5" t="s">
        <v>172</v>
      </c>
      <c r="E2221" s="5" t="s">
        <v>828</v>
      </c>
      <c r="F2221" s="9">
        <v>53</v>
      </c>
      <c r="G2221" s="9">
        <v>593</v>
      </c>
      <c r="H2221" s="5" t="s">
        <v>21</v>
      </c>
      <c r="I2221" s="5" t="s">
        <v>5578</v>
      </c>
      <c r="J2221" s="12" t="str">
        <f>HYPERLINK("https://www.boe.es/gazeta/dias/1800/07/04/pdfs/GMD-C-1800-53.pdf#page=1","Abrir facsímil")</f>
        <v>Abrir facsímil</v>
      </c>
      <c r="K2221" s="15" t="s">
        <v>23</v>
      </c>
    </row>
    <row r="2222" spans="1:11" ht="42" customHeight="1">
      <c r="A2222" s="4" t="s">
        <v>5579</v>
      </c>
      <c r="B2222" s="5" t="s">
        <v>5580</v>
      </c>
      <c r="C2222" s="5" t="s">
        <v>25</v>
      </c>
      <c r="D2222" s="5" t="s">
        <v>26</v>
      </c>
      <c r="E2222" s="5" t="s">
        <v>1213</v>
      </c>
      <c r="F2222" s="9">
        <v>4</v>
      </c>
      <c r="G2222" s="9">
        <v>39</v>
      </c>
      <c r="H2222" s="5" t="s">
        <v>21</v>
      </c>
      <c r="I2222" s="5" t="s">
        <v>5581</v>
      </c>
      <c r="J2222" s="12" t="str">
        <f>HYPERLINK("https://www.boe.es/gazeta/dias/1800/01/14/pdfs/GMD-1800-4.pdf#page=11","Abrir facsímil")</f>
        <v>Abrir facsímil</v>
      </c>
      <c r="K2222" s="15" t="s">
        <v>23</v>
      </c>
    </row>
    <row r="2223" spans="1:11" ht="42" customHeight="1">
      <c r="A2223" s="4" t="s">
        <v>5579</v>
      </c>
      <c r="B2223" s="5" t="s">
        <v>5580</v>
      </c>
      <c r="C2223" s="5" t="s">
        <v>25</v>
      </c>
      <c r="D2223" s="5" t="s">
        <v>26</v>
      </c>
      <c r="E2223" s="5" t="s">
        <v>787</v>
      </c>
      <c r="F2223" s="9">
        <v>6</v>
      </c>
      <c r="G2223" s="9">
        <v>59</v>
      </c>
      <c r="H2223" s="5" t="s">
        <v>21</v>
      </c>
      <c r="I2223" s="5" t="s">
        <v>5582</v>
      </c>
      <c r="J2223" s="12" t="str">
        <f>HYPERLINK("https://www.boe.es/gazeta/dias/1800/01/21/pdfs/GMD-1800-6.pdf#page=11","Abrir facsímil")</f>
        <v>Abrir facsímil</v>
      </c>
      <c r="K2223" s="15" t="s">
        <v>23</v>
      </c>
    </row>
    <row r="2224" spans="1:11" ht="42" customHeight="1">
      <c r="A2224" s="4" t="s">
        <v>5583</v>
      </c>
      <c r="B2224" s="5" t="s">
        <v>5584</v>
      </c>
      <c r="C2224" s="5" t="s">
        <v>18</v>
      </c>
      <c r="D2224" s="5" t="s">
        <v>19</v>
      </c>
      <c r="E2224" s="5" t="s">
        <v>248</v>
      </c>
      <c r="F2224" s="9">
        <v>33</v>
      </c>
      <c r="G2224" s="9">
        <v>333</v>
      </c>
      <c r="H2224" s="5" t="s">
        <v>21</v>
      </c>
      <c r="I2224" s="5" t="s">
        <v>5585</v>
      </c>
      <c r="J2224" s="12" t="str">
        <f>HYPERLINK("https://www.boe.es/gazeta/dias/1800/04/25/pdfs/GMD-1800-33.pdf#page=9","Abrir facsímil")</f>
        <v>Abrir facsímil</v>
      </c>
      <c r="K2224" s="15" t="s">
        <v>23</v>
      </c>
    </row>
    <row r="2225" spans="1:11" ht="42" customHeight="1">
      <c r="A2225" s="4" t="s">
        <v>5583</v>
      </c>
      <c r="B2225" s="5" t="s">
        <v>5584</v>
      </c>
      <c r="C2225" s="5" t="s">
        <v>18</v>
      </c>
      <c r="D2225" s="5" t="s">
        <v>19</v>
      </c>
      <c r="E2225" s="5" t="s">
        <v>43</v>
      </c>
      <c r="F2225" s="9">
        <v>46</v>
      </c>
      <c r="G2225" s="9">
        <v>488</v>
      </c>
      <c r="H2225" s="5" t="s">
        <v>21</v>
      </c>
      <c r="I2225" s="5" t="s">
        <v>5586</v>
      </c>
      <c r="J2225" s="12" t="str">
        <f>HYPERLINK("https://www.boe.es/gazeta/dias/1800/06/10/pdfs/GMD-1800-46.pdf#page=12","Abrir facsímil")</f>
        <v>Abrir facsímil</v>
      </c>
      <c r="K2225" s="15" t="s">
        <v>23</v>
      </c>
    </row>
    <row r="2226" spans="1:11" ht="42" customHeight="1">
      <c r="A2226" s="4" t="s">
        <v>5587</v>
      </c>
      <c r="B2226" s="5" t="s">
        <v>5588</v>
      </c>
      <c r="C2226" s="5" t="s">
        <v>18</v>
      </c>
      <c r="D2226" s="5" t="s">
        <v>19</v>
      </c>
      <c r="E2226" s="5" t="s">
        <v>139</v>
      </c>
      <c r="F2226" s="9">
        <v>2</v>
      </c>
      <c r="G2226" s="9">
        <v>17</v>
      </c>
      <c r="H2226" s="5" t="s">
        <v>21</v>
      </c>
      <c r="I2226" s="5" t="s">
        <v>5589</v>
      </c>
      <c r="J2226" s="12" t="str">
        <f>HYPERLINK("https://www.boe.es/gazeta/dias/1800/01/07/pdfs/GMD-1800-2.pdf#page=9","Abrir facsímil")</f>
        <v>Abrir facsímil</v>
      </c>
      <c r="K2226" s="15" t="s">
        <v>23</v>
      </c>
    </row>
    <row r="2227" spans="1:11" ht="42" customHeight="1">
      <c r="A2227" s="4" t="s">
        <v>5590</v>
      </c>
      <c r="B2227" s="5" t="s">
        <v>5591</v>
      </c>
      <c r="C2227" s="5" t="s">
        <v>25</v>
      </c>
      <c r="D2227" s="5" t="s">
        <v>26</v>
      </c>
      <c r="E2227" s="5" t="s">
        <v>45</v>
      </c>
      <c r="F2227" s="9">
        <v>47</v>
      </c>
      <c r="G2227" s="9">
        <v>502</v>
      </c>
      <c r="H2227" s="5" t="s">
        <v>21</v>
      </c>
      <c r="I2227" s="5" t="s">
        <v>5592</v>
      </c>
      <c r="J2227" s="12" t="str">
        <f>HYPERLINK("https://www.boe.es/gazeta/dias/1800/06/13/pdfs/GMD-1800-47.pdf#page=10","Abrir facsímil")</f>
        <v>Abrir facsímil</v>
      </c>
      <c r="K2227" s="15" t="s">
        <v>23</v>
      </c>
    </row>
    <row r="2228" spans="1:11" ht="42" customHeight="1">
      <c r="A2228" s="4" t="s">
        <v>5593</v>
      </c>
      <c r="B2228" s="5" t="s">
        <v>5594</v>
      </c>
      <c r="C2228" s="5" t="s">
        <v>25</v>
      </c>
      <c r="D2228" s="5" t="s">
        <v>26</v>
      </c>
      <c r="E2228" s="5" t="s">
        <v>45</v>
      </c>
      <c r="F2228" s="9">
        <v>47</v>
      </c>
      <c r="G2228" s="9">
        <v>503</v>
      </c>
      <c r="H2228" s="5" t="s">
        <v>21</v>
      </c>
      <c r="I2228" s="5" t="s">
        <v>5595</v>
      </c>
      <c r="J2228" s="12" t="str">
        <f>HYPERLINK("https://www.boe.es/gazeta/dias/1800/06/13/pdfs/GMD-1800-47.pdf#page=11","Abrir facsímil")</f>
        <v>Abrir facsímil</v>
      </c>
      <c r="K2228" s="15" t="s">
        <v>23</v>
      </c>
    </row>
    <row r="2229" spans="1:11" ht="42" customHeight="1">
      <c r="A2229" s="4" t="s">
        <v>5596</v>
      </c>
      <c r="B2229" s="5" t="s">
        <v>5597</v>
      </c>
      <c r="C2229" s="5" t="s">
        <v>18</v>
      </c>
      <c r="D2229" s="5" t="s">
        <v>19</v>
      </c>
      <c r="E2229" s="5" t="s">
        <v>75</v>
      </c>
      <c r="F2229" s="9">
        <v>64</v>
      </c>
      <c r="G2229" s="9">
        <v>736</v>
      </c>
      <c r="H2229" s="5" t="s">
        <v>21</v>
      </c>
      <c r="I2229" s="5" t="s">
        <v>5598</v>
      </c>
      <c r="J2229" s="12" t="str">
        <f>HYPERLINK("https://www.boe.es/gazeta/dias/1800/08/12/pdfs/GMD-1800-64.pdf#page=12","Abrir facsímil")</f>
        <v>Abrir facsímil</v>
      </c>
      <c r="K2229" s="15" t="s">
        <v>23</v>
      </c>
    </row>
    <row r="2230" spans="1:11" ht="42" customHeight="1">
      <c r="A2230" s="4" t="s">
        <v>5599</v>
      </c>
      <c r="B2230" s="5" t="s">
        <v>5600</v>
      </c>
      <c r="C2230" s="5" t="s">
        <v>18</v>
      </c>
      <c r="D2230" s="5" t="s">
        <v>19</v>
      </c>
      <c r="E2230" s="5" t="s">
        <v>90</v>
      </c>
      <c r="F2230" s="9">
        <v>58</v>
      </c>
      <c r="G2230" s="9">
        <v>663</v>
      </c>
      <c r="H2230" s="5" t="s">
        <v>21</v>
      </c>
      <c r="I2230" s="5" t="s">
        <v>5601</v>
      </c>
      <c r="J2230" s="12" t="str">
        <f>HYPERLINK("https://www.boe.es/gazeta/dias/1800/07/22/pdfs/GMD-1800-58.pdf#page=11","Abrir facsímil")</f>
        <v>Abrir facsímil</v>
      </c>
      <c r="K2230" s="15" t="s">
        <v>23</v>
      </c>
    </row>
    <row r="2231" spans="1:11" ht="42" customHeight="1">
      <c r="A2231" s="4" t="s">
        <v>5602</v>
      </c>
      <c r="B2231" s="5" t="s">
        <v>5603</v>
      </c>
      <c r="C2231" s="5" t="s">
        <v>25</v>
      </c>
      <c r="D2231" s="5" t="s">
        <v>26</v>
      </c>
      <c r="E2231" s="5" t="s">
        <v>64</v>
      </c>
      <c r="F2231" s="9">
        <v>54</v>
      </c>
      <c r="G2231" s="9">
        <v>606</v>
      </c>
      <c r="H2231" s="5" t="s">
        <v>21</v>
      </c>
      <c r="I2231" s="5" t="s">
        <v>5604</v>
      </c>
      <c r="J2231" s="12" t="str">
        <f>HYPERLINK("https://www.boe.es/gazeta/dias/1800/07/08/pdfs/GMD-1800-54.pdf#page=10","Abrir facsímil")</f>
        <v>Abrir facsímil</v>
      </c>
      <c r="K2231" s="15" t="s">
        <v>23</v>
      </c>
    </row>
    <row r="2232" spans="1:11" ht="42" customHeight="1">
      <c r="A2232" s="4" t="s">
        <v>5605</v>
      </c>
      <c r="B2232" s="5" t="s">
        <v>5606</v>
      </c>
      <c r="C2232" s="5" t="s">
        <v>18</v>
      </c>
      <c r="D2232" s="5" t="s">
        <v>19</v>
      </c>
      <c r="E2232" s="5" t="s">
        <v>491</v>
      </c>
      <c r="F2232" s="9">
        <v>29</v>
      </c>
      <c r="G2232" s="9">
        <v>300</v>
      </c>
      <c r="H2232" s="5" t="s">
        <v>21</v>
      </c>
      <c r="I2232" s="5" t="s">
        <v>5607</v>
      </c>
      <c r="J2232" s="12" t="str">
        <f>HYPERLINK("https://www.boe.es/gazeta/dias/1800/04/11/pdfs/GMD-1800-29.pdf#page=8","Abrir facsímil")</f>
        <v>Abrir facsímil</v>
      </c>
      <c r="K2232" s="15" t="s">
        <v>23</v>
      </c>
    </row>
    <row r="2233" spans="1:11" ht="42" customHeight="1">
      <c r="A2233" s="4" t="s">
        <v>5608</v>
      </c>
      <c r="B2233" s="5" t="s">
        <v>5609</v>
      </c>
      <c r="C2233" s="5" t="s">
        <v>18</v>
      </c>
      <c r="D2233" s="5" t="s">
        <v>19</v>
      </c>
      <c r="E2233" s="5" t="s">
        <v>50</v>
      </c>
      <c r="F2233" s="9">
        <v>81</v>
      </c>
      <c r="G2233" s="9">
        <v>918</v>
      </c>
      <c r="H2233" s="5" t="s">
        <v>21</v>
      </c>
      <c r="I2233" s="5" t="s">
        <v>5610</v>
      </c>
      <c r="J2233" s="12" t="str">
        <f>HYPERLINK("https://www.boe.es/gazeta/dias/1800/10/07/pdfs/GMD-1800-81.pdf#page=8","Abrir facsímil")</f>
        <v>Abrir facsímil</v>
      </c>
      <c r="K2233" s="15" t="s">
        <v>23</v>
      </c>
    </row>
    <row r="2234" spans="1:11" ht="42" customHeight="1">
      <c r="A2234" s="4" t="s">
        <v>5611</v>
      </c>
      <c r="B2234" s="5" t="s">
        <v>5612</v>
      </c>
      <c r="C2234" s="5" t="s">
        <v>84</v>
      </c>
      <c r="D2234" s="5" t="s">
        <v>85</v>
      </c>
      <c r="E2234" s="5" t="s">
        <v>35</v>
      </c>
      <c r="F2234" s="9">
        <v>21</v>
      </c>
      <c r="G2234" s="9">
        <v>208</v>
      </c>
      <c r="H2234" s="5" t="s">
        <v>21</v>
      </c>
      <c r="I2234" s="5" t="s">
        <v>5613</v>
      </c>
      <c r="J2234" s="12" t="str">
        <f>HYPERLINK("https://www.boe.es/gazeta/dias/1800/03/14/pdfs/GMD-1800-21.pdf#page=12","Abrir facsímil")</f>
        <v>Abrir facsímil</v>
      </c>
      <c r="K2234" s="15" t="s">
        <v>23</v>
      </c>
    </row>
    <row r="2235" spans="1:11" ht="42" customHeight="1">
      <c r="A2235" s="4" t="s">
        <v>5614</v>
      </c>
      <c r="B2235" s="5" t="s">
        <v>5615</v>
      </c>
      <c r="C2235" s="5" t="s">
        <v>41</v>
      </c>
      <c r="D2235" s="5" t="s">
        <v>42</v>
      </c>
      <c r="E2235" s="5" t="s">
        <v>139</v>
      </c>
      <c r="F2235" s="9">
        <v>2</v>
      </c>
      <c r="G2235" s="9">
        <v>15</v>
      </c>
      <c r="H2235" s="5" t="s">
        <v>21</v>
      </c>
      <c r="I2235" s="5" t="s">
        <v>5616</v>
      </c>
      <c r="J2235" s="12" t="str">
        <f>HYPERLINK("https://www.boe.es/gazeta/dias/1800/01/07/pdfs/GMD-1800-2.pdf#page=7","Abrir facsímil")</f>
        <v>Abrir facsímil</v>
      </c>
      <c r="K2235" s="15" t="s">
        <v>23</v>
      </c>
    </row>
    <row r="2236" spans="1:11" ht="42" customHeight="1">
      <c r="A2236" s="4" t="s">
        <v>5614</v>
      </c>
      <c r="B2236" s="5" t="s">
        <v>5615</v>
      </c>
      <c r="C2236" s="5" t="s">
        <v>25</v>
      </c>
      <c r="D2236" s="5" t="s">
        <v>26</v>
      </c>
      <c r="E2236" s="5" t="s">
        <v>139</v>
      </c>
      <c r="F2236" s="9">
        <v>2</v>
      </c>
      <c r="G2236" s="9">
        <v>16</v>
      </c>
      <c r="H2236" s="5" t="s">
        <v>21</v>
      </c>
      <c r="I2236" s="5" t="s">
        <v>5617</v>
      </c>
      <c r="J2236" s="12" t="str">
        <f>HYPERLINK("https://www.boe.es/gazeta/dias/1800/01/07/pdfs/GMD-1800-2.pdf#page=8","Abrir facsímil")</f>
        <v>Abrir facsímil</v>
      </c>
      <c r="K2236" s="15" t="s">
        <v>23</v>
      </c>
    </row>
    <row r="2237" spans="1:11" ht="42" customHeight="1">
      <c r="A2237" s="4" t="s">
        <v>5614</v>
      </c>
      <c r="B2237" s="5" t="s">
        <v>5615</v>
      </c>
      <c r="C2237" s="5" t="s">
        <v>18</v>
      </c>
      <c r="D2237" s="5" t="s">
        <v>19</v>
      </c>
      <c r="E2237" s="5" t="s">
        <v>131</v>
      </c>
      <c r="F2237" s="9">
        <v>8</v>
      </c>
      <c r="G2237" s="9">
        <v>75</v>
      </c>
      <c r="H2237" s="5" t="s">
        <v>21</v>
      </c>
      <c r="I2237" s="5" t="s">
        <v>5618</v>
      </c>
      <c r="J2237" s="12" t="str">
        <f>HYPERLINK("https://www.boe.es/gazeta/dias/1800/01/28/pdfs/GMD-1800-8.pdf#page=7","Abrir facsímil")</f>
        <v>Abrir facsímil</v>
      </c>
      <c r="K2237" s="15" t="s">
        <v>23</v>
      </c>
    </row>
    <row r="2238" spans="1:11" ht="42" customHeight="1">
      <c r="A2238" s="4" t="s">
        <v>5614</v>
      </c>
      <c r="B2238" s="5" t="s">
        <v>5615</v>
      </c>
      <c r="C2238" s="5" t="s">
        <v>25</v>
      </c>
      <c r="D2238" s="5" t="s">
        <v>26</v>
      </c>
      <c r="E2238" s="5" t="s">
        <v>124</v>
      </c>
      <c r="F2238" s="9">
        <v>16</v>
      </c>
      <c r="G2238" s="9">
        <v>151</v>
      </c>
      <c r="H2238" s="5" t="s">
        <v>21</v>
      </c>
      <c r="I2238" s="5" t="s">
        <v>5619</v>
      </c>
      <c r="J2238" s="12" t="str">
        <f>HYPERLINK("https://www.boe.es/gazeta/dias/1800/02/25/pdfs/GMD-1800-16.pdf#page=7","Abrir facsímil")</f>
        <v>Abrir facsímil</v>
      </c>
      <c r="K2238" s="15" t="s">
        <v>23</v>
      </c>
    </row>
    <row r="2239" spans="1:11" ht="42" customHeight="1">
      <c r="A2239" s="4" t="s">
        <v>5614</v>
      </c>
      <c r="B2239" s="5" t="s">
        <v>5615</v>
      </c>
      <c r="C2239" s="5" t="s">
        <v>18</v>
      </c>
      <c r="D2239" s="5" t="s">
        <v>19</v>
      </c>
      <c r="E2239" s="5" t="s">
        <v>86</v>
      </c>
      <c r="F2239" s="9">
        <v>17</v>
      </c>
      <c r="G2239" s="9">
        <v>161</v>
      </c>
      <c r="H2239" s="5" t="s">
        <v>21</v>
      </c>
      <c r="I2239" s="5" t="s">
        <v>5620</v>
      </c>
      <c r="J2239" s="12" t="str">
        <f>HYPERLINK("https://www.boe.es/gazeta/dias/1800/02/28/pdfs/GMD-1800-17.pdf#page=9","Abrir facsímil")</f>
        <v>Abrir facsímil</v>
      </c>
      <c r="K2239" s="15" t="s">
        <v>23</v>
      </c>
    </row>
    <row r="2240" spans="1:11" ht="42" customHeight="1">
      <c r="A2240" s="4" t="s">
        <v>5621</v>
      </c>
      <c r="B2240" s="5" t="s">
        <v>5622</v>
      </c>
      <c r="C2240" s="5" t="s">
        <v>18</v>
      </c>
      <c r="D2240" s="5" t="s">
        <v>19</v>
      </c>
      <c r="E2240" s="5" t="s">
        <v>20</v>
      </c>
      <c r="F2240" s="9">
        <v>104</v>
      </c>
      <c r="G2240" s="9">
        <v>1209</v>
      </c>
      <c r="H2240" s="5" t="s">
        <v>21</v>
      </c>
      <c r="I2240" s="5" t="s">
        <v>5623</v>
      </c>
      <c r="J2240" s="12" t="str">
        <f>HYPERLINK("https://www.boe.es/gazeta/dias/1800/12/26/pdfs/GMD-1800-104.pdf#page=9","Abrir facsímil")</f>
        <v>Abrir facsímil</v>
      </c>
      <c r="K2240" s="15" t="s">
        <v>23</v>
      </c>
    </row>
    <row r="2241" spans="1:11" ht="42" customHeight="1">
      <c r="A2241" s="4" t="s">
        <v>5624</v>
      </c>
      <c r="B2241" s="5" t="s">
        <v>5625</v>
      </c>
      <c r="C2241" s="5" t="s">
        <v>207</v>
      </c>
      <c r="D2241" s="5" t="s">
        <v>55</v>
      </c>
      <c r="E2241" s="5" t="s">
        <v>402</v>
      </c>
      <c r="F2241" s="9">
        <v>101</v>
      </c>
      <c r="G2241" s="9">
        <v>1174</v>
      </c>
      <c r="H2241" s="5" t="s">
        <v>21</v>
      </c>
      <c r="I2241" s="5" t="s">
        <v>5626</v>
      </c>
      <c r="J2241" s="12" t="str">
        <f>HYPERLINK("https://www.boe.es/gazeta/dias/1800/12/16/pdfs/GMD-1800-101.pdf#page=10","Abrir facsímil")</f>
        <v>Abrir facsímil</v>
      </c>
      <c r="K2241" s="15" t="s">
        <v>23</v>
      </c>
    </row>
    <row r="2242" spans="1:11" ht="42" customHeight="1">
      <c r="A2242" s="4" t="s">
        <v>5627</v>
      </c>
      <c r="B2242" s="5" t="s">
        <v>5628</v>
      </c>
      <c r="C2242" s="5" t="s">
        <v>25</v>
      </c>
      <c r="D2242" s="5" t="s">
        <v>26</v>
      </c>
      <c r="E2242" s="5" t="s">
        <v>45</v>
      </c>
      <c r="F2242" s="9">
        <v>47</v>
      </c>
      <c r="G2242" s="9">
        <v>502</v>
      </c>
      <c r="H2242" s="5" t="s">
        <v>21</v>
      </c>
      <c r="I2242" s="5" t="s">
        <v>5629</v>
      </c>
      <c r="J2242" s="12" t="str">
        <f>HYPERLINK("https://www.boe.es/gazeta/dias/1800/06/13/pdfs/GMD-1800-47.pdf#page=10","Abrir facsímil")</f>
        <v>Abrir facsímil</v>
      </c>
      <c r="K2242" s="15" t="s">
        <v>23</v>
      </c>
    </row>
    <row r="2243" spans="1:11" ht="42" customHeight="1">
      <c r="A2243" s="4" t="s">
        <v>5630</v>
      </c>
      <c r="B2243" s="5" t="s">
        <v>5631</v>
      </c>
      <c r="C2243" s="5" t="s">
        <v>25</v>
      </c>
      <c r="D2243" s="5" t="s">
        <v>26</v>
      </c>
      <c r="E2243" s="5" t="s">
        <v>1287</v>
      </c>
      <c r="F2243" s="9">
        <v>57</v>
      </c>
      <c r="G2243" s="9">
        <v>650</v>
      </c>
      <c r="H2243" s="5" t="s">
        <v>21</v>
      </c>
      <c r="I2243" s="5" t="s">
        <v>5632</v>
      </c>
      <c r="J2243" s="12" t="str">
        <f>HYPERLINK("https://www.boe.es/gazeta/dias/1800/07/18/pdfs/GMD-1800-57.pdf#page=14","Abrir facsímil")</f>
        <v>Abrir facsímil</v>
      </c>
      <c r="K2243" s="15" t="s">
        <v>23</v>
      </c>
    </row>
    <row r="2244" spans="1:11" ht="42" customHeight="1">
      <c r="A2244" s="4" t="s">
        <v>5633</v>
      </c>
      <c r="B2244" s="5" t="s">
        <v>5634</v>
      </c>
      <c r="C2244" s="5" t="s">
        <v>18</v>
      </c>
      <c r="D2244" s="5" t="s">
        <v>19</v>
      </c>
      <c r="E2244" s="5" t="s">
        <v>58</v>
      </c>
      <c r="F2244" s="9">
        <v>92</v>
      </c>
      <c r="G2244" s="9">
        <v>1053</v>
      </c>
      <c r="H2244" s="5" t="s">
        <v>21</v>
      </c>
      <c r="I2244" s="5" t="s">
        <v>5635</v>
      </c>
      <c r="J2244" s="12" t="str">
        <f>HYPERLINK("https://www.boe.es/gazeta/dias/1800/11/14/pdfs/GMD-1800-92.pdf#page=7","Abrir facsímil")</f>
        <v>Abrir facsímil</v>
      </c>
      <c r="K2244" s="15" t="s">
        <v>23</v>
      </c>
    </row>
    <row r="2245" spans="1:11" ht="42" customHeight="1">
      <c r="A2245" s="4" t="s">
        <v>5636</v>
      </c>
      <c r="B2245" s="5" t="s">
        <v>5637</v>
      </c>
      <c r="C2245" s="5" t="s">
        <v>25</v>
      </c>
      <c r="D2245" s="5" t="s">
        <v>26</v>
      </c>
      <c r="E2245" s="5" t="s">
        <v>461</v>
      </c>
      <c r="F2245" s="9">
        <v>18</v>
      </c>
      <c r="G2245" s="9">
        <v>171</v>
      </c>
      <c r="H2245" s="5" t="s">
        <v>21</v>
      </c>
      <c r="I2245" s="5" t="s">
        <v>5638</v>
      </c>
      <c r="J2245" s="12" t="str">
        <f>HYPERLINK("https://www.boe.es/datos/pdfs/BOE//1800/018/C00173-00176.pdf#page=7","Abrir facsímil")</f>
        <v>Abrir facsímil</v>
      </c>
      <c r="K2245" s="15" t="s">
        <v>23</v>
      </c>
    </row>
    <row r="2246" spans="1:11" ht="42" customHeight="1">
      <c r="A2246" s="4" t="s">
        <v>5639</v>
      </c>
      <c r="B2246" s="5" t="s">
        <v>5640</v>
      </c>
      <c r="C2246" s="5" t="s">
        <v>54</v>
      </c>
      <c r="D2246" s="5" t="s">
        <v>55</v>
      </c>
      <c r="E2246" s="5" t="s">
        <v>240</v>
      </c>
      <c r="F2246" s="9">
        <v>26</v>
      </c>
      <c r="G2246" s="9">
        <v>270</v>
      </c>
      <c r="H2246" s="5" t="s">
        <v>21</v>
      </c>
      <c r="I2246" s="5" t="s">
        <v>5641</v>
      </c>
      <c r="J2246" s="12" t="str">
        <f>HYPERLINK("https://www.boe.es/gazeta/dias/1800/04/01/pdfs/GMD-1800-26.pdf#page=10","Abrir facsímil")</f>
        <v>Abrir facsímil</v>
      </c>
      <c r="K2246" s="15" t="s">
        <v>23</v>
      </c>
    </row>
    <row r="2247" spans="1:11" ht="42" customHeight="1">
      <c r="A2247" s="4" t="s">
        <v>5642</v>
      </c>
      <c r="B2247" s="5" t="s">
        <v>5643</v>
      </c>
      <c r="C2247" s="5" t="s">
        <v>84</v>
      </c>
      <c r="D2247" s="5" t="s">
        <v>85</v>
      </c>
      <c r="E2247" s="5" t="s">
        <v>82</v>
      </c>
      <c r="F2247" s="9">
        <v>10</v>
      </c>
      <c r="G2247" s="9">
        <v>99</v>
      </c>
      <c r="H2247" s="5" t="s">
        <v>21</v>
      </c>
      <c r="I2247" s="5" t="s">
        <v>5644</v>
      </c>
      <c r="J2247" s="12" t="str">
        <f>HYPERLINK("https://www.boe.es/gazeta/dias/1800/02/04/pdfs/GMD-1800-10.pdf#page=11","Abrir facsímil")</f>
        <v>Abrir facsímil</v>
      </c>
      <c r="K2247" s="15" t="s">
        <v>23</v>
      </c>
    </row>
    <row r="2248" spans="1:11" ht="42" customHeight="1">
      <c r="A2248" s="4" t="s">
        <v>5645</v>
      </c>
      <c r="B2248" s="5" t="s">
        <v>5646</v>
      </c>
      <c r="C2248" s="5" t="s">
        <v>207</v>
      </c>
      <c r="D2248" s="5" t="s">
        <v>55</v>
      </c>
      <c r="E2248" s="5" t="s">
        <v>576</v>
      </c>
      <c r="F2248" s="9">
        <v>91</v>
      </c>
      <c r="G2248" s="9">
        <v>1068</v>
      </c>
      <c r="H2248" s="5" t="s">
        <v>21</v>
      </c>
      <c r="I2248" s="5" t="s">
        <v>5647</v>
      </c>
      <c r="J2248" s="12" t="str">
        <f>HYPERLINK("https://www.boe.es/gazeta/dias/1800/11/11/pdfs/GMD-1800-91.pdf#page=10","Abrir facsímil")</f>
        <v>Abrir facsímil</v>
      </c>
      <c r="K2248" s="15" t="s">
        <v>23</v>
      </c>
    </row>
    <row r="2249" spans="1:11" ht="42" customHeight="1">
      <c r="A2249" s="4" t="s">
        <v>5648</v>
      </c>
      <c r="B2249" s="5" t="s">
        <v>5649</v>
      </c>
      <c r="C2249" s="5" t="s">
        <v>18</v>
      </c>
      <c r="D2249" s="5" t="s">
        <v>19</v>
      </c>
      <c r="E2249" s="5" t="s">
        <v>422</v>
      </c>
      <c r="F2249" s="9">
        <v>85</v>
      </c>
      <c r="G2249" s="9">
        <v>985</v>
      </c>
      <c r="H2249" s="5" t="s">
        <v>21</v>
      </c>
      <c r="I2249" s="5" t="s">
        <v>5650</v>
      </c>
      <c r="J2249" s="12" t="str">
        <f>HYPERLINK("https://www.boe.es/gazeta/dias/1800/10/21/pdfs/GMD-1800-85.pdf#page=7","Abrir facsímil")</f>
        <v>Abrir facsímil</v>
      </c>
      <c r="K2249" s="15" t="s">
        <v>23</v>
      </c>
    </row>
    <row r="2250" spans="1:11" ht="42" customHeight="1">
      <c r="A2250" s="4" t="s">
        <v>5651</v>
      </c>
      <c r="B2250" s="5" t="s">
        <v>5652</v>
      </c>
      <c r="C2250" s="5" t="s">
        <v>84</v>
      </c>
      <c r="D2250" s="5" t="s">
        <v>85</v>
      </c>
      <c r="E2250" s="5" t="s">
        <v>1287</v>
      </c>
      <c r="F2250" s="9">
        <v>57</v>
      </c>
      <c r="G2250" s="9">
        <v>652</v>
      </c>
      <c r="H2250" s="5" t="s">
        <v>21</v>
      </c>
      <c r="I2250" s="5" t="s">
        <v>5653</v>
      </c>
      <c r="J2250" s="12" t="str">
        <f>HYPERLINK("https://www.boe.es/gazeta/dias/1800/07/18/pdfs/GMD-1800-57.pdf#page=16","Abrir facsímil")</f>
        <v>Abrir facsímil</v>
      </c>
      <c r="K2250" s="15" t="s">
        <v>23</v>
      </c>
    </row>
    <row r="2251" spans="1:11" ht="42" customHeight="1">
      <c r="A2251" s="4" t="s">
        <v>5654</v>
      </c>
      <c r="B2251" s="5" t="s">
        <v>5655</v>
      </c>
      <c r="C2251" s="5" t="s">
        <v>25</v>
      </c>
      <c r="D2251" s="5" t="s">
        <v>26</v>
      </c>
      <c r="E2251" s="5" t="s">
        <v>158</v>
      </c>
      <c r="F2251" s="9">
        <v>25</v>
      </c>
      <c r="G2251" s="9">
        <v>260</v>
      </c>
      <c r="H2251" s="5" t="s">
        <v>21</v>
      </c>
      <c r="I2251" s="5" t="s">
        <v>5656</v>
      </c>
      <c r="J2251" s="12" t="str">
        <f>HYPERLINK("https://www.boe.es/gazeta/dias/1800/03/28/pdfs/GMD-1800-25.pdf#page=12","Abrir facsímil")</f>
        <v>Abrir facsímil</v>
      </c>
      <c r="K2251" s="15" t="s">
        <v>23</v>
      </c>
    </row>
    <row r="2252" spans="1:11" ht="42" customHeight="1">
      <c r="A2252" s="4" t="s">
        <v>5657</v>
      </c>
      <c r="B2252" s="5" t="s">
        <v>5658</v>
      </c>
      <c r="C2252" s="5" t="s">
        <v>18</v>
      </c>
      <c r="D2252" s="5" t="s">
        <v>19</v>
      </c>
      <c r="E2252" s="5" t="s">
        <v>314</v>
      </c>
      <c r="F2252" s="9">
        <v>74</v>
      </c>
      <c r="G2252" s="9">
        <v>831</v>
      </c>
      <c r="H2252" s="5" t="s">
        <v>21</v>
      </c>
      <c r="I2252" s="5" t="s">
        <v>5659</v>
      </c>
      <c r="J2252" s="12" t="str">
        <f>HYPERLINK("https://www.boe.es/gazeta/dias/1800/09/12/pdfs/GMD-1800-74.pdf#page=9","Abrir facsímil")</f>
        <v>Abrir facsímil</v>
      </c>
      <c r="K2252" s="15" t="s">
        <v>23</v>
      </c>
    </row>
    <row r="2253" spans="1:11" ht="42" customHeight="1">
      <c r="A2253" s="4" t="s">
        <v>5660</v>
      </c>
      <c r="B2253" s="5" t="s">
        <v>5661</v>
      </c>
      <c r="C2253" s="5" t="s">
        <v>18</v>
      </c>
      <c r="D2253" s="5" t="s">
        <v>19</v>
      </c>
      <c r="E2253" s="5" t="s">
        <v>196</v>
      </c>
      <c r="F2253" s="9">
        <v>97</v>
      </c>
      <c r="G2253" s="9">
        <v>1119</v>
      </c>
      <c r="H2253" s="5" t="s">
        <v>21</v>
      </c>
      <c r="I2253" s="5" t="s">
        <v>5662</v>
      </c>
      <c r="J2253" s="12" t="str">
        <f>HYPERLINK("https://www.boe.es/gazeta/dias/1800/12/02/pdfs/GMD-1800-97.pdf#page=11","Abrir facsímil")</f>
        <v>Abrir facsímil</v>
      </c>
      <c r="K2253" s="15" t="s">
        <v>23</v>
      </c>
    </row>
    <row r="2254" spans="1:11" ht="42" customHeight="1">
      <c r="A2254" s="4" t="s">
        <v>5663</v>
      </c>
      <c r="B2254" s="5" t="s">
        <v>5664</v>
      </c>
      <c r="C2254" s="5" t="s">
        <v>18</v>
      </c>
      <c r="D2254" s="5" t="s">
        <v>19</v>
      </c>
      <c r="E2254" s="5" t="s">
        <v>82</v>
      </c>
      <c r="F2254" s="9">
        <v>10</v>
      </c>
      <c r="G2254" s="9">
        <v>96</v>
      </c>
      <c r="H2254" s="5" t="s">
        <v>21</v>
      </c>
      <c r="I2254" s="5" t="s">
        <v>5665</v>
      </c>
      <c r="J2254" s="12" t="str">
        <f>HYPERLINK("https://www.boe.es/gazeta/dias/1800/02/04/pdfs/GMD-1800-10.pdf#page=8","Abrir facsímil")</f>
        <v>Abrir facsímil</v>
      </c>
      <c r="K2254" s="15" t="s">
        <v>23</v>
      </c>
    </row>
    <row r="2255" spans="1:11" ht="42" customHeight="1">
      <c r="A2255" s="4" t="s">
        <v>5666</v>
      </c>
      <c r="B2255" s="5" t="s">
        <v>5667</v>
      </c>
      <c r="C2255" s="5" t="s">
        <v>84</v>
      </c>
      <c r="D2255" s="5" t="s">
        <v>85</v>
      </c>
      <c r="E2255" s="5" t="s">
        <v>346</v>
      </c>
      <c r="F2255" s="9">
        <v>24</v>
      </c>
      <c r="G2255" s="9">
        <v>248</v>
      </c>
      <c r="H2255" s="5" t="s">
        <v>21</v>
      </c>
      <c r="I2255" s="5" t="s">
        <v>5668</v>
      </c>
      <c r="J2255" s="12" t="str">
        <f>HYPERLINK("https://www.boe.es/gazeta/dias/1800/03/25/pdfs/GMD-1800-24.pdf#page=12","Abrir facsímil")</f>
        <v>Abrir facsímil</v>
      </c>
      <c r="K2255" s="15" t="s">
        <v>23</v>
      </c>
    </row>
    <row r="2256" spans="1:11" ht="42" customHeight="1">
      <c r="A2256" s="4" t="s">
        <v>5669</v>
      </c>
      <c r="B2256" s="5" t="s">
        <v>5670</v>
      </c>
      <c r="C2256" s="5" t="s">
        <v>84</v>
      </c>
      <c r="D2256" s="5" t="s">
        <v>85</v>
      </c>
      <c r="E2256" s="5" t="s">
        <v>35</v>
      </c>
      <c r="F2256" s="9">
        <v>21</v>
      </c>
      <c r="G2256" s="9">
        <v>207</v>
      </c>
      <c r="H2256" s="5" t="s">
        <v>21</v>
      </c>
      <c r="I2256" s="5" t="s">
        <v>5671</v>
      </c>
      <c r="J2256" s="12" t="str">
        <f>HYPERLINK("https://www.boe.es/gazeta/dias/1800/03/14/pdfs/GMD-1800-21.pdf#page=11","Abrir facsímil")</f>
        <v>Abrir facsímil</v>
      </c>
      <c r="K2256" s="15" t="s">
        <v>23</v>
      </c>
    </row>
    <row r="2257" spans="1:11" ht="42" customHeight="1">
      <c r="A2257" s="4" t="s">
        <v>5672</v>
      </c>
      <c r="B2257" s="5" t="s">
        <v>5673</v>
      </c>
      <c r="C2257" s="5" t="s">
        <v>18</v>
      </c>
      <c r="D2257" s="5" t="s">
        <v>19</v>
      </c>
      <c r="E2257" s="5" t="s">
        <v>1213</v>
      </c>
      <c r="F2257" s="9">
        <v>4</v>
      </c>
      <c r="G2257" s="9">
        <v>36</v>
      </c>
      <c r="H2257" s="5" t="s">
        <v>21</v>
      </c>
      <c r="I2257" s="5" t="s">
        <v>5674</v>
      </c>
      <c r="J2257" s="12" t="str">
        <f>HYPERLINK("https://www.boe.es/gazeta/dias/1800/01/14/pdfs/GMD-1800-4.pdf#page=8","Abrir facsímil")</f>
        <v>Abrir facsímil</v>
      </c>
      <c r="K2257" s="15" t="s">
        <v>23</v>
      </c>
    </row>
    <row r="2258" spans="1:11" ht="42" customHeight="1">
      <c r="A2258" s="4" t="s">
        <v>5675</v>
      </c>
      <c r="B2258" s="5" t="s">
        <v>5676</v>
      </c>
      <c r="C2258" s="5" t="s">
        <v>18</v>
      </c>
      <c r="D2258" s="5" t="s">
        <v>19</v>
      </c>
      <c r="E2258" s="5" t="s">
        <v>176</v>
      </c>
      <c r="F2258" s="9">
        <v>88</v>
      </c>
      <c r="G2258" s="9">
        <v>1030</v>
      </c>
      <c r="H2258" s="5" t="s">
        <v>21</v>
      </c>
      <c r="I2258" s="5" t="s">
        <v>5677</v>
      </c>
      <c r="J2258" s="12" t="str">
        <f>HYPERLINK("https://www.boe.es/gazeta/dias/1800/10/31/pdfs/GMD-1800-88.pdf#page=12","Abrir facsímil")</f>
        <v>Abrir facsímil</v>
      </c>
      <c r="K2258" s="15" t="s">
        <v>23</v>
      </c>
    </row>
    <row r="2259" spans="1:11" ht="42" customHeight="1">
      <c r="A2259" s="4" t="s">
        <v>5678</v>
      </c>
      <c r="B2259" s="5" t="s">
        <v>5679</v>
      </c>
      <c r="C2259" s="5" t="s">
        <v>18</v>
      </c>
      <c r="D2259" s="5" t="s">
        <v>19</v>
      </c>
      <c r="E2259" s="5" t="s">
        <v>255</v>
      </c>
      <c r="F2259" s="9">
        <v>75</v>
      </c>
      <c r="G2259" s="9">
        <v>848</v>
      </c>
      <c r="H2259" s="5" t="s">
        <v>21</v>
      </c>
      <c r="I2259" s="5" t="s">
        <v>5680</v>
      </c>
      <c r="J2259" s="12" t="str">
        <f>HYPERLINK("https://www.boe.es/gazeta/dias/1800/09/16/pdfs/GMD-1800-75.pdf#page=2","Abrir facsímil")</f>
        <v>Abrir facsímil</v>
      </c>
      <c r="K2259" s="15" t="s">
        <v>23</v>
      </c>
    </row>
    <row r="2260" spans="1:11" ht="42" customHeight="1">
      <c r="A2260" s="4" t="s">
        <v>5681</v>
      </c>
      <c r="B2260" s="5" t="s">
        <v>5682</v>
      </c>
      <c r="C2260" s="5" t="s">
        <v>18</v>
      </c>
      <c r="D2260" s="5" t="s">
        <v>19</v>
      </c>
      <c r="E2260" s="5" t="s">
        <v>1213</v>
      </c>
      <c r="F2260" s="9">
        <v>4</v>
      </c>
      <c r="G2260" s="9">
        <v>31</v>
      </c>
      <c r="H2260" s="5" t="s">
        <v>21</v>
      </c>
      <c r="I2260" s="5" t="s">
        <v>5683</v>
      </c>
      <c r="J2260" s="12" t="str">
        <f>HYPERLINK("https://www.boe.es/gazeta/dias/1800/01/14/pdfs/GMD-1800-4.pdf#page=3","Abrir facsímil")</f>
        <v>Abrir facsímil</v>
      </c>
      <c r="K2260" s="15" t="s">
        <v>23</v>
      </c>
    </row>
    <row r="2261" spans="1:11" ht="42" customHeight="1">
      <c r="A2261" s="4" t="s">
        <v>5681</v>
      </c>
      <c r="B2261" s="5" t="s">
        <v>5682</v>
      </c>
      <c r="C2261" s="5" t="s">
        <v>41</v>
      </c>
      <c r="D2261" s="5" t="s">
        <v>42</v>
      </c>
      <c r="E2261" s="5" t="s">
        <v>491</v>
      </c>
      <c r="F2261" s="9">
        <v>29</v>
      </c>
      <c r="G2261" s="9">
        <v>296</v>
      </c>
      <c r="H2261" s="5" t="s">
        <v>21</v>
      </c>
      <c r="I2261" s="5" t="s">
        <v>5684</v>
      </c>
      <c r="J2261" s="12" t="str">
        <f>HYPERLINK("https://www.boe.es/gazeta/dias/1800/04/11/pdfs/GMD-1800-29.pdf#page=4","Abrir facsímil")</f>
        <v>Abrir facsímil</v>
      </c>
      <c r="K2261" s="15" t="s">
        <v>23</v>
      </c>
    </row>
    <row r="2262" spans="1:11" ht="42" customHeight="1">
      <c r="A2262" s="4" t="s">
        <v>5681</v>
      </c>
      <c r="B2262" s="5" t="s">
        <v>5682</v>
      </c>
      <c r="C2262" s="5" t="s">
        <v>41</v>
      </c>
      <c r="D2262" s="5" t="s">
        <v>42</v>
      </c>
      <c r="E2262" s="5" t="s">
        <v>1294</v>
      </c>
      <c r="F2262" s="9">
        <v>59</v>
      </c>
      <c r="G2262" s="9">
        <v>672</v>
      </c>
      <c r="H2262" s="5" t="s">
        <v>21</v>
      </c>
      <c r="I2262" s="5" t="s">
        <v>5685</v>
      </c>
      <c r="J2262" s="12" t="str">
        <f>HYPERLINK("https://www.boe.es/gazeta/dias/1800/07/25/pdfs/GMD-1800-59.pdf#page=4","Abrir facsímil")</f>
        <v>Abrir facsímil</v>
      </c>
      <c r="K2262" s="15" t="s">
        <v>23</v>
      </c>
    </row>
    <row r="2263" spans="1:11" ht="42" customHeight="1">
      <c r="A2263" s="4" t="s">
        <v>5681</v>
      </c>
      <c r="B2263" s="5" t="s">
        <v>5682</v>
      </c>
      <c r="C2263" s="5" t="s">
        <v>18</v>
      </c>
      <c r="D2263" s="5" t="s">
        <v>19</v>
      </c>
      <c r="E2263" s="5" t="s">
        <v>154</v>
      </c>
      <c r="F2263" s="9">
        <v>61</v>
      </c>
      <c r="G2263" s="9">
        <v>692</v>
      </c>
      <c r="H2263" s="5" t="s">
        <v>21</v>
      </c>
      <c r="I2263" s="5" t="s">
        <v>5686</v>
      </c>
      <c r="J2263" s="12" t="str">
        <f>HYPERLINK("https://www.boe.es/gazeta/dias/1800/08/01/pdfs/GMD-1800-61.pdf#page=4","Abrir facsímil")</f>
        <v>Abrir facsímil</v>
      </c>
      <c r="K2263" s="15" t="s">
        <v>23</v>
      </c>
    </row>
    <row r="2264" spans="1:11" ht="42" customHeight="1">
      <c r="A2264" s="4" t="s">
        <v>5687</v>
      </c>
      <c r="B2264" s="5" t="s">
        <v>5688</v>
      </c>
      <c r="C2264" s="5" t="s">
        <v>18</v>
      </c>
      <c r="D2264" s="5" t="s">
        <v>19</v>
      </c>
      <c r="E2264" s="5" t="s">
        <v>1294</v>
      </c>
      <c r="F2264" s="9">
        <v>59</v>
      </c>
      <c r="G2264" s="9">
        <v>670</v>
      </c>
      <c r="H2264" s="5" t="s">
        <v>21</v>
      </c>
      <c r="I2264" s="5" t="s">
        <v>5689</v>
      </c>
      <c r="J2264" s="12" t="str">
        <f>HYPERLINK("https://www.boe.es/gazeta/dias/1800/07/25/pdfs/GMD-1800-59.pdf#page=2","Abrir facsímil")</f>
        <v>Abrir facsímil</v>
      </c>
      <c r="K2264" s="15" t="s">
        <v>23</v>
      </c>
    </row>
    <row r="2265" spans="1:11" ht="42" customHeight="1">
      <c r="A2265" s="4" t="s">
        <v>5687</v>
      </c>
      <c r="B2265" s="5" t="s">
        <v>5688</v>
      </c>
      <c r="C2265" s="5" t="s">
        <v>18</v>
      </c>
      <c r="D2265" s="5" t="s">
        <v>19</v>
      </c>
      <c r="E2265" s="5" t="s">
        <v>176</v>
      </c>
      <c r="F2265" s="9">
        <v>88</v>
      </c>
      <c r="G2265" s="9">
        <v>1020</v>
      </c>
      <c r="H2265" s="5" t="s">
        <v>21</v>
      </c>
      <c r="I2265" s="5" t="s">
        <v>5690</v>
      </c>
      <c r="J2265" s="12" t="str">
        <f>HYPERLINK("https://www.boe.es/gazeta/dias/1800/10/31/pdfs/GMD-1800-88.pdf#page=2","Abrir facsímil")</f>
        <v>Abrir facsímil</v>
      </c>
      <c r="K2265" s="15" t="s">
        <v>23</v>
      </c>
    </row>
    <row r="2266" spans="1:11" ht="42" customHeight="1">
      <c r="A2266" s="4" t="s">
        <v>5691</v>
      </c>
      <c r="B2266" s="5" t="s">
        <v>5692</v>
      </c>
      <c r="C2266" s="5" t="s">
        <v>41</v>
      </c>
      <c r="D2266" s="5" t="s">
        <v>42</v>
      </c>
      <c r="E2266" s="5" t="s">
        <v>116</v>
      </c>
      <c r="F2266" s="9">
        <v>86</v>
      </c>
      <c r="G2266" s="9">
        <v>991</v>
      </c>
      <c r="H2266" s="5" t="s">
        <v>21</v>
      </c>
      <c r="I2266" s="5" t="s">
        <v>5693</v>
      </c>
      <c r="J2266" s="12" t="str">
        <f>HYPERLINK("https://www.boe.es/gazeta/dias/1800/10/24/pdfs/GMD-1800-86.pdf#page=1","Abrir facsímil")</f>
        <v>Abrir facsímil</v>
      </c>
      <c r="K2266" s="15" t="s">
        <v>23</v>
      </c>
    </row>
    <row r="2267" spans="1:11" ht="42" customHeight="1">
      <c r="A2267" s="4" t="s">
        <v>5694</v>
      </c>
      <c r="B2267" s="5" t="s">
        <v>5695</v>
      </c>
      <c r="C2267" s="5" t="s">
        <v>41</v>
      </c>
      <c r="D2267" s="5" t="s">
        <v>42</v>
      </c>
      <c r="E2267" s="5" t="s">
        <v>248</v>
      </c>
      <c r="F2267" s="9">
        <v>33</v>
      </c>
      <c r="G2267" s="9">
        <v>328</v>
      </c>
      <c r="H2267" s="5" t="s">
        <v>21</v>
      </c>
      <c r="I2267" s="5" t="s">
        <v>5696</v>
      </c>
      <c r="J2267" s="12" t="str">
        <f>HYPERLINK("https://www.boe.es/gazeta/dias/1800/04/25/pdfs/GMD-1800-33.pdf#page=4","Abrir facsímil")</f>
        <v>Abrir facsímil</v>
      </c>
      <c r="K2267" s="15" t="s">
        <v>23</v>
      </c>
    </row>
    <row r="2268" spans="1:11" ht="42" customHeight="1">
      <c r="A2268" s="4" t="s">
        <v>5697</v>
      </c>
      <c r="B2268" s="5" t="s">
        <v>5698</v>
      </c>
      <c r="C2268" s="5" t="s">
        <v>18</v>
      </c>
      <c r="D2268" s="5" t="s">
        <v>19</v>
      </c>
      <c r="E2268" s="5" t="s">
        <v>1231</v>
      </c>
      <c r="F2268" s="9">
        <v>36</v>
      </c>
      <c r="G2268" s="9">
        <v>359</v>
      </c>
      <c r="H2268" s="5" t="s">
        <v>21</v>
      </c>
      <c r="I2268" s="5" t="s">
        <v>5699</v>
      </c>
      <c r="J2268" s="12" t="str">
        <f>HYPERLINK("https://www.boe.es/gazeta/dias/1800/05/06/pdfs/GMD-1800-36.pdf#page=3","Abrir facsímil")</f>
        <v>Abrir facsímil</v>
      </c>
      <c r="K2268" s="15" t="s">
        <v>23</v>
      </c>
    </row>
    <row r="2269" spans="1:11" ht="42" customHeight="1">
      <c r="A2269" s="4" t="s">
        <v>5700</v>
      </c>
      <c r="B2269" s="5" t="s">
        <v>5701</v>
      </c>
      <c r="C2269" s="5" t="s">
        <v>54</v>
      </c>
      <c r="D2269" s="5" t="s">
        <v>55</v>
      </c>
      <c r="E2269" s="5" t="s">
        <v>139</v>
      </c>
      <c r="F2269" s="9">
        <v>2</v>
      </c>
      <c r="G2269" s="9">
        <v>19</v>
      </c>
      <c r="H2269" s="5" t="s">
        <v>21</v>
      </c>
      <c r="I2269" s="5" t="s">
        <v>5702</v>
      </c>
      <c r="J2269" s="12" t="str">
        <f>HYPERLINK("https://www.boe.es/gazeta/dias/1800/01/07/pdfs/GMD-1800-2.pdf#page=11","Abrir facsímil")</f>
        <v>Abrir facsímil</v>
      </c>
      <c r="K2269" s="15" t="s">
        <v>23</v>
      </c>
    </row>
    <row r="2270" spans="1:11" ht="42" customHeight="1">
      <c r="A2270" s="4" t="s">
        <v>5703</v>
      </c>
      <c r="B2270" s="5" t="s">
        <v>5704</v>
      </c>
      <c r="C2270" s="5" t="s">
        <v>25</v>
      </c>
      <c r="D2270" s="5" t="s">
        <v>26</v>
      </c>
      <c r="E2270" s="5" t="s">
        <v>314</v>
      </c>
      <c r="F2270" s="9">
        <v>74</v>
      </c>
      <c r="G2270" s="9">
        <v>830</v>
      </c>
      <c r="H2270" s="5" t="s">
        <v>21</v>
      </c>
      <c r="I2270" s="5" t="s">
        <v>5705</v>
      </c>
      <c r="J2270" s="12" t="str">
        <f>HYPERLINK("https://www.boe.es/gazeta/dias/1800/09/12/pdfs/GMD-1800-74.pdf#page=8","Abrir facsímil")</f>
        <v>Abrir facsímil</v>
      </c>
      <c r="K2270" s="15" t="s">
        <v>23</v>
      </c>
    </row>
    <row r="2271" spans="1:11" ht="42" customHeight="1">
      <c r="A2271" s="4" t="s">
        <v>5706</v>
      </c>
      <c r="B2271" s="5" t="s">
        <v>5707</v>
      </c>
      <c r="C2271" s="5" t="s">
        <v>84</v>
      </c>
      <c r="D2271" s="5" t="s">
        <v>85</v>
      </c>
      <c r="E2271" s="5" t="s">
        <v>567</v>
      </c>
      <c r="F2271" s="9">
        <v>3</v>
      </c>
      <c r="G2271" s="9">
        <v>28</v>
      </c>
      <c r="H2271" s="5" t="s">
        <v>21</v>
      </c>
      <c r="I2271" s="5" t="s">
        <v>5708</v>
      </c>
      <c r="J2271" s="12" t="str">
        <f>HYPERLINK("https://www.boe.es/gazeta/dias/1800/01/10/pdfs/GMD-1800-3.pdf#page=8","Abrir facsímil")</f>
        <v>Abrir facsímil</v>
      </c>
      <c r="K2271" s="15" t="s">
        <v>23</v>
      </c>
    </row>
    <row r="2272" spans="1:11" ht="42" customHeight="1">
      <c r="A2272" s="4" t="s">
        <v>5709</v>
      </c>
      <c r="B2272" s="5" t="s">
        <v>5710</v>
      </c>
      <c r="C2272" s="5" t="s">
        <v>25</v>
      </c>
      <c r="D2272" s="5" t="s">
        <v>26</v>
      </c>
      <c r="E2272" s="5" t="s">
        <v>618</v>
      </c>
      <c r="F2272" s="9">
        <v>1</v>
      </c>
      <c r="G2272" s="9">
        <v>6</v>
      </c>
      <c r="H2272" s="5" t="s">
        <v>21</v>
      </c>
      <c r="I2272" s="5" t="s">
        <v>5711</v>
      </c>
      <c r="J2272" s="12" t="str">
        <f>HYPERLINK("https://www.boe.es/gazeta/dias/1800/01/03/pdfs/GMD-1800-1.pdf#page=6","Abrir facsímil")</f>
        <v>Abrir facsímil</v>
      </c>
      <c r="K2272" s="15" t="s">
        <v>23</v>
      </c>
    </row>
    <row r="2273" spans="1:11" ht="42" customHeight="1">
      <c r="A2273" s="4" t="s">
        <v>5712</v>
      </c>
      <c r="B2273" s="5" t="s">
        <v>5713</v>
      </c>
      <c r="C2273" s="5" t="s">
        <v>18</v>
      </c>
      <c r="D2273" s="5" t="s">
        <v>19</v>
      </c>
      <c r="E2273" s="5" t="s">
        <v>135</v>
      </c>
      <c r="F2273" s="9">
        <v>73</v>
      </c>
      <c r="G2273" s="9">
        <v>814</v>
      </c>
      <c r="H2273" s="5" t="s">
        <v>21</v>
      </c>
      <c r="I2273" s="5" t="s">
        <v>5714</v>
      </c>
      <c r="J2273" s="12" t="str">
        <f>HYPERLINK("https://www.boe.es/gazeta/dias/1800/09/09/pdfs/GMD-1800-73.pdf#page=8","Abrir facsímil")</f>
        <v>Abrir facsímil</v>
      </c>
      <c r="K2273" s="15" t="s">
        <v>23</v>
      </c>
    </row>
    <row r="2274" spans="1:11" ht="42" customHeight="1">
      <c r="A2274" s="4" t="s">
        <v>5715</v>
      </c>
      <c r="B2274" s="5" t="s">
        <v>5716</v>
      </c>
      <c r="C2274" s="5" t="s">
        <v>18</v>
      </c>
      <c r="D2274" s="5" t="s">
        <v>19</v>
      </c>
      <c r="E2274" s="5" t="s">
        <v>135</v>
      </c>
      <c r="F2274" s="9">
        <v>73</v>
      </c>
      <c r="G2274" s="9">
        <v>815</v>
      </c>
      <c r="H2274" s="5" t="s">
        <v>21</v>
      </c>
      <c r="I2274" s="5" t="s">
        <v>5717</v>
      </c>
      <c r="J2274" s="12" t="str">
        <f>HYPERLINK("https://www.boe.es/gazeta/dias/1800/09/09/pdfs/GMD-1800-73.pdf#page=9","Abrir facsímil")</f>
        <v>Abrir facsímil</v>
      </c>
      <c r="K2274" s="15" t="s">
        <v>23</v>
      </c>
    </row>
    <row r="2275" spans="1:11" ht="42" customHeight="1">
      <c r="A2275" s="4" t="s">
        <v>5718</v>
      </c>
      <c r="B2275" s="5" t="s">
        <v>5719</v>
      </c>
      <c r="C2275" s="5" t="s">
        <v>207</v>
      </c>
      <c r="D2275" s="5" t="s">
        <v>55</v>
      </c>
      <c r="E2275" s="5" t="s">
        <v>111</v>
      </c>
      <c r="F2275" s="9">
        <v>98</v>
      </c>
      <c r="G2275" s="9">
        <v>1128</v>
      </c>
      <c r="H2275" s="5" t="s">
        <v>21</v>
      </c>
      <c r="I2275" s="5" t="s">
        <v>5720</v>
      </c>
      <c r="J2275" s="12" t="str">
        <f>HYPERLINK("https://www.boe.es/gazeta/dias/1800/12/05/pdfs/GMD-1800-98.pdf#page=8","Abrir facsímil")</f>
        <v>Abrir facsímil</v>
      </c>
      <c r="K2275" s="15" t="s">
        <v>23</v>
      </c>
    </row>
    <row r="2276" spans="1:11" ht="42" customHeight="1">
      <c r="A2276" s="4" t="s">
        <v>5721</v>
      </c>
      <c r="B2276" s="5" t="s">
        <v>5722</v>
      </c>
      <c r="C2276" s="5" t="s">
        <v>18</v>
      </c>
      <c r="D2276" s="5" t="s">
        <v>19</v>
      </c>
      <c r="E2276" s="5" t="s">
        <v>618</v>
      </c>
      <c r="F2276" s="9">
        <v>1</v>
      </c>
      <c r="G2276" s="9">
        <v>6</v>
      </c>
      <c r="H2276" s="5" t="s">
        <v>21</v>
      </c>
      <c r="I2276" s="5" t="s">
        <v>5723</v>
      </c>
      <c r="J2276" s="12" t="str">
        <f>HYPERLINK("https://www.boe.es/gazeta/dias/1800/01/03/pdfs/GMD-1800-1.pdf#page=6","Abrir facsímil")</f>
        <v>Abrir facsímil</v>
      </c>
      <c r="K2276" s="15" t="s">
        <v>23</v>
      </c>
    </row>
    <row r="2277" spans="1:11" ht="42" customHeight="1">
      <c r="A2277" s="4" t="s">
        <v>5724</v>
      </c>
      <c r="B2277" s="5" t="s">
        <v>5725</v>
      </c>
      <c r="C2277" s="5" t="s">
        <v>25</v>
      </c>
      <c r="D2277" s="5" t="s">
        <v>26</v>
      </c>
      <c r="E2277" s="5" t="s">
        <v>45</v>
      </c>
      <c r="F2277" s="9">
        <v>47</v>
      </c>
      <c r="G2277" s="9">
        <v>503</v>
      </c>
      <c r="H2277" s="5" t="s">
        <v>21</v>
      </c>
      <c r="I2277" s="5" t="s">
        <v>5726</v>
      </c>
      <c r="J2277" s="12" t="str">
        <f>HYPERLINK("https://www.boe.es/gazeta/dias/1800/06/13/pdfs/GMD-1800-47.pdf#page=11","Abrir facsímil")</f>
        <v>Abrir facsímil</v>
      </c>
      <c r="K2277" s="15" t="s">
        <v>23</v>
      </c>
    </row>
    <row r="2278" spans="1:11" ht="42" customHeight="1">
      <c r="A2278" s="4" t="s">
        <v>5727</v>
      </c>
      <c r="B2278" s="5" t="s">
        <v>5728</v>
      </c>
      <c r="C2278" s="5" t="s">
        <v>1179</v>
      </c>
      <c r="D2278" s="5" t="s">
        <v>1180</v>
      </c>
      <c r="E2278" s="5" t="s">
        <v>314</v>
      </c>
      <c r="F2278" s="9">
        <v>74</v>
      </c>
      <c r="G2278" s="9">
        <v>844</v>
      </c>
      <c r="H2278" s="5" t="s">
        <v>21</v>
      </c>
      <c r="I2278" s="5" t="s">
        <v>5729</v>
      </c>
      <c r="J2278" s="12" t="str">
        <f>HYPERLINK("https://www.boe.es/gazeta/dias/1800/09/12/pdfs/GMD-C-1800-74.pdf#page=6","Abrir facsímil")</f>
        <v>Abrir facsímil</v>
      </c>
      <c r="K2278" s="15" t="s">
        <v>23</v>
      </c>
    </row>
    <row r="2279" spans="1:11" ht="42" customHeight="1">
      <c r="A2279" s="4" t="s">
        <v>5730</v>
      </c>
      <c r="B2279" s="5" t="s">
        <v>5731</v>
      </c>
      <c r="C2279" s="5" t="s">
        <v>18</v>
      </c>
      <c r="D2279" s="5" t="s">
        <v>19</v>
      </c>
      <c r="E2279" s="5" t="s">
        <v>203</v>
      </c>
      <c r="F2279" s="9">
        <v>94</v>
      </c>
      <c r="G2279" s="9">
        <v>1077</v>
      </c>
      <c r="H2279" s="5" t="s">
        <v>21</v>
      </c>
      <c r="I2279" s="5" t="s">
        <v>5732</v>
      </c>
      <c r="J2279" s="12" t="str">
        <f>HYPERLINK("https://www.boe.es/gazeta/dias/1800/11/21/pdfs/GMD-1800-94.pdf#page=7","Abrir facsímil")</f>
        <v>Abrir facsímil</v>
      </c>
      <c r="K2279" s="15" t="s">
        <v>23</v>
      </c>
    </row>
    <row r="2280" spans="1:11" ht="42" customHeight="1">
      <c r="A2280" s="4" t="s">
        <v>5733</v>
      </c>
      <c r="B2280" s="5" t="s">
        <v>5734</v>
      </c>
      <c r="C2280" s="5" t="s">
        <v>18</v>
      </c>
      <c r="D2280" s="5" t="s">
        <v>19</v>
      </c>
      <c r="E2280" s="5" t="s">
        <v>618</v>
      </c>
      <c r="F2280" s="9">
        <v>1</v>
      </c>
      <c r="G2280" s="9">
        <v>6</v>
      </c>
      <c r="H2280" s="5" t="s">
        <v>21</v>
      </c>
      <c r="I2280" s="5" t="s">
        <v>5735</v>
      </c>
      <c r="J2280" s="12" t="str">
        <f>HYPERLINK("https://www.boe.es/gazeta/dias/1800/01/03/pdfs/GMD-1800-1.pdf#page=6","Abrir facsímil")</f>
        <v>Abrir facsímil</v>
      </c>
      <c r="K2280" s="15" t="s">
        <v>23</v>
      </c>
    </row>
    <row r="2281" spans="1:11" ht="42" customHeight="1">
      <c r="A2281" s="4" t="s">
        <v>5736</v>
      </c>
      <c r="B2281" s="5" t="s">
        <v>5737</v>
      </c>
      <c r="C2281" s="5" t="s">
        <v>18</v>
      </c>
      <c r="D2281" s="5" t="s">
        <v>19</v>
      </c>
      <c r="E2281" s="5" t="s">
        <v>310</v>
      </c>
      <c r="F2281" s="9">
        <v>56</v>
      </c>
      <c r="G2281" s="9">
        <v>633</v>
      </c>
      <c r="H2281" s="5" t="s">
        <v>21</v>
      </c>
      <c r="I2281" s="5" t="s">
        <v>5738</v>
      </c>
      <c r="J2281" s="12" t="str">
        <f>HYPERLINK("https://www.boe.es/gazeta/dias/1800/07/15/pdfs/GMD-1800-56.pdf#page=9","Abrir facsímil")</f>
        <v>Abrir facsímil</v>
      </c>
      <c r="K2281" s="15" t="s">
        <v>23</v>
      </c>
    </row>
    <row r="2282" spans="1:11" ht="42" customHeight="1">
      <c r="A2282" s="4" t="s">
        <v>5739</v>
      </c>
      <c r="B2282" s="5" t="s">
        <v>5740</v>
      </c>
      <c r="C2282" s="5" t="s">
        <v>18</v>
      </c>
      <c r="D2282" s="5" t="s">
        <v>19</v>
      </c>
      <c r="E2282" s="5" t="s">
        <v>618</v>
      </c>
      <c r="F2282" s="9">
        <v>1</v>
      </c>
      <c r="G2282" s="9">
        <v>3</v>
      </c>
      <c r="H2282" s="5" t="s">
        <v>21</v>
      </c>
      <c r="I2282" s="5" t="s">
        <v>5741</v>
      </c>
      <c r="J2282" s="12" t="str">
        <f>HYPERLINK("https://www.boe.es/gazeta/dias/1800/01/03/pdfs/GMD-1800-1.pdf#page=3","Abrir facsímil")</f>
        <v>Abrir facsímil</v>
      </c>
      <c r="K2282" s="15" t="s">
        <v>23</v>
      </c>
    </row>
    <row r="2283" spans="1:11" ht="42" customHeight="1">
      <c r="A2283" s="4" t="s">
        <v>5742</v>
      </c>
      <c r="B2283" s="5" t="s">
        <v>5742</v>
      </c>
      <c r="C2283" s="5" t="s">
        <v>41</v>
      </c>
      <c r="D2283" s="5" t="s">
        <v>42</v>
      </c>
      <c r="E2283" s="5" t="s">
        <v>194</v>
      </c>
      <c r="F2283" s="9">
        <v>48</v>
      </c>
      <c r="G2283" s="9">
        <v>516</v>
      </c>
      <c r="H2283" s="5" t="s">
        <v>21</v>
      </c>
      <c r="I2283" s="5" t="s">
        <v>5743</v>
      </c>
      <c r="J2283" s="12" t="str">
        <f>HYPERLINK("https://www.boe.es/gazeta/dias/1800/06/17/pdfs/GMD-1800-48.pdf#page=8","Abrir facsímil")</f>
        <v>Abrir facsímil</v>
      </c>
      <c r="K2283" s="15" t="s">
        <v>23</v>
      </c>
    </row>
    <row r="2284" spans="1:11" ht="42" customHeight="1">
      <c r="A2284" s="4" t="s">
        <v>5744</v>
      </c>
      <c r="B2284" s="5" t="s">
        <v>5744</v>
      </c>
      <c r="C2284" s="5" t="s">
        <v>18</v>
      </c>
      <c r="D2284" s="5" t="s">
        <v>19</v>
      </c>
      <c r="E2284" s="5" t="s">
        <v>56</v>
      </c>
      <c r="F2284" s="9">
        <v>90</v>
      </c>
      <c r="G2284" s="9">
        <v>1052</v>
      </c>
      <c r="H2284" s="5" t="s">
        <v>21</v>
      </c>
      <c r="I2284" s="5" t="s">
        <v>1770</v>
      </c>
      <c r="J2284" s="12" t="str">
        <f>HYPERLINK("https://www.boe.es/gazeta/dias/1800/11/07/pdfs/GMD-1800-90.pdf#page=6","Abrir facsímil")</f>
        <v>Abrir facsímil</v>
      </c>
      <c r="K2284" s="15" t="s">
        <v>23</v>
      </c>
    </row>
    <row r="2285" spans="1:11" ht="42" customHeight="1">
      <c r="A2285" s="4" t="s">
        <v>5745</v>
      </c>
      <c r="B2285" s="5" t="s">
        <v>5746</v>
      </c>
      <c r="C2285" s="5" t="s">
        <v>41</v>
      </c>
      <c r="D2285" s="5" t="s">
        <v>42</v>
      </c>
      <c r="E2285" s="5" t="s">
        <v>823</v>
      </c>
      <c r="F2285" s="9">
        <v>50</v>
      </c>
      <c r="G2285" s="9">
        <v>541</v>
      </c>
      <c r="H2285" s="5" t="s">
        <v>21</v>
      </c>
      <c r="I2285" s="5" t="s">
        <v>5747</v>
      </c>
      <c r="J2285" s="12" t="str">
        <f>HYPERLINK("https://www.boe.es/gazeta/dias/1800/06/24/pdfs/GMD-1800-50.pdf#page=5","Abrir facsímil")</f>
        <v>Abrir facsímil</v>
      </c>
      <c r="K2285" s="15" t="s">
        <v>23</v>
      </c>
    </row>
    <row r="2286" spans="1:11" ht="42" customHeight="1">
      <c r="A2286" s="4" t="s">
        <v>5748</v>
      </c>
      <c r="B2286" s="5" t="s">
        <v>5749</v>
      </c>
      <c r="C2286" s="5" t="s">
        <v>18</v>
      </c>
      <c r="D2286" s="5" t="s">
        <v>19</v>
      </c>
      <c r="E2286" s="5" t="s">
        <v>135</v>
      </c>
      <c r="F2286" s="9">
        <v>73</v>
      </c>
      <c r="G2286" s="9">
        <v>815</v>
      </c>
      <c r="H2286" s="5" t="s">
        <v>21</v>
      </c>
      <c r="I2286" s="5" t="s">
        <v>5750</v>
      </c>
      <c r="J2286" s="12" t="str">
        <f>HYPERLINK("https://www.boe.es/gazeta/dias/1800/09/09/pdfs/GMD-1800-73.pdf#page=9","Abrir facsímil")</f>
        <v>Abrir facsímil</v>
      </c>
      <c r="K2286" s="15" t="s">
        <v>23</v>
      </c>
    </row>
    <row r="2287" spans="1:11" ht="42" customHeight="1">
      <c r="A2287" s="4" t="s">
        <v>5751</v>
      </c>
      <c r="B2287" s="5" t="s">
        <v>5752</v>
      </c>
      <c r="C2287" s="5" t="s">
        <v>41</v>
      </c>
      <c r="D2287" s="5" t="s">
        <v>42</v>
      </c>
      <c r="E2287" s="5" t="s">
        <v>64</v>
      </c>
      <c r="F2287" s="9">
        <v>54</v>
      </c>
      <c r="G2287" s="9">
        <v>603</v>
      </c>
      <c r="H2287" s="5" t="s">
        <v>21</v>
      </c>
      <c r="I2287" s="5" t="s">
        <v>5753</v>
      </c>
      <c r="J2287" s="12" t="str">
        <f>HYPERLINK("https://www.boe.es/gazeta/dias/1800/07/08/pdfs/GMD-1800-54.pdf#page=7","Abrir facsímil")</f>
        <v>Abrir facsímil</v>
      </c>
      <c r="K2287" s="15" t="s">
        <v>23</v>
      </c>
    </row>
    <row r="2288" spans="1:11" ht="42" customHeight="1">
      <c r="A2288" s="4" t="s">
        <v>5751</v>
      </c>
      <c r="B2288" s="5" t="s">
        <v>5752</v>
      </c>
      <c r="C2288" s="5" t="s">
        <v>41</v>
      </c>
      <c r="D2288" s="5" t="s">
        <v>42</v>
      </c>
      <c r="E2288" s="5" t="s">
        <v>530</v>
      </c>
      <c r="F2288" s="9">
        <v>55</v>
      </c>
      <c r="G2288" s="9">
        <v>619</v>
      </c>
      <c r="H2288" s="5" t="s">
        <v>21</v>
      </c>
      <c r="I2288" s="5" t="s">
        <v>5754</v>
      </c>
      <c r="J2288" s="12" t="str">
        <f>HYPERLINK("https://www.boe.es/gazeta/dias/1800/07/11/pdfs/GMD-1800-55.pdf#page=7","Abrir facsímil")</f>
        <v>Abrir facsímil</v>
      </c>
      <c r="K2288" s="15" t="s">
        <v>23</v>
      </c>
    </row>
    <row r="2289" spans="1:11" ht="42" customHeight="1">
      <c r="A2289" s="4" t="s">
        <v>5751</v>
      </c>
      <c r="B2289" s="5" t="s">
        <v>5752</v>
      </c>
      <c r="C2289" s="5" t="s">
        <v>41</v>
      </c>
      <c r="D2289" s="5" t="s">
        <v>42</v>
      </c>
      <c r="E2289" s="5" t="s">
        <v>275</v>
      </c>
      <c r="F2289" s="9">
        <v>60</v>
      </c>
      <c r="G2289" s="9">
        <v>686</v>
      </c>
      <c r="H2289" s="5" t="s">
        <v>21</v>
      </c>
      <c r="I2289" s="5" t="s">
        <v>5755</v>
      </c>
      <c r="J2289" s="12" t="str">
        <f>HYPERLINK("https://www.boe.es/gazeta/dias/1800/07/29/pdfs/GMD-1800-60.pdf#page=6","Abrir facsímil")</f>
        <v>Abrir facsímil</v>
      </c>
      <c r="K2289" s="15" t="s">
        <v>23</v>
      </c>
    </row>
    <row r="2290" spans="1:11" ht="42" customHeight="1">
      <c r="A2290" s="4" t="s">
        <v>5751</v>
      </c>
      <c r="B2290" s="5" t="s">
        <v>5752</v>
      </c>
      <c r="C2290" s="5" t="s">
        <v>54</v>
      </c>
      <c r="D2290" s="5" t="s">
        <v>55</v>
      </c>
      <c r="E2290" s="5" t="s">
        <v>319</v>
      </c>
      <c r="F2290" s="9">
        <v>62</v>
      </c>
      <c r="G2290" s="9">
        <v>705</v>
      </c>
      <c r="H2290" s="5" t="s">
        <v>21</v>
      </c>
      <c r="I2290" s="5" t="s">
        <v>5756</v>
      </c>
      <c r="J2290" s="12" t="str">
        <f>HYPERLINK("https://www.boe.es/gazeta/dias/1800/08/05/pdfs/GMD-1800-62.pdf#page=5","Abrir facsímil")</f>
        <v>Abrir facsímil</v>
      </c>
      <c r="K2290" s="15" t="s">
        <v>23</v>
      </c>
    </row>
    <row r="2291" spans="1:11" ht="42" customHeight="1">
      <c r="A2291" s="4" t="s">
        <v>5757</v>
      </c>
      <c r="B2291" s="5" t="s">
        <v>5758</v>
      </c>
      <c r="C2291" s="5" t="s">
        <v>18</v>
      </c>
      <c r="D2291" s="5" t="s">
        <v>19</v>
      </c>
      <c r="E2291" s="5" t="s">
        <v>35</v>
      </c>
      <c r="F2291" s="9">
        <v>21</v>
      </c>
      <c r="G2291" s="9">
        <v>206</v>
      </c>
      <c r="H2291" s="5" t="s">
        <v>21</v>
      </c>
      <c r="I2291" s="5" t="s">
        <v>5759</v>
      </c>
      <c r="J2291" s="12" t="str">
        <f>HYPERLINK("https://www.boe.es/gazeta/dias/1800/03/14/pdfs/GMD-1800-21.pdf#page=10","Abrir facsímil")</f>
        <v>Abrir facsímil</v>
      </c>
      <c r="K2291" s="15" t="s">
        <v>23</v>
      </c>
    </row>
    <row r="2292" spans="1:11" ht="42" customHeight="1">
      <c r="A2292" s="4" t="s">
        <v>5760</v>
      </c>
      <c r="B2292" s="5" t="s">
        <v>5761</v>
      </c>
      <c r="C2292" s="5" t="s">
        <v>41</v>
      </c>
      <c r="D2292" s="5" t="s">
        <v>42</v>
      </c>
      <c r="E2292" s="5" t="s">
        <v>158</v>
      </c>
      <c r="F2292" s="9">
        <v>25</v>
      </c>
      <c r="G2292" s="9">
        <v>251</v>
      </c>
      <c r="H2292" s="5" t="s">
        <v>21</v>
      </c>
      <c r="I2292" s="5" t="s">
        <v>5762</v>
      </c>
      <c r="J2292" s="12" t="str">
        <f>HYPERLINK("https://www.boe.es/gazeta/dias/1800/03/28/pdfs/GMD-1800-25.pdf#page=3","Abrir facsímil")</f>
        <v>Abrir facsímil</v>
      </c>
      <c r="K2292" s="15" t="s">
        <v>23</v>
      </c>
    </row>
    <row r="2293" spans="1:11" ht="42" customHeight="1">
      <c r="A2293" s="4" t="s">
        <v>5763</v>
      </c>
      <c r="B2293" s="5" t="s">
        <v>5764</v>
      </c>
      <c r="C2293" s="5" t="s">
        <v>41</v>
      </c>
      <c r="D2293" s="5" t="s">
        <v>42</v>
      </c>
      <c r="E2293" s="5" t="s">
        <v>82</v>
      </c>
      <c r="F2293" s="9">
        <v>10</v>
      </c>
      <c r="G2293" s="9">
        <v>91</v>
      </c>
      <c r="H2293" s="5" t="s">
        <v>21</v>
      </c>
      <c r="I2293" s="5" t="s">
        <v>5765</v>
      </c>
      <c r="J2293" s="12" t="str">
        <f>HYPERLINK("https://www.boe.es/gazeta/dias/1800/02/04/pdfs/GMD-1800-10.pdf#page=3","Abrir facsímil")</f>
        <v>Abrir facsímil</v>
      </c>
      <c r="K2293" s="15" t="s">
        <v>23</v>
      </c>
    </row>
    <row r="2294" spans="1:11" ht="42" customHeight="1">
      <c r="A2294" s="4" t="s">
        <v>5766</v>
      </c>
      <c r="B2294" s="5" t="s">
        <v>5767</v>
      </c>
      <c r="C2294" s="5" t="s">
        <v>18</v>
      </c>
      <c r="D2294" s="5" t="s">
        <v>19</v>
      </c>
      <c r="E2294" s="5" t="s">
        <v>534</v>
      </c>
      <c r="F2294" s="9">
        <v>100</v>
      </c>
      <c r="G2294" s="9">
        <v>1161</v>
      </c>
      <c r="H2294" s="5" t="s">
        <v>21</v>
      </c>
      <c r="I2294" s="5" t="s">
        <v>5768</v>
      </c>
      <c r="J2294" s="12" t="str">
        <f>HYPERLINK("https://www.boe.es/gazeta/dias/1800/12/12/pdfs/GMD-1800-100.pdf#page=13","Abrir facsímil")</f>
        <v>Abrir facsímil</v>
      </c>
      <c r="K2294" s="15" t="s">
        <v>23</v>
      </c>
    </row>
    <row r="2295" spans="1:11" ht="42" customHeight="1">
      <c r="A2295" s="4" t="s">
        <v>5769</v>
      </c>
      <c r="B2295" s="5" t="s">
        <v>5770</v>
      </c>
      <c r="C2295" s="5" t="s">
        <v>41</v>
      </c>
      <c r="D2295" s="5" t="s">
        <v>42</v>
      </c>
      <c r="E2295" s="5" t="s">
        <v>64</v>
      </c>
      <c r="F2295" s="9">
        <v>54</v>
      </c>
      <c r="G2295" s="9">
        <v>603</v>
      </c>
      <c r="H2295" s="5" t="s">
        <v>21</v>
      </c>
      <c r="I2295" s="5" t="s">
        <v>5771</v>
      </c>
      <c r="J2295" s="12" t="str">
        <f>HYPERLINK("https://www.boe.es/gazeta/dias/1800/07/08/pdfs/GMD-1800-54.pdf#page=7","Abrir facsímil")</f>
        <v>Abrir facsímil</v>
      </c>
      <c r="K2295" s="15" t="s">
        <v>23</v>
      </c>
    </row>
    <row r="2296" spans="1:11" ht="42" customHeight="1">
      <c r="A2296" s="4" t="s">
        <v>5772</v>
      </c>
      <c r="B2296" s="5" t="s">
        <v>5773</v>
      </c>
      <c r="C2296" s="5" t="s">
        <v>18</v>
      </c>
      <c r="D2296" s="5" t="s">
        <v>19</v>
      </c>
      <c r="E2296" s="5" t="s">
        <v>143</v>
      </c>
      <c r="F2296" s="9">
        <v>22</v>
      </c>
      <c r="G2296" s="9">
        <v>221</v>
      </c>
      <c r="H2296" s="5" t="s">
        <v>21</v>
      </c>
      <c r="I2296" s="5" t="s">
        <v>5774</v>
      </c>
      <c r="J2296" s="12" t="str">
        <f>HYPERLINK("https://www.boe.es/gazeta/dias/1800/03/18/pdfs/GMD-1800-22.pdf#page=13","Abrir facsímil")</f>
        <v>Abrir facsímil</v>
      </c>
      <c r="K2296" s="15" t="s">
        <v>23</v>
      </c>
    </row>
    <row r="2297" spans="1:11" ht="42" customHeight="1">
      <c r="A2297" s="4" t="s">
        <v>5775</v>
      </c>
      <c r="B2297" s="5" t="s">
        <v>5775</v>
      </c>
      <c r="C2297" s="5" t="s">
        <v>18</v>
      </c>
      <c r="D2297" s="5" t="s">
        <v>19</v>
      </c>
      <c r="E2297" s="5" t="s">
        <v>120</v>
      </c>
      <c r="F2297" s="9">
        <v>52</v>
      </c>
      <c r="G2297" s="9">
        <v>575</v>
      </c>
      <c r="H2297" s="5" t="s">
        <v>21</v>
      </c>
      <c r="I2297" s="5" t="s">
        <v>5776</v>
      </c>
      <c r="J2297" s="12" t="str">
        <f>HYPERLINK("https://www.boe.es/gazeta/dias/1800/07/01/pdfs/GMD-1800-52.pdf#page=11","Abrir facsímil")</f>
        <v>Abrir facsímil</v>
      </c>
      <c r="K2297" s="15" t="s">
        <v>23</v>
      </c>
    </row>
    <row r="2298" spans="1:11" ht="42" customHeight="1">
      <c r="A2298" s="4" t="s">
        <v>5775</v>
      </c>
      <c r="B2298" s="5" t="s">
        <v>5775</v>
      </c>
      <c r="C2298" s="5" t="s">
        <v>25</v>
      </c>
      <c r="D2298" s="5" t="s">
        <v>26</v>
      </c>
      <c r="E2298" s="5" t="s">
        <v>319</v>
      </c>
      <c r="F2298" s="9">
        <v>62</v>
      </c>
      <c r="G2298" s="9">
        <v>707</v>
      </c>
      <c r="H2298" s="5" t="s">
        <v>21</v>
      </c>
      <c r="I2298" s="5" t="s">
        <v>5777</v>
      </c>
      <c r="J2298" s="12" t="str">
        <f>HYPERLINK("https://www.boe.es/gazeta/dias/1800/08/05/pdfs/GMD-1800-62.pdf#page=7","Abrir facsímil")</f>
        <v>Abrir facsímil</v>
      </c>
      <c r="K2298" s="15" t="s">
        <v>23</v>
      </c>
    </row>
    <row r="2299" spans="1:11" ht="42" customHeight="1">
      <c r="A2299" s="4" t="s">
        <v>5778</v>
      </c>
      <c r="B2299" s="5" t="s">
        <v>5779</v>
      </c>
      <c r="C2299" s="5" t="s">
        <v>18</v>
      </c>
      <c r="D2299" s="5" t="s">
        <v>19</v>
      </c>
      <c r="E2299" s="5" t="s">
        <v>139</v>
      </c>
      <c r="F2299" s="9">
        <v>2</v>
      </c>
      <c r="G2299" s="9">
        <v>17</v>
      </c>
      <c r="H2299" s="5" t="s">
        <v>21</v>
      </c>
      <c r="I2299" s="5" t="s">
        <v>5780</v>
      </c>
      <c r="J2299" s="12" t="str">
        <f>HYPERLINK("https://www.boe.es/gazeta/dias/1800/01/07/pdfs/GMD-1800-2.pdf#page=9","Abrir facsímil")</f>
        <v>Abrir facsímil</v>
      </c>
      <c r="K2299" s="15" t="s">
        <v>23</v>
      </c>
    </row>
    <row r="2300" spans="1:11" ht="42" customHeight="1">
      <c r="A2300" s="4" t="s">
        <v>5781</v>
      </c>
      <c r="B2300" s="5" t="s">
        <v>5782</v>
      </c>
      <c r="C2300" s="5" t="s">
        <v>207</v>
      </c>
      <c r="D2300" s="5" t="s">
        <v>55</v>
      </c>
      <c r="E2300" s="5" t="s">
        <v>306</v>
      </c>
      <c r="F2300" s="9">
        <v>79</v>
      </c>
      <c r="G2300" s="9">
        <v>899</v>
      </c>
      <c r="H2300" s="5" t="s">
        <v>21</v>
      </c>
      <c r="I2300" s="5" t="s">
        <v>5783</v>
      </c>
      <c r="J2300" s="12" t="str">
        <f>HYPERLINK("https://www.boe.es/gazeta/dias/1800/09/30/pdfs/GMD-1800-79.pdf#page=9","Abrir facsímil")</f>
        <v>Abrir facsímil</v>
      </c>
      <c r="K2300" s="15" t="s">
        <v>23</v>
      </c>
    </row>
    <row r="2301" spans="1:11" ht="42" customHeight="1">
      <c r="A2301" s="4" t="s">
        <v>5784</v>
      </c>
      <c r="B2301" s="5" t="s">
        <v>5785</v>
      </c>
      <c r="C2301" s="5" t="s">
        <v>18</v>
      </c>
      <c r="D2301" s="5" t="s">
        <v>19</v>
      </c>
      <c r="E2301" s="5" t="s">
        <v>248</v>
      </c>
      <c r="F2301" s="9">
        <v>33</v>
      </c>
      <c r="G2301" s="9">
        <v>333</v>
      </c>
      <c r="H2301" s="5" t="s">
        <v>21</v>
      </c>
      <c r="I2301" s="5" t="s">
        <v>5786</v>
      </c>
      <c r="J2301" s="12" t="str">
        <f>HYPERLINK("https://www.boe.es/gazeta/dias/1800/04/25/pdfs/GMD-1800-33.pdf#page=9","Abrir facsímil")</f>
        <v>Abrir facsímil</v>
      </c>
      <c r="K2301" s="15" t="s">
        <v>23</v>
      </c>
    </row>
    <row r="2302" spans="1:11" ht="42" customHeight="1">
      <c r="A2302" s="4" t="s">
        <v>5787</v>
      </c>
      <c r="B2302" s="5" t="s">
        <v>5788</v>
      </c>
      <c r="C2302" s="5" t="s">
        <v>84</v>
      </c>
      <c r="D2302" s="5" t="s">
        <v>85</v>
      </c>
      <c r="E2302" s="5" t="s">
        <v>314</v>
      </c>
      <c r="F2302" s="9">
        <v>74</v>
      </c>
      <c r="G2302" s="9">
        <v>838</v>
      </c>
      <c r="H2302" s="5" t="s">
        <v>21</v>
      </c>
      <c r="I2302" s="5" t="s">
        <v>5789</v>
      </c>
      <c r="J2302" s="12" t="str">
        <f>HYPERLINK("https://www.boe.es/gazeta/dias/1800/09/12/pdfs/GMD-1800-74.pdf#page=16","Abrir facsímil")</f>
        <v>Abrir facsímil</v>
      </c>
      <c r="K2302" s="15" t="s">
        <v>23</v>
      </c>
    </row>
    <row r="2303" spans="1:11" ht="42" customHeight="1">
      <c r="A2303" s="4" t="s">
        <v>5790</v>
      </c>
      <c r="B2303" s="5" t="s">
        <v>5791</v>
      </c>
      <c r="C2303" s="5" t="s">
        <v>18</v>
      </c>
      <c r="D2303" s="5" t="s">
        <v>19</v>
      </c>
      <c r="E2303" s="5" t="s">
        <v>176</v>
      </c>
      <c r="F2303" s="9">
        <v>88</v>
      </c>
      <c r="G2303" s="9">
        <v>1031</v>
      </c>
      <c r="H2303" s="5" t="s">
        <v>21</v>
      </c>
      <c r="I2303" s="5" t="s">
        <v>5792</v>
      </c>
      <c r="J2303" s="12" t="str">
        <f>HYPERLINK("https://www.boe.es/gazeta/dias/1800/10/31/pdfs/GMD-1800-88.pdf#page=13","Abrir facsímil")</f>
        <v>Abrir facsímil</v>
      </c>
      <c r="K2303" s="15" t="s">
        <v>23</v>
      </c>
    </row>
    <row r="2304" spans="1:11" ht="42" customHeight="1">
      <c r="A2304" s="4" t="s">
        <v>5793</v>
      </c>
      <c r="B2304" s="5" t="s">
        <v>5794</v>
      </c>
      <c r="C2304" s="5" t="s">
        <v>207</v>
      </c>
      <c r="D2304" s="5" t="s">
        <v>55</v>
      </c>
      <c r="E2304" s="5" t="s">
        <v>39</v>
      </c>
      <c r="F2304" s="9">
        <v>43</v>
      </c>
      <c r="G2304" s="9">
        <v>450</v>
      </c>
      <c r="H2304" s="5" t="s">
        <v>21</v>
      </c>
      <c r="I2304" s="5" t="s">
        <v>5795</v>
      </c>
      <c r="J2304" s="12" t="str">
        <f>HYPERLINK("https://www.boe.es/gazeta/dias/1800/05/30/pdfs/GMD-1800-43.pdf#page=10","Abrir facsímil")</f>
        <v>Abrir facsímil</v>
      </c>
      <c r="K2304" s="15" t="s">
        <v>23</v>
      </c>
    </row>
    <row r="2305" spans="1:11" ht="42" customHeight="1">
      <c r="A2305" s="4" t="s">
        <v>5796</v>
      </c>
      <c r="B2305" s="5" t="s">
        <v>5797</v>
      </c>
      <c r="C2305" s="5" t="s">
        <v>18</v>
      </c>
      <c r="D2305" s="5" t="s">
        <v>19</v>
      </c>
      <c r="E2305" s="5" t="s">
        <v>143</v>
      </c>
      <c r="F2305" s="9">
        <v>22</v>
      </c>
      <c r="G2305" s="9">
        <v>220</v>
      </c>
      <c r="H2305" s="5" t="s">
        <v>21</v>
      </c>
      <c r="I2305" s="5" t="s">
        <v>5798</v>
      </c>
      <c r="J2305" s="12" t="str">
        <f>HYPERLINK("https://www.boe.es/gazeta/dias/1800/03/18/pdfs/GMD-1800-22.pdf#page=12","Abrir facsímil")</f>
        <v>Abrir facsímil</v>
      </c>
      <c r="K2305" s="15" t="s">
        <v>23</v>
      </c>
    </row>
    <row r="2306" spans="1:11" ht="42" customHeight="1">
      <c r="A2306" s="4" t="s">
        <v>5799</v>
      </c>
      <c r="B2306" s="5" t="s">
        <v>5800</v>
      </c>
      <c r="C2306" s="5" t="s">
        <v>18</v>
      </c>
      <c r="D2306" s="5" t="s">
        <v>19</v>
      </c>
      <c r="E2306" s="5" t="s">
        <v>124</v>
      </c>
      <c r="F2306" s="9">
        <v>16</v>
      </c>
      <c r="G2306" s="9">
        <v>151</v>
      </c>
      <c r="H2306" s="5" t="s">
        <v>21</v>
      </c>
      <c r="I2306" s="5" t="s">
        <v>5801</v>
      </c>
      <c r="J2306" s="12" t="str">
        <f>HYPERLINK("https://www.boe.es/gazeta/dias/1800/02/25/pdfs/GMD-1800-16.pdf#page=7","Abrir facsímil")</f>
        <v>Abrir facsímil</v>
      </c>
      <c r="K2306" s="15" t="s">
        <v>23</v>
      </c>
    </row>
    <row r="2307" spans="1:11" ht="42" customHeight="1">
      <c r="A2307" s="4" t="s">
        <v>5802</v>
      </c>
      <c r="B2307" s="5" t="s">
        <v>5803</v>
      </c>
      <c r="C2307" s="5" t="s">
        <v>18</v>
      </c>
      <c r="D2307" s="5" t="s">
        <v>19</v>
      </c>
      <c r="E2307" s="5" t="s">
        <v>124</v>
      </c>
      <c r="F2307" s="9">
        <v>16</v>
      </c>
      <c r="G2307" s="9">
        <v>151</v>
      </c>
      <c r="H2307" s="5" t="s">
        <v>21</v>
      </c>
      <c r="I2307" s="5" t="s">
        <v>5804</v>
      </c>
      <c r="J2307" s="12" t="str">
        <f>HYPERLINK("https://www.boe.es/gazeta/dias/1800/02/25/pdfs/GMD-1800-16.pdf#page=7","Abrir facsímil")</f>
        <v>Abrir facsímil</v>
      </c>
      <c r="K2307" s="15" t="s">
        <v>23</v>
      </c>
    </row>
    <row r="2308" spans="1:11" ht="42" customHeight="1">
      <c r="A2308" s="4" t="s">
        <v>5805</v>
      </c>
      <c r="B2308" s="5" t="s">
        <v>5806</v>
      </c>
      <c r="C2308" s="5" t="s">
        <v>207</v>
      </c>
      <c r="D2308" s="5" t="s">
        <v>55</v>
      </c>
      <c r="E2308" s="5" t="s">
        <v>105</v>
      </c>
      <c r="F2308" s="9">
        <v>28</v>
      </c>
      <c r="G2308" s="9">
        <v>290</v>
      </c>
      <c r="H2308" s="5" t="s">
        <v>21</v>
      </c>
      <c r="I2308" s="5" t="s">
        <v>5807</v>
      </c>
      <c r="J2308" s="12" t="str">
        <f>HYPERLINK("https://www.boe.es/gazeta/dias/1800/04/08/pdfs/GMD-1800-28.pdf#page=6","Abrir facsímil")</f>
        <v>Abrir facsímil</v>
      </c>
      <c r="K2308" s="15" t="s">
        <v>23</v>
      </c>
    </row>
    <row r="2309" spans="1:11" ht="42" customHeight="1">
      <c r="A2309" s="4" t="s">
        <v>5808</v>
      </c>
      <c r="B2309" s="5" t="s">
        <v>5809</v>
      </c>
      <c r="C2309" s="5" t="s">
        <v>18</v>
      </c>
      <c r="D2309" s="5" t="s">
        <v>19</v>
      </c>
      <c r="E2309" s="5" t="s">
        <v>194</v>
      </c>
      <c r="F2309" s="9">
        <v>48</v>
      </c>
      <c r="G2309" s="9">
        <v>519</v>
      </c>
      <c r="H2309" s="5" t="s">
        <v>21</v>
      </c>
      <c r="I2309" s="5" t="s">
        <v>5810</v>
      </c>
      <c r="J2309" s="12" t="str">
        <f>HYPERLINK("https://www.boe.es/gazeta/dias/1800/06/17/pdfs/GMD-1800-48.pdf#page=11","Abrir facsímil")</f>
        <v>Abrir facsímil</v>
      </c>
      <c r="K2309" s="15" t="s">
        <v>23</v>
      </c>
    </row>
    <row r="2310" spans="1:11" ht="42" customHeight="1">
      <c r="A2310" s="4" t="s">
        <v>5811</v>
      </c>
      <c r="B2310" s="5" t="s">
        <v>5812</v>
      </c>
      <c r="C2310" s="5" t="s">
        <v>18</v>
      </c>
      <c r="D2310" s="5" t="s">
        <v>19</v>
      </c>
      <c r="E2310" s="5" t="s">
        <v>147</v>
      </c>
      <c r="F2310" s="9">
        <v>84</v>
      </c>
      <c r="G2310" s="9">
        <v>973</v>
      </c>
      <c r="H2310" s="5" t="s">
        <v>21</v>
      </c>
      <c r="I2310" s="5" t="s">
        <v>5813</v>
      </c>
      <c r="J2310" s="12" t="str">
        <f>HYPERLINK("https://www.boe.es/gazeta/dias/1800/10/17/pdfs/GMD-1800-84.pdf#page=7","Abrir facsímil")</f>
        <v>Abrir facsímil</v>
      </c>
      <c r="K2310" s="15" t="s">
        <v>23</v>
      </c>
    </row>
    <row r="2311" spans="1:11" ht="42" customHeight="1">
      <c r="A2311" s="4" t="s">
        <v>5814</v>
      </c>
      <c r="B2311" s="5" t="s">
        <v>5815</v>
      </c>
      <c r="C2311" s="5" t="s">
        <v>171</v>
      </c>
      <c r="D2311" s="5" t="s">
        <v>172</v>
      </c>
      <c r="E2311" s="5" t="s">
        <v>90</v>
      </c>
      <c r="F2311" s="9">
        <v>58</v>
      </c>
      <c r="G2311" s="9">
        <v>668</v>
      </c>
      <c r="H2311" s="5" t="s">
        <v>21</v>
      </c>
      <c r="I2311" s="5" t="s">
        <v>5816</v>
      </c>
      <c r="J2311" s="12" t="str">
        <f>HYPERLINK("https://www.boe.es/gazeta/dias/1800/07/22/pdfs/GMD-C-1800-58.pdf#page=4","Abrir facsímil")</f>
        <v>Abrir facsímil</v>
      </c>
      <c r="K2311" s="15" t="s">
        <v>23</v>
      </c>
    </row>
    <row r="2312" spans="1:11" ht="42" customHeight="1">
      <c r="A2312" s="4" t="s">
        <v>5817</v>
      </c>
      <c r="B2312" s="5" t="s">
        <v>5818</v>
      </c>
      <c r="C2312" s="5" t="s">
        <v>18</v>
      </c>
      <c r="D2312" s="5" t="s">
        <v>19</v>
      </c>
      <c r="E2312" s="5" t="s">
        <v>162</v>
      </c>
      <c r="F2312" s="9">
        <v>15</v>
      </c>
      <c r="G2312" s="9">
        <v>142</v>
      </c>
      <c r="H2312" s="5" t="s">
        <v>21</v>
      </c>
      <c r="I2312" s="5" t="s">
        <v>5819</v>
      </c>
      <c r="J2312" s="12" t="str">
        <f>HYPERLINK("https://www.boe.es/gazeta/dias/1800/02/21/pdfs/GMD-1800-15.pdf#page=6","Abrir facsímil")</f>
        <v>Abrir facsímil</v>
      </c>
      <c r="K2312" s="15" t="s">
        <v>23</v>
      </c>
    </row>
    <row r="2313" spans="1:11" ht="42" customHeight="1">
      <c r="A2313" s="4" t="s">
        <v>5820</v>
      </c>
      <c r="B2313" s="5" t="s">
        <v>5821</v>
      </c>
      <c r="C2313" s="5" t="s">
        <v>54</v>
      </c>
      <c r="D2313" s="5" t="s">
        <v>55</v>
      </c>
      <c r="E2313" s="5" t="s">
        <v>158</v>
      </c>
      <c r="F2313" s="9">
        <v>25</v>
      </c>
      <c r="G2313" s="9">
        <v>258</v>
      </c>
      <c r="H2313" s="5" t="s">
        <v>21</v>
      </c>
      <c r="I2313" s="5" t="s">
        <v>5822</v>
      </c>
      <c r="J2313" s="12" t="str">
        <f>HYPERLINK("https://www.boe.es/gazeta/dias/1800/03/28/pdfs/GMD-1800-25.pdf#page=10","Abrir facsímil")</f>
        <v>Abrir facsímil</v>
      </c>
      <c r="K2313" s="15" t="s">
        <v>23</v>
      </c>
    </row>
    <row r="2314" spans="1:11" ht="42" customHeight="1">
      <c r="A2314" s="4" t="s">
        <v>5823</v>
      </c>
      <c r="B2314" s="5" t="s">
        <v>5824</v>
      </c>
      <c r="C2314" s="5" t="s">
        <v>25</v>
      </c>
      <c r="D2314" s="5" t="s">
        <v>26</v>
      </c>
      <c r="E2314" s="5" t="s">
        <v>1287</v>
      </c>
      <c r="F2314" s="9">
        <v>57</v>
      </c>
      <c r="G2314" s="9">
        <v>650</v>
      </c>
      <c r="H2314" s="5" t="s">
        <v>21</v>
      </c>
      <c r="I2314" s="5" t="s">
        <v>5825</v>
      </c>
      <c r="J2314" s="12" t="str">
        <f>HYPERLINK("https://www.boe.es/gazeta/dias/1800/07/18/pdfs/GMD-1800-57.pdf#page=14","Abrir facsímil")</f>
        <v>Abrir facsímil</v>
      </c>
      <c r="K2314" s="15" t="s">
        <v>23</v>
      </c>
    </row>
    <row r="2315" spans="1:11" ht="42" customHeight="1">
      <c r="A2315" s="4" t="s">
        <v>5826</v>
      </c>
      <c r="B2315" s="5" t="s">
        <v>5827</v>
      </c>
      <c r="C2315" s="5" t="s">
        <v>18</v>
      </c>
      <c r="D2315" s="5" t="s">
        <v>19</v>
      </c>
      <c r="E2315" s="5" t="s">
        <v>310</v>
      </c>
      <c r="F2315" s="9">
        <v>56</v>
      </c>
      <c r="G2315" s="9">
        <v>633</v>
      </c>
      <c r="H2315" s="5" t="s">
        <v>21</v>
      </c>
      <c r="I2315" s="5" t="s">
        <v>5828</v>
      </c>
      <c r="J2315" s="12" t="str">
        <f>HYPERLINK("https://www.boe.es/gazeta/dias/1800/07/15/pdfs/GMD-1800-56.pdf#page=9","Abrir facsímil")</f>
        <v>Abrir facsímil</v>
      </c>
      <c r="K2315" s="15" t="s">
        <v>23</v>
      </c>
    </row>
    <row r="2316" spans="1:11" ht="42" customHeight="1">
      <c r="A2316" s="4" t="s">
        <v>5829</v>
      </c>
      <c r="B2316" s="5" t="s">
        <v>5830</v>
      </c>
      <c r="C2316" s="5" t="s">
        <v>41</v>
      </c>
      <c r="D2316" s="5" t="s">
        <v>42</v>
      </c>
      <c r="E2316" s="5" t="s">
        <v>1231</v>
      </c>
      <c r="F2316" s="9">
        <v>36</v>
      </c>
      <c r="G2316" s="9">
        <v>365</v>
      </c>
      <c r="H2316" s="5" t="s">
        <v>21</v>
      </c>
      <c r="I2316" s="5" t="s">
        <v>5831</v>
      </c>
      <c r="J2316" s="12" t="str">
        <f>HYPERLINK("https://www.boe.es/gazeta/dias/1800/05/06/pdfs/GMD-1800-36.pdf#page=9","Abrir facsímil")</f>
        <v>Abrir facsímil</v>
      </c>
      <c r="K2316" s="15" t="s">
        <v>23</v>
      </c>
    </row>
    <row r="2317" spans="1:11" ht="42" customHeight="1">
      <c r="A2317" s="4" t="s">
        <v>5832</v>
      </c>
      <c r="B2317" s="5" t="s">
        <v>5833</v>
      </c>
      <c r="C2317" s="5" t="s">
        <v>207</v>
      </c>
      <c r="D2317" s="5" t="s">
        <v>55</v>
      </c>
      <c r="E2317" s="5" t="s">
        <v>203</v>
      </c>
      <c r="F2317" s="9">
        <v>94</v>
      </c>
      <c r="G2317" s="9">
        <v>1077</v>
      </c>
      <c r="H2317" s="5" t="s">
        <v>21</v>
      </c>
      <c r="I2317" s="5" t="s">
        <v>5834</v>
      </c>
      <c r="J2317" s="12" t="str">
        <f>HYPERLINK("https://www.boe.es/gazeta/dias/1800/11/21/pdfs/GMD-1800-94.pdf#page=7","Abrir facsímil")</f>
        <v>Abrir facsímil</v>
      </c>
      <c r="K2317" s="15" t="s">
        <v>23</v>
      </c>
    </row>
    <row r="2318" spans="1:11" ht="42" customHeight="1">
      <c r="A2318" s="4" t="s">
        <v>5835</v>
      </c>
      <c r="B2318" s="5" t="s">
        <v>5836</v>
      </c>
      <c r="C2318" s="5" t="s">
        <v>18</v>
      </c>
      <c r="D2318" s="5" t="s">
        <v>19</v>
      </c>
      <c r="E2318" s="5" t="s">
        <v>534</v>
      </c>
      <c r="F2318" s="9">
        <v>100</v>
      </c>
      <c r="G2318" s="9">
        <v>1159</v>
      </c>
      <c r="H2318" s="5" t="s">
        <v>21</v>
      </c>
      <c r="I2318" s="5" t="s">
        <v>5837</v>
      </c>
      <c r="J2318" s="12" t="str">
        <f>HYPERLINK("https://www.boe.es/gazeta/dias/1800/12/12/pdfs/GMD-1800-100.pdf#page=11","Abrir facsímil")</f>
        <v>Abrir facsímil</v>
      </c>
      <c r="K2318" s="15" t="s">
        <v>23</v>
      </c>
    </row>
    <row r="2319" spans="1:11" ht="42" customHeight="1">
      <c r="A2319" s="4" t="s">
        <v>5838</v>
      </c>
      <c r="B2319" s="5" t="s">
        <v>5839</v>
      </c>
      <c r="C2319" s="5" t="s">
        <v>18</v>
      </c>
      <c r="D2319" s="5" t="s">
        <v>19</v>
      </c>
      <c r="E2319" s="5" t="s">
        <v>154</v>
      </c>
      <c r="F2319" s="9">
        <v>61</v>
      </c>
      <c r="G2319" s="9">
        <v>696</v>
      </c>
      <c r="H2319" s="5" t="s">
        <v>21</v>
      </c>
      <c r="I2319" s="5" t="s">
        <v>5840</v>
      </c>
      <c r="J2319" s="12" t="str">
        <f>HYPERLINK("https://www.boe.es/gazeta/dias/1800/08/01/pdfs/GMD-1800-61.pdf#page=8","Abrir facsímil")</f>
        <v>Abrir facsímil</v>
      </c>
      <c r="K2319" s="15" t="s">
        <v>23</v>
      </c>
    </row>
    <row r="2320" spans="1:11" ht="42" customHeight="1">
      <c r="A2320" s="4" t="s">
        <v>5841</v>
      </c>
      <c r="B2320" s="5" t="s">
        <v>5842</v>
      </c>
      <c r="C2320" s="5" t="s">
        <v>54</v>
      </c>
      <c r="D2320" s="5" t="s">
        <v>55</v>
      </c>
      <c r="E2320" s="5" t="s">
        <v>248</v>
      </c>
      <c r="F2320" s="9">
        <v>33</v>
      </c>
      <c r="G2320" s="9">
        <v>334</v>
      </c>
      <c r="H2320" s="5" t="s">
        <v>21</v>
      </c>
      <c r="I2320" s="5" t="s">
        <v>5843</v>
      </c>
      <c r="J2320" s="12" t="str">
        <f>HYPERLINK("https://www.boe.es/gazeta/dias/1800/04/25/pdfs/GMD-1800-33.pdf#page=10","Abrir facsímil")</f>
        <v>Abrir facsímil</v>
      </c>
      <c r="K2320" s="15" t="s">
        <v>23</v>
      </c>
    </row>
    <row r="2321" spans="1:11" ht="42" customHeight="1">
      <c r="A2321" s="4" t="s">
        <v>5844</v>
      </c>
      <c r="B2321" s="5" t="s">
        <v>5845</v>
      </c>
      <c r="C2321" s="5" t="s">
        <v>18</v>
      </c>
      <c r="D2321" s="5" t="s">
        <v>19</v>
      </c>
      <c r="E2321" s="5" t="s">
        <v>240</v>
      </c>
      <c r="F2321" s="9">
        <v>26</v>
      </c>
      <c r="G2321" s="9">
        <v>269</v>
      </c>
      <c r="H2321" s="5" t="s">
        <v>21</v>
      </c>
      <c r="I2321" s="5" t="s">
        <v>5846</v>
      </c>
      <c r="J2321" s="12" t="str">
        <f>HYPERLINK("https://www.boe.es/gazeta/dias/1800/04/01/pdfs/GMD-1800-26.pdf#page=9","Abrir facsímil")</f>
        <v>Abrir facsímil</v>
      </c>
      <c r="K2321" s="15" t="s">
        <v>23</v>
      </c>
    </row>
    <row r="2322" spans="1:11" ht="42" customHeight="1">
      <c r="A2322" s="4" t="s">
        <v>5847</v>
      </c>
      <c r="B2322" s="5" t="s">
        <v>5848</v>
      </c>
      <c r="C2322" s="5" t="s">
        <v>18</v>
      </c>
      <c r="D2322" s="5" t="s">
        <v>19</v>
      </c>
      <c r="E2322" s="5" t="s">
        <v>56</v>
      </c>
      <c r="F2322" s="9">
        <v>90</v>
      </c>
      <c r="G2322" s="9">
        <v>1055</v>
      </c>
      <c r="H2322" s="5" t="s">
        <v>21</v>
      </c>
      <c r="I2322" s="5" t="s">
        <v>5849</v>
      </c>
      <c r="J2322" s="12" t="str">
        <f>HYPERLINK("https://www.boe.es/gazeta/dias/1800/11/07/pdfs/GMD-1800-90.pdf#page=9","Abrir facsímil")</f>
        <v>Abrir facsímil</v>
      </c>
      <c r="K2322" s="15" t="s">
        <v>23</v>
      </c>
    </row>
    <row r="2323" spans="1:11" ht="42" customHeight="1">
      <c r="A2323" s="4" t="s">
        <v>5850</v>
      </c>
      <c r="B2323" s="5" t="s">
        <v>5851</v>
      </c>
      <c r="C2323" s="5" t="s">
        <v>18</v>
      </c>
      <c r="D2323" s="5" t="s">
        <v>19</v>
      </c>
      <c r="E2323" s="5" t="s">
        <v>20</v>
      </c>
      <c r="F2323" s="9">
        <v>104</v>
      </c>
      <c r="G2323" s="9">
        <v>1210</v>
      </c>
      <c r="H2323" s="5" t="s">
        <v>21</v>
      </c>
      <c r="I2323" s="5" t="s">
        <v>5852</v>
      </c>
      <c r="J2323" s="12" t="str">
        <f>HYPERLINK("https://www.boe.es/gazeta/dias/1800/12/26/pdfs/GMD-1800-104.pdf#page=10","Abrir facsímil")</f>
        <v>Abrir facsímil</v>
      </c>
      <c r="K2323" s="15" t="s">
        <v>23</v>
      </c>
    </row>
    <row r="2324" spans="1:11" ht="42" customHeight="1">
      <c r="A2324" s="4" t="s">
        <v>5853</v>
      </c>
      <c r="B2324" s="5" t="s">
        <v>5854</v>
      </c>
      <c r="C2324" s="5" t="s">
        <v>25</v>
      </c>
      <c r="D2324" s="5" t="s">
        <v>26</v>
      </c>
      <c r="E2324" s="5" t="s">
        <v>45</v>
      </c>
      <c r="F2324" s="9">
        <v>47</v>
      </c>
      <c r="G2324" s="9">
        <v>502</v>
      </c>
      <c r="H2324" s="5" t="s">
        <v>21</v>
      </c>
      <c r="I2324" s="5" t="s">
        <v>5855</v>
      </c>
      <c r="J2324" s="12" t="str">
        <f>HYPERLINK("https://www.boe.es/gazeta/dias/1800/06/13/pdfs/GMD-1800-47.pdf#page=10","Abrir facsímil")</f>
        <v>Abrir facsímil</v>
      </c>
      <c r="K2324" s="15" t="s">
        <v>23</v>
      </c>
    </row>
    <row r="2325" spans="1:11" ht="42" customHeight="1">
      <c r="A2325" s="4" t="s">
        <v>5856</v>
      </c>
      <c r="B2325" s="5" t="s">
        <v>5857</v>
      </c>
      <c r="C2325" s="5" t="s">
        <v>18</v>
      </c>
      <c r="D2325" s="5" t="s">
        <v>19</v>
      </c>
      <c r="E2325" s="5" t="s">
        <v>299</v>
      </c>
      <c r="F2325" s="9">
        <v>40</v>
      </c>
      <c r="G2325" s="9">
        <v>412</v>
      </c>
      <c r="H2325" s="5" t="s">
        <v>21</v>
      </c>
      <c r="I2325" s="5" t="s">
        <v>5858</v>
      </c>
      <c r="J2325" s="12" t="str">
        <f>HYPERLINK("https://www.boe.es/gazeta/dias/1800/05/20/pdfs/GMD-1800-40.pdf#page=8","Abrir facsímil")</f>
        <v>Abrir facsímil</v>
      </c>
      <c r="K2325" s="15" t="s">
        <v>23</v>
      </c>
    </row>
    <row r="2326" spans="1:11" ht="42" customHeight="1">
      <c r="A2326" s="4" t="s">
        <v>5859</v>
      </c>
      <c r="B2326" s="5" t="s">
        <v>5860</v>
      </c>
      <c r="C2326" s="5" t="s">
        <v>171</v>
      </c>
      <c r="D2326" s="5" t="s">
        <v>172</v>
      </c>
      <c r="E2326" s="5" t="s">
        <v>64</v>
      </c>
      <c r="F2326" s="9">
        <v>54</v>
      </c>
      <c r="G2326" s="9">
        <v>612</v>
      </c>
      <c r="H2326" s="5" t="s">
        <v>21</v>
      </c>
      <c r="I2326" s="5" t="s">
        <v>5861</v>
      </c>
      <c r="J2326" s="12" t="str">
        <f>HYPERLINK("https://www.boe.es/gazeta/dias/1800/07/08/pdfs/GMD-C-1800-54.pdf#page=4","Abrir facsímil")</f>
        <v>Abrir facsímil</v>
      </c>
      <c r="K2326" s="15" t="s">
        <v>23</v>
      </c>
    </row>
    <row r="2327" spans="1:11" ht="42" customHeight="1">
      <c r="A2327" s="4" t="s">
        <v>5862</v>
      </c>
      <c r="B2327" s="5" t="s">
        <v>5863</v>
      </c>
      <c r="C2327" s="5" t="s">
        <v>18</v>
      </c>
      <c r="D2327" s="5" t="s">
        <v>19</v>
      </c>
      <c r="E2327" s="5" t="s">
        <v>35</v>
      </c>
      <c r="F2327" s="9">
        <v>21</v>
      </c>
      <c r="G2327" s="9">
        <v>206</v>
      </c>
      <c r="H2327" s="5" t="s">
        <v>21</v>
      </c>
      <c r="I2327" s="5" t="s">
        <v>5864</v>
      </c>
      <c r="J2327" s="12" t="str">
        <f>HYPERLINK("https://www.boe.es/gazeta/dias/1800/03/14/pdfs/GMD-1800-21.pdf#page=10","Abrir facsímil")</f>
        <v>Abrir facsímil</v>
      </c>
      <c r="K2327" s="15" t="s">
        <v>23</v>
      </c>
    </row>
    <row r="2328" spans="1:11" ht="42" customHeight="1">
      <c r="A2328" s="4" t="s">
        <v>5865</v>
      </c>
      <c r="B2328" s="5" t="s">
        <v>5866</v>
      </c>
      <c r="C2328" s="5" t="s">
        <v>207</v>
      </c>
      <c r="D2328" s="5" t="s">
        <v>55</v>
      </c>
      <c r="E2328" s="5" t="s">
        <v>52</v>
      </c>
      <c r="F2328" s="9">
        <v>83</v>
      </c>
      <c r="G2328" s="9">
        <v>963</v>
      </c>
      <c r="H2328" s="5" t="s">
        <v>21</v>
      </c>
      <c r="I2328" s="5" t="s">
        <v>5867</v>
      </c>
      <c r="J2328" s="12" t="str">
        <f>HYPERLINK("https://www.boe.es/gazeta/dias/1800/10/14/pdfs/GMD-1800-83.pdf#page=9","Abrir facsímil")</f>
        <v>Abrir facsímil</v>
      </c>
      <c r="K2328" s="15" t="s">
        <v>23</v>
      </c>
    </row>
    <row r="2329" spans="1:11" ht="42" customHeight="1">
      <c r="A2329" s="4" t="s">
        <v>5868</v>
      </c>
      <c r="B2329" s="5" t="s">
        <v>5869</v>
      </c>
      <c r="C2329" s="5" t="s">
        <v>25</v>
      </c>
      <c r="D2329" s="5" t="s">
        <v>26</v>
      </c>
      <c r="E2329" s="5" t="s">
        <v>45</v>
      </c>
      <c r="F2329" s="9">
        <v>47</v>
      </c>
      <c r="G2329" s="9">
        <v>503</v>
      </c>
      <c r="H2329" s="5" t="s">
        <v>21</v>
      </c>
      <c r="I2329" s="5" t="s">
        <v>5870</v>
      </c>
      <c r="J2329" s="12" t="str">
        <f>HYPERLINK("https://www.boe.es/gazeta/dias/1800/06/13/pdfs/GMD-1800-47.pdf#page=11","Abrir facsímil")</f>
        <v>Abrir facsímil</v>
      </c>
      <c r="K2329" s="15" t="s">
        <v>23</v>
      </c>
    </row>
    <row r="2330" spans="1:11" ht="42" customHeight="1">
      <c r="A2330" s="4" t="s">
        <v>5871</v>
      </c>
      <c r="B2330" s="5" t="s">
        <v>5872</v>
      </c>
      <c r="C2330" s="5" t="s">
        <v>207</v>
      </c>
      <c r="D2330" s="5" t="s">
        <v>55</v>
      </c>
      <c r="E2330" s="5" t="s">
        <v>262</v>
      </c>
      <c r="F2330" s="9">
        <v>39</v>
      </c>
      <c r="G2330" s="9">
        <v>401</v>
      </c>
      <c r="H2330" s="5" t="s">
        <v>21</v>
      </c>
      <c r="I2330" s="5" t="s">
        <v>5873</v>
      </c>
      <c r="J2330" s="12" t="str">
        <f>HYPERLINK("https://www.boe.es/gazeta/dias/1800/05/16/pdfs/GMD-1800-39.pdf#page=9","Abrir facsímil")</f>
        <v>Abrir facsímil</v>
      </c>
      <c r="K2330" s="15" t="s">
        <v>23</v>
      </c>
    </row>
    <row r="2331" spans="1:11" ht="42" customHeight="1">
      <c r="A2331" s="4" t="s">
        <v>5874</v>
      </c>
      <c r="B2331" s="5" t="s">
        <v>5875</v>
      </c>
      <c r="C2331" s="5" t="s">
        <v>18</v>
      </c>
      <c r="D2331" s="5" t="s">
        <v>19</v>
      </c>
      <c r="E2331" s="5" t="s">
        <v>75</v>
      </c>
      <c r="F2331" s="9">
        <v>64</v>
      </c>
      <c r="G2331" s="9">
        <v>733</v>
      </c>
      <c r="H2331" s="5" t="s">
        <v>21</v>
      </c>
      <c r="I2331" s="5" t="s">
        <v>5876</v>
      </c>
      <c r="J2331" s="12" t="str">
        <f>HYPERLINK("https://www.boe.es/gazeta/dias/1800/08/12/pdfs/GMD-1800-64.pdf#page=9","Abrir facsímil")</f>
        <v>Abrir facsímil</v>
      </c>
      <c r="K2331" s="15" t="s">
        <v>23</v>
      </c>
    </row>
    <row r="2332" spans="1:11" ht="42" customHeight="1">
      <c r="A2332" s="4" t="s">
        <v>5877</v>
      </c>
      <c r="B2332" s="5" t="s">
        <v>5878</v>
      </c>
      <c r="C2332" s="5" t="s">
        <v>171</v>
      </c>
      <c r="D2332" s="5" t="s">
        <v>172</v>
      </c>
      <c r="E2332" s="5" t="s">
        <v>2338</v>
      </c>
      <c r="F2332" s="9">
        <v>42</v>
      </c>
      <c r="G2332" s="9">
        <v>439</v>
      </c>
      <c r="H2332" s="5" t="s">
        <v>21</v>
      </c>
      <c r="I2332" s="5" t="s">
        <v>5879</v>
      </c>
      <c r="J2332" s="12" t="str">
        <f>HYPERLINK("https://www.boe.es/gazeta/dias/1800/05/27/pdfs/GMD-C-1800-42.pdf#page=3","Abrir facsímil")</f>
        <v>Abrir facsímil</v>
      </c>
      <c r="K2332" s="15" t="s">
        <v>23</v>
      </c>
    </row>
    <row r="2333" spans="1:11" ht="42" customHeight="1">
      <c r="A2333" s="4" t="s">
        <v>5880</v>
      </c>
      <c r="B2333" s="5" t="s">
        <v>5881</v>
      </c>
      <c r="C2333" s="5" t="s">
        <v>18</v>
      </c>
      <c r="D2333" s="5" t="s">
        <v>19</v>
      </c>
      <c r="E2333" s="5" t="s">
        <v>356</v>
      </c>
      <c r="F2333" s="9">
        <v>31</v>
      </c>
      <c r="G2333" s="9">
        <v>315</v>
      </c>
      <c r="H2333" s="5" t="s">
        <v>21</v>
      </c>
      <c r="I2333" s="5" t="s">
        <v>5882</v>
      </c>
      <c r="J2333" s="12" t="str">
        <f>HYPERLINK("https://www.boe.es/gazeta/dias/1800/04/18/pdfs/GMD-1800-31.pdf#page=7","Abrir facsímil")</f>
        <v>Abrir facsímil</v>
      </c>
      <c r="K2333" s="15" t="s">
        <v>23</v>
      </c>
    </row>
    <row r="2334" spans="1:11" ht="42" customHeight="1">
      <c r="A2334" s="4" t="s">
        <v>5883</v>
      </c>
      <c r="B2334" s="5" t="s">
        <v>5884</v>
      </c>
      <c r="C2334" s="5" t="s">
        <v>171</v>
      </c>
      <c r="D2334" s="5" t="s">
        <v>172</v>
      </c>
      <c r="E2334" s="5" t="s">
        <v>461</v>
      </c>
      <c r="F2334" s="9">
        <v>18</v>
      </c>
      <c r="G2334" s="9">
        <v>175</v>
      </c>
      <c r="H2334" s="5" t="s">
        <v>21</v>
      </c>
      <c r="I2334" s="5" t="s">
        <v>5885</v>
      </c>
      <c r="J2334" s="12" t="str">
        <f>HYPERLINK("https://www.boe.es/datos/pdfs/BOE//1800/018/C00173-00176.pdf#page=3","Abrir facsímil")</f>
        <v>Abrir facsímil</v>
      </c>
      <c r="K2334" s="15" t="s">
        <v>23</v>
      </c>
    </row>
    <row r="2335" spans="1:11" ht="42" customHeight="1">
      <c r="A2335" s="4" t="s">
        <v>5886</v>
      </c>
      <c r="B2335" s="5" t="s">
        <v>5887</v>
      </c>
      <c r="C2335" s="5" t="s">
        <v>207</v>
      </c>
      <c r="D2335" s="5" t="s">
        <v>55</v>
      </c>
      <c r="E2335" s="5" t="s">
        <v>50</v>
      </c>
      <c r="F2335" s="9">
        <v>81</v>
      </c>
      <c r="G2335" s="9">
        <v>918</v>
      </c>
      <c r="H2335" s="5" t="s">
        <v>21</v>
      </c>
      <c r="I2335" s="5" t="s">
        <v>5888</v>
      </c>
      <c r="J2335" s="12" t="str">
        <f>HYPERLINK("https://www.boe.es/gazeta/dias/1800/10/07/pdfs/GMD-1800-81.pdf#page=8","Abrir facsímil")</f>
        <v>Abrir facsímil</v>
      </c>
      <c r="K2335" s="15" t="s">
        <v>23</v>
      </c>
    </row>
    <row r="2336" spans="1:11" ht="42" customHeight="1">
      <c r="A2336" s="4" t="s">
        <v>5889</v>
      </c>
      <c r="B2336" s="5" t="s">
        <v>5890</v>
      </c>
      <c r="C2336" s="5" t="s">
        <v>207</v>
      </c>
      <c r="D2336" s="5" t="s">
        <v>55</v>
      </c>
      <c r="E2336" s="5" t="s">
        <v>180</v>
      </c>
      <c r="F2336" s="9">
        <v>102</v>
      </c>
      <c r="G2336" s="9">
        <v>1187</v>
      </c>
      <c r="H2336" s="5" t="s">
        <v>21</v>
      </c>
      <c r="I2336" s="5" t="s">
        <v>5891</v>
      </c>
      <c r="J2336" s="12" t="str">
        <f>HYPERLINK("https://www.boe.es/gazeta/dias/1800/12/19/pdfs/GMD-1800-102.pdf#page=11","Abrir facsímil")</f>
        <v>Abrir facsímil</v>
      </c>
      <c r="K2336" s="15" t="s">
        <v>23</v>
      </c>
    </row>
    <row r="2337" spans="1:11" ht="42" customHeight="1">
      <c r="A2337" s="4" t="s">
        <v>5892</v>
      </c>
      <c r="B2337" s="5" t="s">
        <v>5893</v>
      </c>
      <c r="C2337" s="5" t="s">
        <v>18</v>
      </c>
      <c r="D2337" s="5" t="s">
        <v>19</v>
      </c>
      <c r="E2337" s="5" t="s">
        <v>194</v>
      </c>
      <c r="F2337" s="9">
        <v>48</v>
      </c>
      <c r="G2337" s="9">
        <v>516</v>
      </c>
      <c r="H2337" s="5" t="s">
        <v>21</v>
      </c>
      <c r="I2337" s="5" t="s">
        <v>5894</v>
      </c>
      <c r="J2337" s="12" t="str">
        <f>HYPERLINK("https://www.boe.es/gazeta/dias/1800/06/17/pdfs/GMD-1800-48.pdf#page=8","Abrir facsímil")</f>
        <v>Abrir facsímil</v>
      </c>
      <c r="K2337" s="15" t="s">
        <v>23</v>
      </c>
    </row>
    <row r="2338" spans="1:11" ht="42" customHeight="1">
      <c r="A2338" s="4" t="s">
        <v>5895</v>
      </c>
      <c r="B2338" s="5" t="s">
        <v>5896</v>
      </c>
      <c r="C2338" s="5" t="s">
        <v>18</v>
      </c>
      <c r="D2338" s="5" t="s">
        <v>19</v>
      </c>
      <c r="E2338" s="5" t="s">
        <v>595</v>
      </c>
      <c r="F2338" s="9">
        <v>72</v>
      </c>
      <c r="G2338" s="9">
        <v>797</v>
      </c>
      <c r="H2338" s="5" t="s">
        <v>21</v>
      </c>
      <c r="I2338" s="5" t="s">
        <v>5897</v>
      </c>
      <c r="J2338" s="12" t="str">
        <f>HYPERLINK("https://www.boe.es/gazeta/dias/1800/09/05/pdfs/GMD-1800-72.pdf#page=7","Abrir facsímil")</f>
        <v>Abrir facsímil</v>
      </c>
      <c r="K2338" s="15" t="s">
        <v>23</v>
      </c>
    </row>
    <row r="2339" spans="1:11" ht="42" customHeight="1">
      <c r="A2339" s="4" t="s">
        <v>5898</v>
      </c>
      <c r="B2339" s="5" t="s">
        <v>5899</v>
      </c>
      <c r="C2339" s="5" t="s">
        <v>18</v>
      </c>
      <c r="D2339" s="5" t="s">
        <v>19</v>
      </c>
      <c r="E2339" s="5" t="s">
        <v>135</v>
      </c>
      <c r="F2339" s="9">
        <v>73</v>
      </c>
      <c r="G2339" s="9">
        <v>816</v>
      </c>
      <c r="H2339" s="5" t="s">
        <v>21</v>
      </c>
      <c r="I2339" s="5" t="s">
        <v>5900</v>
      </c>
      <c r="J2339" s="12" t="str">
        <f>HYPERLINK("https://www.boe.es/gazeta/dias/1800/09/09/pdfs/GMD-1800-73.pdf#page=10","Abrir facsímil")</f>
        <v>Abrir facsímil</v>
      </c>
      <c r="K2339" s="15" t="s">
        <v>23</v>
      </c>
    </row>
    <row r="2340" spans="1:11" ht="42" customHeight="1">
      <c r="A2340" s="4" t="s">
        <v>5901</v>
      </c>
      <c r="B2340" s="5" t="s">
        <v>5902</v>
      </c>
      <c r="C2340" s="5" t="s">
        <v>25</v>
      </c>
      <c r="D2340" s="5" t="s">
        <v>26</v>
      </c>
      <c r="E2340" s="5" t="s">
        <v>45</v>
      </c>
      <c r="F2340" s="9">
        <v>47</v>
      </c>
      <c r="G2340" s="9">
        <v>502</v>
      </c>
      <c r="H2340" s="5" t="s">
        <v>21</v>
      </c>
      <c r="I2340" s="5" t="s">
        <v>5903</v>
      </c>
      <c r="J2340" s="12" t="str">
        <f>HYPERLINK("https://www.boe.es/gazeta/dias/1800/06/13/pdfs/GMD-1800-47.pdf#page=10","Abrir facsímil")</f>
        <v>Abrir facsímil</v>
      </c>
      <c r="K2340" s="15" t="s">
        <v>23</v>
      </c>
    </row>
    <row r="2341" spans="1:11" ht="42" customHeight="1">
      <c r="A2341" s="4" t="s">
        <v>5904</v>
      </c>
      <c r="B2341" s="5" t="s">
        <v>5905</v>
      </c>
      <c r="C2341" s="5" t="s">
        <v>18</v>
      </c>
      <c r="D2341" s="5" t="s">
        <v>19</v>
      </c>
      <c r="E2341" s="5" t="s">
        <v>48</v>
      </c>
      <c r="F2341" s="9">
        <v>66</v>
      </c>
      <c r="G2341" s="9">
        <v>747</v>
      </c>
      <c r="H2341" s="5" t="s">
        <v>21</v>
      </c>
      <c r="I2341" s="5" t="s">
        <v>5906</v>
      </c>
      <c r="J2341" s="12" t="str">
        <f>HYPERLINK("https://www.boe.es/gazeta/dias/1800/08/19/pdfs/GMD-1800-66.pdf#page=11","Abrir facsímil")</f>
        <v>Abrir facsímil</v>
      </c>
      <c r="K2341" s="15" t="s">
        <v>23</v>
      </c>
    </row>
    <row r="2342" spans="1:11" ht="42" customHeight="1">
      <c r="A2342" s="4" t="s">
        <v>5907</v>
      </c>
      <c r="B2342" s="5" t="s">
        <v>5908</v>
      </c>
      <c r="C2342" s="5" t="s">
        <v>18</v>
      </c>
      <c r="D2342" s="5" t="s">
        <v>19</v>
      </c>
      <c r="E2342" s="5" t="s">
        <v>79</v>
      </c>
      <c r="F2342" s="9">
        <v>7</v>
      </c>
      <c r="G2342" s="9">
        <v>67</v>
      </c>
      <c r="H2342" s="5" t="s">
        <v>21</v>
      </c>
      <c r="I2342" s="5" t="s">
        <v>5909</v>
      </c>
      <c r="J2342" s="12" t="str">
        <f>HYPERLINK("https://www.boe.es/gazeta/dias/1800/01/24/pdfs/GMD-1800-7.pdf#page=7","Abrir facsímil")</f>
        <v>Abrir facsímil</v>
      </c>
      <c r="K2342" s="15" t="s">
        <v>23</v>
      </c>
    </row>
    <row r="2343" spans="1:11" ht="42" customHeight="1">
      <c r="A2343" s="4" t="s">
        <v>5910</v>
      </c>
      <c r="B2343" s="5" t="s">
        <v>5911</v>
      </c>
      <c r="C2343" s="5" t="s">
        <v>18</v>
      </c>
      <c r="D2343" s="5" t="s">
        <v>19</v>
      </c>
      <c r="E2343" s="5" t="s">
        <v>79</v>
      </c>
      <c r="F2343" s="9">
        <v>7</v>
      </c>
      <c r="G2343" s="9">
        <v>67</v>
      </c>
      <c r="H2343" s="5" t="s">
        <v>21</v>
      </c>
      <c r="I2343" s="5" t="s">
        <v>5912</v>
      </c>
      <c r="J2343" s="12" t="str">
        <f>HYPERLINK("https://www.boe.es/gazeta/dias/1800/01/24/pdfs/GMD-1800-7.pdf#page=7","Abrir facsímil")</f>
        <v>Abrir facsímil</v>
      </c>
      <c r="K2343" s="15" t="s">
        <v>23</v>
      </c>
    </row>
    <row r="2344" spans="1:11" ht="42" customHeight="1">
      <c r="A2344" s="4" t="s">
        <v>5913</v>
      </c>
      <c r="B2344" s="5" t="s">
        <v>5914</v>
      </c>
      <c r="C2344" s="5" t="s">
        <v>54</v>
      </c>
      <c r="D2344" s="5" t="s">
        <v>55</v>
      </c>
      <c r="E2344" s="5" t="s">
        <v>45</v>
      </c>
      <c r="F2344" s="9">
        <v>47</v>
      </c>
      <c r="G2344" s="9">
        <v>502</v>
      </c>
      <c r="H2344" s="5" t="s">
        <v>21</v>
      </c>
      <c r="I2344" s="5" t="s">
        <v>5915</v>
      </c>
      <c r="J2344" s="12" t="str">
        <f>HYPERLINK("https://www.boe.es/gazeta/dias/1800/06/13/pdfs/GMD-1800-47.pdf#page=10","Abrir facsímil")</f>
        <v>Abrir facsímil</v>
      </c>
      <c r="K2344" s="15" t="s">
        <v>23</v>
      </c>
    </row>
    <row r="2345" spans="1:11" ht="42" customHeight="1">
      <c r="A2345" s="4" t="s">
        <v>5916</v>
      </c>
      <c r="B2345" s="5" t="s">
        <v>5916</v>
      </c>
      <c r="C2345" s="5" t="s">
        <v>18</v>
      </c>
      <c r="D2345" s="5" t="s">
        <v>19</v>
      </c>
      <c r="E2345" s="5" t="s">
        <v>843</v>
      </c>
      <c r="F2345" s="9">
        <v>78</v>
      </c>
      <c r="G2345" s="9">
        <v>890</v>
      </c>
      <c r="H2345" s="5" t="s">
        <v>21</v>
      </c>
      <c r="I2345" s="5" t="s">
        <v>5917</v>
      </c>
      <c r="J2345" s="12" t="str">
        <f>HYPERLINK("https://www.boe.es/gazeta/dias/1800/09/26/pdfs/GMD-1800-78.pdf#page=8","Abrir facsímil")</f>
        <v>Abrir facsímil</v>
      </c>
      <c r="K2345" s="15" t="s">
        <v>23</v>
      </c>
    </row>
    <row r="2346" spans="1:11" ht="42" customHeight="1">
      <c r="A2346" s="4" t="s">
        <v>5918</v>
      </c>
      <c r="B2346" s="5" t="s">
        <v>5919</v>
      </c>
      <c r="C2346" s="5" t="s">
        <v>18</v>
      </c>
      <c r="D2346" s="5" t="s">
        <v>19</v>
      </c>
      <c r="E2346" s="5" t="s">
        <v>194</v>
      </c>
      <c r="F2346" s="9">
        <v>48</v>
      </c>
      <c r="G2346" s="9">
        <v>519</v>
      </c>
      <c r="H2346" s="5" t="s">
        <v>21</v>
      </c>
      <c r="I2346" s="5" t="s">
        <v>5920</v>
      </c>
      <c r="J2346" s="12" t="str">
        <f>HYPERLINK("https://www.boe.es/gazeta/dias/1800/06/17/pdfs/GMD-1800-48.pdf#page=11","Abrir facsímil")</f>
        <v>Abrir facsímil</v>
      </c>
      <c r="K2346" s="15" t="s">
        <v>23</v>
      </c>
    </row>
    <row r="2347" spans="1:11" ht="42" customHeight="1">
      <c r="A2347" s="4" t="s">
        <v>5921</v>
      </c>
      <c r="B2347" s="5" t="s">
        <v>5922</v>
      </c>
      <c r="C2347" s="5" t="s">
        <v>207</v>
      </c>
      <c r="D2347" s="5" t="s">
        <v>55</v>
      </c>
      <c r="E2347" s="5" t="s">
        <v>465</v>
      </c>
      <c r="F2347" s="9">
        <v>49</v>
      </c>
      <c r="G2347" s="9">
        <v>532</v>
      </c>
      <c r="H2347" s="5" t="s">
        <v>21</v>
      </c>
      <c r="I2347" s="5" t="s">
        <v>5923</v>
      </c>
      <c r="J2347" s="12" t="str">
        <f>HYPERLINK("https://www.boe.es/gazeta/dias/1800/06/20/pdfs/GMD-1800-49.pdf#page=8","Abrir facsímil")</f>
        <v>Abrir facsímil</v>
      </c>
      <c r="K2347" s="15" t="s">
        <v>23</v>
      </c>
    </row>
    <row r="2348" spans="1:11" ht="42" customHeight="1">
      <c r="A2348" s="4" t="s">
        <v>5924</v>
      </c>
      <c r="B2348" s="5" t="s">
        <v>5925</v>
      </c>
      <c r="C2348" s="5" t="s">
        <v>18</v>
      </c>
      <c r="D2348" s="5" t="s">
        <v>19</v>
      </c>
      <c r="E2348" s="5" t="s">
        <v>176</v>
      </c>
      <c r="F2348" s="9">
        <v>88</v>
      </c>
      <c r="G2348" s="9">
        <v>1031</v>
      </c>
      <c r="H2348" s="5" t="s">
        <v>21</v>
      </c>
      <c r="I2348" s="5" t="s">
        <v>5926</v>
      </c>
      <c r="J2348" s="12" t="str">
        <f>HYPERLINK("https://www.boe.es/gazeta/dias/1800/10/31/pdfs/GMD-1800-88.pdf#page=13","Abrir facsímil")</f>
        <v>Abrir facsímil</v>
      </c>
      <c r="K2348" s="15" t="s">
        <v>23</v>
      </c>
    </row>
    <row r="2349" spans="1:11" ht="42" customHeight="1">
      <c r="A2349" s="4" t="s">
        <v>5927</v>
      </c>
      <c r="B2349" s="5" t="s">
        <v>5928</v>
      </c>
      <c r="C2349" s="5" t="s">
        <v>207</v>
      </c>
      <c r="D2349" s="5" t="s">
        <v>55</v>
      </c>
      <c r="E2349" s="5" t="s">
        <v>283</v>
      </c>
      <c r="F2349" s="9">
        <v>68</v>
      </c>
      <c r="G2349" s="9">
        <v>765</v>
      </c>
      <c r="H2349" s="5" t="s">
        <v>21</v>
      </c>
      <c r="I2349" s="5" t="s">
        <v>5929</v>
      </c>
      <c r="J2349" s="12" t="str">
        <f>HYPERLINK("https://www.boe.es/gazeta/dias/1800/08/26/pdfs/GMD-1800-68.pdf#page=9","Abrir facsímil")</f>
        <v>Abrir facsímil</v>
      </c>
      <c r="K2349" s="15" t="s">
        <v>23</v>
      </c>
    </row>
    <row r="2350" spans="1:11" ht="42" customHeight="1">
      <c r="A2350" s="4" t="s">
        <v>5930</v>
      </c>
      <c r="B2350" s="5" t="s">
        <v>5931</v>
      </c>
      <c r="C2350" s="5" t="s">
        <v>25</v>
      </c>
      <c r="D2350" s="5" t="s">
        <v>26</v>
      </c>
      <c r="E2350" s="5" t="s">
        <v>454</v>
      </c>
      <c r="F2350" s="9">
        <v>63</v>
      </c>
      <c r="G2350" s="9">
        <v>723</v>
      </c>
      <c r="H2350" s="5" t="s">
        <v>21</v>
      </c>
      <c r="I2350" s="5" t="s">
        <v>5932</v>
      </c>
      <c r="J2350" s="12" t="str">
        <f>HYPERLINK("https://www.boe.es/gazeta/dias/1800/08/08/pdfs/GMD-1800-63.pdf#page=11","Abrir facsímil")</f>
        <v>Abrir facsímil</v>
      </c>
      <c r="K2350" s="15" t="s">
        <v>23</v>
      </c>
    </row>
    <row r="2351" spans="1:11" ht="42" customHeight="1">
      <c r="A2351" s="4" t="s">
        <v>5933</v>
      </c>
      <c r="B2351" s="5" t="s">
        <v>5934</v>
      </c>
      <c r="C2351" s="5" t="s">
        <v>41</v>
      </c>
      <c r="D2351" s="5" t="s">
        <v>42</v>
      </c>
      <c r="E2351" s="5" t="s">
        <v>39</v>
      </c>
      <c r="F2351" s="9">
        <v>43</v>
      </c>
      <c r="G2351" s="9">
        <v>445</v>
      </c>
      <c r="H2351" s="5" t="s">
        <v>21</v>
      </c>
      <c r="I2351" s="5" t="s">
        <v>5935</v>
      </c>
      <c r="J2351" s="12" t="str">
        <f>HYPERLINK("https://www.boe.es/gazeta/dias/1800/05/30/pdfs/GMD-1800-43.pdf#page=5","Abrir facsímil")</f>
        <v>Abrir facsímil</v>
      </c>
      <c r="K2351" s="15" t="s">
        <v>23</v>
      </c>
    </row>
    <row r="2352" spans="1:11" ht="42" customHeight="1">
      <c r="A2352" s="4" t="s">
        <v>5933</v>
      </c>
      <c r="B2352" s="5" t="s">
        <v>5934</v>
      </c>
      <c r="C2352" s="5" t="s">
        <v>18</v>
      </c>
      <c r="D2352" s="5" t="s">
        <v>19</v>
      </c>
      <c r="E2352" s="5" t="s">
        <v>39</v>
      </c>
      <c r="F2352" s="9">
        <v>43</v>
      </c>
      <c r="G2352" s="9">
        <v>446</v>
      </c>
      <c r="H2352" s="5" t="s">
        <v>21</v>
      </c>
      <c r="I2352" s="5" t="s">
        <v>5936</v>
      </c>
      <c r="J2352" s="12" t="str">
        <f>HYPERLINK("https://www.boe.es/gazeta/dias/1800/05/30/pdfs/GMD-1800-43.pdf#page=6","Abrir facsímil")</f>
        <v>Abrir facsímil</v>
      </c>
      <c r="K2352" s="15" t="s">
        <v>23</v>
      </c>
    </row>
    <row r="2353" spans="1:11" ht="42" customHeight="1">
      <c r="A2353" s="4" t="s">
        <v>5933</v>
      </c>
      <c r="B2353" s="5" t="s">
        <v>5934</v>
      </c>
      <c r="C2353" s="5" t="s">
        <v>41</v>
      </c>
      <c r="D2353" s="5" t="s">
        <v>42</v>
      </c>
      <c r="E2353" s="5" t="s">
        <v>600</v>
      </c>
      <c r="F2353" s="9">
        <v>45</v>
      </c>
      <c r="G2353" s="9">
        <v>468</v>
      </c>
      <c r="H2353" s="5" t="s">
        <v>21</v>
      </c>
      <c r="I2353" s="5" t="s">
        <v>5937</v>
      </c>
      <c r="J2353" s="12" t="str">
        <f>HYPERLINK("https://www.boe.es/gazeta/dias/1800/06/06/pdfs/GMD-1800-45.pdf#page=4","Abrir facsímil")</f>
        <v>Abrir facsímil</v>
      </c>
      <c r="K2353" s="15" t="s">
        <v>23</v>
      </c>
    </row>
    <row r="2354" spans="1:11" ht="42" customHeight="1">
      <c r="A2354" s="4" t="s">
        <v>5938</v>
      </c>
      <c r="B2354" s="5" t="s">
        <v>5939</v>
      </c>
      <c r="C2354" s="5" t="s">
        <v>18</v>
      </c>
      <c r="D2354" s="5" t="s">
        <v>19</v>
      </c>
      <c r="E2354" s="5" t="s">
        <v>60</v>
      </c>
      <c r="F2354" s="9">
        <v>105</v>
      </c>
      <c r="G2354" s="9">
        <v>1223</v>
      </c>
      <c r="H2354" s="5" t="s">
        <v>21</v>
      </c>
      <c r="I2354" s="5" t="s">
        <v>5940</v>
      </c>
      <c r="J2354" s="12" t="str">
        <f>HYPERLINK("https://www.boe.es/gazeta/dias/1800/12/30/pdfs/GMD-1800-105.pdf#page=7","Abrir facsímil")</f>
        <v>Abrir facsímil</v>
      </c>
      <c r="K2354" s="15" t="s">
        <v>23</v>
      </c>
    </row>
    <row r="2355" spans="1:11" ht="42" customHeight="1">
      <c r="A2355" s="4" t="s">
        <v>5941</v>
      </c>
      <c r="B2355" s="5" t="s">
        <v>5942</v>
      </c>
      <c r="C2355" s="5" t="s">
        <v>41</v>
      </c>
      <c r="D2355" s="5" t="s">
        <v>42</v>
      </c>
      <c r="E2355" s="5" t="s">
        <v>262</v>
      </c>
      <c r="F2355" s="9">
        <v>39</v>
      </c>
      <c r="G2355" s="9">
        <v>395</v>
      </c>
      <c r="H2355" s="5" t="s">
        <v>21</v>
      </c>
      <c r="I2355" s="5" t="s">
        <v>5943</v>
      </c>
      <c r="J2355" s="12" t="str">
        <f>HYPERLINK("https://www.boe.es/gazeta/dias/1800/05/16/pdfs/GMD-1800-39.pdf#page=3","Abrir facsímil")</f>
        <v>Abrir facsímil</v>
      </c>
      <c r="K2355" s="15" t="s">
        <v>23</v>
      </c>
    </row>
    <row r="2356" spans="1:11" ht="42" customHeight="1">
      <c r="A2356" s="4" t="s">
        <v>5944</v>
      </c>
      <c r="B2356" s="5" t="s">
        <v>5944</v>
      </c>
      <c r="C2356" s="5" t="s">
        <v>41</v>
      </c>
      <c r="D2356" s="5" t="s">
        <v>42</v>
      </c>
      <c r="E2356" s="5" t="s">
        <v>310</v>
      </c>
      <c r="F2356" s="9">
        <v>56</v>
      </c>
      <c r="G2356" s="9">
        <v>631</v>
      </c>
      <c r="H2356" s="5" t="s">
        <v>21</v>
      </c>
      <c r="I2356" s="5" t="s">
        <v>5945</v>
      </c>
      <c r="J2356" s="12" t="str">
        <f>HYPERLINK("https://www.boe.es/gazeta/dias/1800/07/15/pdfs/GMD-1800-56.pdf#page=7","Abrir facsímil")</f>
        <v>Abrir facsímil</v>
      </c>
      <c r="K2356" s="15" t="s">
        <v>23</v>
      </c>
    </row>
    <row r="2357" spans="1:11" ht="42" customHeight="1">
      <c r="A2357" s="4" t="s">
        <v>5946</v>
      </c>
      <c r="B2357" s="5" t="s">
        <v>5946</v>
      </c>
      <c r="C2357" s="5" t="s">
        <v>54</v>
      </c>
      <c r="D2357" s="5" t="s">
        <v>55</v>
      </c>
      <c r="E2357" s="5" t="s">
        <v>319</v>
      </c>
      <c r="F2357" s="9">
        <v>62</v>
      </c>
      <c r="G2357" s="9">
        <v>711</v>
      </c>
      <c r="H2357" s="5" t="s">
        <v>21</v>
      </c>
      <c r="I2357" s="5" t="s">
        <v>5947</v>
      </c>
      <c r="J2357" s="12" t="str">
        <f>HYPERLINK("https://www.boe.es/gazeta/dias/1800/08/05/pdfs/GMD-1800-62.pdf#page=11","Abrir facsímil")</f>
        <v>Abrir facsímil</v>
      </c>
      <c r="K2357" s="15" t="s">
        <v>23</v>
      </c>
    </row>
    <row r="2358" spans="1:11" ht="42" customHeight="1">
      <c r="A2358" s="4" t="s">
        <v>5948</v>
      </c>
      <c r="B2358" s="5" t="s">
        <v>5948</v>
      </c>
      <c r="C2358" s="5" t="s">
        <v>41</v>
      </c>
      <c r="D2358" s="5" t="s">
        <v>42</v>
      </c>
      <c r="E2358" s="5" t="s">
        <v>116</v>
      </c>
      <c r="F2358" s="9">
        <v>86</v>
      </c>
      <c r="G2358" s="9">
        <v>994</v>
      </c>
      <c r="H2358" s="5" t="s">
        <v>21</v>
      </c>
      <c r="I2358" s="5" t="s">
        <v>3023</v>
      </c>
      <c r="J2358" s="12" t="str">
        <f>HYPERLINK("https://www.boe.es/gazeta/dias/1800/10/24/pdfs/GMD-1800-86.pdf#page=4","Abrir facsímil")</f>
        <v>Abrir facsímil</v>
      </c>
      <c r="K2358" s="15" t="s">
        <v>23</v>
      </c>
    </row>
    <row r="2359" spans="1:11" ht="42" customHeight="1">
      <c r="A2359" s="4" t="s">
        <v>5948</v>
      </c>
      <c r="B2359" s="5" t="s">
        <v>5948</v>
      </c>
      <c r="C2359" s="5" t="s">
        <v>41</v>
      </c>
      <c r="D2359" s="5" t="s">
        <v>42</v>
      </c>
      <c r="E2359" s="5" t="s">
        <v>116</v>
      </c>
      <c r="F2359" s="9">
        <v>86</v>
      </c>
      <c r="G2359" s="9">
        <v>995</v>
      </c>
      <c r="H2359" s="5" t="s">
        <v>21</v>
      </c>
      <c r="I2359" s="5" t="s">
        <v>3024</v>
      </c>
      <c r="J2359" s="12" t="str">
        <f>HYPERLINK("https://www.boe.es/gazeta/dias/1800/10/24/pdfs/GMD-1800-86.pdf#page=5","Abrir facsímil")</f>
        <v>Abrir facsímil</v>
      </c>
      <c r="K2359" s="15" t="s">
        <v>23</v>
      </c>
    </row>
    <row r="2360" spans="1:11" ht="42" customHeight="1">
      <c r="A2360" s="4" t="s">
        <v>5949</v>
      </c>
      <c r="B2360" s="5" t="s">
        <v>5950</v>
      </c>
      <c r="C2360" s="5" t="s">
        <v>18</v>
      </c>
      <c r="D2360" s="5" t="s">
        <v>19</v>
      </c>
      <c r="E2360" s="5" t="s">
        <v>60</v>
      </c>
      <c r="F2360" s="9">
        <v>105</v>
      </c>
      <c r="G2360" s="9">
        <v>1225</v>
      </c>
      <c r="H2360" s="5" t="s">
        <v>21</v>
      </c>
      <c r="I2360" s="5" t="s">
        <v>5951</v>
      </c>
      <c r="J2360" s="12" t="str">
        <f>HYPERLINK("https://www.boe.es/gazeta/dias/1800/12/30/pdfs/GMD-1800-105.pdf#page=9","Abrir facsímil")</f>
        <v>Abrir facsímil</v>
      </c>
      <c r="K2360" s="15" t="s">
        <v>23</v>
      </c>
    </row>
    <row r="2361" spans="1:11" ht="42" customHeight="1">
      <c r="A2361" s="4" t="s">
        <v>5952</v>
      </c>
      <c r="B2361" s="5" t="s">
        <v>5953</v>
      </c>
      <c r="C2361" s="5" t="s">
        <v>207</v>
      </c>
      <c r="D2361" s="5" t="s">
        <v>55</v>
      </c>
      <c r="E2361" s="5" t="s">
        <v>595</v>
      </c>
      <c r="F2361" s="9">
        <v>72</v>
      </c>
      <c r="G2361" s="9">
        <v>798</v>
      </c>
      <c r="H2361" s="5" t="s">
        <v>21</v>
      </c>
      <c r="I2361" s="5" t="s">
        <v>5954</v>
      </c>
      <c r="J2361" s="12" t="str">
        <f>HYPERLINK("https://www.boe.es/gazeta/dias/1800/09/05/pdfs/GMD-1800-72.pdf#page=8","Abrir facsímil")</f>
        <v>Abrir facsímil</v>
      </c>
      <c r="K2361" s="15" t="s">
        <v>23</v>
      </c>
    </row>
    <row r="2362" spans="1:11" ht="42" customHeight="1">
      <c r="A2362" s="4" t="s">
        <v>5955</v>
      </c>
      <c r="B2362" s="5" t="s">
        <v>5956</v>
      </c>
      <c r="C2362" s="5" t="s">
        <v>41</v>
      </c>
      <c r="D2362" s="5" t="s">
        <v>42</v>
      </c>
      <c r="E2362" s="5" t="s">
        <v>618</v>
      </c>
      <c r="F2362" s="9">
        <v>1</v>
      </c>
      <c r="G2362" s="9">
        <v>2</v>
      </c>
      <c r="H2362" s="5" t="s">
        <v>21</v>
      </c>
      <c r="I2362" s="5" t="s">
        <v>5957</v>
      </c>
      <c r="J2362" s="12" t="str">
        <f>HYPERLINK("https://www.boe.es/gazeta/dias/1800/01/03/pdfs/GMD-1800-1.pdf#page=2","Abrir facsímil")</f>
        <v>Abrir facsímil</v>
      </c>
      <c r="K2362" s="15" t="s">
        <v>23</v>
      </c>
    </row>
    <row r="2363" spans="1:11" ht="42" customHeight="1">
      <c r="A2363" s="4" t="s">
        <v>5955</v>
      </c>
      <c r="B2363" s="5" t="s">
        <v>5956</v>
      </c>
      <c r="C2363" s="5" t="s">
        <v>18</v>
      </c>
      <c r="D2363" s="5" t="s">
        <v>19</v>
      </c>
      <c r="E2363" s="5" t="s">
        <v>244</v>
      </c>
      <c r="F2363" s="9">
        <v>9</v>
      </c>
      <c r="G2363" s="9">
        <v>78</v>
      </c>
      <c r="H2363" s="5" t="s">
        <v>21</v>
      </c>
      <c r="I2363" s="5" t="s">
        <v>5958</v>
      </c>
      <c r="J2363" s="12" t="str">
        <f>HYPERLINK("https://www.boe.es/gazeta/dias/1800/01/31/pdfs/GMD-1800-9.pdf#page=2","Abrir facsímil")</f>
        <v>Abrir facsímil</v>
      </c>
      <c r="K2363" s="15" t="s">
        <v>23</v>
      </c>
    </row>
    <row r="2364" spans="1:11" ht="42" customHeight="1">
      <c r="A2364" s="4" t="s">
        <v>5955</v>
      </c>
      <c r="B2364" s="5" t="s">
        <v>5956</v>
      </c>
      <c r="C2364" s="5" t="s">
        <v>41</v>
      </c>
      <c r="D2364" s="5" t="s">
        <v>42</v>
      </c>
      <c r="E2364" s="5" t="s">
        <v>226</v>
      </c>
      <c r="F2364" s="9">
        <v>27</v>
      </c>
      <c r="G2364" s="9">
        <v>274</v>
      </c>
      <c r="H2364" s="5" t="s">
        <v>21</v>
      </c>
      <c r="I2364" s="5" t="s">
        <v>5959</v>
      </c>
      <c r="J2364" s="12" t="str">
        <f>HYPERLINK("https://www.boe.es/gazeta/dias/1800/04/04/pdfs/GMD-1800-27.pdf#page=2","Abrir facsímil")</f>
        <v>Abrir facsímil</v>
      </c>
      <c r="K2364" s="15" t="s">
        <v>23</v>
      </c>
    </row>
    <row r="2365" spans="1:11" ht="42" customHeight="1">
      <c r="A2365" s="4" t="s">
        <v>5960</v>
      </c>
      <c r="B2365" s="5" t="s">
        <v>5961</v>
      </c>
      <c r="C2365" s="5" t="s">
        <v>41</v>
      </c>
      <c r="D2365" s="5" t="s">
        <v>42</v>
      </c>
      <c r="E2365" s="5" t="s">
        <v>1287</v>
      </c>
      <c r="F2365" s="9">
        <v>57</v>
      </c>
      <c r="G2365" s="9">
        <v>643</v>
      </c>
      <c r="H2365" s="5" t="s">
        <v>21</v>
      </c>
      <c r="I2365" s="5" t="s">
        <v>5962</v>
      </c>
      <c r="J2365" s="12" t="str">
        <f>HYPERLINK("https://www.boe.es/gazeta/dias/1800/07/18/pdfs/GMD-1800-57.pdf#page=7","Abrir facsímil")</f>
        <v>Abrir facsímil</v>
      </c>
      <c r="K2365" s="15" t="s">
        <v>23</v>
      </c>
    </row>
    <row r="2366" spans="1:11" ht="42" customHeight="1">
      <c r="A2366" s="4" t="s">
        <v>5963</v>
      </c>
      <c r="B2366" s="5" t="s">
        <v>5964</v>
      </c>
      <c r="C2366" s="5" t="s">
        <v>41</v>
      </c>
      <c r="D2366" s="5" t="s">
        <v>42</v>
      </c>
      <c r="E2366" s="5" t="s">
        <v>1433</v>
      </c>
      <c r="F2366" s="9">
        <v>12</v>
      </c>
      <c r="G2366" s="9">
        <v>114</v>
      </c>
      <c r="H2366" s="5" t="s">
        <v>21</v>
      </c>
      <c r="I2366" s="5" t="s">
        <v>5965</v>
      </c>
      <c r="J2366" s="12" t="str">
        <f>HYPERLINK("https://www.boe.es/gazeta/dias/1800/02/11/pdfs/GMD-1800-12.pdf#page=6","Abrir facsímil")</f>
        <v>Abrir facsímil</v>
      </c>
      <c r="K2366" s="15" t="s">
        <v>23</v>
      </c>
    </row>
    <row r="2367" spans="1:11" ht="42" customHeight="1">
      <c r="A2367" s="4" t="s">
        <v>5963</v>
      </c>
      <c r="B2367" s="5" t="s">
        <v>5964</v>
      </c>
      <c r="C2367" s="5" t="s">
        <v>41</v>
      </c>
      <c r="D2367" s="5" t="s">
        <v>42</v>
      </c>
      <c r="E2367" s="5" t="s">
        <v>503</v>
      </c>
      <c r="F2367" s="9">
        <v>13</v>
      </c>
      <c r="G2367" s="9">
        <v>123</v>
      </c>
      <c r="H2367" s="5" t="s">
        <v>21</v>
      </c>
      <c r="I2367" s="5" t="s">
        <v>5966</v>
      </c>
      <c r="J2367" s="12" t="str">
        <f>HYPERLINK("https://www.boe.es/gazeta/dias/1800/02/14/pdfs/GMD-1800-13.pdf#page=7","Abrir facsímil")</f>
        <v>Abrir facsímil</v>
      </c>
      <c r="K2367" s="15" t="s">
        <v>23</v>
      </c>
    </row>
    <row r="2368" spans="1:11" ht="42" customHeight="1">
      <c r="A2368" s="4" t="s">
        <v>5963</v>
      </c>
      <c r="B2368" s="5" t="s">
        <v>5964</v>
      </c>
      <c r="C2368" s="5" t="s">
        <v>41</v>
      </c>
      <c r="D2368" s="5" t="s">
        <v>42</v>
      </c>
      <c r="E2368" s="5" t="s">
        <v>503</v>
      </c>
      <c r="F2368" s="9">
        <v>13</v>
      </c>
      <c r="G2368" s="9">
        <v>124</v>
      </c>
      <c r="H2368" s="5" t="s">
        <v>21</v>
      </c>
      <c r="I2368" s="5" t="s">
        <v>5967</v>
      </c>
      <c r="J2368" s="12" t="str">
        <f>HYPERLINK("https://www.boe.es/gazeta/dias/1800/02/14/pdfs/GMD-1800-13.pdf#page=8","Abrir facsímil")</f>
        <v>Abrir facsímil</v>
      </c>
      <c r="K2368" s="15" t="s">
        <v>23</v>
      </c>
    </row>
    <row r="2369" spans="1:11" ht="42" customHeight="1">
      <c r="A2369" s="4" t="s">
        <v>5963</v>
      </c>
      <c r="B2369" s="5" t="s">
        <v>5964</v>
      </c>
      <c r="C2369" s="5" t="s">
        <v>41</v>
      </c>
      <c r="D2369" s="5" t="s">
        <v>42</v>
      </c>
      <c r="E2369" s="5" t="s">
        <v>545</v>
      </c>
      <c r="F2369" s="9">
        <v>14</v>
      </c>
      <c r="G2369" s="9">
        <v>133</v>
      </c>
      <c r="H2369" s="5" t="s">
        <v>21</v>
      </c>
      <c r="I2369" s="5" t="s">
        <v>5968</v>
      </c>
      <c r="J2369" s="12" t="str">
        <f>HYPERLINK("https://www.boe.es/gazeta/dias/1800/02/18/pdfs/GMD-1800-14.pdf#page=5","Abrir facsímil")</f>
        <v>Abrir facsímil</v>
      </c>
      <c r="K2369" s="15" t="s">
        <v>23</v>
      </c>
    </row>
    <row r="2370" spans="1:11" ht="42" customHeight="1">
      <c r="A2370" s="4" t="s">
        <v>5963</v>
      </c>
      <c r="B2370" s="5" t="s">
        <v>5964</v>
      </c>
      <c r="C2370" s="5" t="s">
        <v>18</v>
      </c>
      <c r="D2370" s="5" t="s">
        <v>19</v>
      </c>
      <c r="E2370" s="5" t="s">
        <v>1231</v>
      </c>
      <c r="F2370" s="9">
        <v>36</v>
      </c>
      <c r="G2370" s="9">
        <v>362</v>
      </c>
      <c r="H2370" s="5" t="s">
        <v>21</v>
      </c>
      <c r="I2370" s="5" t="s">
        <v>5969</v>
      </c>
      <c r="J2370" s="12" t="str">
        <f>HYPERLINK("https://www.boe.es/gazeta/dias/1800/05/06/pdfs/GMD-1800-36.pdf#page=6","Abrir facsímil")</f>
        <v>Abrir facsímil</v>
      </c>
      <c r="K2370" s="15" t="s">
        <v>23</v>
      </c>
    </row>
    <row r="2371" spans="1:11" ht="42" customHeight="1">
      <c r="A2371" s="4" t="s">
        <v>5963</v>
      </c>
      <c r="B2371" s="5" t="s">
        <v>5964</v>
      </c>
      <c r="C2371" s="5" t="s">
        <v>41</v>
      </c>
      <c r="D2371" s="5" t="s">
        <v>42</v>
      </c>
      <c r="E2371" s="5" t="s">
        <v>406</v>
      </c>
      <c r="F2371" s="9">
        <v>44</v>
      </c>
      <c r="G2371" s="9">
        <v>460</v>
      </c>
      <c r="H2371" s="5" t="s">
        <v>21</v>
      </c>
      <c r="I2371" s="5" t="s">
        <v>5970</v>
      </c>
      <c r="J2371" s="12" t="str">
        <f>HYPERLINK("https://www.boe.es/gazeta/dias/1800/06/03/pdfs/GMD-1800-44.pdf#page=8","Abrir facsímil")</f>
        <v>Abrir facsímil</v>
      </c>
      <c r="K2371" s="15" t="s">
        <v>23</v>
      </c>
    </row>
    <row r="2372" spans="1:11" ht="42" customHeight="1">
      <c r="A2372" s="4" t="s">
        <v>5963</v>
      </c>
      <c r="B2372" s="5" t="s">
        <v>5964</v>
      </c>
      <c r="C2372" s="5" t="s">
        <v>41</v>
      </c>
      <c r="D2372" s="5" t="s">
        <v>42</v>
      </c>
      <c r="E2372" s="5" t="s">
        <v>45</v>
      </c>
      <c r="F2372" s="9">
        <v>47</v>
      </c>
      <c r="G2372" s="9">
        <v>500</v>
      </c>
      <c r="H2372" s="5" t="s">
        <v>21</v>
      </c>
      <c r="I2372" s="5" t="s">
        <v>5971</v>
      </c>
      <c r="J2372" s="12" t="str">
        <f>HYPERLINK("https://www.boe.es/gazeta/dias/1800/06/13/pdfs/GMD-1800-47.pdf#page=8","Abrir facsímil")</f>
        <v>Abrir facsímil</v>
      </c>
      <c r="K2372" s="15" t="s">
        <v>23</v>
      </c>
    </row>
    <row r="2373" spans="1:11" ht="42" customHeight="1">
      <c r="A2373" s="4" t="s">
        <v>5963</v>
      </c>
      <c r="B2373" s="5" t="s">
        <v>5964</v>
      </c>
      <c r="C2373" s="5" t="s">
        <v>207</v>
      </c>
      <c r="D2373" s="5" t="s">
        <v>55</v>
      </c>
      <c r="E2373" s="5" t="s">
        <v>120</v>
      </c>
      <c r="F2373" s="9">
        <v>52</v>
      </c>
      <c r="G2373" s="9">
        <v>574</v>
      </c>
      <c r="H2373" s="5" t="s">
        <v>21</v>
      </c>
      <c r="I2373" s="5" t="s">
        <v>5972</v>
      </c>
      <c r="J2373" s="12" t="str">
        <f>HYPERLINK("https://www.boe.es/gazeta/dias/1800/07/01/pdfs/GMD-1800-52.pdf#page=10","Abrir facsímil")</f>
        <v>Abrir facsímil</v>
      </c>
      <c r="K2373" s="15" t="s">
        <v>23</v>
      </c>
    </row>
    <row r="2374" spans="1:11" ht="42" customHeight="1">
      <c r="A2374" s="4" t="s">
        <v>5963</v>
      </c>
      <c r="B2374" s="5" t="s">
        <v>5964</v>
      </c>
      <c r="C2374" s="5" t="s">
        <v>41</v>
      </c>
      <c r="D2374" s="5" t="s">
        <v>42</v>
      </c>
      <c r="E2374" s="5" t="s">
        <v>310</v>
      </c>
      <c r="F2374" s="9">
        <v>56</v>
      </c>
      <c r="G2374" s="9">
        <v>628</v>
      </c>
      <c r="H2374" s="5" t="s">
        <v>21</v>
      </c>
      <c r="I2374" s="5" t="s">
        <v>5973</v>
      </c>
      <c r="J2374" s="12" t="str">
        <f>HYPERLINK("https://www.boe.es/gazeta/dias/1800/07/15/pdfs/GMD-1800-56.pdf#page=4","Abrir facsímil")</f>
        <v>Abrir facsímil</v>
      </c>
      <c r="K2374" s="15" t="s">
        <v>23</v>
      </c>
    </row>
    <row r="2375" spans="1:11" ht="42" customHeight="1">
      <c r="A2375" s="4" t="s">
        <v>5963</v>
      </c>
      <c r="B2375" s="5" t="s">
        <v>5964</v>
      </c>
      <c r="C2375" s="5" t="s">
        <v>41</v>
      </c>
      <c r="D2375" s="5" t="s">
        <v>42</v>
      </c>
      <c r="E2375" s="5" t="s">
        <v>310</v>
      </c>
      <c r="F2375" s="9">
        <v>56</v>
      </c>
      <c r="G2375" s="9">
        <v>629</v>
      </c>
      <c r="H2375" s="5" t="s">
        <v>21</v>
      </c>
      <c r="I2375" s="5" t="s">
        <v>5974</v>
      </c>
      <c r="J2375" s="12" t="str">
        <f>HYPERLINK("https://www.boe.es/gazeta/dias/1800/07/15/pdfs/GMD-1800-56.pdf#page=5","Abrir facsímil")</f>
        <v>Abrir facsímil</v>
      </c>
      <c r="K2375" s="15" t="s">
        <v>23</v>
      </c>
    </row>
    <row r="2376" spans="1:11" ht="42" customHeight="1">
      <c r="A2376" s="4" t="s">
        <v>5963</v>
      </c>
      <c r="B2376" s="5" t="s">
        <v>5964</v>
      </c>
      <c r="C2376" s="5" t="s">
        <v>54</v>
      </c>
      <c r="D2376" s="5" t="s">
        <v>55</v>
      </c>
      <c r="E2376" s="5" t="s">
        <v>1287</v>
      </c>
      <c r="F2376" s="9">
        <v>57</v>
      </c>
      <c r="G2376" s="9">
        <v>642</v>
      </c>
      <c r="H2376" s="5" t="s">
        <v>21</v>
      </c>
      <c r="I2376" s="5" t="s">
        <v>5975</v>
      </c>
      <c r="J2376" s="12" t="str">
        <f>HYPERLINK("https://www.boe.es/gazeta/dias/1800/07/18/pdfs/GMD-1800-57.pdf#page=6","Abrir facsímil")</f>
        <v>Abrir facsímil</v>
      </c>
      <c r="K2376" s="15" t="s">
        <v>23</v>
      </c>
    </row>
    <row r="2377" spans="1:11" ht="42" customHeight="1">
      <c r="A2377" s="4" t="s">
        <v>5963</v>
      </c>
      <c r="B2377" s="5" t="s">
        <v>5964</v>
      </c>
      <c r="C2377" s="5" t="s">
        <v>41</v>
      </c>
      <c r="D2377" s="5" t="s">
        <v>42</v>
      </c>
      <c r="E2377" s="5" t="s">
        <v>1287</v>
      </c>
      <c r="F2377" s="9">
        <v>57</v>
      </c>
      <c r="G2377" s="9">
        <v>644</v>
      </c>
      <c r="H2377" s="5" t="s">
        <v>21</v>
      </c>
      <c r="I2377" s="5" t="s">
        <v>5976</v>
      </c>
      <c r="J2377" s="12" t="str">
        <f>HYPERLINK("https://www.boe.es/gazeta/dias/1800/07/18/pdfs/GMD-1800-57.pdf#page=8","Abrir facsímil")</f>
        <v>Abrir facsímil</v>
      </c>
      <c r="K2377" s="15" t="s">
        <v>23</v>
      </c>
    </row>
    <row r="2378" spans="1:11" ht="42" customHeight="1">
      <c r="A2378" s="4" t="s">
        <v>5963</v>
      </c>
      <c r="B2378" s="5" t="s">
        <v>5964</v>
      </c>
      <c r="C2378" s="5" t="s">
        <v>18</v>
      </c>
      <c r="D2378" s="5" t="s">
        <v>19</v>
      </c>
      <c r="E2378" s="5" t="s">
        <v>90</v>
      </c>
      <c r="F2378" s="9">
        <v>58</v>
      </c>
      <c r="G2378" s="9">
        <v>657</v>
      </c>
      <c r="H2378" s="5" t="s">
        <v>21</v>
      </c>
      <c r="I2378" s="5" t="s">
        <v>5977</v>
      </c>
      <c r="J2378" s="12" t="str">
        <f>HYPERLINK("https://www.boe.es/gazeta/dias/1800/07/22/pdfs/GMD-1800-58.pdf#page=5","Abrir facsímil")</f>
        <v>Abrir facsímil</v>
      </c>
      <c r="K2378" s="15" t="s">
        <v>23</v>
      </c>
    </row>
    <row r="2379" spans="1:11" ht="42" customHeight="1">
      <c r="A2379" s="4" t="s">
        <v>5963</v>
      </c>
      <c r="B2379" s="5" t="s">
        <v>5964</v>
      </c>
      <c r="C2379" s="5" t="s">
        <v>41</v>
      </c>
      <c r="D2379" s="5" t="s">
        <v>42</v>
      </c>
      <c r="E2379" s="5" t="s">
        <v>1294</v>
      </c>
      <c r="F2379" s="9">
        <v>59</v>
      </c>
      <c r="G2379" s="9">
        <v>676</v>
      </c>
      <c r="H2379" s="5" t="s">
        <v>21</v>
      </c>
      <c r="I2379" s="5" t="s">
        <v>5978</v>
      </c>
      <c r="J2379" s="12" t="str">
        <f>HYPERLINK("https://www.boe.es/gazeta/dias/1800/07/25/pdfs/GMD-1800-59.pdf#page=8","Abrir facsímil")</f>
        <v>Abrir facsímil</v>
      </c>
      <c r="K2379" s="15" t="s">
        <v>23</v>
      </c>
    </row>
    <row r="2380" spans="1:11" ht="42" customHeight="1">
      <c r="A2380" s="4" t="s">
        <v>5963</v>
      </c>
      <c r="B2380" s="5" t="s">
        <v>5964</v>
      </c>
      <c r="C2380" s="5" t="s">
        <v>41</v>
      </c>
      <c r="D2380" s="5" t="s">
        <v>42</v>
      </c>
      <c r="E2380" s="5" t="s">
        <v>275</v>
      </c>
      <c r="F2380" s="9">
        <v>60</v>
      </c>
      <c r="G2380" s="9">
        <v>684</v>
      </c>
      <c r="H2380" s="5" t="s">
        <v>21</v>
      </c>
      <c r="I2380" s="5" t="s">
        <v>5979</v>
      </c>
      <c r="J2380" s="12" t="str">
        <f>HYPERLINK("https://www.boe.es/gazeta/dias/1800/07/29/pdfs/GMD-1800-60.pdf#page=4","Abrir facsímil")</f>
        <v>Abrir facsímil</v>
      </c>
      <c r="K2380" s="15" t="s">
        <v>23</v>
      </c>
    </row>
    <row r="2381" spans="1:11" ht="42" customHeight="1">
      <c r="A2381" s="4" t="s">
        <v>5963</v>
      </c>
      <c r="B2381" s="5" t="s">
        <v>5964</v>
      </c>
      <c r="C2381" s="5" t="s">
        <v>41</v>
      </c>
      <c r="D2381" s="5" t="s">
        <v>42</v>
      </c>
      <c r="E2381" s="5" t="s">
        <v>275</v>
      </c>
      <c r="F2381" s="9">
        <v>60</v>
      </c>
      <c r="G2381" s="9">
        <v>686</v>
      </c>
      <c r="H2381" s="5" t="s">
        <v>21</v>
      </c>
      <c r="I2381" s="5" t="s">
        <v>5980</v>
      </c>
      <c r="J2381" s="12" t="str">
        <f>HYPERLINK("https://www.boe.es/gazeta/dias/1800/07/29/pdfs/GMD-1800-60.pdf#page=6","Abrir facsímil")</f>
        <v>Abrir facsímil</v>
      </c>
      <c r="K2381" s="15" t="s">
        <v>23</v>
      </c>
    </row>
    <row r="2382" spans="1:11" ht="42" customHeight="1">
      <c r="A2382" s="4" t="s">
        <v>5963</v>
      </c>
      <c r="B2382" s="5" t="s">
        <v>5964</v>
      </c>
      <c r="C2382" s="5" t="s">
        <v>41</v>
      </c>
      <c r="D2382" s="5" t="s">
        <v>42</v>
      </c>
      <c r="E2382" s="5" t="s">
        <v>319</v>
      </c>
      <c r="F2382" s="9">
        <v>62</v>
      </c>
      <c r="G2382" s="9">
        <v>702</v>
      </c>
      <c r="H2382" s="5" t="s">
        <v>21</v>
      </c>
      <c r="I2382" s="5" t="s">
        <v>5981</v>
      </c>
      <c r="J2382" s="12" t="str">
        <f>HYPERLINK("https://www.boe.es/gazeta/dias/1800/08/05/pdfs/GMD-1800-62.pdf#page=2","Abrir facsímil")</f>
        <v>Abrir facsímil</v>
      </c>
      <c r="K2382" s="15" t="s">
        <v>23</v>
      </c>
    </row>
    <row r="2383" spans="1:11" ht="42" customHeight="1">
      <c r="A2383" s="4" t="s">
        <v>5963</v>
      </c>
      <c r="B2383" s="5" t="s">
        <v>5964</v>
      </c>
      <c r="C2383" s="5" t="s">
        <v>41</v>
      </c>
      <c r="D2383" s="5" t="s">
        <v>42</v>
      </c>
      <c r="E2383" s="5" t="s">
        <v>454</v>
      </c>
      <c r="F2383" s="9">
        <v>63</v>
      </c>
      <c r="G2383" s="9">
        <v>719</v>
      </c>
      <c r="H2383" s="5" t="s">
        <v>21</v>
      </c>
      <c r="I2383" s="5" t="s">
        <v>5982</v>
      </c>
      <c r="J2383" s="12" t="str">
        <f>HYPERLINK("https://www.boe.es/gazeta/dias/1800/08/08/pdfs/GMD-1800-63.pdf#page=7","Abrir facsímil")</f>
        <v>Abrir facsímil</v>
      </c>
      <c r="K2383" s="15" t="s">
        <v>23</v>
      </c>
    </row>
    <row r="2384" spans="1:11" ht="42" customHeight="1">
      <c r="A2384" s="4" t="s">
        <v>5963</v>
      </c>
      <c r="B2384" s="5" t="s">
        <v>5964</v>
      </c>
      <c r="C2384" s="5" t="s">
        <v>25</v>
      </c>
      <c r="D2384" s="5" t="s">
        <v>26</v>
      </c>
      <c r="E2384" s="5" t="s">
        <v>68</v>
      </c>
      <c r="F2384" s="9">
        <v>67</v>
      </c>
      <c r="G2384" s="9">
        <v>755</v>
      </c>
      <c r="H2384" s="5" t="s">
        <v>21</v>
      </c>
      <c r="I2384" s="5" t="s">
        <v>5983</v>
      </c>
      <c r="J2384" s="12" t="str">
        <f>HYPERLINK("https://www.boe.es/gazeta/dias/1800/08/22/pdfs/GMD-1800-67.pdf#page=7","Abrir facsímil")</f>
        <v>Abrir facsímil</v>
      </c>
      <c r="K2384" s="15" t="s">
        <v>23</v>
      </c>
    </row>
    <row r="2385" spans="1:11" ht="42" customHeight="1">
      <c r="A2385" s="4" t="s">
        <v>5963</v>
      </c>
      <c r="B2385" s="5" t="s">
        <v>5964</v>
      </c>
      <c r="C2385" s="5" t="s">
        <v>41</v>
      </c>
      <c r="D2385" s="5" t="s">
        <v>42</v>
      </c>
      <c r="E2385" s="5" t="s">
        <v>184</v>
      </c>
      <c r="F2385" s="9">
        <v>82</v>
      </c>
      <c r="G2385" s="9">
        <v>948</v>
      </c>
      <c r="H2385" s="5" t="s">
        <v>21</v>
      </c>
      <c r="I2385" s="5" t="s">
        <v>5984</v>
      </c>
      <c r="J2385" s="12" t="str">
        <f>HYPERLINK("https://www.boe.es/gazeta/dias/1800/10/10/pdfs/GMD-1800-82.pdf#page=6","Abrir facsímil")</f>
        <v>Abrir facsímil</v>
      </c>
      <c r="K2385" s="15" t="s">
        <v>23</v>
      </c>
    </row>
    <row r="2386" spans="1:11" ht="42" customHeight="1">
      <c r="A2386" s="4" t="s">
        <v>5985</v>
      </c>
      <c r="B2386" s="5" t="s">
        <v>5986</v>
      </c>
      <c r="C2386" s="5" t="s">
        <v>41</v>
      </c>
      <c r="D2386" s="5" t="s">
        <v>42</v>
      </c>
      <c r="E2386" s="5" t="s">
        <v>43</v>
      </c>
      <c r="F2386" s="9">
        <v>46</v>
      </c>
      <c r="G2386" s="9">
        <v>484</v>
      </c>
      <c r="H2386" s="5" t="s">
        <v>21</v>
      </c>
      <c r="I2386" s="5" t="s">
        <v>5987</v>
      </c>
      <c r="J2386" s="12" t="str">
        <f>HYPERLINK("https://www.boe.es/gazeta/dias/1800/06/10/pdfs/GMD-1800-46.pdf#page=8","Abrir facsímil")</f>
        <v>Abrir facsímil</v>
      </c>
      <c r="K2386" s="15" t="s">
        <v>23</v>
      </c>
    </row>
    <row r="2387" spans="1:11" ht="42" customHeight="1">
      <c r="A2387" s="4" t="s">
        <v>5988</v>
      </c>
      <c r="B2387" s="5" t="s">
        <v>5989</v>
      </c>
      <c r="C2387" s="5" t="s">
        <v>41</v>
      </c>
      <c r="D2387" s="5" t="s">
        <v>42</v>
      </c>
      <c r="E2387" s="5" t="s">
        <v>828</v>
      </c>
      <c r="F2387" s="9">
        <v>53</v>
      </c>
      <c r="G2387" s="9">
        <v>586</v>
      </c>
      <c r="H2387" s="5" t="s">
        <v>21</v>
      </c>
      <c r="I2387" s="5" t="s">
        <v>5990</v>
      </c>
      <c r="J2387" s="12" t="str">
        <f>HYPERLINK("https://www.boe.es/gazeta/dias/1800/07/04/pdfs/GMD-1800-53.pdf#page=6","Abrir facsímil")</f>
        <v>Abrir facsímil</v>
      </c>
      <c r="K2387" s="15" t="s">
        <v>23</v>
      </c>
    </row>
    <row r="2388" spans="1:11" ht="42" customHeight="1">
      <c r="A2388" s="4" t="s">
        <v>5991</v>
      </c>
      <c r="B2388" s="5" t="s">
        <v>5991</v>
      </c>
      <c r="C2388" s="5" t="s">
        <v>18</v>
      </c>
      <c r="D2388" s="5" t="s">
        <v>19</v>
      </c>
      <c r="E2388" s="5" t="s">
        <v>50</v>
      </c>
      <c r="F2388" s="9">
        <v>81</v>
      </c>
      <c r="G2388" s="9">
        <v>917</v>
      </c>
      <c r="H2388" s="5" t="s">
        <v>21</v>
      </c>
      <c r="I2388" s="5" t="s">
        <v>5992</v>
      </c>
      <c r="J2388" s="12" t="str">
        <f>HYPERLINK("https://www.boe.es/gazeta/dias/1800/10/07/pdfs/GMD-1800-81.pdf#page=7","Abrir facsímil")</f>
        <v>Abrir facsímil</v>
      </c>
      <c r="K2388" s="15" t="s">
        <v>23</v>
      </c>
    </row>
    <row r="2389" spans="1:11" ht="42" customHeight="1">
      <c r="A2389" s="4" t="s">
        <v>5993</v>
      </c>
      <c r="B2389" s="5" t="s">
        <v>5994</v>
      </c>
      <c r="C2389" s="5" t="s">
        <v>41</v>
      </c>
      <c r="D2389" s="5" t="s">
        <v>42</v>
      </c>
      <c r="E2389" s="5" t="s">
        <v>190</v>
      </c>
      <c r="F2389" s="9">
        <v>93</v>
      </c>
      <c r="G2389" s="9">
        <v>1058</v>
      </c>
      <c r="H2389" s="5" t="s">
        <v>21</v>
      </c>
      <c r="I2389" s="5" t="s">
        <v>5995</v>
      </c>
      <c r="J2389" s="12" t="str">
        <f>HYPERLINK("https://www.boe.es/gazeta/dias/1800/11/18/pdfs/GMD-1800-93.pdf#page=4","Abrir facsímil")</f>
        <v>Abrir facsímil</v>
      </c>
      <c r="K2389" s="15" t="s">
        <v>23</v>
      </c>
    </row>
    <row r="2390" spans="1:11" ht="42" customHeight="1">
      <c r="A2390" s="4" t="s">
        <v>5996</v>
      </c>
      <c r="B2390" s="5" t="s">
        <v>5996</v>
      </c>
      <c r="C2390" s="5" t="s">
        <v>25</v>
      </c>
      <c r="D2390" s="5" t="s">
        <v>26</v>
      </c>
      <c r="E2390" s="5" t="s">
        <v>43</v>
      </c>
      <c r="F2390" s="9">
        <v>46</v>
      </c>
      <c r="G2390" s="9">
        <v>491</v>
      </c>
      <c r="H2390" s="5" t="s">
        <v>21</v>
      </c>
      <c r="I2390" s="5" t="s">
        <v>5997</v>
      </c>
      <c r="J2390" s="12" t="str">
        <f>HYPERLINK("https://www.boe.es/gazeta/dias/1800/06/10/pdfs/GMD-1800-46.pdf#page=15","Abrir facsímil")</f>
        <v>Abrir facsímil</v>
      </c>
      <c r="K2390" s="15" t="s">
        <v>23</v>
      </c>
    </row>
    <row r="2391" spans="1:11" ht="42" customHeight="1">
      <c r="A2391" s="4" t="s">
        <v>5996</v>
      </c>
      <c r="B2391" s="5" t="s">
        <v>5996</v>
      </c>
      <c r="C2391" s="5" t="s">
        <v>41</v>
      </c>
      <c r="D2391" s="5" t="s">
        <v>42</v>
      </c>
      <c r="E2391" s="5" t="s">
        <v>52</v>
      </c>
      <c r="F2391" s="9">
        <v>83</v>
      </c>
      <c r="G2391" s="9">
        <v>960</v>
      </c>
      <c r="H2391" s="5" t="s">
        <v>21</v>
      </c>
      <c r="I2391" s="5" t="s">
        <v>5998</v>
      </c>
      <c r="J2391" s="12" t="str">
        <f>HYPERLINK("https://www.boe.es/gazeta/dias/1800/10/14/pdfs/GMD-1800-83.pdf#page=6","Abrir facsímil")</f>
        <v>Abrir facsímil</v>
      </c>
      <c r="K2391" s="15" t="s">
        <v>23</v>
      </c>
    </row>
    <row r="2392" spans="1:11" ht="42" customHeight="1">
      <c r="A2392" s="4" t="s">
        <v>5999</v>
      </c>
      <c r="B2392" s="5" t="s">
        <v>5999</v>
      </c>
      <c r="C2392" s="5" t="s">
        <v>41</v>
      </c>
      <c r="D2392" s="5" t="s">
        <v>42</v>
      </c>
      <c r="E2392" s="5" t="s">
        <v>124</v>
      </c>
      <c r="F2392" s="9">
        <v>16</v>
      </c>
      <c r="G2392" s="9">
        <v>148</v>
      </c>
      <c r="H2392" s="5" t="s">
        <v>21</v>
      </c>
      <c r="I2392" s="5" t="s">
        <v>6000</v>
      </c>
      <c r="J2392" s="12" t="str">
        <f>HYPERLINK("https://www.boe.es/gazeta/dias/1800/02/25/pdfs/GMD-1800-16.pdf#page=4","Abrir facsímil")</f>
        <v>Abrir facsímil</v>
      </c>
      <c r="K2392" s="15" t="s">
        <v>23</v>
      </c>
    </row>
    <row r="2393" spans="1:11" ht="42" customHeight="1">
      <c r="A2393" s="4" t="s">
        <v>6001</v>
      </c>
      <c r="B2393" s="5" t="s">
        <v>6002</v>
      </c>
      <c r="C2393" s="5" t="s">
        <v>41</v>
      </c>
      <c r="D2393" s="5" t="s">
        <v>42</v>
      </c>
      <c r="E2393" s="5" t="s">
        <v>50</v>
      </c>
      <c r="F2393" s="9">
        <v>81</v>
      </c>
      <c r="G2393" s="9">
        <v>916</v>
      </c>
      <c r="H2393" s="5" t="s">
        <v>21</v>
      </c>
      <c r="I2393" s="5" t="s">
        <v>6003</v>
      </c>
      <c r="J2393" s="12" t="str">
        <f>HYPERLINK("https://www.boe.es/gazeta/dias/1800/10/07/pdfs/GMD-1800-81.pdf#page=6","Abrir facsímil")</f>
        <v>Abrir facsímil</v>
      </c>
      <c r="K2393" s="15" t="s">
        <v>23</v>
      </c>
    </row>
    <row r="2394" spans="1:11" ht="42" customHeight="1">
      <c r="A2394" s="4" t="s">
        <v>6004</v>
      </c>
      <c r="B2394" s="5" t="s">
        <v>6005</v>
      </c>
      <c r="C2394" s="5" t="s">
        <v>41</v>
      </c>
      <c r="D2394" s="5" t="s">
        <v>42</v>
      </c>
      <c r="E2394" s="5" t="s">
        <v>139</v>
      </c>
      <c r="F2394" s="9">
        <v>2</v>
      </c>
      <c r="G2394" s="9">
        <v>13</v>
      </c>
      <c r="H2394" s="5" t="s">
        <v>21</v>
      </c>
      <c r="I2394" s="5" t="s">
        <v>6006</v>
      </c>
      <c r="J2394" s="12" t="str">
        <f>HYPERLINK("https://www.boe.es/gazeta/dias/1800/01/07/pdfs/GMD-1800-2.pdf#page=5","Abrir facsímil")</f>
        <v>Abrir facsímil</v>
      </c>
      <c r="K2394" s="15" t="s">
        <v>23</v>
      </c>
    </row>
    <row r="2395" spans="1:11" ht="42" customHeight="1">
      <c r="A2395" s="4" t="s">
        <v>6007</v>
      </c>
      <c r="B2395" s="5" t="s">
        <v>6008</v>
      </c>
      <c r="C2395" s="5" t="s">
        <v>41</v>
      </c>
      <c r="D2395" s="5" t="s">
        <v>42</v>
      </c>
      <c r="E2395" s="5" t="s">
        <v>68</v>
      </c>
      <c r="F2395" s="9">
        <v>67</v>
      </c>
      <c r="G2395" s="9">
        <v>753</v>
      </c>
      <c r="H2395" s="5" t="s">
        <v>21</v>
      </c>
      <c r="I2395" s="5" t="s">
        <v>6009</v>
      </c>
      <c r="J2395" s="12" t="str">
        <f>HYPERLINK("https://www.boe.es/gazeta/dias/1800/08/22/pdfs/GMD-1800-67.pdf#page=5","Abrir facsímil")</f>
        <v>Abrir facsímil</v>
      </c>
      <c r="K2395" s="15" t="s">
        <v>23</v>
      </c>
    </row>
    <row r="2396" spans="1:11" ht="42" customHeight="1">
      <c r="A2396" s="4" t="s">
        <v>6010</v>
      </c>
      <c r="B2396" s="5" t="s">
        <v>6011</v>
      </c>
      <c r="C2396" s="5" t="s">
        <v>18</v>
      </c>
      <c r="D2396" s="5" t="s">
        <v>19</v>
      </c>
      <c r="E2396" s="5" t="s">
        <v>56</v>
      </c>
      <c r="F2396" s="9">
        <v>90</v>
      </c>
      <c r="G2396" s="9">
        <v>1049</v>
      </c>
      <c r="H2396" s="5" t="s">
        <v>21</v>
      </c>
      <c r="I2396" s="5" t="s">
        <v>6012</v>
      </c>
      <c r="J2396" s="12" t="str">
        <f>HYPERLINK("https://www.boe.es/gazeta/dias/1800/11/07/pdfs/GMD-1800-90.pdf#page=3","Abrir facsímil")</f>
        <v>Abrir facsímil</v>
      </c>
      <c r="K2396" s="15" t="s">
        <v>23</v>
      </c>
    </row>
    <row r="2397" spans="1:11" ht="42" customHeight="1">
      <c r="A2397" s="4" t="s">
        <v>6010</v>
      </c>
      <c r="B2397" s="5" t="s">
        <v>6011</v>
      </c>
      <c r="C2397" s="5" t="s">
        <v>41</v>
      </c>
      <c r="D2397" s="5" t="s">
        <v>42</v>
      </c>
      <c r="E2397" s="5" t="s">
        <v>56</v>
      </c>
      <c r="F2397" s="9">
        <v>90</v>
      </c>
      <c r="G2397" s="9">
        <v>1052</v>
      </c>
      <c r="H2397" s="5" t="s">
        <v>21</v>
      </c>
      <c r="I2397" s="5" t="s">
        <v>6013</v>
      </c>
      <c r="J2397" s="12" t="str">
        <f>HYPERLINK("https://www.boe.es/gazeta/dias/1800/11/07/pdfs/GMD-1800-90.pdf#page=6","Abrir facsímil")</f>
        <v>Abrir facsímil</v>
      </c>
      <c r="K2397" s="15" t="s">
        <v>23</v>
      </c>
    </row>
    <row r="2398" spans="1:11" ht="42" customHeight="1">
      <c r="A2398" s="4" t="s">
        <v>6010</v>
      </c>
      <c r="B2398" s="5" t="s">
        <v>6011</v>
      </c>
      <c r="C2398" s="5" t="s">
        <v>41</v>
      </c>
      <c r="D2398" s="5" t="s">
        <v>42</v>
      </c>
      <c r="E2398" s="5" t="s">
        <v>58</v>
      </c>
      <c r="F2398" s="9">
        <v>92</v>
      </c>
      <c r="G2398" s="9">
        <v>1048</v>
      </c>
      <c r="H2398" s="5" t="s">
        <v>21</v>
      </c>
      <c r="I2398" s="5" t="s">
        <v>6014</v>
      </c>
      <c r="J2398" s="12" t="str">
        <f>HYPERLINK("https://www.boe.es/gazeta/dias/1800/11/14/pdfs/GMD-1800-92.pdf#page=2","Abrir facsímil")</f>
        <v>Abrir facsímil</v>
      </c>
      <c r="K2398" s="15" t="s">
        <v>23</v>
      </c>
    </row>
    <row r="2399" spans="1:11" ht="42" customHeight="1">
      <c r="A2399" s="4" t="s">
        <v>6010</v>
      </c>
      <c r="B2399" s="5" t="s">
        <v>6011</v>
      </c>
      <c r="C2399" s="5" t="s">
        <v>41</v>
      </c>
      <c r="D2399" s="5" t="s">
        <v>42</v>
      </c>
      <c r="E2399" s="5" t="s">
        <v>196</v>
      </c>
      <c r="F2399" s="9">
        <v>97</v>
      </c>
      <c r="G2399" s="9">
        <v>1112</v>
      </c>
      <c r="H2399" s="5" t="s">
        <v>21</v>
      </c>
      <c r="I2399" s="5" t="s">
        <v>6015</v>
      </c>
      <c r="J2399" s="12" t="str">
        <f>HYPERLINK("https://www.boe.es/gazeta/dias/1800/12/02/pdfs/GMD-1800-97.pdf#page=4","Abrir facsímil")</f>
        <v>Abrir facsímil</v>
      </c>
      <c r="K2399" s="15" t="s">
        <v>23</v>
      </c>
    </row>
    <row r="2400" spans="1:11" ht="42" customHeight="1">
      <c r="A2400" s="4" t="s">
        <v>6010</v>
      </c>
      <c r="B2400" s="5" t="s">
        <v>6011</v>
      </c>
      <c r="C2400" s="5" t="s">
        <v>41</v>
      </c>
      <c r="D2400" s="5" t="s">
        <v>42</v>
      </c>
      <c r="E2400" s="5" t="s">
        <v>279</v>
      </c>
      <c r="F2400" s="9">
        <v>103</v>
      </c>
      <c r="G2400" s="9">
        <v>1191</v>
      </c>
      <c r="H2400" s="5" t="s">
        <v>21</v>
      </c>
      <c r="I2400" s="5" t="s">
        <v>6016</v>
      </c>
      <c r="J2400" s="12" t="str">
        <f>HYPERLINK("https://www.boe.es/gazeta/dias/1800/12/23/pdfs/GMD-1800-103.pdf#page=3","Abrir facsímil")</f>
        <v>Abrir facsímil</v>
      </c>
      <c r="K2400" s="15" t="s">
        <v>23</v>
      </c>
    </row>
    <row r="2401" spans="1:11" ht="42" customHeight="1">
      <c r="A2401" s="4" t="s">
        <v>6010</v>
      </c>
      <c r="B2401" s="5" t="s">
        <v>6011</v>
      </c>
      <c r="C2401" s="5" t="s">
        <v>41</v>
      </c>
      <c r="D2401" s="5" t="s">
        <v>42</v>
      </c>
      <c r="E2401" s="5" t="s">
        <v>279</v>
      </c>
      <c r="F2401" s="9">
        <v>103</v>
      </c>
      <c r="G2401" s="9">
        <v>1195</v>
      </c>
      <c r="H2401" s="5" t="s">
        <v>21</v>
      </c>
      <c r="I2401" s="5" t="s">
        <v>6017</v>
      </c>
      <c r="J2401" s="12" t="str">
        <f>HYPERLINK("https://www.boe.es/gazeta/dias/1800/12/23/pdfs/GMD-1800-103.pdf#page=7","Abrir facsímil")</f>
        <v>Abrir facsímil</v>
      </c>
      <c r="K2401" s="15" t="s">
        <v>23</v>
      </c>
    </row>
    <row r="2402" spans="1:11" ht="42" customHeight="1">
      <c r="A2402" s="4" t="s">
        <v>6018</v>
      </c>
      <c r="B2402" s="5" t="s">
        <v>6018</v>
      </c>
      <c r="C2402" s="5" t="s">
        <v>41</v>
      </c>
      <c r="D2402" s="5" t="s">
        <v>42</v>
      </c>
      <c r="E2402" s="5" t="s">
        <v>196</v>
      </c>
      <c r="F2402" s="9">
        <v>97</v>
      </c>
      <c r="G2402" s="9">
        <v>1114</v>
      </c>
      <c r="H2402" s="5" t="s">
        <v>21</v>
      </c>
      <c r="I2402" s="5" t="s">
        <v>6019</v>
      </c>
      <c r="J2402" s="12" t="str">
        <f>HYPERLINK("https://www.boe.es/gazeta/dias/1800/12/02/pdfs/GMD-1800-97.pdf#page=6","Abrir facsímil")</f>
        <v>Abrir facsímil</v>
      </c>
      <c r="K2402" s="15" t="s">
        <v>23</v>
      </c>
    </row>
    <row r="2403" spans="1:11" ht="42" customHeight="1">
      <c r="A2403" s="4" t="s">
        <v>6020</v>
      </c>
      <c r="B2403" s="5" t="s">
        <v>6021</v>
      </c>
      <c r="C2403" s="5" t="s">
        <v>41</v>
      </c>
      <c r="D2403" s="5" t="s">
        <v>42</v>
      </c>
      <c r="E2403" s="5" t="s">
        <v>196</v>
      </c>
      <c r="F2403" s="9">
        <v>97</v>
      </c>
      <c r="G2403" s="9">
        <v>1114</v>
      </c>
      <c r="H2403" s="5" t="s">
        <v>21</v>
      </c>
      <c r="I2403" s="5" t="s">
        <v>735</v>
      </c>
      <c r="J2403" s="12" t="str">
        <f>HYPERLINK("https://www.boe.es/gazeta/dias/1800/12/02/pdfs/GMD-1800-97.pdf#page=6","Abrir facsímil")</f>
        <v>Abrir facsímil</v>
      </c>
      <c r="K2403" s="15" t="s">
        <v>23</v>
      </c>
    </row>
    <row r="2404" spans="1:11" ht="42" customHeight="1">
      <c r="A2404" s="4" t="s">
        <v>6022</v>
      </c>
      <c r="B2404" s="5" t="s">
        <v>6023</v>
      </c>
      <c r="C2404" s="5" t="s">
        <v>54</v>
      </c>
      <c r="D2404" s="5" t="s">
        <v>55</v>
      </c>
      <c r="E2404" s="5" t="s">
        <v>530</v>
      </c>
      <c r="F2404" s="9">
        <v>55</v>
      </c>
      <c r="G2404" s="9">
        <v>618</v>
      </c>
      <c r="H2404" s="5" t="s">
        <v>21</v>
      </c>
      <c r="I2404" s="5" t="s">
        <v>6024</v>
      </c>
      <c r="J2404" s="12" t="str">
        <f>HYPERLINK("https://www.boe.es/gazeta/dias/1800/07/11/pdfs/GMD-1800-55.pdf#page=6","Abrir facsímil")</f>
        <v>Abrir facsímil</v>
      </c>
      <c r="K2404" s="15" t="s">
        <v>23</v>
      </c>
    </row>
    <row r="2405" spans="1:11" ht="42" customHeight="1">
      <c r="A2405" s="4" t="s">
        <v>6025</v>
      </c>
      <c r="B2405" s="5" t="s">
        <v>6026</v>
      </c>
      <c r="C2405" s="5" t="s">
        <v>41</v>
      </c>
      <c r="D2405" s="5" t="s">
        <v>42</v>
      </c>
      <c r="E2405" s="5" t="s">
        <v>283</v>
      </c>
      <c r="F2405" s="9">
        <v>68</v>
      </c>
      <c r="G2405" s="9">
        <v>762</v>
      </c>
      <c r="H2405" s="5" t="s">
        <v>21</v>
      </c>
      <c r="I2405" s="5" t="s">
        <v>6027</v>
      </c>
      <c r="J2405" s="12" t="str">
        <f>HYPERLINK("https://www.boe.es/gazeta/dias/1800/08/26/pdfs/GMD-1800-68.pdf#page=6","Abrir facsímil")</f>
        <v>Abrir facsímil</v>
      </c>
      <c r="K2405" s="15" t="s">
        <v>23</v>
      </c>
    </row>
    <row r="2406" spans="1:11" ht="42" customHeight="1">
      <c r="A2406" s="4" t="s">
        <v>6028</v>
      </c>
      <c r="B2406" s="5" t="s">
        <v>6028</v>
      </c>
      <c r="C2406" s="5" t="s">
        <v>41</v>
      </c>
      <c r="D2406" s="5" t="s">
        <v>42</v>
      </c>
      <c r="E2406" s="5" t="s">
        <v>190</v>
      </c>
      <c r="F2406" s="9">
        <v>93</v>
      </c>
      <c r="G2406" s="9">
        <v>1064</v>
      </c>
      <c r="H2406" s="5" t="s">
        <v>21</v>
      </c>
      <c r="I2406" s="5" t="s">
        <v>6029</v>
      </c>
      <c r="J2406" s="12" t="str">
        <f>HYPERLINK("https://www.boe.es/gazeta/dias/1800/11/18/pdfs/GMD-1800-93.pdf#page=10","Abrir facsímil")</f>
        <v>Abrir facsímil</v>
      </c>
      <c r="K2406" s="15" t="s">
        <v>23</v>
      </c>
    </row>
    <row r="2407" spans="1:11" ht="42" customHeight="1">
      <c r="A2407" s="4" t="s">
        <v>6028</v>
      </c>
      <c r="B2407" s="5" t="s">
        <v>6028</v>
      </c>
      <c r="C2407" s="5" t="s">
        <v>25</v>
      </c>
      <c r="D2407" s="5" t="s">
        <v>26</v>
      </c>
      <c r="E2407" s="5" t="s">
        <v>190</v>
      </c>
      <c r="F2407" s="9">
        <v>93</v>
      </c>
      <c r="G2407" s="9">
        <v>1065</v>
      </c>
      <c r="H2407" s="5" t="s">
        <v>21</v>
      </c>
      <c r="I2407" s="5" t="s">
        <v>6030</v>
      </c>
      <c r="J2407" s="12" t="str">
        <f>HYPERLINK("https://www.boe.es/gazeta/dias/1800/11/18/pdfs/GMD-1800-93.pdf#page=11","Abrir facsímil")</f>
        <v>Abrir facsímil</v>
      </c>
      <c r="K2407" s="15" t="s">
        <v>23</v>
      </c>
    </row>
    <row r="2408" spans="1:11" ht="42" customHeight="1">
      <c r="A2408" s="4" t="s">
        <v>6031</v>
      </c>
      <c r="B2408" s="5" t="s">
        <v>6031</v>
      </c>
      <c r="C2408" s="5" t="s">
        <v>41</v>
      </c>
      <c r="D2408" s="5" t="s">
        <v>42</v>
      </c>
      <c r="E2408" s="5" t="s">
        <v>64</v>
      </c>
      <c r="F2408" s="9">
        <v>54</v>
      </c>
      <c r="G2408" s="9">
        <v>598</v>
      </c>
      <c r="H2408" s="5" t="s">
        <v>21</v>
      </c>
      <c r="I2408" s="5" t="s">
        <v>3456</v>
      </c>
      <c r="J2408" s="12" t="str">
        <f>HYPERLINK("https://www.boe.es/gazeta/dias/1800/07/08/pdfs/GMD-1800-54.pdf#page=2","Abrir facsímil")</f>
        <v>Abrir facsímil</v>
      </c>
      <c r="K2408" s="15" t="s">
        <v>23</v>
      </c>
    </row>
    <row r="2409" spans="1:11" ht="42" customHeight="1">
      <c r="A2409" s="4" t="s">
        <v>6032</v>
      </c>
      <c r="B2409" s="5" t="s">
        <v>6033</v>
      </c>
      <c r="C2409" s="5" t="s">
        <v>41</v>
      </c>
      <c r="D2409" s="5" t="s">
        <v>42</v>
      </c>
      <c r="E2409" s="5" t="s">
        <v>135</v>
      </c>
      <c r="F2409" s="9">
        <v>73</v>
      </c>
      <c r="G2409" s="9">
        <v>811</v>
      </c>
      <c r="H2409" s="5" t="s">
        <v>21</v>
      </c>
      <c r="I2409" s="5" t="s">
        <v>6034</v>
      </c>
      <c r="J2409" s="12" t="str">
        <f>HYPERLINK("https://www.boe.es/gazeta/dias/1800/09/09/pdfs/GMD-1800-73.pdf#page=5","Abrir facsímil")</f>
        <v>Abrir facsímil</v>
      </c>
      <c r="K2409" s="15" t="s">
        <v>23</v>
      </c>
    </row>
    <row r="2410" spans="1:11" ht="42" customHeight="1">
      <c r="A2410" s="4" t="s">
        <v>6035</v>
      </c>
      <c r="B2410" s="5" t="s">
        <v>6036</v>
      </c>
      <c r="C2410" s="5" t="s">
        <v>54</v>
      </c>
      <c r="D2410" s="5" t="s">
        <v>55</v>
      </c>
      <c r="E2410" s="5" t="s">
        <v>43</v>
      </c>
      <c r="F2410" s="9">
        <v>46</v>
      </c>
      <c r="G2410" s="9">
        <v>482</v>
      </c>
      <c r="H2410" s="5" t="s">
        <v>21</v>
      </c>
      <c r="I2410" s="5" t="s">
        <v>6037</v>
      </c>
      <c r="J2410" s="12" t="str">
        <f>HYPERLINK("https://www.boe.es/gazeta/dias/1800/06/10/pdfs/GMD-1800-46.pdf#page=6","Abrir facsímil")</f>
        <v>Abrir facsímil</v>
      </c>
      <c r="K2410" s="15" t="s">
        <v>23</v>
      </c>
    </row>
    <row r="2411" spans="1:11" ht="42" customHeight="1">
      <c r="A2411" s="4" t="s">
        <v>6035</v>
      </c>
      <c r="B2411" s="5" t="s">
        <v>6036</v>
      </c>
      <c r="C2411" s="5" t="s">
        <v>41</v>
      </c>
      <c r="D2411" s="5" t="s">
        <v>42</v>
      </c>
      <c r="E2411" s="5" t="s">
        <v>572</v>
      </c>
      <c r="F2411" s="9">
        <v>76</v>
      </c>
      <c r="G2411" s="9">
        <v>863</v>
      </c>
      <c r="H2411" s="5" t="s">
        <v>21</v>
      </c>
      <c r="I2411" s="5" t="s">
        <v>6038</v>
      </c>
      <c r="J2411" s="12" t="str">
        <f>HYPERLINK("https://www.boe.es/gazeta/dias/1800/09/19/pdfs/GMD-1800-76.pdf#page=5","Abrir facsímil")</f>
        <v>Abrir facsímil</v>
      </c>
      <c r="K2411" s="15" t="s">
        <v>23</v>
      </c>
    </row>
    <row r="2412" spans="1:11" ht="42" customHeight="1">
      <c r="A2412" s="4" t="s">
        <v>6039</v>
      </c>
      <c r="B2412" s="5" t="s">
        <v>6039</v>
      </c>
      <c r="C2412" s="5" t="s">
        <v>41</v>
      </c>
      <c r="D2412" s="5" t="s">
        <v>42</v>
      </c>
      <c r="E2412" s="5" t="s">
        <v>90</v>
      </c>
      <c r="F2412" s="9">
        <v>58</v>
      </c>
      <c r="G2412" s="9">
        <v>660</v>
      </c>
      <c r="H2412" s="5" t="s">
        <v>21</v>
      </c>
      <c r="I2412" s="5" t="s">
        <v>6040</v>
      </c>
      <c r="J2412" s="12" t="str">
        <f>HYPERLINK("https://www.boe.es/gazeta/dias/1800/07/22/pdfs/GMD-1800-58.pdf#page=8","Abrir facsímil")</f>
        <v>Abrir facsímil</v>
      </c>
      <c r="K2412" s="15" t="s">
        <v>23</v>
      </c>
    </row>
    <row r="2413" spans="1:11" ht="42" customHeight="1">
      <c r="A2413" s="4" t="s">
        <v>6041</v>
      </c>
      <c r="B2413" s="5" t="s">
        <v>6041</v>
      </c>
      <c r="C2413" s="5" t="s">
        <v>54</v>
      </c>
      <c r="D2413" s="5" t="s">
        <v>55</v>
      </c>
      <c r="E2413" s="5" t="s">
        <v>1433</v>
      </c>
      <c r="F2413" s="9">
        <v>12</v>
      </c>
      <c r="G2413" s="9">
        <v>115</v>
      </c>
      <c r="H2413" s="5" t="s">
        <v>21</v>
      </c>
      <c r="I2413" s="5" t="s">
        <v>6042</v>
      </c>
      <c r="J2413" s="12" t="str">
        <f>HYPERLINK("https://www.boe.es/gazeta/dias/1800/02/11/pdfs/GMD-1800-12.pdf#page=7","Abrir facsímil")</f>
        <v>Abrir facsímil</v>
      </c>
      <c r="K2413" s="15" t="s">
        <v>23</v>
      </c>
    </row>
    <row r="2414" spans="1:11" ht="42" customHeight="1">
      <c r="A2414" s="4" t="s">
        <v>6043</v>
      </c>
      <c r="B2414" s="5" t="s">
        <v>6044</v>
      </c>
      <c r="C2414" s="5" t="s">
        <v>84</v>
      </c>
      <c r="D2414" s="5" t="s">
        <v>85</v>
      </c>
      <c r="E2414" s="5" t="s">
        <v>402</v>
      </c>
      <c r="F2414" s="9">
        <v>101</v>
      </c>
      <c r="G2414" s="9">
        <v>1175</v>
      </c>
      <c r="H2414" s="5" t="s">
        <v>21</v>
      </c>
      <c r="I2414" s="5" t="s">
        <v>6045</v>
      </c>
      <c r="J2414" s="12" t="str">
        <f>HYPERLINK("https://www.boe.es/gazeta/dias/1800/12/16/pdfs/GMD-1800-101.pdf#page=11","Abrir facsímil")</f>
        <v>Abrir facsímil</v>
      </c>
      <c r="K2414" s="15" t="s">
        <v>23</v>
      </c>
    </row>
    <row r="2415" spans="1:11" ht="42" customHeight="1">
      <c r="A2415" s="4" t="s">
        <v>6046</v>
      </c>
      <c r="B2415" s="5" t="s">
        <v>6047</v>
      </c>
      <c r="C2415" s="5" t="s">
        <v>18</v>
      </c>
      <c r="D2415" s="5" t="s">
        <v>19</v>
      </c>
      <c r="E2415" s="5" t="s">
        <v>248</v>
      </c>
      <c r="F2415" s="9">
        <v>33</v>
      </c>
      <c r="G2415" s="9">
        <v>333</v>
      </c>
      <c r="H2415" s="5" t="s">
        <v>21</v>
      </c>
      <c r="I2415" s="5" t="s">
        <v>6048</v>
      </c>
      <c r="J2415" s="12" t="str">
        <f>HYPERLINK("https://www.boe.es/gazeta/dias/1800/04/25/pdfs/GMD-1800-33.pdf#page=9","Abrir facsímil")</f>
        <v>Abrir facsímil</v>
      </c>
      <c r="K2415" s="15" t="s">
        <v>23</v>
      </c>
    </row>
    <row r="2416" spans="1:11" ht="42" customHeight="1">
      <c r="A2416" s="4" t="s">
        <v>6049</v>
      </c>
      <c r="B2416" s="5" t="s">
        <v>6050</v>
      </c>
      <c r="C2416" s="5" t="s">
        <v>207</v>
      </c>
      <c r="D2416" s="5" t="s">
        <v>55</v>
      </c>
      <c r="E2416" s="5" t="s">
        <v>20</v>
      </c>
      <c r="F2416" s="9">
        <v>104</v>
      </c>
      <c r="G2416" s="9">
        <v>1209</v>
      </c>
      <c r="H2416" s="5" t="s">
        <v>21</v>
      </c>
      <c r="I2416" s="5" t="s">
        <v>6051</v>
      </c>
      <c r="J2416" s="12" t="str">
        <f>HYPERLINK("https://www.boe.es/gazeta/dias/1800/12/26/pdfs/GMD-1800-104.pdf#page=9","Abrir facsímil")</f>
        <v>Abrir facsímil</v>
      </c>
      <c r="K2416" s="15" t="s">
        <v>23</v>
      </c>
    </row>
    <row r="2417" spans="1:11" ht="42" customHeight="1">
      <c r="A2417" s="4" t="s">
        <v>6052</v>
      </c>
      <c r="B2417" s="5" t="s">
        <v>6053</v>
      </c>
      <c r="C2417" s="5" t="s">
        <v>25</v>
      </c>
      <c r="D2417" s="5" t="s">
        <v>26</v>
      </c>
      <c r="E2417" s="5" t="s">
        <v>48</v>
      </c>
      <c r="F2417" s="9">
        <v>66</v>
      </c>
      <c r="G2417" s="9">
        <v>747</v>
      </c>
      <c r="H2417" s="5" t="s">
        <v>21</v>
      </c>
      <c r="I2417" s="5" t="s">
        <v>6054</v>
      </c>
      <c r="J2417" s="12" t="str">
        <f>HYPERLINK("https://www.boe.es/gazeta/dias/1800/08/19/pdfs/GMD-1800-66.pdf#page=11","Abrir facsímil")</f>
        <v>Abrir facsímil</v>
      </c>
      <c r="K2417" s="15" t="s">
        <v>23</v>
      </c>
    </row>
    <row r="2418" spans="1:11" ht="42" customHeight="1">
      <c r="A2418" s="4" t="s">
        <v>6055</v>
      </c>
      <c r="B2418" s="5" t="s">
        <v>6056</v>
      </c>
      <c r="C2418" s="5" t="s">
        <v>18</v>
      </c>
      <c r="D2418" s="5" t="s">
        <v>19</v>
      </c>
      <c r="E2418" s="5" t="s">
        <v>139</v>
      </c>
      <c r="F2418" s="9">
        <v>2</v>
      </c>
      <c r="G2418" s="9">
        <v>18</v>
      </c>
      <c r="H2418" s="5" t="s">
        <v>21</v>
      </c>
      <c r="I2418" s="5" t="s">
        <v>6057</v>
      </c>
      <c r="J2418" s="12" t="str">
        <f>HYPERLINK("https://www.boe.es/gazeta/dias/1800/01/07/pdfs/GMD-1800-2.pdf#page=10","Abrir facsímil")</f>
        <v>Abrir facsímil</v>
      </c>
      <c r="K2418" s="15" t="s">
        <v>23</v>
      </c>
    </row>
    <row r="2419" spans="1:11" ht="42" customHeight="1">
      <c r="A2419" s="4" t="s">
        <v>6058</v>
      </c>
      <c r="B2419" s="5" t="s">
        <v>6059</v>
      </c>
      <c r="C2419" s="5" t="s">
        <v>84</v>
      </c>
      <c r="D2419" s="5" t="s">
        <v>85</v>
      </c>
      <c r="E2419" s="5" t="s">
        <v>402</v>
      </c>
      <c r="F2419" s="9">
        <v>101</v>
      </c>
      <c r="G2419" s="9">
        <v>1176</v>
      </c>
      <c r="H2419" s="5" t="s">
        <v>21</v>
      </c>
      <c r="I2419" s="5" t="s">
        <v>6060</v>
      </c>
      <c r="J2419" s="12" t="str">
        <f>HYPERLINK("https://www.boe.es/gazeta/dias/1800/12/16/pdfs/GMD-1800-101.pdf#page=12","Abrir facsímil")</f>
        <v>Abrir facsímil</v>
      </c>
      <c r="K2419" s="15" t="s">
        <v>23</v>
      </c>
    </row>
    <row r="2420" spans="1:11" ht="42" customHeight="1">
      <c r="A2420" s="4" t="s">
        <v>6061</v>
      </c>
      <c r="B2420" s="5" t="s">
        <v>6062</v>
      </c>
      <c r="C2420" s="5" t="s">
        <v>18</v>
      </c>
      <c r="D2420" s="5" t="s">
        <v>19</v>
      </c>
      <c r="E2420" s="5" t="s">
        <v>75</v>
      </c>
      <c r="F2420" s="9">
        <v>64</v>
      </c>
      <c r="G2420" s="9">
        <v>733</v>
      </c>
      <c r="H2420" s="5" t="s">
        <v>21</v>
      </c>
      <c r="I2420" s="5" t="s">
        <v>6063</v>
      </c>
      <c r="J2420" s="12" t="str">
        <f>HYPERLINK("https://www.boe.es/gazeta/dias/1800/08/12/pdfs/GMD-1800-64.pdf#page=9","Abrir facsímil")</f>
        <v>Abrir facsímil</v>
      </c>
      <c r="K2420" s="15" t="s">
        <v>23</v>
      </c>
    </row>
    <row r="2421" spans="1:11" ht="42" customHeight="1">
      <c r="A2421" s="4" t="s">
        <v>6064</v>
      </c>
      <c r="B2421" s="5" t="s">
        <v>6065</v>
      </c>
      <c r="C2421" s="5" t="s">
        <v>54</v>
      </c>
      <c r="D2421" s="5" t="s">
        <v>55</v>
      </c>
      <c r="E2421" s="5" t="s">
        <v>346</v>
      </c>
      <c r="F2421" s="9">
        <v>24</v>
      </c>
      <c r="G2421" s="9">
        <v>247</v>
      </c>
      <c r="H2421" s="5" t="s">
        <v>21</v>
      </c>
      <c r="I2421" s="5" t="s">
        <v>6066</v>
      </c>
      <c r="J2421" s="12" t="str">
        <f>HYPERLINK("https://www.boe.es/gazeta/dias/1800/03/25/pdfs/GMD-1800-24.pdf#page=11","Abrir facsímil")</f>
        <v>Abrir facsímil</v>
      </c>
      <c r="K2421" s="15" t="s">
        <v>23</v>
      </c>
    </row>
    <row r="2422" spans="1:11" ht="42" customHeight="1">
      <c r="A2422" s="4" t="s">
        <v>6067</v>
      </c>
      <c r="B2422" s="5" t="s">
        <v>6068</v>
      </c>
      <c r="C2422" s="5" t="s">
        <v>54</v>
      </c>
      <c r="D2422" s="5" t="s">
        <v>55</v>
      </c>
      <c r="E2422" s="5" t="s">
        <v>590</v>
      </c>
      <c r="F2422" s="9">
        <v>69</v>
      </c>
      <c r="G2422" s="9">
        <v>776</v>
      </c>
      <c r="H2422" s="5" t="s">
        <v>21</v>
      </c>
      <c r="I2422" s="5" t="s">
        <v>6069</v>
      </c>
      <c r="J2422" s="12" t="str">
        <f>HYPERLINK("https://www.boe.es/gazeta/dias/1800/08/29/pdfs/GMD-1800-69.pdf#page=8","Abrir facsímil")</f>
        <v>Abrir facsímil</v>
      </c>
      <c r="K2422" s="15" t="s">
        <v>23</v>
      </c>
    </row>
    <row r="2423" spans="1:11" ht="42" customHeight="1">
      <c r="A2423" s="4" t="s">
        <v>6067</v>
      </c>
      <c r="B2423" s="5" t="s">
        <v>6068</v>
      </c>
      <c r="C2423" s="5" t="s">
        <v>171</v>
      </c>
      <c r="D2423" s="5" t="s">
        <v>172</v>
      </c>
      <c r="E2423" s="5" t="s">
        <v>595</v>
      </c>
      <c r="F2423" s="9">
        <v>72</v>
      </c>
      <c r="G2423" s="9">
        <v>799</v>
      </c>
      <c r="H2423" s="5" t="s">
        <v>21</v>
      </c>
      <c r="I2423" s="5" t="s">
        <v>6070</v>
      </c>
      <c r="J2423" s="12" t="str">
        <f>HYPERLINK("https://www.boe.es/gazeta/dias/1800/09/05/pdfs/GMD-C-1800-72.pdf#page=1","Abrir facsímil")</f>
        <v>Abrir facsímil</v>
      </c>
      <c r="K2423" s="15" t="s">
        <v>23</v>
      </c>
    </row>
    <row r="2424" spans="1:11" ht="42" customHeight="1">
      <c r="A2424" s="4" t="s">
        <v>6067</v>
      </c>
      <c r="B2424" s="5" t="s">
        <v>6068</v>
      </c>
      <c r="C2424" s="5" t="s">
        <v>54</v>
      </c>
      <c r="D2424" s="5" t="s">
        <v>55</v>
      </c>
      <c r="E2424" s="5" t="s">
        <v>147</v>
      </c>
      <c r="F2424" s="9">
        <v>84</v>
      </c>
      <c r="G2424" s="9">
        <v>973</v>
      </c>
      <c r="H2424" s="5" t="s">
        <v>21</v>
      </c>
      <c r="I2424" s="5" t="s">
        <v>6071</v>
      </c>
      <c r="J2424" s="12" t="str">
        <f>HYPERLINK("https://www.boe.es/gazeta/dias/1800/10/17/pdfs/GMD-1800-84.pdf#page=7","Abrir facsímil")</f>
        <v>Abrir facsímil</v>
      </c>
      <c r="K2424" s="15" t="s">
        <v>23</v>
      </c>
    </row>
    <row r="2425" spans="1:11" ht="42" customHeight="1">
      <c r="A2425" s="4" t="s">
        <v>6067</v>
      </c>
      <c r="B2425" s="5" t="s">
        <v>6068</v>
      </c>
      <c r="C2425" s="5" t="s">
        <v>54</v>
      </c>
      <c r="D2425" s="5" t="s">
        <v>55</v>
      </c>
      <c r="E2425" s="5" t="s">
        <v>58</v>
      </c>
      <c r="F2425" s="9">
        <v>92</v>
      </c>
      <c r="G2425" s="9">
        <v>1054</v>
      </c>
      <c r="H2425" s="5" t="s">
        <v>21</v>
      </c>
      <c r="I2425" s="5" t="s">
        <v>6072</v>
      </c>
      <c r="J2425" s="12" t="str">
        <f>HYPERLINK("https://www.boe.es/gazeta/dias/1800/11/14/pdfs/GMD-1800-92.pdf#page=8","Abrir facsímil")</f>
        <v>Abrir facsímil</v>
      </c>
      <c r="K2425" s="15" t="s">
        <v>23</v>
      </c>
    </row>
    <row r="2426" spans="1:11" ht="42" customHeight="1">
      <c r="A2426" s="4" t="s">
        <v>6073</v>
      </c>
      <c r="B2426" s="5" t="s">
        <v>6074</v>
      </c>
      <c r="C2426" s="5" t="s">
        <v>18</v>
      </c>
      <c r="D2426" s="5" t="s">
        <v>19</v>
      </c>
      <c r="E2426" s="5" t="s">
        <v>283</v>
      </c>
      <c r="F2426" s="9">
        <v>68</v>
      </c>
      <c r="G2426" s="9">
        <v>765</v>
      </c>
      <c r="H2426" s="5" t="s">
        <v>21</v>
      </c>
      <c r="I2426" s="5" t="s">
        <v>6075</v>
      </c>
      <c r="J2426" s="12" t="str">
        <f>HYPERLINK("https://www.boe.es/gazeta/dias/1800/08/26/pdfs/GMD-1800-68.pdf#page=9","Abrir facsímil")</f>
        <v>Abrir facsímil</v>
      </c>
      <c r="K2426" s="15" t="s">
        <v>23</v>
      </c>
    </row>
    <row r="2427" spans="1:11" ht="42" customHeight="1">
      <c r="A2427" s="4" t="s">
        <v>6076</v>
      </c>
      <c r="B2427" s="5" t="s">
        <v>6077</v>
      </c>
      <c r="C2427" s="5" t="s">
        <v>84</v>
      </c>
      <c r="D2427" s="5" t="s">
        <v>85</v>
      </c>
      <c r="E2427" s="5" t="s">
        <v>101</v>
      </c>
      <c r="F2427" s="9">
        <v>37</v>
      </c>
      <c r="G2427" s="9">
        <v>378</v>
      </c>
      <c r="H2427" s="5" t="s">
        <v>21</v>
      </c>
      <c r="I2427" s="5" t="s">
        <v>6078</v>
      </c>
      <c r="J2427" s="12" t="str">
        <f>HYPERLINK("https://www.boe.es/gazeta/dias/1800/05/09/pdfs/GMD-1800-37.pdf#page=10","Abrir facsímil")</f>
        <v>Abrir facsímil</v>
      </c>
      <c r="K2427" s="15" t="s">
        <v>23</v>
      </c>
    </row>
    <row r="2428" spans="1:11" ht="42" customHeight="1">
      <c r="A2428" s="4" t="s">
        <v>6079</v>
      </c>
      <c r="B2428" s="5" t="s">
        <v>6080</v>
      </c>
      <c r="C2428" s="5" t="s">
        <v>84</v>
      </c>
      <c r="D2428" s="5" t="s">
        <v>85</v>
      </c>
      <c r="E2428" s="5" t="s">
        <v>196</v>
      </c>
      <c r="F2428" s="9">
        <v>97</v>
      </c>
      <c r="G2428" s="9">
        <v>1120</v>
      </c>
      <c r="H2428" s="5" t="s">
        <v>21</v>
      </c>
      <c r="I2428" s="5" t="s">
        <v>6081</v>
      </c>
      <c r="J2428" s="12" t="str">
        <f>HYPERLINK("https://www.boe.es/gazeta/dias/1800/12/02/pdfs/GMD-1800-97.pdf#page=12","Abrir facsímil")</f>
        <v>Abrir facsímil</v>
      </c>
      <c r="K2428" s="15" t="s">
        <v>23</v>
      </c>
    </row>
    <row r="2429" spans="1:11" ht="42" customHeight="1">
      <c r="A2429" s="4" t="s">
        <v>6082</v>
      </c>
      <c r="B2429" s="5" t="s">
        <v>6083</v>
      </c>
      <c r="C2429" s="5" t="s">
        <v>18</v>
      </c>
      <c r="D2429" s="5" t="s">
        <v>19</v>
      </c>
      <c r="E2429" s="5" t="s">
        <v>454</v>
      </c>
      <c r="F2429" s="9">
        <v>63</v>
      </c>
      <c r="G2429" s="9">
        <v>720</v>
      </c>
      <c r="H2429" s="5" t="s">
        <v>21</v>
      </c>
      <c r="I2429" s="5" t="s">
        <v>6084</v>
      </c>
      <c r="J2429" s="12" t="str">
        <f>HYPERLINK("https://www.boe.es/gazeta/dias/1800/08/08/pdfs/GMD-1800-63.pdf#page=8","Abrir facsímil")</f>
        <v>Abrir facsímil</v>
      </c>
      <c r="K2429" s="15" t="s">
        <v>23</v>
      </c>
    </row>
    <row r="2430" spans="1:11" ht="42" customHeight="1">
      <c r="A2430" s="4" t="s">
        <v>6085</v>
      </c>
      <c r="B2430" s="5" t="s">
        <v>6086</v>
      </c>
      <c r="C2430" s="5" t="s">
        <v>1035</v>
      </c>
      <c r="D2430" s="5" t="s">
        <v>1036</v>
      </c>
      <c r="E2430" s="5" t="s">
        <v>50</v>
      </c>
      <c r="F2430" s="9">
        <v>81</v>
      </c>
      <c r="G2430" s="9">
        <v>942</v>
      </c>
      <c r="H2430" s="5" t="s">
        <v>21</v>
      </c>
      <c r="I2430" s="5" t="s">
        <v>6087</v>
      </c>
      <c r="J2430" s="12" t="str">
        <f>HYPERLINK("https://www.boe.es/gazeta/dias/1800/10/07/pdfs/GMD-C-1800-81.pdf#page=24","Abrir facsímil")</f>
        <v>Abrir facsímil</v>
      </c>
      <c r="K2430" s="15" t="s">
        <v>23</v>
      </c>
    </row>
    <row r="2431" spans="1:11" ht="42" customHeight="1">
      <c r="A2431" s="4" t="s">
        <v>6088</v>
      </c>
      <c r="B2431" s="5" t="s">
        <v>6089</v>
      </c>
      <c r="C2431" s="5" t="s">
        <v>207</v>
      </c>
      <c r="D2431" s="5" t="s">
        <v>55</v>
      </c>
      <c r="E2431" s="5" t="s">
        <v>836</v>
      </c>
      <c r="F2431" s="9">
        <v>71</v>
      </c>
      <c r="G2431" s="9">
        <v>789</v>
      </c>
      <c r="H2431" s="5" t="s">
        <v>21</v>
      </c>
      <c r="I2431" s="5" t="s">
        <v>6090</v>
      </c>
      <c r="J2431" s="12" t="str">
        <f>HYPERLINK("https://www.boe.es/gazeta/dias/1800/09/02/pdfs/GMD-1800-71.pdf#page=7","Abrir facsímil")</f>
        <v>Abrir facsímil</v>
      </c>
      <c r="K2431" s="15" t="s">
        <v>23</v>
      </c>
    </row>
    <row r="2432" spans="1:11" ht="42" customHeight="1">
      <c r="A2432" s="4" t="s">
        <v>6091</v>
      </c>
      <c r="B2432" s="5" t="s">
        <v>6092</v>
      </c>
      <c r="C2432" s="5" t="s">
        <v>54</v>
      </c>
      <c r="D2432" s="5" t="s">
        <v>55</v>
      </c>
      <c r="E2432" s="5" t="s">
        <v>75</v>
      </c>
      <c r="F2432" s="9">
        <v>64</v>
      </c>
      <c r="G2432" s="9">
        <v>734</v>
      </c>
      <c r="H2432" s="5" t="s">
        <v>21</v>
      </c>
      <c r="I2432" s="5" t="s">
        <v>6093</v>
      </c>
      <c r="J2432" s="12" t="str">
        <f>HYPERLINK("https://www.boe.es/gazeta/dias/1800/08/12/pdfs/GMD-1800-64.pdf#page=10","Abrir facsímil")</f>
        <v>Abrir facsímil</v>
      </c>
      <c r="K2432" s="15" t="s">
        <v>23</v>
      </c>
    </row>
    <row r="2433" spans="1:11" ht="42" customHeight="1">
      <c r="A2433" s="4" t="s">
        <v>6094</v>
      </c>
      <c r="B2433" s="5" t="s">
        <v>6095</v>
      </c>
      <c r="C2433" s="5" t="s">
        <v>41</v>
      </c>
      <c r="D2433" s="5" t="s">
        <v>42</v>
      </c>
      <c r="E2433" s="5" t="s">
        <v>143</v>
      </c>
      <c r="F2433" s="9">
        <v>22</v>
      </c>
      <c r="G2433" s="9">
        <v>218</v>
      </c>
      <c r="H2433" s="5" t="s">
        <v>21</v>
      </c>
      <c r="I2433" s="5" t="s">
        <v>6096</v>
      </c>
      <c r="J2433" s="12" t="str">
        <f>HYPERLINK("https://www.boe.es/gazeta/dias/1800/03/18/pdfs/GMD-1800-22.pdf#page=10","Abrir facsímil")</f>
        <v>Abrir facsímil</v>
      </c>
      <c r="K2433" s="15" t="s">
        <v>23</v>
      </c>
    </row>
    <row r="2434" spans="1:11" ht="42" customHeight="1">
      <c r="A2434" s="4" t="s">
        <v>6094</v>
      </c>
      <c r="B2434" s="5" t="s">
        <v>6095</v>
      </c>
      <c r="C2434" s="5" t="s">
        <v>18</v>
      </c>
      <c r="D2434" s="5" t="s">
        <v>19</v>
      </c>
      <c r="E2434" s="5" t="s">
        <v>262</v>
      </c>
      <c r="F2434" s="9">
        <v>39</v>
      </c>
      <c r="G2434" s="9">
        <v>400</v>
      </c>
      <c r="H2434" s="5" t="s">
        <v>21</v>
      </c>
      <c r="I2434" s="5" t="s">
        <v>6097</v>
      </c>
      <c r="J2434" s="12" t="str">
        <f>HYPERLINK("https://www.boe.es/gazeta/dias/1800/05/16/pdfs/GMD-1800-39.pdf#page=8","Abrir facsímil")</f>
        <v>Abrir facsímil</v>
      </c>
      <c r="K2434" s="15" t="s">
        <v>23</v>
      </c>
    </row>
    <row r="2435" spans="1:11" ht="42" customHeight="1">
      <c r="A2435" s="4" t="s">
        <v>6094</v>
      </c>
      <c r="B2435" s="5" t="s">
        <v>6095</v>
      </c>
      <c r="C2435" s="5" t="s">
        <v>18</v>
      </c>
      <c r="D2435" s="5" t="s">
        <v>19</v>
      </c>
      <c r="E2435" s="5" t="s">
        <v>56</v>
      </c>
      <c r="F2435" s="9">
        <v>90</v>
      </c>
      <c r="G2435" s="9">
        <v>1055</v>
      </c>
      <c r="H2435" s="5" t="s">
        <v>21</v>
      </c>
      <c r="I2435" s="5" t="s">
        <v>6098</v>
      </c>
      <c r="J2435" s="12" t="str">
        <f>HYPERLINK("https://www.boe.es/gazeta/dias/1800/11/07/pdfs/GMD-1800-90.pdf#page=9","Abrir facsímil")</f>
        <v>Abrir facsímil</v>
      </c>
      <c r="K2435" s="15" t="s">
        <v>23</v>
      </c>
    </row>
    <row r="2436" spans="1:11" ht="42" customHeight="1">
      <c r="A2436" s="4" t="s">
        <v>6099</v>
      </c>
      <c r="B2436" s="5" t="s">
        <v>6100</v>
      </c>
      <c r="C2436" s="5" t="s">
        <v>41</v>
      </c>
      <c r="D2436" s="5" t="s">
        <v>42</v>
      </c>
      <c r="E2436" s="5" t="s">
        <v>147</v>
      </c>
      <c r="F2436" s="9">
        <v>84</v>
      </c>
      <c r="G2436" s="9">
        <v>972</v>
      </c>
      <c r="H2436" s="5" t="s">
        <v>21</v>
      </c>
      <c r="I2436" s="5" t="s">
        <v>6101</v>
      </c>
      <c r="J2436" s="12" t="str">
        <f>HYPERLINK("https://www.boe.es/gazeta/dias/1800/10/17/pdfs/GMD-1800-84.pdf#page=6","Abrir facsímil")</f>
        <v>Abrir facsímil</v>
      </c>
      <c r="K2436" s="15" t="s">
        <v>23</v>
      </c>
    </row>
    <row r="2437" spans="1:11" ht="42" customHeight="1">
      <c r="A2437" s="4" t="s">
        <v>6102</v>
      </c>
      <c r="B2437" s="5" t="s">
        <v>6103</v>
      </c>
      <c r="C2437" s="5" t="s">
        <v>41</v>
      </c>
      <c r="D2437" s="5" t="s">
        <v>42</v>
      </c>
      <c r="E2437" s="5" t="s">
        <v>1287</v>
      </c>
      <c r="F2437" s="9">
        <v>57</v>
      </c>
      <c r="G2437" s="9">
        <v>647</v>
      </c>
      <c r="H2437" s="5" t="s">
        <v>21</v>
      </c>
      <c r="I2437" s="5" t="s">
        <v>6104</v>
      </c>
      <c r="J2437" s="12" t="str">
        <f>HYPERLINK("https://www.boe.es/gazeta/dias/1800/07/18/pdfs/GMD-1800-57.pdf#page=11","Abrir facsímil")</f>
        <v>Abrir facsímil</v>
      </c>
      <c r="K2437" s="15" t="s">
        <v>23</v>
      </c>
    </row>
    <row r="2438" spans="1:11" ht="42" customHeight="1">
      <c r="A2438" s="4" t="s">
        <v>6105</v>
      </c>
      <c r="B2438" s="5" t="s">
        <v>6106</v>
      </c>
      <c r="C2438" s="5" t="s">
        <v>18</v>
      </c>
      <c r="D2438" s="5" t="s">
        <v>19</v>
      </c>
      <c r="E2438" s="5" t="s">
        <v>534</v>
      </c>
      <c r="F2438" s="9">
        <v>100</v>
      </c>
      <c r="G2438" s="9">
        <v>1160</v>
      </c>
      <c r="H2438" s="5" t="s">
        <v>21</v>
      </c>
      <c r="I2438" s="5" t="s">
        <v>6107</v>
      </c>
      <c r="J2438" s="12" t="str">
        <f>HYPERLINK("https://www.boe.es/gazeta/dias/1800/12/12/pdfs/GMD-1800-100.pdf#page=12","Abrir facsímil")</f>
        <v>Abrir facsímil</v>
      </c>
      <c r="K2438" s="15" t="s">
        <v>23</v>
      </c>
    </row>
    <row r="2439" spans="1:11" ht="42" customHeight="1">
      <c r="A2439" s="4" t="s">
        <v>6108</v>
      </c>
      <c r="B2439" s="5" t="s">
        <v>6108</v>
      </c>
      <c r="C2439" s="5" t="s">
        <v>25</v>
      </c>
      <c r="D2439" s="5" t="s">
        <v>26</v>
      </c>
      <c r="E2439" s="5" t="s">
        <v>310</v>
      </c>
      <c r="F2439" s="9">
        <v>56</v>
      </c>
      <c r="G2439" s="9">
        <v>635</v>
      </c>
      <c r="H2439" s="5" t="s">
        <v>21</v>
      </c>
      <c r="I2439" s="5" t="s">
        <v>6109</v>
      </c>
      <c r="J2439" s="12" t="str">
        <f>HYPERLINK("https://www.boe.es/gazeta/dias/1800/07/15/pdfs/GMD-1800-56.pdf#page=11","Abrir facsímil")</f>
        <v>Abrir facsímil</v>
      </c>
      <c r="K2439" s="15" t="s">
        <v>23</v>
      </c>
    </row>
    <row r="2440" spans="1:11" ht="42" customHeight="1">
      <c r="A2440" s="4" t="s">
        <v>6110</v>
      </c>
      <c r="B2440" s="5" t="s">
        <v>6111</v>
      </c>
      <c r="C2440" s="5" t="s">
        <v>41</v>
      </c>
      <c r="D2440" s="5" t="s">
        <v>42</v>
      </c>
      <c r="E2440" s="5" t="s">
        <v>203</v>
      </c>
      <c r="F2440" s="9">
        <v>94</v>
      </c>
      <c r="G2440" s="9">
        <v>1074</v>
      </c>
      <c r="H2440" s="5" t="s">
        <v>21</v>
      </c>
      <c r="I2440" s="5" t="s">
        <v>6112</v>
      </c>
      <c r="J2440" s="12" t="str">
        <f>HYPERLINK("https://www.boe.es/gazeta/dias/1800/11/21/pdfs/GMD-1800-94.pdf#page=4","Abrir facsímil")</f>
        <v>Abrir facsímil</v>
      </c>
      <c r="K2440" s="15" t="s">
        <v>23</v>
      </c>
    </row>
    <row r="2441" spans="1:11" ht="42" customHeight="1">
      <c r="A2441" s="4" t="s">
        <v>6113</v>
      </c>
      <c r="B2441" s="5" t="s">
        <v>6114</v>
      </c>
      <c r="C2441" s="5" t="s">
        <v>41</v>
      </c>
      <c r="D2441" s="5" t="s">
        <v>42</v>
      </c>
      <c r="E2441" s="5" t="s">
        <v>406</v>
      </c>
      <c r="F2441" s="9">
        <v>44</v>
      </c>
      <c r="G2441" s="9">
        <v>455</v>
      </c>
      <c r="H2441" s="5" t="s">
        <v>21</v>
      </c>
      <c r="I2441" s="5" t="s">
        <v>6115</v>
      </c>
      <c r="J2441" s="12" t="str">
        <f>HYPERLINK("https://www.boe.es/gazeta/dias/1800/06/03/pdfs/GMD-1800-44.pdf#page=3","Abrir facsímil")</f>
        <v>Abrir facsímil</v>
      </c>
      <c r="K2441" s="15" t="s">
        <v>23</v>
      </c>
    </row>
    <row r="2442" spans="1:11" ht="42" customHeight="1">
      <c r="A2442" s="4" t="s">
        <v>6113</v>
      </c>
      <c r="B2442" s="5" t="s">
        <v>6114</v>
      </c>
      <c r="C2442" s="5" t="s">
        <v>41</v>
      </c>
      <c r="D2442" s="5" t="s">
        <v>42</v>
      </c>
      <c r="E2442" s="5" t="s">
        <v>572</v>
      </c>
      <c r="F2442" s="9">
        <v>76</v>
      </c>
      <c r="G2442" s="9">
        <v>862</v>
      </c>
      <c r="H2442" s="5" t="s">
        <v>21</v>
      </c>
      <c r="I2442" s="5" t="s">
        <v>6116</v>
      </c>
      <c r="J2442" s="12" t="str">
        <f>HYPERLINK("https://www.boe.es/gazeta/dias/1800/09/19/pdfs/GMD-1800-76.pdf#page=4","Abrir facsímil")</f>
        <v>Abrir facsímil</v>
      </c>
      <c r="K2442" s="15" t="s">
        <v>23</v>
      </c>
    </row>
    <row r="2443" spans="1:11" ht="42" customHeight="1">
      <c r="A2443" s="4" t="s">
        <v>6113</v>
      </c>
      <c r="B2443" s="5" t="s">
        <v>6114</v>
      </c>
      <c r="C2443" s="5" t="s">
        <v>41</v>
      </c>
      <c r="D2443" s="5" t="s">
        <v>42</v>
      </c>
      <c r="E2443" s="5" t="s">
        <v>583</v>
      </c>
      <c r="F2443" s="9">
        <v>77</v>
      </c>
      <c r="G2443" s="9">
        <v>871</v>
      </c>
      <c r="H2443" s="5" t="s">
        <v>21</v>
      </c>
      <c r="I2443" s="5" t="s">
        <v>6117</v>
      </c>
      <c r="J2443" s="12" t="str">
        <f>HYPERLINK("https://www.boe.es/gazeta/dias/1800/09/23/pdfs/GMD-1800-77.pdf#page=1","Abrir facsímil")</f>
        <v>Abrir facsímil</v>
      </c>
      <c r="K2443" s="15" t="s">
        <v>23</v>
      </c>
    </row>
    <row r="2444" spans="1:11" ht="42" customHeight="1">
      <c r="A2444" s="4" t="s">
        <v>6113</v>
      </c>
      <c r="B2444" s="5" t="s">
        <v>6114</v>
      </c>
      <c r="C2444" s="5" t="s">
        <v>41</v>
      </c>
      <c r="D2444" s="5" t="s">
        <v>42</v>
      </c>
      <c r="E2444" s="5" t="s">
        <v>583</v>
      </c>
      <c r="F2444" s="9">
        <v>77</v>
      </c>
      <c r="G2444" s="9">
        <v>873</v>
      </c>
      <c r="H2444" s="5" t="s">
        <v>21</v>
      </c>
      <c r="I2444" s="5" t="s">
        <v>6118</v>
      </c>
      <c r="J2444" s="12" t="str">
        <f>HYPERLINK("https://www.boe.es/gazeta/dias/1800/09/23/pdfs/GMD-1800-77.pdf#page=3","Abrir facsímil")</f>
        <v>Abrir facsímil</v>
      </c>
      <c r="K2444" s="15" t="s">
        <v>23</v>
      </c>
    </row>
    <row r="2445" spans="1:11" ht="42" customHeight="1">
      <c r="A2445" s="4" t="s">
        <v>6113</v>
      </c>
      <c r="B2445" s="5" t="s">
        <v>6114</v>
      </c>
      <c r="C2445" s="5" t="s">
        <v>41</v>
      </c>
      <c r="D2445" s="5" t="s">
        <v>42</v>
      </c>
      <c r="E2445" s="5" t="s">
        <v>306</v>
      </c>
      <c r="F2445" s="9">
        <v>79</v>
      </c>
      <c r="G2445" s="9">
        <v>891</v>
      </c>
      <c r="H2445" s="5" t="s">
        <v>21</v>
      </c>
      <c r="I2445" s="5" t="s">
        <v>6119</v>
      </c>
      <c r="J2445" s="12" t="str">
        <f>HYPERLINK("https://www.boe.es/gazeta/dias/1800/09/30/pdfs/GMD-1800-79.pdf#page=1","Abrir facsímil")</f>
        <v>Abrir facsímil</v>
      </c>
      <c r="K2445" s="15" t="s">
        <v>23</v>
      </c>
    </row>
    <row r="2446" spans="1:11" ht="42" customHeight="1">
      <c r="A2446" s="4" t="s">
        <v>6113</v>
      </c>
      <c r="B2446" s="5" t="s">
        <v>6114</v>
      </c>
      <c r="C2446" s="5" t="s">
        <v>41</v>
      </c>
      <c r="D2446" s="5" t="s">
        <v>42</v>
      </c>
      <c r="E2446" s="5" t="s">
        <v>845</v>
      </c>
      <c r="F2446" s="9">
        <v>80</v>
      </c>
      <c r="G2446" s="9">
        <v>904</v>
      </c>
      <c r="H2446" s="5" t="s">
        <v>21</v>
      </c>
      <c r="I2446" s="5" t="s">
        <v>6120</v>
      </c>
      <c r="J2446" s="12" t="str">
        <f>HYPERLINK("https://www.boe.es/gazeta/dias/1800/10/03/pdfs/GMD-1800-80.pdf#page=2","Abrir facsímil")</f>
        <v>Abrir facsímil</v>
      </c>
      <c r="K2446" s="15" t="s">
        <v>23</v>
      </c>
    </row>
    <row r="2447" spans="1:11" ht="42" customHeight="1">
      <c r="A2447" s="4" t="s">
        <v>6113</v>
      </c>
      <c r="B2447" s="5" t="s">
        <v>6114</v>
      </c>
      <c r="C2447" s="5" t="s">
        <v>41</v>
      </c>
      <c r="D2447" s="5" t="s">
        <v>42</v>
      </c>
      <c r="E2447" s="5" t="s">
        <v>845</v>
      </c>
      <c r="F2447" s="9">
        <v>80</v>
      </c>
      <c r="G2447" s="9">
        <v>905</v>
      </c>
      <c r="H2447" s="5" t="s">
        <v>21</v>
      </c>
      <c r="I2447" s="5" t="s">
        <v>6121</v>
      </c>
      <c r="J2447" s="12" t="str">
        <f>HYPERLINK("https://www.boe.es/gazeta/dias/1800/10/03/pdfs/GMD-1800-80.pdf#page=3","Abrir facsímil")</f>
        <v>Abrir facsímil</v>
      </c>
      <c r="K2447" s="15" t="s">
        <v>23</v>
      </c>
    </row>
    <row r="2448" spans="1:11" ht="42" customHeight="1">
      <c r="A2448" s="4" t="s">
        <v>6113</v>
      </c>
      <c r="B2448" s="5" t="s">
        <v>6114</v>
      </c>
      <c r="C2448" s="5" t="s">
        <v>41</v>
      </c>
      <c r="D2448" s="5" t="s">
        <v>42</v>
      </c>
      <c r="E2448" s="5" t="s">
        <v>50</v>
      </c>
      <c r="F2448" s="9">
        <v>81</v>
      </c>
      <c r="G2448" s="9">
        <v>914</v>
      </c>
      <c r="H2448" s="5" t="s">
        <v>21</v>
      </c>
      <c r="I2448" s="5" t="s">
        <v>6122</v>
      </c>
      <c r="J2448" s="12" t="str">
        <f>HYPERLINK("https://www.boe.es/gazeta/dias/1800/10/07/pdfs/GMD-1800-81.pdf#page=4","Abrir facsímil")</f>
        <v>Abrir facsímil</v>
      </c>
      <c r="K2448" s="15" t="s">
        <v>23</v>
      </c>
    </row>
    <row r="2449" spans="1:11" ht="42" customHeight="1">
      <c r="A2449" s="4" t="s">
        <v>6113</v>
      </c>
      <c r="B2449" s="5" t="s">
        <v>6114</v>
      </c>
      <c r="C2449" s="5" t="s">
        <v>41</v>
      </c>
      <c r="D2449" s="5" t="s">
        <v>42</v>
      </c>
      <c r="E2449" s="5" t="s">
        <v>184</v>
      </c>
      <c r="F2449" s="9">
        <v>82</v>
      </c>
      <c r="G2449" s="9">
        <v>944</v>
      </c>
      <c r="H2449" s="5" t="s">
        <v>21</v>
      </c>
      <c r="I2449" s="5" t="s">
        <v>6123</v>
      </c>
      <c r="J2449" s="12" t="str">
        <f>HYPERLINK("https://www.boe.es/gazeta/dias/1800/10/10/pdfs/GMD-1800-82.pdf#page=2","Abrir facsímil")</f>
        <v>Abrir facsímil</v>
      </c>
      <c r="K2449" s="15" t="s">
        <v>23</v>
      </c>
    </row>
    <row r="2450" spans="1:11" ht="42" customHeight="1">
      <c r="A2450" s="4" t="s">
        <v>6113</v>
      </c>
      <c r="B2450" s="5" t="s">
        <v>6114</v>
      </c>
      <c r="C2450" s="5" t="s">
        <v>41</v>
      </c>
      <c r="D2450" s="5" t="s">
        <v>42</v>
      </c>
      <c r="E2450" s="5" t="s">
        <v>52</v>
      </c>
      <c r="F2450" s="9">
        <v>83</v>
      </c>
      <c r="G2450" s="9">
        <v>955</v>
      </c>
      <c r="H2450" s="5" t="s">
        <v>21</v>
      </c>
      <c r="I2450" s="5" t="s">
        <v>6124</v>
      </c>
      <c r="J2450" s="12" t="str">
        <f>HYPERLINK("https://www.boe.es/gazeta/dias/1800/10/14/pdfs/GMD-1800-83.pdf#page=1","Abrir facsímil")</f>
        <v>Abrir facsímil</v>
      </c>
      <c r="K2450" s="15" t="s">
        <v>23</v>
      </c>
    </row>
    <row r="2451" spans="1:11" ht="42" customHeight="1">
      <c r="A2451" s="4" t="s">
        <v>6113</v>
      </c>
      <c r="B2451" s="5" t="s">
        <v>6114</v>
      </c>
      <c r="C2451" s="5" t="s">
        <v>41</v>
      </c>
      <c r="D2451" s="5" t="s">
        <v>42</v>
      </c>
      <c r="E2451" s="5" t="s">
        <v>422</v>
      </c>
      <c r="F2451" s="9">
        <v>85</v>
      </c>
      <c r="G2451" s="9">
        <v>981</v>
      </c>
      <c r="H2451" s="5" t="s">
        <v>21</v>
      </c>
      <c r="I2451" s="5" t="s">
        <v>6125</v>
      </c>
      <c r="J2451" s="12" t="str">
        <f>HYPERLINK("https://www.boe.es/gazeta/dias/1800/10/21/pdfs/GMD-1800-85.pdf#page=3","Abrir facsímil")</f>
        <v>Abrir facsímil</v>
      </c>
      <c r="K2451" s="15" t="s">
        <v>23</v>
      </c>
    </row>
    <row r="2452" spans="1:11" ht="42" customHeight="1">
      <c r="A2452" s="4" t="s">
        <v>6113</v>
      </c>
      <c r="B2452" s="5" t="s">
        <v>6114</v>
      </c>
      <c r="C2452" s="5" t="s">
        <v>41</v>
      </c>
      <c r="D2452" s="5" t="s">
        <v>42</v>
      </c>
      <c r="E2452" s="5" t="s">
        <v>180</v>
      </c>
      <c r="F2452" s="9">
        <v>102</v>
      </c>
      <c r="G2452" s="9">
        <v>1181</v>
      </c>
      <c r="H2452" s="5" t="s">
        <v>21</v>
      </c>
      <c r="I2452" s="5" t="s">
        <v>6126</v>
      </c>
      <c r="J2452" s="12" t="str">
        <f>HYPERLINK("https://www.boe.es/gazeta/dias/1800/12/19/pdfs/GMD-1800-102.pdf#page=5","Abrir facsímil")</f>
        <v>Abrir facsímil</v>
      </c>
      <c r="K2452" s="15" t="s">
        <v>23</v>
      </c>
    </row>
    <row r="2453" spans="1:11" ht="42" customHeight="1">
      <c r="A2453" s="4" t="s">
        <v>6127</v>
      </c>
      <c r="B2453" s="5" t="s">
        <v>6127</v>
      </c>
      <c r="C2453" s="5" t="s">
        <v>171</v>
      </c>
      <c r="D2453" s="5" t="s">
        <v>172</v>
      </c>
      <c r="E2453" s="5" t="s">
        <v>465</v>
      </c>
      <c r="F2453" s="9">
        <v>49</v>
      </c>
      <c r="G2453" s="9">
        <v>534</v>
      </c>
      <c r="H2453" s="5" t="s">
        <v>21</v>
      </c>
      <c r="I2453" s="5" t="s">
        <v>6128</v>
      </c>
      <c r="J2453" s="12" t="str">
        <f>HYPERLINK("https://www.boe.es/gazeta/dias/1800/06/20/pdfs/GMD-C-1800-49.pdf#page=2","Abrir facsímil")</f>
        <v>Abrir facsímil</v>
      </c>
      <c r="K2453" s="15" t="s">
        <v>23</v>
      </c>
    </row>
    <row r="2454" spans="1:11" ht="42" customHeight="1">
      <c r="A2454" s="4" t="s">
        <v>6129</v>
      </c>
      <c r="B2454" s="5" t="s">
        <v>6129</v>
      </c>
      <c r="C2454" s="5" t="s">
        <v>84</v>
      </c>
      <c r="D2454" s="5" t="s">
        <v>85</v>
      </c>
      <c r="E2454" s="5" t="s">
        <v>299</v>
      </c>
      <c r="F2454" s="9">
        <v>40</v>
      </c>
      <c r="G2454" s="9">
        <v>413</v>
      </c>
      <c r="H2454" s="5" t="s">
        <v>21</v>
      </c>
      <c r="I2454" s="5" t="s">
        <v>6130</v>
      </c>
      <c r="J2454" s="12" t="str">
        <f>HYPERLINK("https://www.boe.es/gazeta/dias/1800/05/20/pdfs/GMD-1800-40.pdf#page=9","Abrir facsímil")</f>
        <v>Abrir facsímil</v>
      </c>
      <c r="K2454" s="15" t="s">
        <v>23</v>
      </c>
    </row>
    <row r="2455" spans="1:11" ht="42" customHeight="1">
      <c r="A2455" s="4" t="s">
        <v>6131</v>
      </c>
      <c r="B2455" s="5" t="s">
        <v>6132</v>
      </c>
      <c r="C2455" s="5" t="s">
        <v>18</v>
      </c>
      <c r="D2455" s="5" t="s">
        <v>19</v>
      </c>
      <c r="E2455" s="5" t="s">
        <v>1213</v>
      </c>
      <c r="F2455" s="9">
        <v>4</v>
      </c>
      <c r="G2455" s="9">
        <v>36</v>
      </c>
      <c r="H2455" s="5" t="s">
        <v>21</v>
      </c>
      <c r="I2455" s="5" t="s">
        <v>6133</v>
      </c>
      <c r="J2455" s="12" t="str">
        <f>HYPERLINK("https://www.boe.es/gazeta/dias/1800/01/14/pdfs/GMD-1800-4.pdf#page=8","Abrir facsímil")</f>
        <v>Abrir facsímil</v>
      </c>
      <c r="K2455" s="15" t="s">
        <v>23</v>
      </c>
    </row>
    <row r="2456" spans="1:11" ht="42" customHeight="1">
      <c r="A2456" s="4" t="s">
        <v>6134</v>
      </c>
      <c r="B2456" s="5" t="s">
        <v>6135</v>
      </c>
      <c r="C2456" s="5" t="s">
        <v>18</v>
      </c>
      <c r="D2456" s="5" t="s">
        <v>19</v>
      </c>
      <c r="E2456" s="5" t="s">
        <v>618</v>
      </c>
      <c r="F2456" s="9">
        <v>1</v>
      </c>
      <c r="G2456" s="9">
        <v>3</v>
      </c>
      <c r="H2456" s="5" t="s">
        <v>21</v>
      </c>
      <c r="I2456" s="5" t="s">
        <v>6136</v>
      </c>
      <c r="J2456" s="12" t="str">
        <f>HYPERLINK("https://www.boe.es/gazeta/dias/1800/01/03/pdfs/GMD-1800-1.pdf#page=3","Abrir facsímil")</f>
        <v>Abrir facsímil</v>
      </c>
      <c r="K2456" s="15" t="s">
        <v>23</v>
      </c>
    </row>
    <row r="2457" spans="1:11" ht="42" customHeight="1">
      <c r="A2457" s="4" t="s">
        <v>6134</v>
      </c>
      <c r="B2457" s="5" t="s">
        <v>6135</v>
      </c>
      <c r="C2457" s="5" t="s">
        <v>41</v>
      </c>
      <c r="D2457" s="5" t="s">
        <v>42</v>
      </c>
      <c r="E2457" s="5" t="s">
        <v>154</v>
      </c>
      <c r="F2457" s="9">
        <v>61</v>
      </c>
      <c r="G2457" s="9">
        <v>692</v>
      </c>
      <c r="H2457" s="5" t="s">
        <v>21</v>
      </c>
      <c r="I2457" s="5" t="s">
        <v>6137</v>
      </c>
      <c r="J2457" s="12" t="str">
        <f>HYPERLINK("https://www.boe.es/gazeta/dias/1800/08/01/pdfs/GMD-1800-61.pdf#page=4","Abrir facsímil")</f>
        <v>Abrir facsímil</v>
      </c>
      <c r="K2457" s="15" t="s">
        <v>23</v>
      </c>
    </row>
    <row r="2458" spans="1:11" ht="42" customHeight="1">
      <c r="A2458" s="4" t="s">
        <v>6138</v>
      </c>
      <c r="B2458" s="5" t="s">
        <v>6139</v>
      </c>
      <c r="C2458" s="5" t="s">
        <v>18</v>
      </c>
      <c r="D2458" s="5" t="s">
        <v>19</v>
      </c>
      <c r="E2458" s="5" t="s">
        <v>825</v>
      </c>
      <c r="F2458" s="9">
        <v>51</v>
      </c>
      <c r="G2458" s="9">
        <v>551</v>
      </c>
      <c r="H2458" s="5" t="s">
        <v>21</v>
      </c>
      <c r="I2458" s="5" t="s">
        <v>6140</v>
      </c>
      <c r="J2458" s="12" t="str">
        <f>HYPERLINK("https://www.boe.es/gazeta/dias/1800/06/27/pdfs/GMD-1800-51.pdf#page=3","Abrir facsímil")</f>
        <v>Abrir facsímil</v>
      </c>
      <c r="K2458" s="15" t="s">
        <v>23</v>
      </c>
    </row>
    <row r="2459" spans="1:11" ht="42" customHeight="1">
      <c r="A2459" s="4" t="s">
        <v>6141</v>
      </c>
      <c r="B2459" s="5" t="s">
        <v>6142</v>
      </c>
      <c r="C2459" s="5" t="s">
        <v>18</v>
      </c>
      <c r="D2459" s="5" t="s">
        <v>19</v>
      </c>
      <c r="E2459" s="5" t="s">
        <v>275</v>
      </c>
      <c r="F2459" s="9">
        <v>60</v>
      </c>
      <c r="G2459" s="9">
        <v>688</v>
      </c>
      <c r="H2459" s="5" t="s">
        <v>21</v>
      </c>
      <c r="I2459" s="5" t="s">
        <v>6143</v>
      </c>
      <c r="J2459" s="12" t="str">
        <f>HYPERLINK("https://www.boe.es/gazeta/dias/1800/07/29/pdfs/GMD-1800-60.pdf#page=8","Abrir facsímil")</f>
        <v>Abrir facsímil</v>
      </c>
      <c r="K2459" s="15" t="s">
        <v>23</v>
      </c>
    </row>
    <row r="2460" spans="1:11" ht="42" customHeight="1">
      <c r="A2460" s="4" t="s">
        <v>6144</v>
      </c>
      <c r="B2460" s="5" t="s">
        <v>6145</v>
      </c>
      <c r="C2460" s="5" t="s">
        <v>18</v>
      </c>
      <c r="D2460" s="5" t="s">
        <v>19</v>
      </c>
      <c r="E2460" s="5" t="s">
        <v>45</v>
      </c>
      <c r="F2460" s="9">
        <v>47</v>
      </c>
      <c r="G2460" s="9">
        <v>503</v>
      </c>
      <c r="H2460" s="5" t="s">
        <v>21</v>
      </c>
      <c r="I2460" s="5" t="s">
        <v>6146</v>
      </c>
      <c r="J2460" s="12" t="str">
        <f>HYPERLINK("https://www.boe.es/gazeta/dias/1800/06/13/pdfs/GMD-1800-47.pdf#page=11","Abrir facsímil")</f>
        <v>Abrir facsímil</v>
      </c>
      <c r="K2460" s="15" t="s">
        <v>23</v>
      </c>
    </row>
    <row r="2461" spans="1:11" ht="42" customHeight="1">
      <c r="A2461" s="4" t="s">
        <v>6147</v>
      </c>
      <c r="B2461" s="5" t="s">
        <v>6148</v>
      </c>
      <c r="C2461" s="5" t="s">
        <v>18</v>
      </c>
      <c r="D2461" s="5" t="s">
        <v>19</v>
      </c>
      <c r="E2461" s="5" t="s">
        <v>279</v>
      </c>
      <c r="F2461" s="9">
        <v>103</v>
      </c>
      <c r="G2461" s="9">
        <v>1196</v>
      </c>
      <c r="H2461" s="5" t="s">
        <v>21</v>
      </c>
      <c r="I2461" s="5" t="s">
        <v>6149</v>
      </c>
      <c r="J2461" s="12" t="str">
        <f>HYPERLINK("https://www.boe.es/gazeta/dias/1800/12/23/pdfs/GMD-1800-103.pdf#page=8","Abrir facsímil")</f>
        <v>Abrir facsímil</v>
      </c>
      <c r="K2461" s="15" t="s">
        <v>23</v>
      </c>
    </row>
    <row r="2462" spans="1:11" ht="42" customHeight="1">
      <c r="A2462" s="4" t="s">
        <v>6150</v>
      </c>
      <c r="B2462" s="5" t="s">
        <v>6151</v>
      </c>
      <c r="C2462" s="5" t="s">
        <v>41</v>
      </c>
      <c r="D2462" s="5" t="s">
        <v>42</v>
      </c>
      <c r="E2462" s="5" t="s">
        <v>88</v>
      </c>
      <c r="F2462" s="9">
        <v>23</v>
      </c>
      <c r="G2462" s="9">
        <v>229</v>
      </c>
      <c r="H2462" s="5" t="s">
        <v>21</v>
      </c>
      <c r="I2462" s="5" t="s">
        <v>6152</v>
      </c>
      <c r="J2462" s="12" t="str">
        <f>HYPERLINK("https://www.boe.es/gazeta/dias/1800/03/21/pdfs/GMD-1800-23.pdf#page=5","Abrir facsímil")</f>
        <v>Abrir facsímil</v>
      </c>
      <c r="K2462" s="15" t="s">
        <v>23</v>
      </c>
    </row>
    <row r="2463" spans="1:11" ht="42" customHeight="1">
      <c r="A2463" s="4" t="s">
        <v>6153</v>
      </c>
      <c r="B2463" s="5" t="s">
        <v>6154</v>
      </c>
      <c r="C2463" s="5" t="s">
        <v>18</v>
      </c>
      <c r="D2463" s="5" t="s">
        <v>19</v>
      </c>
      <c r="E2463" s="5" t="s">
        <v>111</v>
      </c>
      <c r="F2463" s="9">
        <v>98</v>
      </c>
      <c r="G2463" s="9">
        <v>1128</v>
      </c>
      <c r="H2463" s="5" t="s">
        <v>21</v>
      </c>
      <c r="I2463" s="5" t="s">
        <v>6155</v>
      </c>
      <c r="J2463" s="12" t="str">
        <f>HYPERLINK("https://www.boe.es/gazeta/dias/1800/12/05/pdfs/GMD-1800-98.pdf#page=8","Abrir facsímil")</f>
        <v>Abrir facsímil</v>
      </c>
      <c r="K2463" s="15" t="s">
        <v>23</v>
      </c>
    </row>
    <row r="2464" spans="1:11" ht="42" customHeight="1">
      <c r="A2464" s="4" t="s">
        <v>6156</v>
      </c>
      <c r="B2464" s="5" t="s">
        <v>6157</v>
      </c>
      <c r="C2464" s="5" t="s">
        <v>207</v>
      </c>
      <c r="D2464" s="5" t="s">
        <v>55</v>
      </c>
      <c r="E2464" s="5" t="s">
        <v>43</v>
      </c>
      <c r="F2464" s="9">
        <v>46</v>
      </c>
      <c r="G2464" s="9">
        <v>477</v>
      </c>
      <c r="H2464" s="5" t="s">
        <v>21</v>
      </c>
      <c r="I2464" s="5" t="s">
        <v>6158</v>
      </c>
      <c r="J2464" s="12" t="str">
        <f>HYPERLINK("https://www.boe.es/gazeta/dias/1800/06/10/pdfs/GMD-1800-46.pdf#page=1","Abrir facsímil")</f>
        <v>Abrir facsímil</v>
      </c>
      <c r="K2464" s="15" t="s">
        <v>23</v>
      </c>
    </row>
    <row r="2465" spans="1:11" ht="42" customHeight="1">
      <c r="A2465" s="4" t="s">
        <v>6159</v>
      </c>
      <c r="B2465" s="5" t="s">
        <v>6159</v>
      </c>
      <c r="C2465" s="5" t="s">
        <v>41</v>
      </c>
      <c r="D2465" s="5" t="s">
        <v>42</v>
      </c>
      <c r="E2465" s="5" t="s">
        <v>1127</v>
      </c>
      <c r="F2465" s="9">
        <v>11</v>
      </c>
      <c r="G2465" s="9">
        <v>103</v>
      </c>
      <c r="H2465" s="5" t="s">
        <v>21</v>
      </c>
      <c r="I2465" s="5" t="s">
        <v>6160</v>
      </c>
      <c r="J2465" s="12" t="str">
        <f>HYPERLINK("https://www.boe.es/gazeta/dias/1800/02/07/pdfs/GMD-1800-11.pdf#page=3","Abrir facsímil")</f>
        <v>Abrir facsímil</v>
      </c>
      <c r="K2465" s="15" t="s">
        <v>23</v>
      </c>
    </row>
    <row r="2466" spans="1:11" ht="42" customHeight="1">
      <c r="A2466" s="4" t="s">
        <v>6161</v>
      </c>
      <c r="B2466" s="5" t="s">
        <v>6161</v>
      </c>
      <c r="C2466" s="5" t="s">
        <v>41</v>
      </c>
      <c r="D2466" s="5" t="s">
        <v>42</v>
      </c>
      <c r="E2466" s="5" t="s">
        <v>39</v>
      </c>
      <c r="F2466" s="9">
        <v>43</v>
      </c>
      <c r="G2466" s="9">
        <v>441</v>
      </c>
      <c r="H2466" s="5" t="s">
        <v>21</v>
      </c>
      <c r="I2466" s="5" t="s">
        <v>6162</v>
      </c>
      <c r="J2466" s="12" t="str">
        <f>HYPERLINK("https://www.boe.es/gazeta/dias/1800/05/30/pdfs/GMD-1800-43.pdf#page=1","Abrir facsímil")</f>
        <v>Abrir facsímil</v>
      </c>
      <c r="K2466" s="15" t="s">
        <v>23</v>
      </c>
    </row>
    <row r="2467" spans="1:11" ht="42" customHeight="1">
      <c r="A2467" s="4" t="s">
        <v>6163</v>
      </c>
      <c r="B2467" s="5" t="s">
        <v>6164</v>
      </c>
      <c r="C2467" s="5" t="s">
        <v>18</v>
      </c>
      <c r="D2467" s="5" t="s">
        <v>19</v>
      </c>
      <c r="E2467" s="5" t="s">
        <v>461</v>
      </c>
      <c r="F2467" s="9">
        <v>18</v>
      </c>
      <c r="G2467" s="9">
        <v>170</v>
      </c>
      <c r="H2467" s="5" t="s">
        <v>21</v>
      </c>
      <c r="I2467" s="5" t="s">
        <v>6165</v>
      </c>
      <c r="J2467" s="12" t="str">
        <f>HYPERLINK("https://www.boe.es/datos/pdfs/BOE//1800/018/C00173-00176.pdf#page=6","Abrir facsímil")</f>
        <v>Abrir facsímil</v>
      </c>
      <c r="K2467" s="15" t="s">
        <v>23</v>
      </c>
    </row>
    <row r="2468" spans="1:11" ht="42" customHeight="1">
      <c r="A2468" s="4" t="s">
        <v>6166</v>
      </c>
      <c r="B2468" s="5" t="s">
        <v>6167</v>
      </c>
      <c r="C2468" s="5" t="s">
        <v>171</v>
      </c>
      <c r="D2468" s="5" t="s">
        <v>172</v>
      </c>
      <c r="E2468" s="5" t="s">
        <v>461</v>
      </c>
      <c r="F2468" s="9">
        <v>18</v>
      </c>
      <c r="G2468" s="9">
        <v>174</v>
      </c>
      <c r="H2468" s="5" t="s">
        <v>21</v>
      </c>
      <c r="I2468" s="5" t="s">
        <v>6168</v>
      </c>
      <c r="J2468" s="12" t="str">
        <f>HYPERLINK("https://www.boe.es/datos/pdfs/BOE//1800/018/C00173-00176.pdf#page=2","Abrir facsímil")</f>
        <v>Abrir facsímil</v>
      </c>
      <c r="K2468" s="15" t="s">
        <v>23</v>
      </c>
    </row>
    <row r="2469" spans="1:11" ht="42" customHeight="1">
      <c r="A2469" s="4" t="s">
        <v>6169</v>
      </c>
      <c r="B2469" s="5" t="s">
        <v>6170</v>
      </c>
      <c r="C2469" s="5" t="s">
        <v>18</v>
      </c>
      <c r="D2469" s="5" t="s">
        <v>19</v>
      </c>
      <c r="E2469" s="5" t="s">
        <v>445</v>
      </c>
      <c r="F2469" s="9">
        <v>96</v>
      </c>
      <c r="G2469" s="9">
        <v>1105</v>
      </c>
      <c r="H2469" s="5" t="s">
        <v>21</v>
      </c>
      <c r="I2469" s="5" t="s">
        <v>6171</v>
      </c>
      <c r="J2469" s="12" t="str">
        <f>HYPERLINK("https://www.boe.es/gazeta/dias/1800/11/28/pdfs/GMD-1800-96.pdf#page=9","Abrir facsímil")</f>
        <v>Abrir facsímil</v>
      </c>
      <c r="K2469" s="15" t="s">
        <v>23</v>
      </c>
    </row>
    <row r="2470" spans="1:11" ht="42" customHeight="1">
      <c r="A2470" s="4" t="s">
        <v>6172</v>
      </c>
      <c r="B2470" s="5" t="s">
        <v>6173</v>
      </c>
      <c r="C2470" s="5" t="s">
        <v>18</v>
      </c>
      <c r="D2470" s="5" t="s">
        <v>19</v>
      </c>
      <c r="E2470" s="5" t="s">
        <v>255</v>
      </c>
      <c r="F2470" s="9">
        <v>75</v>
      </c>
      <c r="G2470" s="9">
        <v>855</v>
      </c>
      <c r="H2470" s="5" t="s">
        <v>21</v>
      </c>
      <c r="I2470" s="5" t="s">
        <v>6174</v>
      </c>
      <c r="J2470" s="12" t="str">
        <f>HYPERLINK("https://www.boe.es/gazeta/dias/1800/09/16/pdfs/GMD-1800-75.pdf#page=9","Abrir facsímil")</f>
        <v>Abrir facsímil</v>
      </c>
      <c r="K2470" s="15" t="s">
        <v>23</v>
      </c>
    </row>
    <row r="2471" spans="1:11" ht="42" customHeight="1">
      <c r="A2471" s="4" t="s">
        <v>6175</v>
      </c>
      <c r="B2471" s="5" t="s">
        <v>6176</v>
      </c>
      <c r="C2471" s="5" t="s">
        <v>18</v>
      </c>
      <c r="D2471" s="5" t="s">
        <v>19</v>
      </c>
      <c r="E2471" s="5" t="s">
        <v>240</v>
      </c>
      <c r="F2471" s="9">
        <v>26</v>
      </c>
      <c r="G2471" s="9">
        <v>269</v>
      </c>
      <c r="H2471" s="5" t="s">
        <v>21</v>
      </c>
      <c r="I2471" s="5" t="s">
        <v>6177</v>
      </c>
      <c r="J2471" s="12" t="str">
        <f>HYPERLINK("https://www.boe.es/gazeta/dias/1800/04/01/pdfs/GMD-1800-26.pdf#page=9","Abrir facsímil")</f>
        <v>Abrir facsímil</v>
      </c>
      <c r="K2471" s="15" t="s">
        <v>23</v>
      </c>
    </row>
    <row r="2472" spans="1:11" ht="42" customHeight="1">
      <c r="A2472" s="4" t="s">
        <v>6178</v>
      </c>
      <c r="B2472" s="5" t="s">
        <v>6178</v>
      </c>
      <c r="C2472" s="5" t="s">
        <v>18</v>
      </c>
      <c r="D2472" s="5" t="s">
        <v>19</v>
      </c>
      <c r="E2472" s="5" t="s">
        <v>64</v>
      </c>
      <c r="F2472" s="9">
        <v>54</v>
      </c>
      <c r="G2472" s="9">
        <v>606</v>
      </c>
      <c r="H2472" s="5" t="s">
        <v>21</v>
      </c>
      <c r="I2472" s="5" t="s">
        <v>6179</v>
      </c>
      <c r="J2472" s="12" t="str">
        <f>HYPERLINK("https://www.boe.es/gazeta/dias/1800/07/08/pdfs/GMD-1800-54.pdf#page=10","Abrir facsímil")</f>
        <v>Abrir facsímil</v>
      </c>
      <c r="K2472" s="15" t="s">
        <v>23</v>
      </c>
    </row>
    <row r="2473" spans="1:11" ht="42" customHeight="1">
      <c r="A2473" s="4" t="s">
        <v>6180</v>
      </c>
      <c r="B2473" s="5" t="s">
        <v>6180</v>
      </c>
      <c r="C2473" s="5" t="s">
        <v>18</v>
      </c>
      <c r="D2473" s="5" t="s">
        <v>19</v>
      </c>
      <c r="E2473" s="5" t="s">
        <v>158</v>
      </c>
      <c r="F2473" s="9">
        <v>25</v>
      </c>
      <c r="G2473" s="9">
        <v>256</v>
      </c>
      <c r="H2473" s="5" t="s">
        <v>21</v>
      </c>
      <c r="I2473" s="5" t="s">
        <v>6181</v>
      </c>
      <c r="J2473" s="12" t="str">
        <f>HYPERLINK("https://www.boe.es/gazeta/dias/1800/03/28/pdfs/GMD-1800-25.pdf#page=8","Abrir facsímil")</f>
        <v>Abrir facsímil</v>
      </c>
      <c r="K2473" s="15" t="s">
        <v>23</v>
      </c>
    </row>
    <row r="2474" spans="1:11" ht="42" customHeight="1">
      <c r="A2474" s="4" t="s">
        <v>6182</v>
      </c>
      <c r="B2474" s="5" t="s">
        <v>6183</v>
      </c>
      <c r="C2474" s="5" t="s">
        <v>207</v>
      </c>
      <c r="D2474" s="5" t="s">
        <v>55</v>
      </c>
      <c r="E2474" s="5" t="s">
        <v>143</v>
      </c>
      <c r="F2474" s="9">
        <v>22</v>
      </c>
      <c r="G2474" s="9">
        <v>220</v>
      </c>
      <c r="H2474" s="5" t="s">
        <v>21</v>
      </c>
      <c r="I2474" s="5" t="s">
        <v>6184</v>
      </c>
      <c r="J2474" s="12" t="str">
        <f>HYPERLINK("https://www.boe.es/gazeta/dias/1800/03/18/pdfs/GMD-1800-22.pdf#page=12","Abrir facsímil")</f>
        <v>Abrir facsímil</v>
      </c>
      <c r="K2474" s="15" t="s">
        <v>23</v>
      </c>
    </row>
    <row r="2475" spans="1:11" ht="42" customHeight="1">
      <c r="A2475" s="4" t="s">
        <v>6185</v>
      </c>
      <c r="B2475" s="5" t="s">
        <v>6186</v>
      </c>
      <c r="C2475" s="5" t="s">
        <v>207</v>
      </c>
      <c r="D2475" s="5" t="s">
        <v>55</v>
      </c>
      <c r="E2475" s="5" t="s">
        <v>836</v>
      </c>
      <c r="F2475" s="9">
        <v>71</v>
      </c>
      <c r="G2475" s="9">
        <v>789</v>
      </c>
      <c r="H2475" s="5" t="s">
        <v>21</v>
      </c>
      <c r="I2475" s="5" t="s">
        <v>6187</v>
      </c>
      <c r="J2475" s="12" t="str">
        <f>HYPERLINK("https://www.boe.es/gazeta/dias/1800/09/02/pdfs/GMD-1800-71.pdf#page=7","Abrir facsímil")</f>
        <v>Abrir facsímil</v>
      </c>
      <c r="K2475" s="15" t="s">
        <v>23</v>
      </c>
    </row>
    <row r="2476" spans="1:11" ht="42" customHeight="1">
      <c r="A2476" s="4" t="s">
        <v>6188</v>
      </c>
      <c r="B2476" s="5" t="s">
        <v>6189</v>
      </c>
      <c r="C2476" s="5" t="s">
        <v>18</v>
      </c>
      <c r="D2476" s="5" t="s">
        <v>19</v>
      </c>
      <c r="E2476" s="5" t="s">
        <v>420</v>
      </c>
      <c r="F2476" s="9">
        <v>38</v>
      </c>
      <c r="G2476" s="9">
        <v>388</v>
      </c>
      <c r="H2476" s="5" t="s">
        <v>21</v>
      </c>
      <c r="I2476" s="5" t="s">
        <v>6190</v>
      </c>
      <c r="J2476" s="12" t="str">
        <f>HYPERLINK("https://www.boe.es/gazeta/dias/1800/05/13/pdfs/GMD-1800-38.pdf#page=8","Abrir facsímil")</f>
        <v>Abrir facsímil</v>
      </c>
      <c r="K2476" s="15" t="s">
        <v>23</v>
      </c>
    </row>
    <row r="2477" spans="1:11" ht="42" customHeight="1">
      <c r="A2477" s="4" t="s">
        <v>6191</v>
      </c>
      <c r="B2477" s="5" t="s">
        <v>6192</v>
      </c>
      <c r="C2477" s="5" t="s">
        <v>18</v>
      </c>
      <c r="D2477" s="5" t="s">
        <v>19</v>
      </c>
      <c r="E2477" s="5" t="s">
        <v>31</v>
      </c>
      <c r="F2477" s="9">
        <v>20</v>
      </c>
      <c r="G2477" s="9">
        <v>191</v>
      </c>
      <c r="H2477" s="5" t="s">
        <v>21</v>
      </c>
      <c r="I2477" s="5" t="s">
        <v>6193</v>
      </c>
      <c r="J2477" s="12" t="str">
        <f>HYPERLINK("https://www.boe.es/gazeta/dias/1800/03/11/pdfs/GMD-1800-20.pdf#page=7","Abrir facsímil")</f>
        <v>Abrir facsímil</v>
      </c>
      <c r="K2477" s="15" t="s">
        <v>23</v>
      </c>
    </row>
    <row r="2478" spans="1:11" ht="42" customHeight="1">
      <c r="A2478" s="4" t="s">
        <v>6194</v>
      </c>
      <c r="B2478" s="5" t="s">
        <v>6195</v>
      </c>
      <c r="C2478" s="5" t="s">
        <v>84</v>
      </c>
      <c r="D2478" s="5" t="s">
        <v>85</v>
      </c>
      <c r="E2478" s="5" t="s">
        <v>131</v>
      </c>
      <c r="F2478" s="9">
        <v>8</v>
      </c>
      <c r="G2478" s="9">
        <v>76</v>
      </c>
      <c r="H2478" s="5" t="s">
        <v>21</v>
      </c>
      <c r="I2478" s="5" t="s">
        <v>6196</v>
      </c>
      <c r="J2478" s="12" t="str">
        <f>HYPERLINK("https://www.boe.es/gazeta/dias/1800/01/28/pdfs/GMD-1800-8.pdf#page=8","Abrir facsímil")</f>
        <v>Abrir facsímil</v>
      </c>
      <c r="K2478" s="15" t="s">
        <v>23</v>
      </c>
    </row>
    <row r="2479" spans="1:11" ht="42" customHeight="1">
      <c r="A2479" s="4" t="s">
        <v>6194</v>
      </c>
      <c r="B2479" s="5" t="s">
        <v>6195</v>
      </c>
      <c r="C2479" s="5" t="s">
        <v>84</v>
      </c>
      <c r="D2479" s="5" t="s">
        <v>85</v>
      </c>
      <c r="E2479" s="5" t="s">
        <v>31</v>
      </c>
      <c r="F2479" s="9">
        <v>20</v>
      </c>
      <c r="G2479" s="9">
        <v>196</v>
      </c>
      <c r="H2479" s="5" t="s">
        <v>21</v>
      </c>
      <c r="I2479" s="5" t="s">
        <v>6197</v>
      </c>
      <c r="J2479" s="12" t="str">
        <f>HYPERLINK("https://www.boe.es/gazeta/dias/1800/03/11/pdfs/GMD-1800-20.pdf#page=12","Abrir facsímil")</f>
        <v>Abrir facsímil</v>
      </c>
      <c r="K2479" s="15" t="s">
        <v>23</v>
      </c>
    </row>
    <row r="2480" spans="1:11" ht="42" customHeight="1">
      <c r="A2480" s="4" t="s">
        <v>6198</v>
      </c>
      <c r="B2480" s="5" t="s">
        <v>6199</v>
      </c>
      <c r="C2480" s="5" t="s">
        <v>18</v>
      </c>
      <c r="D2480" s="5" t="s">
        <v>19</v>
      </c>
      <c r="E2480" s="5" t="s">
        <v>139</v>
      </c>
      <c r="F2480" s="9">
        <v>2</v>
      </c>
      <c r="G2480" s="9">
        <v>17</v>
      </c>
      <c r="H2480" s="5" t="s">
        <v>21</v>
      </c>
      <c r="I2480" s="5" t="s">
        <v>6200</v>
      </c>
      <c r="J2480" s="12" t="str">
        <f>HYPERLINK("https://www.boe.es/gazeta/dias/1800/01/07/pdfs/GMD-1800-2.pdf#page=9","Abrir facsímil")</f>
        <v>Abrir facsímil</v>
      </c>
      <c r="K2480" s="15" t="s">
        <v>23</v>
      </c>
    </row>
    <row r="2481" spans="1:11" ht="42" customHeight="1">
      <c r="A2481" s="4" t="s">
        <v>6201</v>
      </c>
      <c r="B2481" s="5" t="s">
        <v>6202</v>
      </c>
      <c r="C2481" s="5" t="s">
        <v>25</v>
      </c>
      <c r="D2481" s="5" t="s">
        <v>26</v>
      </c>
      <c r="E2481" s="5" t="s">
        <v>410</v>
      </c>
      <c r="F2481" s="9">
        <v>87</v>
      </c>
      <c r="G2481" s="9">
        <v>1008</v>
      </c>
      <c r="H2481" s="5" t="s">
        <v>21</v>
      </c>
      <c r="I2481" s="5" t="s">
        <v>6203</v>
      </c>
      <c r="J2481" s="12" t="str">
        <f>HYPERLINK("https://www.boe.es/gazeta/dias/1800/10/28/pdfs/GMD-1800-87.pdf#page=6","Abrir facsímil")</f>
        <v>Abrir facsímil</v>
      </c>
      <c r="K2481" s="15" t="s">
        <v>23</v>
      </c>
    </row>
    <row r="2482" spans="1:11" ht="42" customHeight="1">
      <c r="A2482" s="4" t="s">
        <v>6204</v>
      </c>
      <c r="B2482" s="5" t="s">
        <v>6205</v>
      </c>
      <c r="C2482" s="5" t="s">
        <v>18</v>
      </c>
      <c r="D2482" s="5" t="s">
        <v>19</v>
      </c>
      <c r="E2482" s="5" t="s">
        <v>194</v>
      </c>
      <c r="F2482" s="9">
        <v>48</v>
      </c>
      <c r="G2482" s="9">
        <v>518</v>
      </c>
      <c r="H2482" s="5" t="s">
        <v>21</v>
      </c>
      <c r="I2482" s="5" t="s">
        <v>6206</v>
      </c>
      <c r="J2482" s="12" t="str">
        <f>HYPERLINK("https://www.boe.es/gazeta/dias/1800/06/17/pdfs/GMD-1800-48.pdf#page=10","Abrir facsímil")</f>
        <v>Abrir facsímil</v>
      </c>
      <c r="K2482" s="15" t="s">
        <v>23</v>
      </c>
    </row>
    <row r="2483" spans="1:11" ht="42" customHeight="1">
      <c r="A2483" s="4" t="s">
        <v>6207</v>
      </c>
      <c r="B2483" s="5" t="s">
        <v>6207</v>
      </c>
      <c r="C2483" s="5" t="s">
        <v>25</v>
      </c>
      <c r="D2483" s="5" t="s">
        <v>26</v>
      </c>
      <c r="E2483" s="5" t="s">
        <v>190</v>
      </c>
      <c r="F2483" s="9">
        <v>93</v>
      </c>
      <c r="G2483" s="9">
        <v>1067</v>
      </c>
      <c r="H2483" s="5" t="s">
        <v>21</v>
      </c>
      <c r="I2483" s="5" t="s">
        <v>6208</v>
      </c>
      <c r="J2483" s="12" t="str">
        <f>HYPERLINK("https://www.boe.es/gazeta/dias/1800/11/18/pdfs/GMD-1800-93.pdf#page=13","Abrir facsímil")</f>
        <v>Abrir facsímil</v>
      </c>
      <c r="K2483" s="15" t="s">
        <v>23</v>
      </c>
    </row>
    <row r="2484" spans="1:11" ht="42" customHeight="1">
      <c r="A2484" s="4" t="s">
        <v>6209</v>
      </c>
      <c r="B2484" s="5" t="s">
        <v>6210</v>
      </c>
      <c r="C2484" s="5" t="s">
        <v>54</v>
      </c>
      <c r="D2484" s="5" t="s">
        <v>55</v>
      </c>
      <c r="E2484" s="5" t="s">
        <v>572</v>
      </c>
      <c r="F2484" s="9">
        <v>76</v>
      </c>
      <c r="G2484" s="9">
        <v>868</v>
      </c>
      <c r="H2484" s="5" t="s">
        <v>21</v>
      </c>
      <c r="I2484" s="5" t="s">
        <v>6211</v>
      </c>
      <c r="J2484" s="12" t="str">
        <f>HYPERLINK("https://www.boe.es/gazeta/dias/1800/09/19/pdfs/GMD-1800-76.pdf#page=10","Abrir facsímil")</f>
        <v>Abrir facsímil</v>
      </c>
      <c r="K2484" s="15" t="s">
        <v>23</v>
      </c>
    </row>
    <row r="2485" spans="1:11" ht="42" customHeight="1">
      <c r="A2485" s="4" t="s">
        <v>6212</v>
      </c>
      <c r="B2485" s="5" t="s">
        <v>6213</v>
      </c>
      <c r="C2485" s="5" t="s">
        <v>18</v>
      </c>
      <c r="D2485" s="5" t="s">
        <v>19</v>
      </c>
      <c r="E2485" s="5" t="s">
        <v>1213</v>
      </c>
      <c r="F2485" s="9">
        <v>4</v>
      </c>
      <c r="G2485" s="9">
        <v>36</v>
      </c>
      <c r="H2485" s="5" t="s">
        <v>21</v>
      </c>
      <c r="I2485" s="5" t="s">
        <v>6214</v>
      </c>
      <c r="J2485" s="12" t="str">
        <f>HYPERLINK("https://www.boe.es/gazeta/dias/1800/01/14/pdfs/GMD-1800-4.pdf#page=8","Abrir facsímil")</f>
        <v>Abrir facsímil</v>
      </c>
      <c r="K2485" s="15" t="s">
        <v>23</v>
      </c>
    </row>
    <row r="2486" spans="1:11" ht="42" customHeight="1">
      <c r="A2486" s="4" t="s">
        <v>6215</v>
      </c>
      <c r="B2486" s="5" t="s">
        <v>6215</v>
      </c>
      <c r="C2486" s="5" t="s">
        <v>41</v>
      </c>
      <c r="D2486" s="5" t="s">
        <v>42</v>
      </c>
      <c r="E2486" s="5" t="s">
        <v>75</v>
      </c>
      <c r="F2486" s="9">
        <v>64</v>
      </c>
      <c r="G2486" s="9">
        <v>726</v>
      </c>
      <c r="H2486" s="5" t="s">
        <v>21</v>
      </c>
      <c r="I2486" s="5" t="s">
        <v>6216</v>
      </c>
      <c r="J2486" s="12" t="str">
        <f>HYPERLINK("https://www.boe.es/gazeta/dias/1800/08/12/pdfs/GMD-1800-64.pdf#page=2","Abrir facsímil")</f>
        <v>Abrir facsímil</v>
      </c>
      <c r="K2486" s="15" t="s">
        <v>23</v>
      </c>
    </row>
    <row r="2487" spans="1:11" ht="42" customHeight="1">
      <c r="A2487" s="4" t="s">
        <v>6217</v>
      </c>
      <c r="B2487" s="5" t="s">
        <v>6218</v>
      </c>
      <c r="C2487" s="5" t="s">
        <v>1179</v>
      </c>
      <c r="D2487" s="5" t="s">
        <v>1180</v>
      </c>
      <c r="E2487" s="5" t="s">
        <v>314</v>
      </c>
      <c r="F2487" s="9">
        <v>74</v>
      </c>
      <c r="G2487" s="9">
        <v>843</v>
      </c>
      <c r="H2487" s="5" t="s">
        <v>21</v>
      </c>
      <c r="I2487" s="5" t="s">
        <v>6219</v>
      </c>
      <c r="J2487" s="12" t="str">
        <f>HYPERLINK("https://www.boe.es/gazeta/dias/1800/09/12/pdfs/GMD-C-1800-74.pdf#page=5","Abrir facsímil")</f>
        <v>Abrir facsímil</v>
      </c>
      <c r="K2487" s="15" t="s">
        <v>23</v>
      </c>
    </row>
    <row r="2488" spans="1:11" ht="42" customHeight="1">
      <c r="A2488" s="4" t="s">
        <v>6220</v>
      </c>
      <c r="B2488" s="5" t="s">
        <v>6221</v>
      </c>
      <c r="C2488" s="5" t="s">
        <v>25</v>
      </c>
      <c r="D2488" s="5" t="s">
        <v>26</v>
      </c>
      <c r="E2488" s="5" t="s">
        <v>68</v>
      </c>
      <c r="F2488" s="9">
        <v>67</v>
      </c>
      <c r="G2488" s="9">
        <v>755</v>
      </c>
      <c r="H2488" s="5" t="s">
        <v>21</v>
      </c>
      <c r="I2488" s="5" t="s">
        <v>6222</v>
      </c>
      <c r="J2488" s="12" t="str">
        <f>HYPERLINK("https://www.boe.es/gazeta/dias/1800/08/22/pdfs/GMD-1800-67.pdf#page=7","Abrir facsímil")</f>
        <v>Abrir facsímil</v>
      </c>
      <c r="K2488" s="15" t="s">
        <v>23</v>
      </c>
    </row>
    <row r="2489" spans="1:11" ht="42" customHeight="1">
      <c r="A2489" s="4" t="s">
        <v>6223</v>
      </c>
      <c r="B2489" s="5" t="s">
        <v>6224</v>
      </c>
      <c r="C2489" s="5" t="s">
        <v>25</v>
      </c>
      <c r="D2489" s="5" t="s">
        <v>26</v>
      </c>
      <c r="E2489" s="5" t="s">
        <v>503</v>
      </c>
      <c r="F2489" s="9">
        <v>13</v>
      </c>
      <c r="G2489" s="9">
        <v>127</v>
      </c>
      <c r="H2489" s="5" t="s">
        <v>21</v>
      </c>
      <c r="I2489" s="5" t="s">
        <v>6225</v>
      </c>
      <c r="J2489" s="12" t="str">
        <f>HYPERLINK("https://www.boe.es/gazeta/dias/1800/02/14/pdfs/GMD-1800-13.pdf#page=11","Abrir facsímil")</f>
        <v>Abrir facsímil</v>
      </c>
      <c r="K2489" s="15" t="s">
        <v>23</v>
      </c>
    </row>
    <row r="2490" spans="1:11" ht="42" customHeight="1">
      <c r="A2490" s="4" t="s">
        <v>6226</v>
      </c>
      <c r="B2490" s="5" t="s">
        <v>6226</v>
      </c>
      <c r="C2490" s="5" t="s">
        <v>18</v>
      </c>
      <c r="D2490" s="5" t="s">
        <v>19</v>
      </c>
      <c r="E2490" s="5" t="s">
        <v>139</v>
      </c>
      <c r="F2490" s="9">
        <v>2</v>
      </c>
      <c r="G2490" s="9">
        <v>13</v>
      </c>
      <c r="H2490" s="5" t="s">
        <v>21</v>
      </c>
      <c r="I2490" s="5" t="s">
        <v>6227</v>
      </c>
      <c r="J2490" s="12" t="str">
        <f>HYPERLINK("https://www.boe.es/gazeta/dias/1800/01/07/pdfs/GMD-1800-2.pdf#page=5","Abrir facsímil")</f>
        <v>Abrir facsímil</v>
      </c>
      <c r="K2490" s="15" t="s">
        <v>23</v>
      </c>
    </row>
    <row r="2491" spans="1:11" ht="42" customHeight="1">
      <c r="A2491" s="4" t="s">
        <v>6228</v>
      </c>
      <c r="B2491" s="5" t="s">
        <v>6229</v>
      </c>
      <c r="C2491" s="5" t="s">
        <v>18</v>
      </c>
      <c r="D2491" s="5" t="s">
        <v>19</v>
      </c>
      <c r="E2491" s="5" t="s">
        <v>248</v>
      </c>
      <c r="F2491" s="9">
        <v>33</v>
      </c>
      <c r="G2491" s="9">
        <v>328</v>
      </c>
      <c r="H2491" s="5" t="s">
        <v>21</v>
      </c>
      <c r="I2491" s="5" t="s">
        <v>6230</v>
      </c>
      <c r="J2491" s="12" t="str">
        <f>HYPERLINK("https://www.boe.es/gazeta/dias/1800/04/25/pdfs/GMD-1800-33.pdf#page=4","Abrir facsímil")</f>
        <v>Abrir facsímil</v>
      </c>
      <c r="K2491" s="15" t="s">
        <v>23</v>
      </c>
    </row>
    <row r="2492" spans="1:11" ht="42" customHeight="1">
      <c r="A2492" s="4" t="s">
        <v>6231</v>
      </c>
      <c r="B2492" s="5" t="s">
        <v>6232</v>
      </c>
      <c r="C2492" s="5" t="s">
        <v>84</v>
      </c>
      <c r="D2492" s="5" t="s">
        <v>85</v>
      </c>
      <c r="E2492" s="5" t="s">
        <v>828</v>
      </c>
      <c r="F2492" s="9">
        <v>53</v>
      </c>
      <c r="G2492" s="9">
        <v>592</v>
      </c>
      <c r="H2492" s="5" t="s">
        <v>21</v>
      </c>
      <c r="I2492" s="5" t="s">
        <v>6233</v>
      </c>
      <c r="J2492" s="12" t="str">
        <f>HYPERLINK("https://www.boe.es/gazeta/dias/1800/07/04/pdfs/GMD-1800-53.pdf#page=12","Abrir facsímil")</f>
        <v>Abrir facsímil</v>
      </c>
      <c r="K2492" s="15" t="s">
        <v>23</v>
      </c>
    </row>
    <row r="2493" spans="1:11" ht="42" customHeight="1">
      <c r="A2493" s="4" t="s">
        <v>6234</v>
      </c>
      <c r="B2493" s="5" t="s">
        <v>6234</v>
      </c>
      <c r="C2493" s="5" t="s">
        <v>41</v>
      </c>
      <c r="D2493" s="5" t="s">
        <v>42</v>
      </c>
      <c r="E2493" s="5" t="s">
        <v>454</v>
      </c>
      <c r="F2493" s="9">
        <v>63</v>
      </c>
      <c r="G2493" s="9">
        <v>713</v>
      </c>
      <c r="H2493" s="5" t="s">
        <v>21</v>
      </c>
      <c r="I2493" s="5" t="s">
        <v>6235</v>
      </c>
      <c r="J2493" s="12" t="str">
        <f>HYPERLINK("https://www.boe.es/gazeta/dias/1800/08/08/pdfs/GMD-1800-63.pdf#page=1","Abrir facsímil")</f>
        <v>Abrir facsímil</v>
      </c>
      <c r="K2493" s="15" t="s">
        <v>23</v>
      </c>
    </row>
    <row r="2494" spans="1:11" ht="42" customHeight="1">
      <c r="A2494" s="4" t="s">
        <v>6236</v>
      </c>
      <c r="B2494" s="5" t="s">
        <v>6237</v>
      </c>
      <c r="C2494" s="5" t="s">
        <v>54</v>
      </c>
      <c r="D2494" s="5" t="s">
        <v>55</v>
      </c>
      <c r="E2494" s="5" t="s">
        <v>310</v>
      </c>
      <c r="F2494" s="9">
        <v>56</v>
      </c>
      <c r="G2494" s="9">
        <v>634</v>
      </c>
      <c r="H2494" s="5" t="s">
        <v>21</v>
      </c>
      <c r="I2494" s="5" t="s">
        <v>6238</v>
      </c>
      <c r="J2494" s="12" t="str">
        <f>HYPERLINK("https://www.boe.es/gazeta/dias/1800/07/15/pdfs/GMD-1800-56.pdf#page=10","Abrir facsímil")</f>
        <v>Abrir facsímil</v>
      </c>
      <c r="K2494" s="15" t="s">
        <v>23</v>
      </c>
    </row>
    <row r="2495" spans="1:11" ht="42" customHeight="1">
      <c r="A2495" s="4" t="s">
        <v>6239</v>
      </c>
      <c r="B2495" s="5" t="s">
        <v>6239</v>
      </c>
      <c r="C2495" s="5" t="s">
        <v>41</v>
      </c>
      <c r="D2495" s="5" t="s">
        <v>42</v>
      </c>
      <c r="E2495" s="5" t="s">
        <v>595</v>
      </c>
      <c r="F2495" s="9">
        <v>72</v>
      </c>
      <c r="G2495" s="9">
        <v>793</v>
      </c>
      <c r="H2495" s="5" t="s">
        <v>21</v>
      </c>
      <c r="I2495" s="5" t="s">
        <v>6240</v>
      </c>
      <c r="J2495" s="12" t="str">
        <f>HYPERLINK("https://www.boe.es/gazeta/dias/1800/09/05/pdfs/GMD-1800-72.pdf#page=3","Abrir facsímil")</f>
        <v>Abrir facsímil</v>
      </c>
      <c r="K2495" s="15" t="s">
        <v>23</v>
      </c>
    </row>
    <row r="2496" spans="1:11" ht="42" customHeight="1">
      <c r="A2496" s="4" t="s">
        <v>6239</v>
      </c>
      <c r="B2496" s="5" t="s">
        <v>6239</v>
      </c>
      <c r="C2496" s="5" t="s">
        <v>18</v>
      </c>
      <c r="D2496" s="5" t="s">
        <v>19</v>
      </c>
      <c r="E2496" s="5" t="s">
        <v>576</v>
      </c>
      <c r="F2496" s="9">
        <v>91</v>
      </c>
      <c r="G2496" s="9">
        <v>1060</v>
      </c>
      <c r="H2496" s="5" t="s">
        <v>21</v>
      </c>
      <c r="I2496" s="5" t="s">
        <v>6241</v>
      </c>
      <c r="J2496" s="12" t="str">
        <f>HYPERLINK("https://www.boe.es/gazeta/dias/1800/11/11/pdfs/GMD-1800-91.pdf#page=2","Abrir facsímil")</f>
        <v>Abrir facsímil</v>
      </c>
      <c r="K2496" s="15" t="s">
        <v>23</v>
      </c>
    </row>
    <row r="2497" spans="1:11" ht="42" customHeight="1">
      <c r="A2497" s="4" t="s">
        <v>6242</v>
      </c>
      <c r="B2497" s="5" t="s">
        <v>6242</v>
      </c>
      <c r="C2497" s="5" t="s">
        <v>84</v>
      </c>
      <c r="D2497" s="5" t="s">
        <v>85</v>
      </c>
      <c r="E2497" s="5" t="s">
        <v>306</v>
      </c>
      <c r="F2497" s="9">
        <v>79</v>
      </c>
      <c r="G2497" s="9">
        <v>901</v>
      </c>
      <c r="H2497" s="5" t="s">
        <v>21</v>
      </c>
      <c r="I2497" s="5" t="s">
        <v>6243</v>
      </c>
      <c r="J2497" s="12" t="str">
        <f>HYPERLINK("https://www.boe.es/gazeta/dias/1800/09/30/pdfs/GMD-1800-79.pdf#page=11","Abrir facsímil")</f>
        <v>Abrir facsímil</v>
      </c>
      <c r="K2497" s="15" t="s">
        <v>23</v>
      </c>
    </row>
    <row r="2498" spans="1:11" ht="42" customHeight="1">
      <c r="A2498" s="4" t="s">
        <v>6244</v>
      </c>
      <c r="B2498" s="5" t="s">
        <v>6245</v>
      </c>
      <c r="C2498" s="5" t="s">
        <v>18</v>
      </c>
      <c r="D2498" s="5" t="s">
        <v>19</v>
      </c>
      <c r="E2498" s="5" t="s">
        <v>31</v>
      </c>
      <c r="F2498" s="9">
        <v>20</v>
      </c>
      <c r="G2498" s="9">
        <v>192</v>
      </c>
      <c r="H2498" s="5" t="s">
        <v>21</v>
      </c>
      <c r="I2498" s="5" t="s">
        <v>6246</v>
      </c>
      <c r="J2498" s="12" t="str">
        <f>HYPERLINK("https://www.boe.es/gazeta/dias/1800/03/11/pdfs/GMD-1800-20.pdf#page=8","Abrir facsímil")</f>
        <v>Abrir facsímil</v>
      </c>
      <c r="K2498" s="15" t="s">
        <v>23</v>
      </c>
    </row>
    <row r="2499" spans="1:11" ht="42" customHeight="1">
      <c r="A2499" s="4" t="s">
        <v>6247</v>
      </c>
      <c r="B2499" s="5" t="s">
        <v>6248</v>
      </c>
      <c r="C2499" s="5" t="s">
        <v>41</v>
      </c>
      <c r="D2499" s="5" t="s">
        <v>42</v>
      </c>
      <c r="E2499" s="5" t="s">
        <v>194</v>
      </c>
      <c r="F2499" s="9">
        <v>48</v>
      </c>
      <c r="G2499" s="9">
        <v>516</v>
      </c>
      <c r="H2499" s="5" t="s">
        <v>21</v>
      </c>
      <c r="I2499" s="5" t="s">
        <v>6249</v>
      </c>
      <c r="J2499" s="12" t="str">
        <f>HYPERLINK("https://www.boe.es/gazeta/dias/1800/06/17/pdfs/GMD-1800-48.pdf#page=8","Abrir facsímil")</f>
        <v>Abrir facsímil</v>
      </c>
      <c r="K2499" s="15" t="s">
        <v>23</v>
      </c>
    </row>
    <row r="2500" spans="1:11" ht="42" customHeight="1">
      <c r="A2500" s="4" t="s">
        <v>6247</v>
      </c>
      <c r="B2500" s="5" t="s">
        <v>6248</v>
      </c>
      <c r="C2500" s="5" t="s">
        <v>25</v>
      </c>
      <c r="D2500" s="5" t="s">
        <v>26</v>
      </c>
      <c r="E2500" s="5" t="s">
        <v>196</v>
      </c>
      <c r="F2500" s="9">
        <v>97</v>
      </c>
      <c r="G2500" s="9">
        <v>1116</v>
      </c>
      <c r="H2500" s="5" t="s">
        <v>21</v>
      </c>
      <c r="I2500" s="5" t="s">
        <v>6250</v>
      </c>
      <c r="J2500" s="12" t="str">
        <f>HYPERLINK("https://www.boe.es/gazeta/dias/1800/12/02/pdfs/GMD-1800-97.pdf#page=8","Abrir facsímil")</f>
        <v>Abrir facsímil</v>
      </c>
      <c r="K2500" s="15" t="s">
        <v>23</v>
      </c>
    </row>
    <row r="2501" spans="1:11" ht="42" customHeight="1">
      <c r="A2501" s="4" t="s">
        <v>6251</v>
      </c>
      <c r="B2501" s="5" t="s">
        <v>6251</v>
      </c>
      <c r="C2501" s="5" t="s">
        <v>41</v>
      </c>
      <c r="D2501" s="5" t="s">
        <v>42</v>
      </c>
      <c r="E2501" s="5" t="s">
        <v>39</v>
      </c>
      <c r="F2501" s="9">
        <v>43</v>
      </c>
      <c r="G2501" s="9">
        <v>445</v>
      </c>
      <c r="H2501" s="5" t="s">
        <v>21</v>
      </c>
      <c r="I2501" s="5" t="s">
        <v>6252</v>
      </c>
      <c r="J2501" s="12" t="str">
        <f>HYPERLINK("https://www.boe.es/gazeta/dias/1800/05/30/pdfs/GMD-1800-43.pdf#page=5","Abrir facsímil")</f>
        <v>Abrir facsímil</v>
      </c>
      <c r="K2501" s="15" t="s">
        <v>23</v>
      </c>
    </row>
    <row r="2502" spans="1:11" ht="42" customHeight="1">
      <c r="A2502" s="4" t="s">
        <v>6253</v>
      </c>
      <c r="B2502" s="5" t="s">
        <v>6253</v>
      </c>
      <c r="C2502" s="5" t="s">
        <v>41</v>
      </c>
      <c r="D2502" s="5" t="s">
        <v>42</v>
      </c>
      <c r="E2502" s="5" t="s">
        <v>583</v>
      </c>
      <c r="F2502" s="9">
        <v>77</v>
      </c>
      <c r="G2502" s="9">
        <v>874</v>
      </c>
      <c r="H2502" s="5" t="s">
        <v>21</v>
      </c>
      <c r="I2502" s="5" t="s">
        <v>6254</v>
      </c>
      <c r="J2502" s="12" t="str">
        <f>HYPERLINK("https://www.boe.es/gazeta/dias/1800/09/23/pdfs/GMD-1800-77.pdf#page=4","Abrir facsímil")</f>
        <v>Abrir facsímil</v>
      </c>
      <c r="K2502" s="15" t="s">
        <v>23</v>
      </c>
    </row>
    <row r="2503" spans="1:11" ht="42" customHeight="1">
      <c r="A2503" s="4" t="s">
        <v>6255</v>
      </c>
      <c r="B2503" s="5" t="s">
        <v>6255</v>
      </c>
      <c r="C2503" s="5" t="s">
        <v>41</v>
      </c>
      <c r="D2503" s="5" t="s">
        <v>42</v>
      </c>
      <c r="E2503" s="5" t="s">
        <v>583</v>
      </c>
      <c r="F2503" s="9">
        <v>77</v>
      </c>
      <c r="G2503" s="9">
        <v>875</v>
      </c>
      <c r="H2503" s="5" t="s">
        <v>21</v>
      </c>
      <c r="I2503" s="5" t="s">
        <v>6256</v>
      </c>
      <c r="J2503" s="12" t="str">
        <f>HYPERLINK("https://www.boe.es/gazeta/dias/1800/09/23/pdfs/GMD-1800-77.pdf#page=5","Abrir facsímil")</f>
        <v>Abrir facsímil</v>
      </c>
      <c r="K2503" s="15" t="s">
        <v>23</v>
      </c>
    </row>
    <row r="2504" spans="1:11" ht="42" customHeight="1">
      <c r="A2504" s="4" t="s">
        <v>6257</v>
      </c>
      <c r="B2504" s="5" t="s">
        <v>6257</v>
      </c>
      <c r="C2504" s="5" t="s">
        <v>41</v>
      </c>
      <c r="D2504" s="5" t="s">
        <v>42</v>
      </c>
      <c r="E2504" s="5" t="s">
        <v>203</v>
      </c>
      <c r="F2504" s="9">
        <v>94</v>
      </c>
      <c r="G2504" s="9">
        <v>1076</v>
      </c>
      <c r="H2504" s="5" t="s">
        <v>21</v>
      </c>
      <c r="I2504" s="5" t="s">
        <v>6258</v>
      </c>
      <c r="J2504" s="12" t="str">
        <f>HYPERLINK("https://www.boe.es/gazeta/dias/1800/11/21/pdfs/GMD-1800-94.pdf#page=6","Abrir facsímil")</f>
        <v>Abrir facsímil</v>
      </c>
      <c r="K2504" s="15" t="s">
        <v>23</v>
      </c>
    </row>
    <row r="2505" spans="1:11" ht="42" customHeight="1">
      <c r="A2505" s="4" t="s">
        <v>6259</v>
      </c>
      <c r="B2505" s="5" t="s">
        <v>6260</v>
      </c>
      <c r="C2505" s="5" t="s">
        <v>84</v>
      </c>
      <c r="D2505" s="5" t="s">
        <v>85</v>
      </c>
      <c r="E2505" s="5" t="s">
        <v>583</v>
      </c>
      <c r="F2505" s="9">
        <v>77</v>
      </c>
      <c r="G2505" s="9">
        <v>874</v>
      </c>
      <c r="H2505" s="5" t="s">
        <v>21</v>
      </c>
      <c r="I2505" s="5" t="s">
        <v>6261</v>
      </c>
      <c r="J2505" s="12" t="str">
        <f>HYPERLINK("https://www.boe.es/gazeta/dias/1800/09/23/pdfs/GMD-1800-77.pdf#page=4","Abrir facsímil")</f>
        <v>Abrir facsímil</v>
      </c>
      <c r="K2505" s="15" t="s">
        <v>23</v>
      </c>
    </row>
    <row r="2506" spans="1:11" ht="42" customHeight="1">
      <c r="A2506" s="4" t="s">
        <v>6262</v>
      </c>
      <c r="B2506" s="5" t="s">
        <v>6262</v>
      </c>
      <c r="C2506" s="5" t="s">
        <v>41</v>
      </c>
      <c r="D2506" s="5" t="s">
        <v>42</v>
      </c>
      <c r="E2506" s="5" t="s">
        <v>461</v>
      </c>
      <c r="F2506" s="9">
        <v>18</v>
      </c>
      <c r="G2506" s="9">
        <v>168</v>
      </c>
      <c r="H2506" s="5" t="s">
        <v>21</v>
      </c>
      <c r="I2506" s="5" t="s">
        <v>6263</v>
      </c>
      <c r="J2506" s="12" t="str">
        <f>HYPERLINK("https://www.boe.es/datos/pdfs/BOE//1800/018/C00173-00176.pdf#page=4","Abrir facsímil")</f>
        <v>Abrir facsímil</v>
      </c>
      <c r="K2506" s="15" t="s">
        <v>23</v>
      </c>
    </row>
    <row r="2507" spans="1:11" ht="42" customHeight="1">
      <c r="A2507" s="4" t="s">
        <v>6262</v>
      </c>
      <c r="B2507" s="5" t="s">
        <v>6262</v>
      </c>
      <c r="C2507" s="5" t="s">
        <v>41</v>
      </c>
      <c r="D2507" s="5" t="s">
        <v>42</v>
      </c>
      <c r="E2507" s="5" t="s">
        <v>461</v>
      </c>
      <c r="F2507" s="9">
        <v>18</v>
      </c>
      <c r="G2507" s="9">
        <v>169</v>
      </c>
      <c r="H2507" s="5" t="s">
        <v>21</v>
      </c>
      <c r="I2507" s="5" t="s">
        <v>6264</v>
      </c>
      <c r="J2507" s="12" t="str">
        <f>HYPERLINK("https://www.boe.es/datos/pdfs/BOE//1800/018/C00173-00176.pdf#page=5","Abrir facsímil")</f>
        <v>Abrir facsímil</v>
      </c>
      <c r="K2507" s="15" t="s">
        <v>23</v>
      </c>
    </row>
    <row r="2508" spans="1:11" ht="42" customHeight="1">
      <c r="A2508" s="4" t="s">
        <v>6265</v>
      </c>
      <c r="B2508" s="5" t="s">
        <v>6266</v>
      </c>
      <c r="C2508" s="5" t="s">
        <v>18</v>
      </c>
      <c r="D2508" s="5" t="s">
        <v>19</v>
      </c>
      <c r="E2508" s="5" t="s">
        <v>461</v>
      </c>
      <c r="F2508" s="9">
        <v>18</v>
      </c>
      <c r="G2508" s="9">
        <v>170</v>
      </c>
      <c r="H2508" s="5" t="s">
        <v>21</v>
      </c>
      <c r="I2508" s="5" t="s">
        <v>6267</v>
      </c>
      <c r="J2508" s="12" t="str">
        <f>HYPERLINK("https://www.boe.es/datos/pdfs/BOE//1800/018/C00173-00176.pdf#page=6","Abrir facsímil")</f>
        <v>Abrir facsímil</v>
      </c>
      <c r="K2508" s="15" t="s">
        <v>23</v>
      </c>
    </row>
    <row r="2509" spans="1:11" ht="42" customHeight="1">
      <c r="A2509" s="4" t="s">
        <v>6268</v>
      </c>
      <c r="B2509" s="5" t="s">
        <v>6269</v>
      </c>
      <c r="C2509" s="5" t="s">
        <v>41</v>
      </c>
      <c r="D2509" s="5" t="s">
        <v>42</v>
      </c>
      <c r="E2509" s="5" t="s">
        <v>196</v>
      </c>
      <c r="F2509" s="9">
        <v>97</v>
      </c>
      <c r="G2509" s="9">
        <v>1111</v>
      </c>
      <c r="H2509" s="5" t="s">
        <v>21</v>
      </c>
      <c r="I2509" s="5" t="s">
        <v>6270</v>
      </c>
      <c r="J2509" s="12" t="str">
        <f>HYPERLINK("https://www.boe.es/gazeta/dias/1800/12/02/pdfs/GMD-1800-97.pdf#page=3","Abrir facsímil")</f>
        <v>Abrir facsímil</v>
      </c>
      <c r="K2509" s="15" t="s">
        <v>23</v>
      </c>
    </row>
    <row r="2510" spans="1:11" ht="42" customHeight="1">
      <c r="A2510" s="4" t="s">
        <v>6271</v>
      </c>
      <c r="B2510" s="5" t="s">
        <v>6272</v>
      </c>
      <c r="C2510" s="5" t="s">
        <v>41</v>
      </c>
      <c r="D2510" s="5" t="s">
        <v>42</v>
      </c>
      <c r="E2510" s="5" t="s">
        <v>836</v>
      </c>
      <c r="F2510" s="9">
        <v>71</v>
      </c>
      <c r="G2510" s="9">
        <v>786</v>
      </c>
      <c r="H2510" s="5" t="s">
        <v>21</v>
      </c>
      <c r="I2510" s="5" t="s">
        <v>6273</v>
      </c>
      <c r="J2510" s="12" t="str">
        <f>HYPERLINK("https://www.boe.es/gazeta/dias/1800/09/02/pdfs/GMD-1800-71.pdf#page=4","Abrir facsímil")</f>
        <v>Abrir facsímil</v>
      </c>
      <c r="K2510" s="15" t="s">
        <v>23</v>
      </c>
    </row>
    <row r="2511" spans="1:11" ht="42" customHeight="1">
      <c r="A2511" s="4" t="s">
        <v>6274</v>
      </c>
      <c r="B2511" s="5" t="s">
        <v>6275</v>
      </c>
      <c r="C2511" s="5" t="s">
        <v>207</v>
      </c>
      <c r="D2511" s="5" t="s">
        <v>55</v>
      </c>
      <c r="E2511" s="5" t="s">
        <v>445</v>
      </c>
      <c r="F2511" s="9">
        <v>96</v>
      </c>
      <c r="G2511" s="9">
        <v>1105</v>
      </c>
      <c r="H2511" s="5" t="s">
        <v>21</v>
      </c>
      <c r="I2511" s="5" t="s">
        <v>6276</v>
      </c>
      <c r="J2511" s="12" t="str">
        <f>HYPERLINK("https://www.boe.es/gazeta/dias/1800/11/28/pdfs/GMD-1800-96.pdf#page=9","Abrir facsímil")</f>
        <v>Abrir facsímil</v>
      </c>
      <c r="K2511" s="15" t="s">
        <v>23</v>
      </c>
    </row>
    <row r="2512" spans="1:11" ht="42" customHeight="1">
      <c r="A2512" s="4" t="s">
        <v>6277</v>
      </c>
      <c r="B2512" s="5" t="s">
        <v>6278</v>
      </c>
      <c r="C2512" s="5" t="s">
        <v>18</v>
      </c>
      <c r="D2512" s="5" t="s">
        <v>19</v>
      </c>
      <c r="E2512" s="5" t="s">
        <v>673</v>
      </c>
      <c r="F2512" s="9">
        <v>89</v>
      </c>
      <c r="G2512" s="9">
        <v>1043</v>
      </c>
      <c r="H2512" s="5" t="s">
        <v>21</v>
      </c>
      <c r="I2512" s="5" t="s">
        <v>6279</v>
      </c>
      <c r="J2512" s="12" t="str">
        <f>HYPERLINK("https://www.boe.es/gazeta/dias/1800/11/04/pdfs/GMD-1800-89.pdf#page=9","Abrir facsímil")</f>
        <v>Abrir facsímil</v>
      </c>
      <c r="K2512" s="15" t="s">
        <v>23</v>
      </c>
    </row>
    <row r="2513" spans="1:11" ht="42" customHeight="1">
      <c r="A2513" s="4" t="s">
        <v>6280</v>
      </c>
      <c r="B2513" s="5" t="s">
        <v>6281</v>
      </c>
      <c r="C2513" s="5" t="s">
        <v>18</v>
      </c>
      <c r="D2513" s="5" t="s">
        <v>19</v>
      </c>
      <c r="E2513" s="5" t="s">
        <v>478</v>
      </c>
      <c r="F2513" s="9">
        <v>34</v>
      </c>
      <c r="G2513" s="9">
        <v>341</v>
      </c>
      <c r="H2513" s="5" t="s">
        <v>21</v>
      </c>
      <c r="I2513" s="5" t="s">
        <v>6282</v>
      </c>
      <c r="J2513" s="12" t="str">
        <f>HYPERLINK("https://www.boe.es/gazeta/dias/1800/04/29/pdfs/GMD-1800-34.pdf#page=5","Abrir facsímil")</f>
        <v>Abrir facsímil</v>
      </c>
      <c r="K2513" s="15" t="s">
        <v>23</v>
      </c>
    </row>
    <row r="2514" spans="1:11" ht="42" customHeight="1">
      <c r="A2514" s="4" t="s">
        <v>6283</v>
      </c>
      <c r="B2514" s="5" t="s">
        <v>6283</v>
      </c>
      <c r="C2514" s="5" t="s">
        <v>41</v>
      </c>
      <c r="D2514" s="5" t="s">
        <v>42</v>
      </c>
      <c r="E2514" s="5" t="s">
        <v>583</v>
      </c>
      <c r="F2514" s="9">
        <v>77</v>
      </c>
      <c r="G2514" s="9">
        <v>874</v>
      </c>
      <c r="H2514" s="5" t="s">
        <v>21</v>
      </c>
      <c r="I2514" s="5" t="s">
        <v>6284</v>
      </c>
      <c r="J2514" s="12" t="str">
        <f>HYPERLINK("https://www.boe.es/gazeta/dias/1800/09/23/pdfs/GMD-1800-77.pdf#page=4","Abrir facsímil")</f>
        <v>Abrir facsímil</v>
      </c>
      <c r="K2514" s="15" t="s">
        <v>23</v>
      </c>
    </row>
    <row r="2515" spans="1:11" ht="42" customHeight="1">
      <c r="A2515" s="4" t="s">
        <v>6285</v>
      </c>
      <c r="B2515" s="5" t="s">
        <v>6286</v>
      </c>
      <c r="C2515" s="5" t="s">
        <v>207</v>
      </c>
      <c r="D2515" s="5" t="s">
        <v>55</v>
      </c>
      <c r="E2515" s="5" t="s">
        <v>194</v>
      </c>
      <c r="F2515" s="9">
        <v>48</v>
      </c>
      <c r="G2515" s="9">
        <v>519</v>
      </c>
      <c r="H2515" s="5" t="s">
        <v>21</v>
      </c>
      <c r="I2515" s="5" t="s">
        <v>6287</v>
      </c>
      <c r="J2515" s="12" t="str">
        <f>HYPERLINK("https://www.boe.es/gazeta/dias/1800/06/17/pdfs/GMD-1800-48.pdf#page=11","Abrir facsímil")</f>
        <v>Abrir facsímil</v>
      </c>
      <c r="K2515" s="15" t="s">
        <v>23</v>
      </c>
    </row>
    <row r="2516" spans="1:11" ht="42" customHeight="1">
      <c r="A2516" s="4" t="s">
        <v>6288</v>
      </c>
      <c r="B2516" s="5" t="s">
        <v>6289</v>
      </c>
      <c r="C2516" s="5" t="s">
        <v>18</v>
      </c>
      <c r="D2516" s="5" t="s">
        <v>19</v>
      </c>
      <c r="E2516" s="5" t="s">
        <v>194</v>
      </c>
      <c r="F2516" s="9">
        <v>48</v>
      </c>
      <c r="G2516" s="9">
        <v>519</v>
      </c>
      <c r="H2516" s="5" t="s">
        <v>21</v>
      </c>
      <c r="I2516" s="5" t="s">
        <v>6290</v>
      </c>
      <c r="J2516" s="12" t="str">
        <f>HYPERLINK("https://www.boe.es/gazeta/dias/1800/06/17/pdfs/GMD-1800-48.pdf#page=11","Abrir facsímil")</f>
        <v>Abrir facsímil</v>
      </c>
      <c r="K2516" s="15" t="s">
        <v>23</v>
      </c>
    </row>
    <row r="2517" spans="1:11" ht="42" customHeight="1">
      <c r="A2517" s="4" t="s">
        <v>6291</v>
      </c>
      <c r="B2517" s="5" t="s">
        <v>6292</v>
      </c>
      <c r="C2517" s="5" t="s">
        <v>41</v>
      </c>
      <c r="D2517" s="5" t="s">
        <v>42</v>
      </c>
      <c r="E2517" s="5" t="s">
        <v>545</v>
      </c>
      <c r="F2517" s="9">
        <v>14</v>
      </c>
      <c r="G2517" s="9">
        <v>131</v>
      </c>
      <c r="H2517" s="5" t="s">
        <v>21</v>
      </c>
      <c r="I2517" s="5" t="s">
        <v>6293</v>
      </c>
      <c r="J2517" s="12" t="str">
        <f>HYPERLINK("https://www.boe.es/gazeta/dias/1800/02/18/pdfs/GMD-1800-14.pdf#page=3","Abrir facsímil")</f>
        <v>Abrir facsímil</v>
      </c>
      <c r="K2517" s="15" t="s">
        <v>23</v>
      </c>
    </row>
    <row r="2518" spans="1:11" ht="42" customHeight="1">
      <c r="A2518" s="4" t="s">
        <v>6294</v>
      </c>
      <c r="B2518" s="5" t="s">
        <v>6295</v>
      </c>
      <c r="C2518" s="5" t="s">
        <v>41</v>
      </c>
      <c r="D2518" s="5" t="s">
        <v>42</v>
      </c>
      <c r="E2518" s="5" t="s">
        <v>120</v>
      </c>
      <c r="F2518" s="9">
        <v>52</v>
      </c>
      <c r="G2518" s="9">
        <v>569</v>
      </c>
      <c r="H2518" s="5" t="s">
        <v>21</v>
      </c>
      <c r="I2518" s="5" t="s">
        <v>6296</v>
      </c>
      <c r="J2518" s="12" t="str">
        <f>HYPERLINK("https://www.boe.es/gazeta/dias/1800/07/01/pdfs/GMD-1800-52.pdf#page=5","Abrir facsímil")</f>
        <v>Abrir facsímil</v>
      </c>
      <c r="K2518" s="15" t="s">
        <v>23</v>
      </c>
    </row>
    <row r="2519" spans="1:11" ht="42" customHeight="1">
      <c r="A2519" s="4" t="s">
        <v>6294</v>
      </c>
      <c r="B2519" s="5" t="s">
        <v>6295</v>
      </c>
      <c r="C2519" s="5" t="s">
        <v>41</v>
      </c>
      <c r="D2519" s="5" t="s">
        <v>42</v>
      </c>
      <c r="E2519" s="5" t="s">
        <v>120</v>
      </c>
      <c r="F2519" s="9">
        <v>52</v>
      </c>
      <c r="G2519" s="9">
        <v>570</v>
      </c>
      <c r="H2519" s="5" t="s">
        <v>21</v>
      </c>
      <c r="I2519" s="5" t="s">
        <v>6297</v>
      </c>
      <c r="J2519" s="12" t="str">
        <f>HYPERLINK("https://www.boe.es/gazeta/dias/1800/07/01/pdfs/GMD-1800-52.pdf#page=6","Abrir facsímil")</f>
        <v>Abrir facsímil</v>
      </c>
      <c r="K2519" s="15" t="s">
        <v>23</v>
      </c>
    </row>
    <row r="2520" spans="1:11" ht="42" customHeight="1">
      <c r="A2520" s="4" t="s">
        <v>6294</v>
      </c>
      <c r="B2520" s="5" t="s">
        <v>6295</v>
      </c>
      <c r="C2520" s="5" t="s">
        <v>41</v>
      </c>
      <c r="D2520" s="5" t="s">
        <v>42</v>
      </c>
      <c r="E2520" s="5" t="s">
        <v>828</v>
      </c>
      <c r="F2520" s="9">
        <v>53</v>
      </c>
      <c r="G2520" s="9">
        <v>587</v>
      </c>
      <c r="H2520" s="5" t="s">
        <v>21</v>
      </c>
      <c r="I2520" s="5" t="s">
        <v>6298</v>
      </c>
      <c r="J2520" s="12" t="str">
        <f>HYPERLINK("https://www.boe.es/gazeta/dias/1800/07/04/pdfs/GMD-1800-53.pdf#page=7","Abrir facsímil")</f>
        <v>Abrir facsímil</v>
      </c>
      <c r="K2520" s="15" t="s">
        <v>23</v>
      </c>
    </row>
    <row r="2521" spans="1:11" ht="42" customHeight="1">
      <c r="A2521" s="4" t="s">
        <v>6294</v>
      </c>
      <c r="B2521" s="5" t="s">
        <v>6295</v>
      </c>
      <c r="C2521" s="5" t="s">
        <v>84</v>
      </c>
      <c r="D2521" s="5" t="s">
        <v>85</v>
      </c>
      <c r="E2521" s="5" t="s">
        <v>64</v>
      </c>
      <c r="F2521" s="9">
        <v>54</v>
      </c>
      <c r="G2521" s="9">
        <v>605</v>
      </c>
      <c r="H2521" s="5" t="s">
        <v>21</v>
      </c>
      <c r="I2521" s="5" t="s">
        <v>6299</v>
      </c>
      <c r="J2521" s="12" t="str">
        <f>HYPERLINK("https://www.boe.es/gazeta/dias/1800/07/08/pdfs/GMD-1800-54.pdf#page=9","Abrir facsímil")</f>
        <v>Abrir facsímil</v>
      </c>
      <c r="K2521" s="15" t="s">
        <v>23</v>
      </c>
    </row>
    <row r="2522" spans="1:11" ht="42" customHeight="1">
      <c r="A2522" s="4" t="s">
        <v>6300</v>
      </c>
      <c r="B2522" s="5" t="s">
        <v>6301</v>
      </c>
      <c r="C2522" s="5" t="s">
        <v>41</v>
      </c>
      <c r="D2522" s="5" t="s">
        <v>42</v>
      </c>
      <c r="E2522" s="5" t="s">
        <v>825</v>
      </c>
      <c r="F2522" s="9">
        <v>51</v>
      </c>
      <c r="G2522" s="9">
        <v>558</v>
      </c>
      <c r="H2522" s="5" t="s">
        <v>21</v>
      </c>
      <c r="I2522" s="5" t="s">
        <v>6302</v>
      </c>
      <c r="J2522" s="12" t="str">
        <f>HYPERLINK("https://www.boe.es/gazeta/dias/1800/06/27/pdfs/GMD-1800-51.pdf#page=10","Abrir facsímil")</f>
        <v>Abrir facsímil</v>
      </c>
      <c r="K2522" s="15" t="s">
        <v>23</v>
      </c>
    </row>
    <row r="2523" spans="1:11" ht="42" customHeight="1">
      <c r="A2523" s="4" t="s">
        <v>6300</v>
      </c>
      <c r="B2523" s="5" t="s">
        <v>6301</v>
      </c>
      <c r="C2523" s="5" t="s">
        <v>41</v>
      </c>
      <c r="D2523" s="5" t="s">
        <v>42</v>
      </c>
      <c r="E2523" s="5" t="s">
        <v>825</v>
      </c>
      <c r="F2523" s="9">
        <v>51</v>
      </c>
      <c r="G2523" s="9">
        <v>559</v>
      </c>
      <c r="H2523" s="5" t="s">
        <v>21</v>
      </c>
      <c r="I2523" s="5" t="s">
        <v>6303</v>
      </c>
      <c r="J2523" s="12" t="str">
        <f>HYPERLINK("https://www.boe.es/gazeta/dias/1800/06/27/pdfs/GMD-1800-51.pdf#page=11","Abrir facsímil")</f>
        <v>Abrir facsímil</v>
      </c>
      <c r="K2523" s="15" t="s">
        <v>23</v>
      </c>
    </row>
    <row r="2524" spans="1:11" ht="42" customHeight="1">
      <c r="A2524" s="4" t="s">
        <v>6304</v>
      </c>
      <c r="B2524" s="5" t="s">
        <v>6305</v>
      </c>
      <c r="C2524" s="5" t="s">
        <v>41</v>
      </c>
      <c r="D2524" s="5" t="s">
        <v>42</v>
      </c>
      <c r="E2524" s="5" t="s">
        <v>279</v>
      </c>
      <c r="F2524" s="9">
        <v>103</v>
      </c>
      <c r="G2524" s="9">
        <v>1194</v>
      </c>
      <c r="H2524" s="5" t="s">
        <v>21</v>
      </c>
      <c r="I2524" s="5" t="s">
        <v>6306</v>
      </c>
      <c r="J2524" s="12" t="str">
        <f>HYPERLINK("https://www.boe.es/gazeta/dias/1800/12/23/pdfs/GMD-1800-103.pdf#page=6","Abrir facsímil")</f>
        <v>Abrir facsímil</v>
      </c>
      <c r="K2524" s="15" t="s">
        <v>23</v>
      </c>
    </row>
    <row r="2525" spans="1:11" ht="42" customHeight="1">
      <c r="A2525" s="4" t="s">
        <v>6307</v>
      </c>
      <c r="B2525" s="5" t="s">
        <v>6308</v>
      </c>
      <c r="C2525" s="5" t="s">
        <v>41</v>
      </c>
      <c r="D2525" s="5" t="s">
        <v>42</v>
      </c>
      <c r="E2525" s="5" t="s">
        <v>410</v>
      </c>
      <c r="F2525" s="9">
        <v>87</v>
      </c>
      <c r="G2525" s="9">
        <v>1006</v>
      </c>
      <c r="H2525" s="5" t="s">
        <v>21</v>
      </c>
      <c r="I2525" s="5" t="s">
        <v>6309</v>
      </c>
      <c r="J2525" s="12" t="str">
        <f>HYPERLINK("https://www.boe.es/gazeta/dias/1800/10/28/pdfs/GMD-1800-87.pdf#page=4","Abrir facsímil")</f>
        <v>Abrir facsímil</v>
      </c>
      <c r="K2525" s="15" t="s">
        <v>23</v>
      </c>
    </row>
    <row r="2526" spans="1:11" ht="42" customHeight="1">
      <c r="A2526" s="4" t="s">
        <v>6310</v>
      </c>
      <c r="B2526" s="5" t="s">
        <v>6311</v>
      </c>
      <c r="C2526" s="5" t="s">
        <v>41</v>
      </c>
      <c r="D2526" s="5" t="s">
        <v>42</v>
      </c>
      <c r="E2526" s="5" t="s">
        <v>1433</v>
      </c>
      <c r="F2526" s="9">
        <v>12</v>
      </c>
      <c r="G2526" s="9">
        <v>110</v>
      </c>
      <c r="H2526" s="5" t="s">
        <v>21</v>
      </c>
      <c r="I2526" s="5" t="s">
        <v>6312</v>
      </c>
      <c r="J2526" s="12" t="str">
        <f>HYPERLINK("https://www.boe.es/gazeta/dias/1800/02/11/pdfs/GMD-1800-12.pdf#page=2","Abrir facsímil")</f>
        <v>Abrir facsímil</v>
      </c>
      <c r="K2526" s="15" t="s">
        <v>23</v>
      </c>
    </row>
    <row r="2527" spans="1:11" ht="42" customHeight="1">
      <c r="A2527" s="4" t="s">
        <v>6313</v>
      </c>
      <c r="B2527" s="5" t="s">
        <v>6313</v>
      </c>
      <c r="C2527" s="5" t="s">
        <v>18</v>
      </c>
      <c r="D2527" s="5" t="s">
        <v>19</v>
      </c>
      <c r="E2527" s="5" t="s">
        <v>572</v>
      </c>
      <c r="F2527" s="9">
        <v>76</v>
      </c>
      <c r="G2527" s="9">
        <v>859</v>
      </c>
      <c r="H2527" s="5" t="s">
        <v>21</v>
      </c>
      <c r="I2527" s="5" t="s">
        <v>6314</v>
      </c>
      <c r="J2527" s="12" t="str">
        <f>HYPERLINK("https://www.boe.es/gazeta/dias/1800/09/19/pdfs/GMD-1800-76.pdf#page=1","Abrir facsímil")</f>
        <v>Abrir facsímil</v>
      </c>
      <c r="K2527" s="15" t="s">
        <v>23</v>
      </c>
    </row>
    <row r="2528" spans="1:11" ht="42" customHeight="1">
      <c r="A2528" s="4" t="s">
        <v>6315</v>
      </c>
      <c r="B2528" s="5" t="s">
        <v>6316</v>
      </c>
      <c r="C2528" s="5" t="s">
        <v>41</v>
      </c>
      <c r="D2528" s="5" t="s">
        <v>42</v>
      </c>
      <c r="E2528" s="5" t="s">
        <v>600</v>
      </c>
      <c r="F2528" s="9">
        <v>45</v>
      </c>
      <c r="G2528" s="9">
        <v>465</v>
      </c>
      <c r="H2528" s="5" t="s">
        <v>21</v>
      </c>
      <c r="I2528" s="5" t="s">
        <v>6317</v>
      </c>
      <c r="J2528" s="12" t="str">
        <f>HYPERLINK("https://www.boe.es/gazeta/dias/1800/06/06/pdfs/GMD-1800-45.pdf#page=1","Abrir facsímil")</f>
        <v>Abrir facsímil</v>
      </c>
      <c r="K2528" s="15" t="s">
        <v>23</v>
      </c>
    </row>
    <row r="2529" spans="1:11" ht="42" customHeight="1">
      <c r="A2529" s="4" t="s">
        <v>6318</v>
      </c>
      <c r="B2529" s="5" t="s">
        <v>6319</v>
      </c>
      <c r="C2529" s="5" t="s">
        <v>18</v>
      </c>
      <c r="D2529" s="5" t="s">
        <v>19</v>
      </c>
      <c r="E2529" s="5" t="s">
        <v>356</v>
      </c>
      <c r="F2529" s="9">
        <v>31</v>
      </c>
      <c r="G2529" s="9">
        <v>314</v>
      </c>
      <c r="H2529" s="5" t="s">
        <v>21</v>
      </c>
      <c r="I2529" s="5" t="s">
        <v>6320</v>
      </c>
      <c r="J2529" s="12" t="str">
        <f>HYPERLINK("https://www.boe.es/gazeta/dias/1800/04/18/pdfs/GMD-1800-31.pdf#page=6","Abrir facsímil")</f>
        <v>Abrir facsímil</v>
      </c>
      <c r="K2529" s="15" t="s">
        <v>23</v>
      </c>
    </row>
    <row r="2530" spans="1:11" ht="42" customHeight="1">
      <c r="A2530" s="4" t="s">
        <v>6321</v>
      </c>
      <c r="B2530" s="5" t="s">
        <v>6322</v>
      </c>
      <c r="C2530" s="5" t="s">
        <v>41</v>
      </c>
      <c r="D2530" s="5" t="s">
        <v>42</v>
      </c>
      <c r="E2530" s="5" t="s">
        <v>461</v>
      </c>
      <c r="F2530" s="9">
        <v>18</v>
      </c>
      <c r="G2530" s="9">
        <v>169</v>
      </c>
      <c r="H2530" s="5" t="s">
        <v>21</v>
      </c>
      <c r="I2530" s="5" t="s">
        <v>6323</v>
      </c>
      <c r="J2530" s="12" t="str">
        <f>HYPERLINK("https://www.boe.es/datos/pdfs/BOE//1800/018/C00173-00176.pdf#page=5","Abrir facsímil")</f>
        <v>Abrir facsímil</v>
      </c>
      <c r="K2530" s="15" t="s">
        <v>23</v>
      </c>
    </row>
    <row r="2531" spans="1:11" ht="42" customHeight="1">
      <c r="A2531" s="4" t="s">
        <v>6324</v>
      </c>
      <c r="B2531" s="5" t="s">
        <v>6325</v>
      </c>
      <c r="C2531" s="5" t="s">
        <v>84</v>
      </c>
      <c r="D2531" s="5" t="s">
        <v>85</v>
      </c>
      <c r="E2531" s="5" t="s">
        <v>248</v>
      </c>
      <c r="F2531" s="9">
        <v>33</v>
      </c>
      <c r="G2531" s="9">
        <v>326</v>
      </c>
      <c r="H2531" s="5" t="s">
        <v>21</v>
      </c>
      <c r="I2531" s="5" t="s">
        <v>6326</v>
      </c>
      <c r="J2531" s="12" t="str">
        <f>HYPERLINK("https://www.boe.es/gazeta/dias/1800/04/25/pdfs/GMD-1800-33.pdf#page=2","Abrir facsímil")</f>
        <v>Abrir facsímil</v>
      </c>
      <c r="K2531" s="15" t="s">
        <v>23</v>
      </c>
    </row>
    <row r="2532" spans="1:11" ht="42" customHeight="1">
      <c r="A2532" s="4" t="s">
        <v>6324</v>
      </c>
      <c r="B2532" s="5" t="s">
        <v>6325</v>
      </c>
      <c r="C2532" s="5" t="s">
        <v>41</v>
      </c>
      <c r="D2532" s="5" t="s">
        <v>42</v>
      </c>
      <c r="E2532" s="5" t="s">
        <v>248</v>
      </c>
      <c r="F2532" s="9">
        <v>33</v>
      </c>
      <c r="G2532" s="9">
        <v>328</v>
      </c>
      <c r="H2532" s="5" t="s">
        <v>21</v>
      </c>
      <c r="I2532" s="5" t="s">
        <v>6327</v>
      </c>
      <c r="J2532" s="12" t="str">
        <f>HYPERLINK("https://www.boe.es/gazeta/dias/1800/04/25/pdfs/GMD-1800-33.pdf#page=4","Abrir facsímil")</f>
        <v>Abrir facsímil</v>
      </c>
      <c r="K2532" s="15" t="s">
        <v>23</v>
      </c>
    </row>
    <row r="2533" spans="1:11" ht="42" customHeight="1">
      <c r="A2533" s="4" t="s">
        <v>6324</v>
      </c>
      <c r="B2533" s="5" t="s">
        <v>6325</v>
      </c>
      <c r="C2533" s="5" t="s">
        <v>18</v>
      </c>
      <c r="D2533" s="5" t="s">
        <v>19</v>
      </c>
      <c r="E2533" s="5" t="s">
        <v>101</v>
      </c>
      <c r="F2533" s="9">
        <v>37</v>
      </c>
      <c r="G2533" s="9">
        <v>371</v>
      </c>
      <c r="H2533" s="5" t="s">
        <v>21</v>
      </c>
      <c r="I2533" s="5" t="s">
        <v>6328</v>
      </c>
      <c r="J2533" s="12" t="str">
        <f>HYPERLINK("https://www.boe.es/gazeta/dias/1800/05/09/pdfs/GMD-1800-37.pdf#page=3","Abrir facsímil")</f>
        <v>Abrir facsímil</v>
      </c>
      <c r="K2533" s="15" t="s">
        <v>23</v>
      </c>
    </row>
    <row r="2534" spans="1:11" ht="42" customHeight="1">
      <c r="A2534" s="4" t="s">
        <v>6324</v>
      </c>
      <c r="B2534" s="5" t="s">
        <v>6325</v>
      </c>
      <c r="C2534" s="5" t="s">
        <v>41</v>
      </c>
      <c r="D2534" s="5" t="s">
        <v>42</v>
      </c>
      <c r="E2534" s="5" t="s">
        <v>39</v>
      </c>
      <c r="F2534" s="9">
        <v>43</v>
      </c>
      <c r="G2534" s="9">
        <v>442</v>
      </c>
      <c r="H2534" s="5" t="s">
        <v>21</v>
      </c>
      <c r="I2534" s="5" t="s">
        <v>6329</v>
      </c>
      <c r="J2534" s="12" t="str">
        <f>HYPERLINK("https://www.boe.es/gazeta/dias/1800/05/30/pdfs/GMD-1800-43.pdf#page=2","Abrir facsímil")</f>
        <v>Abrir facsímil</v>
      </c>
      <c r="K2534" s="15" t="s">
        <v>23</v>
      </c>
    </row>
    <row r="2535" spans="1:11" ht="42" customHeight="1">
      <c r="A2535" s="4" t="s">
        <v>6324</v>
      </c>
      <c r="B2535" s="5" t="s">
        <v>6325</v>
      </c>
      <c r="C2535" s="5" t="s">
        <v>18</v>
      </c>
      <c r="D2535" s="5" t="s">
        <v>19</v>
      </c>
      <c r="E2535" s="5" t="s">
        <v>43</v>
      </c>
      <c r="F2535" s="9">
        <v>46</v>
      </c>
      <c r="G2535" s="9">
        <v>479</v>
      </c>
      <c r="H2535" s="5" t="s">
        <v>21</v>
      </c>
      <c r="I2535" s="5" t="s">
        <v>6330</v>
      </c>
      <c r="J2535" s="12" t="str">
        <f>HYPERLINK("https://www.boe.es/gazeta/dias/1800/06/10/pdfs/GMD-1800-46.pdf#page=3","Abrir facsímil")</f>
        <v>Abrir facsímil</v>
      </c>
      <c r="K2535" s="15" t="s">
        <v>23</v>
      </c>
    </row>
    <row r="2536" spans="1:11" ht="42" customHeight="1">
      <c r="A2536" s="4" t="s">
        <v>6324</v>
      </c>
      <c r="B2536" s="5" t="s">
        <v>6325</v>
      </c>
      <c r="C2536" s="5" t="s">
        <v>41</v>
      </c>
      <c r="D2536" s="5" t="s">
        <v>42</v>
      </c>
      <c r="E2536" s="5" t="s">
        <v>194</v>
      </c>
      <c r="F2536" s="9">
        <v>48</v>
      </c>
      <c r="G2536" s="9">
        <v>509</v>
      </c>
      <c r="H2536" s="5" t="s">
        <v>21</v>
      </c>
      <c r="I2536" s="5" t="s">
        <v>6331</v>
      </c>
      <c r="J2536" s="12" t="str">
        <f>HYPERLINK("https://www.boe.es/gazeta/dias/1800/06/17/pdfs/GMD-1800-48.pdf#page=1","Abrir facsímil")</f>
        <v>Abrir facsímil</v>
      </c>
      <c r="K2536" s="15" t="s">
        <v>23</v>
      </c>
    </row>
    <row r="2537" spans="1:11" ht="42" customHeight="1">
      <c r="A2537" s="4" t="s">
        <v>6324</v>
      </c>
      <c r="B2537" s="5" t="s">
        <v>6325</v>
      </c>
      <c r="C2537" s="5" t="s">
        <v>41</v>
      </c>
      <c r="D2537" s="5" t="s">
        <v>42</v>
      </c>
      <c r="E2537" s="5" t="s">
        <v>147</v>
      </c>
      <c r="F2537" s="9">
        <v>84</v>
      </c>
      <c r="G2537" s="9">
        <v>967</v>
      </c>
      <c r="H2537" s="5" t="s">
        <v>21</v>
      </c>
      <c r="I2537" s="5" t="s">
        <v>6332</v>
      </c>
      <c r="J2537" s="12" t="str">
        <f>HYPERLINK("https://www.boe.es/gazeta/dias/1800/10/17/pdfs/GMD-1800-84.pdf#page=1","Abrir facsímil")</f>
        <v>Abrir facsímil</v>
      </c>
      <c r="K2537" s="15" t="s">
        <v>23</v>
      </c>
    </row>
    <row r="2538" spans="1:11" ht="42" customHeight="1">
      <c r="A2538" s="4" t="s">
        <v>6333</v>
      </c>
      <c r="B2538" s="5" t="s">
        <v>6334</v>
      </c>
      <c r="C2538" s="5" t="s">
        <v>18</v>
      </c>
      <c r="D2538" s="5" t="s">
        <v>19</v>
      </c>
      <c r="E2538" s="5" t="s">
        <v>299</v>
      </c>
      <c r="F2538" s="9">
        <v>40</v>
      </c>
      <c r="G2538" s="9">
        <v>408</v>
      </c>
      <c r="H2538" s="5" t="s">
        <v>21</v>
      </c>
      <c r="I2538" s="5" t="s">
        <v>6335</v>
      </c>
      <c r="J2538" s="12" t="str">
        <f>HYPERLINK("https://www.boe.es/gazeta/dias/1800/05/20/pdfs/GMD-1800-40.pdf#page=4","Abrir facsímil")</f>
        <v>Abrir facsímil</v>
      </c>
      <c r="K2538" s="15" t="s">
        <v>23</v>
      </c>
    </row>
    <row r="2539" spans="1:11" ht="42" customHeight="1">
      <c r="A2539" s="4" t="s">
        <v>6333</v>
      </c>
      <c r="B2539" s="5" t="s">
        <v>6334</v>
      </c>
      <c r="C2539" s="5" t="s">
        <v>41</v>
      </c>
      <c r="D2539" s="5" t="s">
        <v>42</v>
      </c>
      <c r="E2539" s="5" t="s">
        <v>406</v>
      </c>
      <c r="F2539" s="9">
        <v>44</v>
      </c>
      <c r="G2539" s="9">
        <v>455</v>
      </c>
      <c r="H2539" s="5" t="s">
        <v>21</v>
      </c>
      <c r="I2539" s="5" t="s">
        <v>6336</v>
      </c>
      <c r="J2539" s="12" t="str">
        <f>HYPERLINK("https://www.boe.es/gazeta/dias/1800/06/03/pdfs/GMD-1800-44.pdf#page=3","Abrir facsímil")</f>
        <v>Abrir facsímil</v>
      </c>
      <c r="K2539" s="15" t="s">
        <v>23</v>
      </c>
    </row>
    <row r="2540" spans="1:11" ht="42" customHeight="1">
      <c r="A2540" s="4" t="s">
        <v>6337</v>
      </c>
      <c r="B2540" s="5" t="s">
        <v>6337</v>
      </c>
      <c r="C2540" s="5" t="s">
        <v>41</v>
      </c>
      <c r="D2540" s="5" t="s">
        <v>42</v>
      </c>
      <c r="E2540" s="5" t="s">
        <v>620</v>
      </c>
      <c r="F2540" s="9">
        <v>19</v>
      </c>
      <c r="G2540" s="9">
        <v>180</v>
      </c>
      <c r="H2540" s="5" t="s">
        <v>21</v>
      </c>
      <c r="I2540" s="5" t="s">
        <v>6338</v>
      </c>
      <c r="J2540" s="12" t="str">
        <f>HYPERLINK("https://www.boe.es/gazeta/dias/1800/03/07/pdfs/GMD-1800-19.pdf#page=4","Abrir facsímil")</f>
        <v>Abrir facsímil</v>
      </c>
      <c r="K2540" s="15" t="s">
        <v>23</v>
      </c>
    </row>
    <row r="2541" spans="1:11" ht="42" customHeight="1">
      <c r="A2541" s="4" t="s">
        <v>6337</v>
      </c>
      <c r="B2541" s="5" t="s">
        <v>6337</v>
      </c>
      <c r="C2541" s="5" t="s">
        <v>41</v>
      </c>
      <c r="D2541" s="5" t="s">
        <v>42</v>
      </c>
      <c r="E2541" s="5" t="s">
        <v>35</v>
      </c>
      <c r="F2541" s="9">
        <v>21</v>
      </c>
      <c r="G2541" s="9">
        <v>199</v>
      </c>
      <c r="H2541" s="5" t="s">
        <v>21</v>
      </c>
      <c r="I2541" s="5" t="s">
        <v>6339</v>
      </c>
      <c r="J2541" s="12" t="str">
        <f>HYPERLINK("https://www.boe.es/gazeta/dias/1800/03/14/pdfs/GMD-1800-21.pdf#page=3","Abrir facsímil")</f>
        <v>Abrir facsímil</v>
      </c>
      <c r="K2541" s="15" t="s">
        <v>23</v>
      </c>
    </row>
    <row r="2542" spans="1:11" ht="42" customHeight="1">
      <c r="A2542" s="4" t="s">
        <v>6337</v>
      </c>
      <c r="B2542" s="5" t="s">
        <v>6337</v>
      </c>
      <c r="C2542" s="5" t="s">
        <v>41</v>
      </c>
      <c r="D2542" s="5" t="s">
        <v>42</v>
      </c>
      <c r="E2542" s="5" t="s">
        <v>35</v>
      </c>
      <c r="F2542" s="9">
        <v>21</v>
      </c>
      <c r="G2542" s="9">
        <v>201</v>
      </c>
      <c r="H2542" s="5" t="s">
        <v>21</v>
      </c>
      <c r="I2542" s="5" t="s">
        <v>6340</v>
      </c>
      <c r="J2542" s="12" t="str">
        <f>HYPERLINK("https://www.boe.es/gazeta/dias/1800/03/14/pdfs/GMD-1800-21.pdf#page=5","Abrir facsímil")</f>
        <v>Abrir facsímil</v>
      </c>
      <c r="K2542" s="15" t="s">
        <v>23</v>
      </c>
    </row>
    <row r="2543" spans="1:11" ht="42" customHeight="1">
      <c r="A2543" s="4" t="s">
        <v>6337</v>
      </c>
      <c r="B2543" s="5" t="s">
        <v>6337</v>
      </c>
      <c r="C2543" s="5" t="s">
        <v>54</v>
      </c>
      <c r="D2543" s="5" t="s">
        <v>55</v>
      </c>
      <c r="E2543" s="5" t="s">
        <v>88</v>
      </c>
      <c r="F2543" s="9">
        <v>23</v>
      </c>
      <c r="G2543" s="9">
        <v>227</v>
      </c>
      <c r="H2543" s="5" t="s">
        <v>21</v>
      </c>
      <c r="I2543" s="5" t="s">
        <v>6341</v>
      </c>
      <c r="J2543" s="12" t="str">
        <f>HYPERLINK("https://www.boe.es/gazeta/dias/1800/03/21/pdfs/GMD-1800-23.pdf#page=3","Abrir facsímil")</f>
        <v>Abrir facsímil</v>
      </c>
      <c r="K2543" s="15" t="s">
        <v>23</v>
      </c>
    </row>
    <row r="2544" spans="1:11" ht="42" customHeight="1">
      <c r="A2544" s="4" t="s">
        <v>6337</v>
      </c>
      <c r="B2544" s="5" t="s">
        <v>6337</v>
      </c>
      <c r="C2544" s="5" t="s">
        <v>41</v>
      </c>
      <c r="D2544" s="5" t="s">
        <v>42</v>
      </c>
      <c r="E2544" s="5" t="s">
        <v>88</v>
      </c>
      <c r="F2544" s="9">
        <v>23</v>
      </c>
      <c r="G2544" s="9">
        <v>229</v>
      </c>
      <c r="H2544" s="5" t="s">
        <v>21</v>
      </c>
      <c r="I2544" s="5" t="s">
        <v>6342</v>
      </c>
      <c r="J2544" s="12" t="str">
        <f>HYPERLINK("https://www.boe.es/gazeta/dias/1800/03/21/pdfs/GMD-1800-23.pdf#page=5","Abrir facsímil")</f>
        <v>Abrir facsímil</v>
      </c>
      <c r="K2544" s="15" t="s">
        <v>23</v>
      </c>
    </row>
    <row r="2545" spans="1:11" ht="42" customHeight="1">
      <c r="A2545" s="4" t="s">
        <v>6337</v>
      </c>
      <c r="B2545" s="5" t="s">
        <v>6337</v>
      </c>
      <c r="C2545" s="5" t="s">
        <v>41</v>
      </c>
      <c r="D2545" s="5" t="s">
        <v>42</v>
      </c>
      <c r="E2545" s="5" t="s">
        <v>478</v>
      </c>
      <c r="F2545" s="9">
        <v>34</v>
      </c>
      <c r="G2545" s="9">
        <v>342</v>
      </c>
      <c r="H2545" s="5" t="s">
        <v>21</v>
      </c>
      <c r="I2545" s="5" t="s">
        <v>6343</v>
      </c>
      <c r="J2545" s="12" t="str">
        <f>HYPERLINK("https://www.boe.es/gazeta/dias/1800/04/29/pdfs/GMD-1800-34.pdf#page=6","Abrir facsímil")</f>
        <v>Abrir facsímil</v>
      </c>
      <c r="K2545" s="15" t="s">
        <v>23</v>
      </c>
    </row>
    <row r="2546" spans="1:11" ht="42" customHeight="1">
      <c r="A2546" s="4" t="s">
        <v>6337</v>
      </c>
      <c r="B2546" s="5" t="s">
        <v>6337</v>
      </c>
      <c r="C2546" s="5" t="s">
        <v>41</v>
      </c>
      <c r="D2546" s="5" t="s">
        <v>42</v>
      </c>
      <c r="E2546" s="5" t="s">
        <v>101</v>
      </c>
      <c r="F2546" s="9">
        <v>37</v>
      </c>
      <c r="G2546" s="9">
        <v>372</v>
      </c>
      <c r="H2546" s="5" t="s">
        <v>21</v>
      </c>
      <c r="I2546" s="5" t="s">
        <v>6344</v>
      </c>
      <c r="J2546" s="12" t="str">
        <f>HYPERLINK("https://www.boe.es/gazeta/dias/1800/05/09/pdfs/GMD-1800-37.pdf#page=4","Abrir facsímil")</f>
        <v>Abrir facsímil</v>
      </c>
      <c r="K2546" s="15" t="s">
        <v>23</v>
      </c>
    </row>
    <row r="2547" spans="1:11" ht="42" customHeight="1">
      <c r="A2547" s="4" t="s">
        <v>6337</v>
      </c>
      <c r="B2547" s="5" t="s">
        <v>6337</v>
      </c>
      <c r="C2547" s="5" t="s">
        <v>18</v>
      </c>
      <c r="D2547" s="5" t="s">
        <v>19</v>
      </c>
      <c r="E2547" s="5" t="s">
        <v>406</v>
      </c>
      <c r="F2547" s="9">
        <v>44</v>
      </c>
      <c r="G2547" s="9">
        <v>455</v>
      </c>
      <c r="H2547" s="5" t="s">
        <v>21</v>
      </c>
      <c r="I2547" s="5" t="s">
        <v>6345</v>
      </c>
      <c r="J2547" s="12" t="str">
        <f>HYPERLINK("https://www.boe.es/gazeta/dias/1800/06/03/pdfs/GMD-1800-44.pdf#page=3","Abrir facsímil")</f>
        <v>Abrir facsímil</v>
      </c>
      <c r="K2547" s="15" t="s">
        <v>23</v>
      </c>
    </row>
    <row r="2548" spans="1:11" ht="42" customHeight="1">
      <c r="A2548" s="4" t="s">
        <v>6337</v>
      </c>
      <c r="B2548" s="5" t="s">
        <v>6337</v>
      </c>
      <c r="C2548" s="5" t="s">
        <v>41</v>
      </c>
      <c r="D2548" s="5" t="s">
        <v>42</v>
      </c>
      <c r="E2548" s="5" t="s">
        <v>530</v>
      </c>
      <c r="F2548" s="9">
        <v>55</v>
      </c>
      <c r="G2548" s="9">
        <v>616</v>
      </c>
      <c r="H2548" s="5" t="s">
        <v>21</v>
      </c>
      <c r="I2548" s="5" t="s">
        <v>6346</v>
      </c>
      <c r="J2548" s="12" t="str">
        <f>HYPERLINK("https://www.boe.es/gazeta/dias/1800/07/11/pdfs/GMD-1800-55.pdf#page=4","Abrir facsímil")</f>
        <v>Abrir facsímil</v>
      </c>
      <c r="K2548" s="15" t="s">
        <v>23</v>
      </c>
    </row>
    <row r="2549" spans="1:11" ht="42" customHeight="1">
      <c r="A2549" s="4" t="s">
        <v>6337</v>
      </c>
      <c r="B2549" s="5" t="s">
        <v>6337</v>
      </c>
      <c r="C2549" s="5" t="s">
        <v>18</v>
      </c>
      <c r="D2549" s="5" t="s">
        <v>19</v>
      </c>
      <c r="E2549" s="5" t="s">
        <v>1294</v>
      </c>
      <c r="F2549" s="9">
        <v>59</v>
      </c>
      <c r="G2549" s="9">
        <v>673</v>
      </c>
      <c r="H2549" s="5" t="s">
        <v>21</v>
      </c>
      <c r="I2549" s="5" t="s">
        <v>6347</v>
      </c>
      <c r="J2549" s="12" t="str">
        <f>HYPERLINK("https://www.boe.es/gazeta/dias/1800/07/25/pdfs/GMD-1800-59.pdf#page=5","Abrir facsímil")</f>
        <v>Abrir facsímil</v>
      </c>
      <c r="K2549" s="15" t="s">
        <v>23</v>
      </c>
    </row>
    <row r="2550" spans="1:11" ht="42" customHeight="1">
      <c r="A2550" s="4" t="s">
        <v>6337</v>
      </c>
      <c r="B2550" s="5" t="s">
        <v>6337</v>
      </c>
      <c r="C2550" s="5" t="s">
        <v>84</v>
      </c>
      <c r="D2550" s="5" t="s">
        <v>85</v>
      </c>
      <c r="E2550" s="5" t="s">
        <v>454</v>
      </c>
      <c r="F2550" s="9">
        <v>63</v>
      </c>
      <c r="G2550" s="9">
        <v>715</v>
      </c>
      <c r="H2550" s="5" t="s">
        <v>21</v>
      </c>
      <c r="I2550" s="5" t="s">
        <v>6348</v>
      </c>
      <c r="J2550" s="12" t="str">
        <f>HYPERLINK("https://www.boe.es/gazeta/dias/1800/08/08/pdfs/GMD-1800-63.pdf#page=3","Abrir facsímil")</f>
        <v>Abrir facsímil</v>
      </c>
      <c r="K2550" s="15" t="s">
        <v>23</v>
      </c>
    </row>
    <row r="2551" spans="1:11" ht="42" customHeight="1">
      <c r="A2551" s="4" t="s">
        <v>6337</v>
      </c>
      <c r="B2551" s="5" t="s">
        <v>6337</v>
      </c>
      <c r="C2551" s="5" t="s">
        <v>41</v>
      </c>
      <c r="D2551" s="5" t="s">
        <v>42</v>
      </c>
      <c r="E2551" s="5" t="s">
        <v>283</v>
      </c>
      <c r="F2551" s="9">
        <v>68</v>
      </c>
      <c r="G2551" s="9">
        <v>761</v>
      </c>
      <c r="H2551" s="5" t="s">
        <v>21</v>
      </c>
      <c r="I2551" s="5" t="s">
        <v>6349</v>
      </c>
      <c r="J2551" s="12" t="str">
        <f>HYPERLINK("https://www.boe.es/gazeta/dias/1800/08/26/pdfs/GMD-1800-68.pdf#page=5","Abrir facsímil")</f>
        <v>Abrir facsímil</v>
      </c>
      <c r="K2551" s="15" t="s">
        <v>23</v>
      </c>
    </row>
    <row r="2552" spans="1:11" ht="42" customHeight="1">
      <c r="A2552" s="4" t="s">
        <v>6337</v>
      </c>
      <c r="B2552" s="5" t="s">
        <v>6337</v>
      </c>
      <c r="C2552" s="5" t="s">
        <v>41</v>
      </c>
      <c r="D2552" s="5" t="s">
        <v>42</v>
      </c>
      <c r="E2552" s="5" t="s">
        <v>590</v>
      </c>
      <c r="F2552" s="9">
        <v>69</v>
      </c>
      <c r="G2552" s="9">
        <v>771</v>
      </c>
      <c r="H2552" s="5" t="s">
        <v>21</v>
      </c>
      <c r="I2552" s="5" t="s">
        <v>6350</v>
      </c>
      <c r="J2552" s="12" t="str">
        <f>HYPERLINK("https://www.boe.es/gazeta/dias/1800/08/29/pdfs/GMD-1800-69.pdf#page=3","Abrir facsímil")</f>
        <v>Abrir facsímil</v>
      </c>
      <c r="K2552" s="15" t="s">
        <v>23</v>
      </c>
    </row>
    <row r="2553" spans="1:11" ht="42" customHeight="1">
      <c r="A2553" s="4" t="s">
        <v>6337</v>
      </c>
      <c r="B2553" s="5" t="s">
        <v>6337</v>
      </c>
      <c r="C2553" s="5" t="s">
        <v>18</v>
      </c>
      <c r="D2553" s="5" t="s">
        <v>19</v>
      </c>
      <c r="E2553" s="5" t="s">
        <v>180</v>
      </c>
      <c r="F2553" s="9">
        <v>102</v>
      </c>
      <c r="G2553" s="9">
        <v>1183</v>
      </c>
      <c r="H2553" s="5" t="s">
        <v>21</v>
      </c>
      <c r="I2553" s="5" t="s">
        <v>6351</v>
      </c>
      <c r="J2553" s="12" t="str">
        <f>HYPERLINK("https://www.boe.es/gazeta/dias/1800/12/19/pdfs/GMD-1800-102.pdf#page=7","Abrir facsímil")</f>
        <v>Abrir facsímil</v>
      </c>
      <c r="K2553" s="15" t="s">
        <v>23</v>
      </c>
    </row>
    <row r="2554" spans="1:11" ht="42" customHeight="1">
      <c r="A2554" s="4" t="s">
        <v>6337</v>
      </c>
      <c r="B2554" s="5" t="s">
        <v>6337</v>
      </c>
      <c r="C2554" s="5" t="s">
        <v>41</v>
      </c>
      <c r="D2554" s="5" t="s">
        <v>42</v>
      </c>
      <c r="E2554" s="5" t="s">
        <v>279</v>
      </c>
      <c r="F2554" s="9">
        <v>103</v>
      </c>
      <c r="G2554" s="9">
        <v>1192</v>
      </c>
      <c r="H2554" s="5" t="s">
        <v>21</v>
      </c>
      <c r="I2554" s="5" t="s">
        <v>6352</v>
      </c>
      <c r="J2554" s="12" t="str">
        <f>HYPERLINK("https://www.boe.es/gazeta/dias/1800/12/23/pdfs/GMD-1800-103.pdf#page=4","Abrir facsímil")</f>
        <v>Abrir facsímil</v>
      </c>
      <c r="K2554" s="15" t="s">
        <v>23</v>
      </c>
    </row>
    <row r="2555" spans="1:11" ht="42" customHeight="1">
      <c r="A2555" s="4" t="s">
        <v>6353</v>
      </c>
      <c r="B2555" s="5" t="s">
        <v>6354</v>
      </c>
      <c r="C2555" s="5" t="s">
        <v>41</v>
      </c>
      <c r="D2555" s="5" t="s">
        <v>42</v>
      </c>
      <c r="E2555" s="5" t="s">
        <v>86</v>
      </c>
      <c r="F2555" s="9">
        <v>17</v>
      </c>
      <c r="G2555" s="9">
        <v>157</v>
      </c>
      <c r="H2555" s="5" t="s">
        <v>21</v>
      </c>
      <c r="I2555" s="5" t="s">
        <v>6355</v>
      </c>
      <c r="J2555" s="12" t="str">
        <f>HYPERLINK("https://www.boe.es/gazeta/dias/1800/02/28/pdfs/GMD-1800-17.pdf#page=5","Abrir facsímil")</f>
        <v>Abrir facsímil</v>
      </c>
      <c r="K2555" s="15" t="s">
        <v>23</v>
      </c>
    </row>
    <row r="2556" spans="1:11" ht="42" customHeight="1">
      <c r="A2556" s="4" t="s">
        <v>6356</v>
      </c>
      <c r="B2556" s="5" t="s">
        <v>6357</v>
      </c>
      <c r="C2556" s="5" t="s">
        <v>18</v>
      </c>
      <c r="D2556" s="5" t="s">
        <v>19</v>
      </c>
      <c r="E2556" s="5" t="s">
        <v>116</v>
      </c>
      <c r="F2556" s="9">
        <v>86</v>
      </c>
      <c r="G2556" s="9">
        <v>996</v>
      </c>
      <c r="H2556" s="5" t="s">
        <v>21</v>
      </c>
      <c r="I2556" s="5" t="s">
        <v>6358</v>
      </c>
      <c r="J2556" s="12" t="str">
        <f>HYPERLINK("https://www.boe.es/gazeta/dias/1800/10/24/pdfs/GMD-1800-86.pdf#page=6","Abrir facsímil")</f>
        <v>Abrir facsímil</v>
      </c>
      <c r="K2556" s="15" t="s">
        <v>23</v>
      </c>
    </row>
    <row r="2557" spans="1:11" ht="42" customHeight="1">
      <c r="A2557" s="4" t="s">
        <v>6356</v>
      </c>
      <c r="B2557" s="5" t="s">
        <v>6357</v>
      </c>
      <c r="C2557" s="5" t="s">
        <v>18</v>
      </c>
      <c r="D2557" s="5" t="s">
        <v>19</v>
      </c>
      <c r="E2557" s="5" t="s">
        <v>190</v>
      </c>
      <c r="F2557" s="9">
        <v>93</v>
      </c>
      <c r="G2557" s="9">
        <v>1066</v>
      </c>
      <c r="H2557" s="5" t="s">
        <v>21</v>
      </c>
      <c r="I2557" s="5" t="s">
        <v>6359</v>
      </c>
      <c r="J2557" s="12" t="str">
        <f>HYPERLINK("https://www.boe.es/gazeta/dias/1800/11/18/pdfs/GMD-1800-93.pdf#page=12","Abrir facsímil")</f>
        <v>Abrir facsímil</v>
      </c>
      <c r="K2557" s="15" t="s">
        <v>23</v>
      </c>
    </row>
    <row r="2558" spans="1:11" ht="42" customHeight="1">
      <c r="A2558" s="4" t="s">
        <v>6360</v>
      </c>
      <c r="B2558" s="5" t="s">
        <v>6361</v>
      </c>
      <c r="C2558" s="5" t="s">
        <v>25</v>
      </c>
      <c r="D2558" s="5" t="s">
        <v>26</v>
      </c>
      <c r="E2558" s="5" t="s">
        <v>90</v>
      </c>
      <c r="F2558" s="9">
        <v>58</v>
      </c>
      <c r="G2558" s="9">
        <v>662</v>
      </c>
      <c r="H2558" s="5" t="s">
        <v>21</v>
      </c>
      <c r="I2558" s="5" t="s">
        <v>6362</v>
      </c>
      <c r="J2558" s="12" t="str">
        <f>HYPERLINK("https://www.boe.es/gazeta/dias/1800/07/22/pdfs/GMD-1800-58.pdf#page=10","Abrir facsímil")</f>
        <v>Abrir facsímil</v>
      </c>
      <c r="K2558" s="15" t="s">
        <v>23</v>
      </c>
    </row>
    <row r="2559" spans="1:11" ht="42" customHeight="1">
      <c r="A2559" s="4" t="s">
        <v>6360</v>
      </c>
      <c r="B2559" s="5" t="s">
        <v>6361</v>
      </c>
      <c r="C2559" s="5" t="s">
        <v>41</v>
      </c>
      <c r="D2559" s="5" t="s">
        <v>42</v>
      </c>
      <c r="E2559" s="5" t="s">
        <v>184</v>
      </c>
      <c r="F2559" s="9">
        <v>82</v>
      </c>
      <c r="G2559" s="9">
        <v>947</v>
      </c>
      <c r="H2559" s="5" t="s">
        <v>21</v>
      </c>
      <c r="I2559" s="5" t="s">
        <v>6363</v>
      </c>
      <c r="J2559" s="12" t="str">
        <f>HYPERLINK("https://www.boe.es/gazeta/dias/1800/10/10/pdfs/GMD-1800-82.pdf#page=5","Abrir facsímil")</f>
        <v>Abrir facsímil</v>
      </c>
      <c r="K2559" s="15" t="s">
        <v>23</v>
      </c>
    </row>
    <row r="2560" spans="1:11" ht="42" customHeight="1">
      <c r="A2560" s="4" t="s">
        <v>6360</v>
      </c>
      <c r="B2560" s="5" t="s">
        <v>6361</v>
      </c>
      <c r="C2560" s="5" t="s">
        <v>41</v>
      </c>
      <c r="D2560" s="5" t="s">
        <v>42</v>
      </c>
      <c r="E2560" s="5" t="s">
        <v>58</v>
      </c>
      <c r="F2560" s="9">
        <v>92</v>
      </c>
      <c r="G2560" s="9">
        <v>1051</v>
      </c>
      <c r="H2560" s="5" t="s">
        <v>21</v>
      </c>
      <c r="I2560" s="5" t="s">
        <v>6364</v>
      </c>
      <c r="J2560" s="12" t="str">
        <f>HYPERLINK("https://www.boe.es/gazeta/dias/1800/11/14/pdfs/GMD-1800-92.pdf#page=5","Abrir facsímil")</f>
        <v>Abrir facsímil</v>
      </c>
      <c r="K2560" s="15" t="s">
        <v>23</v>
      </c>
    </row>
    <row r="2561" spans="1:11" ht="42" customHeight="1">
      <c r="A2561" s="4" t="s">
        <v>6360</v>
      </c>
      <c r="B2561" s="5" t="s">
        <v>6361</v>
      </c>
      <c r="C2561" s="5" t="s">
        <v>41</v>
      </c>
      <c r="D2561" s="5" t="s">
        <v>42</v>
      </c>
      <c r="E2561" s="5" t="s">
        <v>190</v>
      </c>
      <c r="F2561" s="9">
        <v>93</v>
      </c>
      <c r="G2561" s="9">
        <v>1064</v>
      </c>
      <c r="H2561" s="5" t="s">
        <v>21</v>
      </c>
      <c r="I2561" s="5" t="s">
        <v>6365</v>
      </c>
      <c r="J2561" s="12" t="str">
        <f>HYPERLINK("https://www.boe.es/gazeta/dias/1800/11/18/pdfs/GMD-1800-93.pdf#page=10","Abrir facsímil")</f>
        <v>Abrir facsímil</v>
      </c>
      <c r="K2561" s="15" t="s">
        <v>23</v>
      </c>
    </row>
    <row r="2562" spans="1:11" ht="42" customHeight="1">
      <c r="A2562" s="4" t="s">
        <v>6360</v>
      </c>
      <c r="B2562" s="5" t="s">
        <v>6361</v>
      </c>
      <c r="C2562" s="5" t="s">
        <v>41</v>
      </c>
      <c r="D2562" s="5" t="s">
        <v>42</v>
      </c>
      <c r="E2562" s="5" t="s">
        <v>445</v>
      </c>
      <c r="F2562" s="9">
        <v>96</v>
      </c>
      <c r="G2562" s="9">
        <v>1102</v>
      </c>
      <c r="H2562" s="5" t="s">
        <v>21</v>
      </c>
      <c r="I2562" s="5" t="s">
        <v>6366</v>
      </c>
      <c r="J2562" s="12" t="str">
        <f>HYPERLINK("https://www.boe.es/gazeta/dias/1800/11/28/pdfs/GMD-1800-96.pdf#page=6","Abrir facsímil")</f>
        <v>Abrir facsímil</v>
      </c>
      <c r="K2562" s="15" t="s">
        <v>23</v>
      </c>
    </row>
    <row r="2563" spans="1:11" ht="42" customHeight="1">
      <c r="A2563" s="4" t="s">
        <v>6360</v>
      </c>
      <c r="B2563" s="5" t="s">
        <v>6361</v>
      </c>
      <c r="C2563" s="5" t="s">
        <v>41</v>
      </c>
      <c r="D2563" s="5" t="s">
        <v>42</v>
      </c>
      <c r="E2563" s="5" t="s">
        <v>445</v>
      </c>
      <c r="F2563" s="9">
        <v>96</v>
      </c>
      <c r="G2563" s="9">
        <v>1104</v>
      </c>
      <c r="H2563" s="5" t="s">
        <v>21</v>
      </c>
      <c r="I2563" s="5" t="s">
        <v>6367</v>
      </c>
      <c r="J2563" s="12" t="str">
        <f>HYPERLINK("https://www.boe.es/gazeta/dias/1800/11/28/pdfs/GMD-1800-96.pdf#page=8","Abrir facsímil")</f>
        <v>Abrir facsímil</v>
      </c>
      <c r="K2563" s="15" t="s">
        <v>23</v>
      </c>
    </row>
    <row r="2564" spans="1:11" ht="42" customHeight="1">
      <c r="A2564" s="4" t="s">
        <v>6368</v>
      </c>
      <c r="B2564" s="5" t="s">
        <v>6369</v>
      </c>
      <c r="C2564" s="5" t="s">
        <v>41</v>
      </c>
      <c r="D2564" s="5" t="s">
        <v>42</v>
      </c>
      <c r="E2564" s="5" t="s">
        <v>196</v>
      </c>
      <c r="F2564" s="9">
        <v>97</v>
      </c>
      <c r="G2564" s="9">
        <v>1114</v>
      </c>
      <c r="H2564" s="5" t="s">
        <v>21</v>
      </c>
      <c r="I2564" s="5" t="s">
        <v>6370</v>
      </c>
      <c r="J2564" s="12" t="str">
        <f>HYPERLINK("https://www.boe.es/gazeta/dias/1800/12/02/pdfs/GMD-1800-97.pdf#page=6","Abrir facsímil")</f>
        <v>Abrir facsímil</v>
      </c>
      <c r="K2564" s="15" t="s">
        <v>23</v>
      </c>
    </row>
    <row r="2565" spans="1:11" ht="42" customHeight="1">
      <c r="A2565" s="4" t="s">
        <v>6360</v>
      </c>
      <c r="B2565" s="5" t="s">
        <v>6361</v>
      </c>
      <c r="C2565" s="5" t="s">
        <v>18</v>
      </c>
      <c r="D2565" s="5" t="s">
        <v>19</v>
      </c>
      <c r="E2565" s="5" t="s">
        <v>111</v>
      </c>
      <c r="F2565" s="9">
        <v>98</v>
      </c>
      <c r="G2565" s="9">
        <v>1125</v>
      </c>
      <c r="H2565" s="5" t="s">
        <v>21</v>
      </c>
      <c r="I2565" s="5" t="s">
        <v>6371</v>
      </c>
      <c r="J2565" s="12" t="str">
        <f>HYPERLINK("https://www.boe.es/gazeta/dias/1800/12/05/pdfs/GMD-1800-98.pdf#page=5","Abrir facsímil")</f>
        <v>Abrir facsímil</v>
      </c>
      <c r="K2565" s="15" t="s">
        <v>23</v>
      </c>
    </row>
    <row r="2566" spans="1:11" ht="42" customHeight="1">
      <c r="A2566" s="4" t="s">
        <v>6360</v>
      </c>
      <c r="B2566" s="5" t="s">
        <v>6361</v>
      </c>
      <c r="C2566" s="5" t="s">
        <v>41</v>
      </c>
      <c r="D2566" s="5" t="s">
        <v>42</v>
      </c>
      <c r="E2566" s="5" t="s">
        <v>402</v>
      </c>
      <c r="F2566" s="9">
        <v>101</v>
      </c>
      <c r="G2566" s="9">
        <v>1170</v>
      </c>
      <c r="H2566" s="5" t="s">
        <v>21</v>
      </c>
      <c r="I2566" s="5" t="s">
        <v>6372</v>
      </c>
      <c r="J2566" s="12" t="str">
        <f>HYPERLINK("https://www.boe.es/gazeta/dias/1800/12/16/pdfs/GMD-1800-101.pdf#page=6","Abrir facsímil")</f>
        <v>Abrir facsímil</v>
      </c>
      <c r="K2566" s="15" t="s">
        <v>23</v>
      </c>
    </row>
    <row r="2567" spans="1:11" ht="42" customHeight="1">
      <c r="A2567" s="4" t="s">
        <v>6360</v>
      </c>
      <c r="B2567" s="5" t="s">
        <v>6361</v>
      </c>
      <c r="C2567" s="5" t="s">
        <v>41</v>
      </c>
      <c r="D2567" s="5" t="s">
        <v>42</v>
      </c>
      <c r="E2567" s="5" t="s">
        <v>180</v>
      </c>
      <c r="F2567" s="9">
        <v>102</v>
      </c>
      <c r="G2567" s="9">
        <v>1183</v>
      </c>
      <c r="H2567" s="5" t="s">
        <v>21</v>
      </c>
      <c r="I2567" s="5" t="s">
        <v>6373</v>
      </c>
      <c r="J2567" s="12" t="str">
        <f>HYPERLINK("https://www.boe.es/gazeta/dias/1800/12/19/pdfs/GMD-1800-102.pdf#page=7","Abrir facsímil")</f>
        <v>Abrir facsímil</v>
      </c>
      <c r="K2567" s="15" t="s">
        <v>23</v>
      </c>
    </row>
    <row r="2568" spans="1:11" ht="42" customHeight="1">
      <c r="A2568" s="4" t="s">
        <v>6360</v>
      </c>
      <c r="B2568" s="5" t="s">
        <v>6361</v>
      </c>
      <c r="C2568" s="5" t="s">
        <v>41</v>
      </c>
      <c r="D2568" s="5" t="s">
        <v>42</v>
      </c>
      <c r="E2568" s="5" t="s">
        <v>60</v>
      </c>
      <c r="F2568" s="9">
        <v>105</v>
      </c>
      <c r="G2568" s="9">
        <v>1223</v>
      </c>
      <c r="H2568" s="5" t="s">
        <v>21</v>
      </c>
      <c r="I2568" s="5" t="s">
        <v>6374</v>
      </c>
      <c r="J2568" s="12" t="str">
        <f>HYPERLINK("https://www.boe.es/gazeta/dias/1800/12/30/pdfs/GMD-1800-105.pdf#page=7","Abrir facsímil")</f>
        <v>Abrir facsímil</v>
      </c>
      <c r="K2568" s="15" t="s">
        <v>23</v>
      </c>
    </row>
    <row r="2569" spans="1:11" ht="42" customHeight="1">
      <c r="A2569" s="4" t="s">
        <v>6375</v>
      </c>
      <c r="B2569" s="5" t="s">
        <v>6376</v>
      </c>
      <c r="C2569" s="5" t="s">
        <v>18</v>
      </c>
      <c r="D2569" s="5" t="s">
        <v>19</v>
      </c>
      <c r="E2569" s="5" t="s">
        <v>673</v>
      </c>
      <c r="F2569" s="9">
        <v>89</v>
      </c>
      <c r="G2569" s="9">
        <v>1039</v>
      </c>
      <c r="H2569" s="5" t="s">
        <v>21</v>
      </c>
      <c r="I2569" s="5" t="s">
        <v>6377</v>
      </c>
      <c r="J2569" s="12" t="str">
        <f>HYPERLINK("https://www.boe.es/gazeta/dias/1800/11/04/pdfs/GMD-1800-89.pdf#page=5","Abrir facsímil")</f>
        <v>Abrir facsímil</v>
      </c>
      <c r="K2569" s="15" t="s">
        <v>23</v>
      </c>
    </row>
    <row r="2570" spans="1:11" ht="42" customHeight="1">
      <c r="A2570" s="4" t="s">
        <v>6375</v>
      </c>
      <c r="B2570" s="5" t="s">
        <v>6376</v>
      </c>
      <c r="C2570" s="5" t="s">
        <v>18</v>
      </c>
      <c r="D2570" s="5" t="s">
        <v>19</v>
      </c>
      <c r="E2570" s="5" t="s">
        <v>673</v>
      </c>
      <c r="F2570" s="9">
        <v>89</v>
      </c>
      <c r="G2570" s="9">
        <v>1040</v>
      </c>
      <c r="H2570" s="5" t="s">
        <v>21</v>
      </c>
      <c r="I2570" s="5" t="s">
        <v>6378</v>
      </c>
      <c r="J2570" s="12" t="str">
        <f>HYPERLINK("https://www.boe.es/gazeta/dias/1800/11/04/pdfs/GMD-1800-89.pdf#page=6","Abrir facsímil")</f>
        <v>Abrir facsímil</v>
      </c>
      <c r="K2570" s="15" t="s">
        <v>23</v>
      </c>
    </row>
    <row r="2571" spans="1:11" ht="42" customHeight="1">
      <c r="A2571" s="4" t="s">
        <v>6375</v>
      </c>
      <c r="B2571" s="5" t="s">
        <v>6376</v>
      </c>
      <c r="C2571" s="5" t="s">
        <v>18</v>
      </c>
      <c r="D2571" s="5" t="s">
        <v>19</v>
      </c>
      <c r="E2571" s="5" t="s">
        <v>576</v>
      </c>
      <c r="F2571" s="9">
        <v>91</v>
      </c>
      <c r="G2571" s="9">
        <v>1065</v>
      </c>
      <c r="H2571" s="5" t="s">
        <v>21</v>
      </c>
      <c r="I2571" s="5" t="s">
        <v>6379</v>
      </c>
      <c r="J2571" s="12" t="str">
        <f>HYPERLINK("https://www.boe.es/gazeta/dias/1800/11/11/pdfs/GMD-1800-91.pdf#page=7","Abrir facsímil")</f>
        <v>Abrir facsímil</v>
      </c>
      <c r="K2571" s="15" t="s">
        <v>23</v>
      </c>
    </row>
    <row r="2572" spans="1:11" ht="42" customHeight="1">
      <c r="A2572" s="4" t="s">
        <v>6375</v>
      </c>
      <c r="B2572" s="5" t="s">
        <v>6376</v>
      </c>
      <c r="C2572" s="5" t="s">
        <v>18</v>
      </c>
      <c r="D2572" s="5" t="s">
        <v>19</v>
      </c>
      <c r="E2572" s="5" t="s">
        <v>576</v>
      </c>
      <c r="F2572" s="9">
        <v>91</v>
      </c>
      <c r="G2572" s="9">
        <v>1066</v>
      </c>
      <c r="H2572" s="5" t="s">
        <v>21</v>
      </c>
      <c r="I2572" s="5" t="s">
        <v>6380</v>
      </c>
      <c r="J2572" s="12" t="str">
        <f>HYPERLINK("https://www.boe.es/gazeta/dias/1800/11/11/pdfs/GMD-1800-91.pdf#page=8","Abrir facsímil")</f>
        <v>Abrir facsímil</v>
      </c>
      <c r="K2572" s="15" t="s">
        <v>23</v>
      </c>
    </row>
    <row r="2573" spans="1:11" ht="42" customHeight="1">
      <c r="A2573" s="4" t="s">
        <v>6375</v>
      </c>
      <c r="B2573" s="5" t="s">
        <v>6376</v>
      </c>
      <c r="C2573" s="5" t="s">
        <v>18</v>
      </c>
      <c r="D2573" s="5" t="s">
        <v>19</v>
      </c>
      <c r="E2573" s="5" t="s">
        <v>190</v>
      </c>
      <c r="F2573" s="9">
        <v>93</v>
      </c>
      <c r="G2573" s="9">
        <v>1063</v>
      </c>
      <c r="H2573" s="5" t="s">
        <v>21</v>
      </c>
      <c r="I2573" s="5" t="s">
        <v>6381</v>
      </c>
      <c r="J2573" s="12" t="str">
        <f>HYPERLINK("https://www.boe.es/gazeta/dias/1800/11/18/pdfs/GMD-1800-93.pdf#page=9","Abrir facsímil")</f>
        <v>Abrir facsímil</v>
      </c>
      <c r="K2573" s="15" t="s">
        <v>23</v>
      </c>
    </row>
    <row r="2574" spans="1:11" ht="42" customHeight="1">
      <c r="A2574" s="4" t="s">
        <v>6375</v>
      </c>
      <c r="B2574" s="5" t="s">
        <v>6376</v>
      </c>
      <c r="C2574" s="5" t="s">
        <v>18</v>
      </c>
      <c r="D2574" s="5" t="s">
        <v>19</v>
      </c>
      <c r="E2574" s="5" t="s">
        <v>329</v>
      </c>
      <c r="F2574" s="9">
        <v>99</v>
      </c>
      <c r="G2574" s="9">
        <v>1136</v>
      </c>
      <c r="H2574" s="5" t="s">
        <v>21</v>
      </c>
      <c r="I2574" s="5" t="s">
        <v>6382</v>
      </c>
      <c r="J2574" s="12" t="str">
        <f>HYPERLINK("https://www.boe.es/gazeta/dias/1800/12/09/pdfs/GMD-1800-99.pdf#page=4","Abrir facsímil")</f>
        <v>Abrir facsímil</v>
      </c>
      <c r="K2574" s="15" t="s">
        <v>23</v>
      </c>
    </row>
    <row r="2575" spans="1:11" ht="42" customHeight="1">
      <c r="A2575" s="4" t="s">
        <v>6375</v>
      </c>
      <c r="B2575" s="5" t="s">
        <v>6376</v>
      </c>
      <c r="C2575" s="5" t="s">
        <v>18</v>
      </c>
      <c r="D2575" s="5" t="s">
        <v>19</v>
      </c>
      <c r="E2575" s="5" t="s">
        <v>534</v>
      </c>
      <c r="F2575" s="9">
        <v>100</v>
      </c>
      <c r="G2575" s="9">
        <v>1155</v>
      </c>
      <c r="H2575" s="5" t="s">
        <v>21</v>
      </c>
      <c r="I2575" s="5" t="s">
        <v>6383</v>
      </c>
      <c r="J2575" s="12" t="str">
        <f>HYPERLINK("https://www.boe.es/gazeta/dias/1800/12/12/pdfs/GMD-1800-100.pdf#page=7","Abrir facsímil")</f>
        <v>Abrir facsímil</v>
      </c>
      <c r="K2575" s="15" t="s">
        <v>23</v>
      </c>
    </row>
    <row r="2576" spans="1:11" ht="42" customHeight="1">
      <c r="A2576" s="4" t="s">
        <v>6375</v>
      </c>
      <c r="B2576" s="5" t="s">
        <v>6376</v>
      </c>
      <c r="C2576" s="5" t="s">
        <v>18</v>
      </c>
      <c r="D2576" s="5" t="s">
        <v>19</v>
      </c>
      <c r="E2576" s="5" t="s">
        <v>402</v>
      </c>
      <c r="F2576" s="9">
        <v>101</v>
      </c>
      <c r="G2576" s="9">
        <v>1169</v>
      </c>
      <c r="H2576" s="5" t="s">
        <v>21</v>
      </c>
      <c r="I2576" s="5" t="s">
        <v>6384</v>
      </c>
      <c r="J2576" s="12" t="str">
        <f>HYPERLINK("https://www.boe.es/gazeta/dias/1800/12/16/pdfs/GMD-1800-101.pdf#page=5","Abrir facsímil")</f>
        <v>Abrir facsímil</v>
      </c>
      <c r="K2576" s="15" t="s">
        <v>23</v>
      </c>
    </row>
    <row r="2577" spans="1:11" ht="42" customHeight="1">
      <c r="A2577" s="4" t="s">
        <v>6375</v>
      </c>
      <c r="B2577" s="5" t="s">
        <v>6376</v>
      </c>
      <c r="C2577" s="5" t="s">
        <v>18</v>
      </c>
      <c r="D2577" s="5" t="s">
        <v>19</v>
      </c>
      <c r="E2577" s="5" t="s">
        <v>279</v>
      </c>
      <c r="F2577" s="9">
        <v>103</v>
      </c>
      <c r="G2577" s="9">
        <v>1194</v>
      </c>
      <c r="H2577" s="5" t="s">
        <v>21</v>
      </c>
      <c r="I2577" s="5" t="s">
        <v>6385</v>
      </c>
      <c r="J2577" s="12" t="str">
        <f>HYPERLINK("https://www.boe.es/gazeta/dias/1800/12/23/pdfs/GMD-1800-103.pdf#page=6","Abrir facsímil")</f>
        <v>Abrir facsímil</v>
      </c>
      <c r="K2577" s="15" t="s">
        <v>23</v>
      </c>
    </row>
    <row r="2578" spans="1:11" ht="42" customHeight="1">
      <c r="A2578" s="4" t="s">
        <v>6375</v>
      </c>
      <c r="B2578" s="5" t="s">
        <v>6376</v>
      </c>
      <c r="C2578" s="5" t="s">
        <v>18</v>
      </c>
      <c r="D2578" s="5" t="s">
        <v>19</v>
      </c>
      <c r="E2578" s="5" t="s">
        <v>20</v>
      </c>
      <c r="F2578" s="9">
        <v>104</v>
      </c>
      <c r="G2578" s="9">
        <v>1206</v>
      </c>
      <c r="H2578" s="5" t="s">
        <v>21</v>
      </c>
      <c r="I2578" s="5" t="s">
        <v>6386</v>
      </c>
      <c r="J2578" s="12" t="str">
        <f>HYPERLINK("https://www.boe.es/gazeta/dias/1800/12/26/pdfs/GMD-1800-104.pdf#page=6","Abrir facsímil")</f>
        <v>Abrir facsímil</v>
      </c>
      <c r="K2578" s="15" t="s">
        <v>23</v>
      </c>
    </row>
    <row r="2579" spans="1:11" ht="42" customHeight="1">
      <c r="A2579" s="4" t="s">
        <v>6387</v>
      </c>
      <c r="B2579" s="5" t="s">
        <v>6388</v>
      </c>
      <c r="C2579" s="5" t="s">
        <v>18</v>
      </c>
      <c r="D2579" s="5" t="s">
        <v>19</v>
      </c>
      <c r="E2579" s="5" t="s">
        <v>190</v>
      </c>
      <c r="F2579" s="9">
        <v>93</v>
      </c>
      <c r="G2579" s="9">
        <v>1063</v>
      </c>
      <c r="H2579" s="5" t="s">
        <v>21</v>
      </c>
      <c r="I2579" s="5" t="s">
        <v>6389</v>
      </c>
      <c r="J2579" s="12" t="str">
        <f>HYPERLINK("https://www.boe.es/gazeta/dias/1800/11/18/pdfs/GMD-1800-93.pdf#page=9","Abrir facsímil")</f>
        <v>Abrir facsímil</v>
      </c>
      <c r="K2579" s="15" t="s">
        <v>23</v>
      </c>
    </row>
    <row r="2580" spans="1:11" ht="42" customHeight="1">
      <c r="A2580" s="4" t="s">
        <v>6390</v>
      </c>
      <c r="B2580" s="5" t="s">
        <v>6391</v>
      </c>
      <c r="C2580" s="5" t="s">
        <v>25</v>
      </c>
      <c r="D2580" s="5" t="s">
        <v>26</v>
      </c>
      <c r="E2580" s="5" t="s">
        <v>45</v>
      </c>
      <c r="F2580" s="9">
        <v>47</v>
      </c>
      <c r="G2580" s="9">
        <v>502</v>
      </c>
      <c r="H2580" s="5" t="s">
        <v>21</v>
      </c>
      <c r="I2580" s="5" t="s">
        <v>6392</v>
      </c>
      <c r="J2580" s="12" t="str">
        <f>HYPERLINK("https://www.boe.es/gazeta/dias/1800/06/13/pdfs/GMD-1800-47.pdf#page=10","Abrir facsímil")</f>
        <v>Abrir facsímil</v>
      </c>
      <c r="K2580" s="15" t="s">
        <v>23</v>
      </c>
    </row>
    <row r="2581" spans="1:11" ht="42" customHeight="1">
      <c r="A2581" s="4" t="s">
        <v>6393</v>
      </c>
      <c r="B2581" s="5" t="s">
        <v>6394</v>
      </c>
      <c r="C2581" s="5" t="s">
        <v>18</v>
      </c>
      <c r="D2581" s="5" t="s">
        <v>19</v>
      </c>
      <c r="E2581" s="5" t="s">
        <v>176</v>
      </c>
      <c r="F2581" s="9">
        <v>88</v>
      </c>
      <c r="G2581" s="9">
        <v>1020</v>
      </c>
      <c r="H2581" s="5" t="s">
        <v>21</v>
      </c>
      <c r="I2581" s="5" t="s">
        <v>6395</v>
      </c>
      <c r="J2581" s="12" t="str">
        <f>HYPERLINK("https://www.boe.es/gazeta/dias/1800/10/31/pdfs/GMD-1800-88.pdf#page=2","Abrir facsímil")</f>
        <v>Abrir facsímil</v>
      </c>
      <c r="K2581" s="15" t="s">
        <v>23</v>
      </c>
    </row>
    <row r="2582" spans="1:11" ht="42" customHeight="1">
      <c r="A2582" s="4" t="s">
        <v>6396</v>
      </c>
      <c r="B2582" s="5" t="s">
        <v>6397</v>
      </c>
      <c r="C2582" s="5" t="s">
        <v>18</v>
      </c>
      <c r="D2582" s="5" t="s">
        <v>19</v>
      </c>
      <c r="E2582" s="5" t="s">
        <v>139</v>
      </c>
      <c r="F2582" s="9">
        <v>2</v>
      </c>
      <c r="G2582" s="9">
        <v>17</v>
      </c>
      <c r="H2582" s="5" t="s">
        <v>21</v>
      </c>
      <c r="I2582" s="5" t="s">
        <v>6398</v>
      </c>
      <c r="J2582" s="12" t="str">
        <f>HYPERLINK("https://www.boe.es/gazeta/dias/1800/01/07/pdfs/GMD-1800-2.pdf#page=9","Abrir facsímil")</f>
        <v>Abrir facsímil</v>
      </c>
      <c r="K2582" s="15" t="s">
        <v>23</v>
      </c>
    </row>
    <row r="2583" spans="1:11" ht="42" customHeight="1">
      <c r="A2583" s="4" t="s">
        <v>6399</v>
      </c>
      <c r="B2583" s="5" t="s">
        <v>6400</v>
      </c>
      <c r="C2583" s="5" t="s">
        <v>25</v>
      </c>
      <c r="D2583" s="5" t="s">
        <v>26</v>
      </c>
      <c r="E2583" s="5" t="s">
        <v>406</v>
      </c>
      <c r="F2583" s="9">
        <v>44</v>
      </c>
      <c r="G2583" s="9">
        <v>463</v>
      </c>
      <c r="H2583" s="5" t="s">
        <v>21</v>
      </c>
      <c r="I2583" s="5" t="s">
        <v>6401</v>
      </c>
      <c r="J2583" s="12" t="str">
        <f>HYPERLINK("https://www.boe.es/gazeta/dias/1800/06/03/pdfs/GMD-1800-44.pdf#page=11","Abrir facsímil")</f>
        <v>Abrir facsímil</v>
      </c>
      <c r="K2583" s="15" t="s">
        <v>23</v>
      </c>
    </row>
    <row r="2584" spans="1:11" ht="42" customHeight="1">
      <c r="A2584" s="4" t="s">
        <v>6402</v>
      </c>
      <c r="B2584" s="5" t="s">
        <v>6403</v>
      </c>
      <c r="C2584" s="5" t="s">
        <v>41</v>
      </c>
      <c r="D2584" s="5" t="s">
        <v>42</v>
      </c>
      <c r="E2584" s="5" t="s">
        <v>445</v>
      </c>
      <c r="F2584" s="9">
        <v>96</v>
      </c>
      <c r="G2584" s="9">
        <v>1104</v>
      </c>
      <c r="H2584" s="5" t="s">
        <v>21</v>
      </c>
      <c r="I2584" s="5" t="s">
        <v>6404</v>
      </c>
      <c r="J2584" s="12" t="str">
        <f>HYPERLINK("https://www.boe.es/gazeta/dias/1800/11/28/pdfs/GMD-1800-96.pdf#page=8","Abrir facsímil")</f>
        <v>Abrir facsímil</v>
      </c>
      <c r="K2584" s="15" t="s">
        <v>23</v>
      </c>
    </row>
    <row r="2585" spans="1:11" ht="42" customHeight="1">
      <c r="A2585" s="4" t="s">
        <v>6405</v>
      </c>
      <c r="B2585" s="5" t="s">
        <v>6406</v>
      </c>
      <c r="C2585" s="5" t="s">
        <v>18</v>
      </c>
      <c r="D2585" s="5" t="s">
        <v>19</v>
      </c>
      <c r="E2585" s="5" t="s">
        <v>314</v>
      </c>
      <c r="F2585" s="9">
        <v>74</v>
      </c>
      <c r="G2585" s="9">
        <v>833</v>
      </c>
      <c r="H2585" s="5" t="s">
        <v>21</v>
      </c>
      <c r="I2585" s="5" t="s">
        <v>6407</v>
      </c>
      <c r="J2585" s="12" t="str">
        <f>HYPERLINK("https://www.boe.es/gazeta/dias/1800/09/12/pdfs/GMD-1800-74.pdf#page=11","Abrir facsímil")</f>
        <v>Abrir facsímil</v>
      </c>
      <c r="K2585" s="15" t="s">
        <v>23</v>
      </c>
    </row>
    <row r="2586" spans="1:11" ht="42" customHeight="1">
      <c r="A2586" s="4" t="s">
        <v>6408</v>
      </c>
      <c r="B2586" s="5" t="s">
        <v>6409</v>
      </c>
      <c r="C2586" s="5" t="s">
        <v>18</v>
      </c>
      <c r="D2586" s="5" t="s">
        <v>19</v>
      </c>
      <c r="E2586" s="5" t="s">
        <v>420</v>
      </c>
      <c r="F2586" s="9">
        <v>38</v>
      </c>
      <c r="G2586" s="9">
        <v>388</v>
      </c>
      <c r="H2586" s="5" t="s">
        <v>21</v>
      </c>
      <c r="I2586" s="5" t="s">
        <v>6410</v>
      </c>
      <c r="J2586" s="12" t="str">
        <f>HYPERLINK("https://www.boe.es/gazeta/dias/1800/05/13/pdfs/GMD-1800-38.pdf#page=8","Abrir facsímil")</f>
        <v>Abrir facsímil</v>
      </c>
      <c r="K2586" s="15" t="s">
        <v>23</v>
      </c>
    </row>
    <row r="2587" spans="1:11" ht="42" customHeight="1">
      <c r="A2587" s="4" t="s">
        <v>6411</v>
      </c>
      <c r="B2587" s="5" t="s">
        <v>6412</v>
      </c>
      <c r="C2587" s="5" t="s">
        <v>18</v>
      </c>
      <c r="D2587" s="5" t="s">
        <v>19</v>
      </c>
      <c r="E2587" s="5" t="s">
        <v>248</v>
      </c>
      <c r="F2587" s="9">
        <v>33</v>
      </c>
      <c r="G2587" s="9">
        <v>333</v>
      </c>
      <c r="H2587" s="5" t="s">
        <v>21</v>
      </c>
      <c r="I2587" s="5" t="s">
        <v>6413</v>
      </c>
      <c r="J2587" s="12" t="str">
        <f>HYPERLINK("https://www.boe.es/gazeta/dias/1800/04/25/pdfs/GMD-1800-33.pdf#page=9","Abrir facsímil")</f>
        <v>Abrir facsímil</v>
      </c>
      <c r="K2587" s="15" t="s">
        <v>23</v>
      </c>
    </row>
    <row r="2588" spans="1:11" ht="42" customHeight="1">
      <c r="A2588" s="4" t="s">
        <v>6414</v>
      </c>
      <c r="B2588" s="5" t="s">
        <v>6415</v>
      </c>
      <c r="C2588" s="5" t="s">
        <v>18</v>
      </c>
      <c r="D2588" s="5" t="s">
        <v>19</v>
      </c>
      <c r="E2588" s="5" t="s">
        <v>314</v>
      </c>
      <c r="F2588" s="9">
        <v>74</v>
      </c>
      <c r="G2588" s="9">
        <v>830</v>
      </c>
      <c r="H2588" s="5" t="s">
        <v>21</v>
      </c>
      <c r="I2588" s="5" t="s">
        <v>6416</v>
      </c>
      <c r="J2588" s="12" t="str">
        <f>HYPERLINK("https://www.boe.es/gazeta/dias/1800/09/12/pdfs/GMD-1800-74.pdf#page=8","Abrir facsímil")</f>
        <v>Abrir facsímil</v>
      </c>
      <c r="K2588" s="15" t="s">
        <v>23</v>
      </c>
    </row>
    <row r="2589" spans="1:11" ht="42" customHeight="1">
      <c r="A2589" s="4" t="s">
        <v>6417</v>
      </c>
      <c r="B2589" s="5" t="s">
        <v>6418</v>
      </c>
      <c r="C2589" s="5" t="s">
        <v>54</v>
      </c>
      <c r="D2589" s="5" t="s">
        <v>55</v>
      </c>
      <c r="E2589" s="5" t="s">
        <v>190</v>
      </c>
      <c r="F2589" s="9">
        <v>93</v>
      </c>
      <c r="G2589" s="9">
        <v>1068</v>
      </c>
      <c r="H2589" s="5" t="s">
        <v>21</v>
      </c>
      <c r="I2589" s="5" t="s">
        <v>6419</v>
      </c>
      <c r="J2589" s="12" t="str">
        <f>HYPERLINK("https://www.boe.es/gazeta/dias/1800/11/18/pdfs/GMD-1800-93.pdf#page=14","Abrir facsímil")</f>
        <v>Abrir facsímil</v>
      </c>
      <c r="K2589" s="15" t="s">
        <v>23</v>
      </c>
    </row>
    <row r="2590" spans="1:11" ht="42" customHeight="1">
      <c r="A2590" s="4" t="s">
        <v>6417</v>
      </c>
      <c r="B2590" s="5" t="s">
        <v>6418</v>
      </c>
      <c r="C2590" s="5" t="s">
        <v>54</v>
      </c>
      <c r="D2590" s="5" t="s">
        <v>55</v>
      </c>
      <c r="E2590" s="5" t="s">
        <v>203</v>
      </c>
      <c r="F2590" s="9">
        <v>94</v>
      </c>
      <c r="G2590" s="9">
        <v>1080</v>
      </c>
      <c r="H2590" s="5" t="s">
        <v>21</v>
      </c>
      <c r="I2590" s="5" t="s">
        <v>6420</v>
      </c>
      <c r="J2590" s="12" t="str">
        <f>HYPERLINK("https://www.boe.es/gazeta/dias/1800/11/21/pdfs/GMD-1800-94.pdf#page=10","Abrir facsímil")</f>
        <v>Abrir facsímil</v>
      </c>
      <c r="K2590" s="15" t="s">
        <v>23</v>
      </c>
    </row>
    <row r="2591" spans="1:11" ht="42" customHeight="1">
      <c r="A2591" s="4" t="s">
        <v>6421</v>
      </c>
      <c r="B2591" s="5" t="s">
        <v>6422</v>
      </c>
      <c r="C2591" s="5" t="s">
        <v>41</v>
      </c>
      <c r="D2591" s="5" t="s">
        <v>42</v>
      </c>
      <c r="E2591" s="5" t="s">
        <v>226</v>
      </c>
      <c r="F2591" s="9">
        <v>27</v>
      </c>
      <c r="G2591" s="9">
        <v>275</v>
      </c>
      <c r="H2591" s="5" t="s">
        <v>21</v>
      </c>
      <c r="I2591" s="5" t="s">
        <v>6423</v>
      </c>
      <c r="J2591" s="12" t="str">
        <f>HYPERLINK("https://www.boe.es/gazeta/dias/1800/04/04/pdfs/GMD-1800-27.pdf#page=3","Abrir facsímil")</f>
        <v>Abrir facsímil</v>
      </c>
      <c r="K2591" s="15" t="s">
        <v>23</v>
      </c>
    </row>
    <row r="2592" spans="1:11" ht="42" customHeight="1">
      <c r="A2592" s="4" t="s">
        <v>6424</v>
      </c>
      <c r="B2592" s="5" t="s">
        <v>6425</v>
      </c>
      <c r="C2592" s="5" t="s">
        <v>18</v>
      </c>
      <c r="D2592" s="5" t="s">
        <v>19</v>
      </c>
      <c r="E2592" s="5" t="s">
        <v>31</v>
      </c>
      <c r="F2592" s="9">
        <v>20</v>
      </c>
      <c r="G2592" s="9">
        <v>193</v>
      </c>
      <c r="H2592" s="5" t="s">
        <v>21</v>
      </c>
      <c r="I2592" s="5" t="s">
        <v>6426</v>
      </c>
      <c r="J2592" s="12" t="str">
        <f>HYPERLINK("https://www.boe.es/gazeta/dias/1800/03/11/pdfs/GMD-1800-20.pdf#page=9","Abrir facsímil")</f>
        <v>Abrir facsímil</v>
      </c>
      <c r="K2592" s="15" t="s">
        <v>23</v>
      </c>
    </row>
    <row r="2593" spans="1:11" ht="42" customHeight="1">
      <c r="A2593" s="4" t="s">
        <v>6427</v>
      </c>
      <c r="B2593" s="5" t="s">
        <v>6427</v>
      </c>
      <c r="C2593" s="5" t="s">
        <v>41</v>
      </c>
      <c r="D2593" s="5" t="s">
        <v>42</v>
      </c>
      <c r="E2593" s="5" t="s">
        <v>461</v>
      </c>
      <c r="F2593" s="9">
        <v>18</v>
      </c>
      <c r="G2593" s="9">
        <v>166</v>
      </c>
      <c r="H2593" s="5" t="s">
        <v>21</v>
      </c>
      <c r="I2593" s="5" t="s">
        <v>6428</v>
      </c>
      <c r="J2593" s="12" t="str">
        <f>HYPERLINK("https://www.boe.es/datos/pdfs/BOE//1800/018/C00173-00176.pdf#page=2","Abrir facsímil")</f>
        <v>Abrir facsímil</v>
      </c>
      <c r="K2593" s="15" t="s">
        <v>23</v>
      </c>
    </row>
    <row r="2594" spans="1:11" ht="42" customHeight="1">
      <c r="A2594" s="4" t="s">
        <v>6427</v>
      </c>
      <c r="B2594" s="5" t="s">
        <v>6427</v>
      </c>
      <c r="C2594" s="5" t="s">
        <v>41</v>
      </c>
      <c r="D2594" s="5" t="s">
        <v>42</v>
      </c>
      <c r="E2594" s="5" t="s">
        <v>158</v>
      </c>
      <c r="F2594" s="9">
        <v>25</v>
      </c>
      <c r="G2594" s="9">
        <v>254</v>
      </c>
      <c r="H2594" s="5" t="s">
        <v>21</v>
      </c>
      <c r="I2594" s="5" t="s">
        <v>6429</v>
      </c>
      <c r="J2594" s="12" t="str">
        <f>HYPERLINK("https://www.boe.es/gazeta/dias/1800/03/28/pdfs/GMD-1800-25.pdf#page=6","Abrir facsímil")</f>
        <v>Abrir facsímil</v>
      </c>
      <c r="K2594" s="15" t="s">
        <v>23</v>
      </c>
    </row>
    <row r="2595" spans="1:11" ht="42" customHeight="1">
      <c r="A2595" s="4" t="s">
        <v>6427</v>
      </c>
      <c r="B2595" s="5" t="s">
        <v>6427</v>
      </c>
      <c r="C2595" s="5" t="s">
        <v>41</v>
      </c>
      <c r="D2595" s="5" t="s">
        <v>42</v>
      </c>
      <c r="E2595" s="5" t="s">
        <v>595</v>
      </c>
      <c r="F2595" s="9">
        <v>72</v>
      </c>
      <c r="G2595" s="9">
        <v>795</v>
      </c>
      <c r="H2595" s="5" t="s">
        <v>21</v>
      </c>
      <c r="I2595" s="5" t="s">
        <v>6430</v>
      </c>
      <c r="J2595" s="12" t="str">
        <f>HYPERLINK("https://www.boe.es/gazeta/dias/1800/09/05/pdfs/GMD-1800-72.pdf#page=5","Abrir facsímil")</f>
        <v>Abrir facsímil</v>
      </c>
      <c r="K2595" s="15" t="s">
        <v>23</v>
      </c>
    </row>
    <row r="2596" spans="1:11" ht="42" customHeight="1">
      <c r="A2596" s="4" t="s">
        <v>6427</v>
      </c>
      <c r="B2596" s="5" t="s">
        <v>6427</v>
      </c>
      <c r="C2596" s="5" t="s">
        <v>41</v>
      </c>
      <c r="D2596" s="5" t="s">
        <v>42</v>
      </c>
      <c r="E2596" s="5" t="s">
        <v>314</v>
      </c>
      <c r="F2596" s="9">
        <v>74</v>
      </c>
      <c r="G2596" s="9">
        <v>825</v>
      </c>
      <c r="H2596" s="5" t="s">
        <v>21</v>
      </c>
      <c r="I2596" s="5" t="s">
        <v>6431</v>
      </c>
      <c r="J2596" s="12" t="str">
        <f>HYPERLINK("https://www.boe.es/gazeta/dias/1800/09/12/pdfs/GMD-1800-74.pdf#page=3","Abrir facsímil")</f>
        <v>Abrir facsímil</v>
      </c>
      <c r="K2596" s="15" t="s">
        <v>23</v>
      </c>
    </row>
    <row r="2597" spans="1:11" ht="42" customHeight="1">
      <c r="A2597" s="4" t="s">
        <v>6427</v>
      </c>
      <c r="B2597" s="5" t="s">
        <v>6427</v>
      </c>
      <c r="C2597" s="5" t="s">
        <v>25</v>
      </c>
      <c r="D2597" s="5" t="s">
        <v>26</v>
      </c>
      <c r="E2597" s="5" t="s">
        <v>845</v>
      </c>
      <c r="F2597" s="9">
        <v>80</v>
      </c>
      <c r="G2597" s="9">
        <v>908</v>
      </c>
      <c r="H2597" s="5" t="s">
        <v>21</v>
      </c>
      <c r="I2597" s="5" t="s">
        <v>6432</v>
      </c>
      <c r="J2597" s="12" t="str">
        <f>HYPERLINK("https://www.boe.es/gazeta/dias/1800/10/03/pdfs/GMD-1800-80.pdf#page=6","Abrir facsímil")</f>
        <v>Abrir facsímil</v>
      </c>
      <c r="K2597" s="15" t="s">
        <v>23</v>
      </c>
    </row>
    <row r="2598" spans="1:11" ht="42" customHeight="1">
      <c r="A2598" s="4" t="s">
        <v>6433</v>
      </c>
      <c r="B2598" s="5" t="s">
        <v>6434</v>
      </c>
      <c r="C2598" s="5" t="s">
        <v>18</v>
      </c>
      <c r="D2598" s="5" t="s">
        <v>19</v>
      </c>
      <c r="E2598" s="5" t="s">
        <v>139</v>
      </c>
      <c r="F2598" s="9">
        <v>2</v>
      </c>
      <c r="G2598" s="9">
        <v>18</v>
      </c>
      <c r="H2598" s="5" t="s">
        <v>21</v>
      </c>
      <c r="I2598" s="5" t="s">
        <v>6435</v>
      </c>
      <c r="J2598" s="12" t="str">
        <f>HYPERLINK("https://www.boe.es/gazeta/dias/1800/01/07/pdfs/GMD-1800-2.pdf#page=10","Abrir facsímil")</f>
        <v>Abrir facsímil</v>
      </c>
      <c r="K2598" s="15" t="s">
        <v>23</v>
      </c>
    </row>
    <row r="2599" spans="1:11" ht="42" customHeight="1">
      <c r="A2599" s="4" t="s">
        <v>6436</v>
      </c>
      <c r="B2599" s="5" t="s">
        <v>6436</v>
      </c>
      <c r="C2599" s="5" t="s">
        <v>41</v>
      </c>
      <c r="D2599" s="5" t="s">
        <v>42</v>
      </c>
      <c r="E2599" s="5" t="s">
        <v>583</v>
      </c>
      <c r="F2599" s="9">
        <v>77</v>
      </c>
      <c r="G2599" s="9">
        <v>873</v>
      </c>
      <c r="H2599" s="5" t="s">
        <v>21</v>
      </c>
      <c r="I2599" s="5" t="s">
        <v>6437</v>
      </c>
      <c r="J2599" s="12" t="str">
        <f>HYPERLINK("https://www.boe.es/gazeta/dias/1800/09/23/pdfs/GMD-1800-77.pdf#page=3","Abrir facsímil")</f>
        <v>Abrir facsímil</v>
      </c>
      <c r="K2599" s="15" t="s">
        <v>23</v>
      </c>
    </row>
    <row r="2600" spans="1:11" ht="42" customHeight="1">
      <c r="A2600" s="4" t="s">
        <v>6438</v>
      </c>
      <c r="B2600" s="5" t="s">
        <v>6439</v>
      </c>
      <c r="C2600" s="5" t="s">
        <v>18</v>
      </c>
      <c r="D2600" s="5" t="s">
        <v>19</v>
      </c>
      <c r="E2600" s="5" t="s">
        <v>194</v>
      </c>
      <c r="F2600" s="9">
        <v>48</v>
      </c>
      <c r="G2600" s="9">
        <v>518</v>
      </c>
      <c r="H2600" s="5" t="s">
        <v>21</v>
      </c>
      <c r="I2600" s="5" t="s">
        <v>6440</v>
      </c>
      <c r="J2600" s="12" t="str">
        <f>HYPERLINK("https://www.boe.es/gazeta/dias/1800/06/17/pdfs/GMD-1800-48.pdf#page=10","Abrir facsímil")</f>
        <v>Abrir facsímil</v>
      </c>
      <c r="K2600" s="15" t="s">
        <v>23</v>
      </c>
    </row>
    <row r="2601" spans="1:11" ht="42" customHeight="1">
      <c r="A2601" s="4" t="s">
        <v>6441</v>
      </c>
      <c r="B2601" s="5" t="s">
        <v>6442</v>
      </c>
      <c r="C2601" s="5" t="s">
        <v>18</v>
      </c>
      <c r="D2601" s="5" t="s">
        <v>19</v>
      </c>
      <c r="E2601" s="5" t="s">
        <v>1287</v>
      </c>
      <c r="F2601" s="9">
        <v>57</v>
      </c>
      <c r="G2601" s="9">
        <v>642</v>
      </c>
      <c r="H2601" s="5" t="s">
        <v>21</v>
      </c>
      <c r="I2601" s="5" t="s">
        <v>6443</v>
      </c>
      <c r="J2601" s="12" t="str">
        <f>HYPERLINK("https://www.boe.es/gazeta/dias/1800/07/18/pdfs/GMD-1800-57.pdf#page=6","Abrir facsímil")</f>
        <v>Abrir facsímil</v>
      </c>
      <c r="K2601" s="15" t="s">
        <v>23</v>
      </c>
    </row>
    <row r="2602" spans="1:11" ht="42" customHeight="1">
      <c r="A2602" s="4" t="s">
        <v>6444</v>
      </c>
      <c r="B2602" s="5" t="s">
        <v>6445</v>
      </c>
      <c r="C2602" s="5" t="s">
        <v>41</v>
      </c>
      <c r="D2602" s="5" t="s">
        <v>42</v>
      </c>
      <c r="E2602" s="5" t="s">
        <v>1287</v>
      </c>
      <c r="F2602" s="9">
        <v>57</v>
      </c>
      <c r="G2602" s="9">
        <v>645</v>
      </c>
      <c r="H2602" s="5" t="s">
        <v>21</v>
      </c>
      <c r="I2602" s="5" t="s">
        <v>6446</v>
      </c>
      <c r="J2602" s="12" t="str">
        <f>HYPERLINK("https://www.boe.es/gazeta/dias/1800/07/18/pdfs/GMD-1800-57.pdf#page=9","Abrir facsímil")</f>
        <v>Abrir facsímil</v>
      </c>
      <c r="K2602" s="15" t="s">
        <v>23</v>
      </c>
    </row>
    <row r="2603" spans="1:11" ht="42" customHeight="1">
      <c r="A2603" s="4" t="s">
        <v>6447</v>
      </c>
      <c r="B2603" s="5" t="s">
        <v>6448</v>
      </c>
      <c r="C2603" s="5" t="s">
        <v>18</v>
      </c>
      <c r="D2603" s="5" t="s">
        <v>19</v>
      </c>
      <c r="E2603" s="5" t="s">
        <v>314</v>
      </c>
      <c r="F2603" s="9">
        <v>74</v>
      </c>
      <c r="G2603" s="9">
        <v>832</v>
      </c>
      <c r="H2603" s="5" t="s">
        <v>21</v>
      </c>
      <c r="I2603" s="5" t="s">
        <v>6449</v>
      </c>
      <c r="J2603" s="12" t="str">
        <f>HYPERLINK("https://www.boe.es/gazeta/dias/1800/09/12/pdfs/GMD-1800-74.pdf#page=10","Abrir facsímil")</f>
        <v>Abrir facsímil</v>
      </c>
      <c r="K2603" s="15" t="s">
        <v>23</v>
      </c>
    </row>
    <row r="2604" spans="1:11" ht="42" customHeight="1">
      <c r="A2604" s="4" t="s">
        <v>6450</v>
      </c>
      <c r="B2604" s="5" t="s">
        <v>6450</v>
      </c>
      <c r="C2604" s="5" t="s">
        <v>41</v>
      </c>
      <c r="D2604" s="5" t="s">
        <v>42</v>
      </c>
      <c r="E2604" s="5" t="s">
        <v>56</v>
      </c>
      <c r="F2604" s="9">
        <v>90</v>
      </c>
      <c r="G2604" s="9">
        <v>1051</v>
      </c>
      <c r="H2604" s="5" t="s">
        <v>21</v>
      </c>
      <c r="I2604" s="5" t="s">
        <v>6451</v>
      </c>
      <c r="J2604" s="12" t="str">
        <f>HYPERLINK("https://www.boe.es/gazeta/dias/1800/11/07/pdfs/GMD-1800-90.pdf#page=5","Abrir facsímil")</f>
        <v>Abrir facsímil</v>
      </c>
      <c r="K2604" s="15" t="s">
        <v>23</v>
      </c>
    </row>
    <row r="2605" spans="1:11" ht="42" customHeight="1">
      <c r="A2605" s="4" t="s">
        <v>6452</v>
      </c>
      <c r="B2605" s="5" t="s">
        <v>6452</v>
      </c>
      <c r="C2605" s="5" t="s">
        <v>18</v>
      </c>
      <c r="D2605" s="5" t="s">
        <v>19</v>
      </c>
      <c r="E2605" s="5" t="s">
        <v>503</v>
      </c>
      <c r="F2605" s="9">
        <v>13</v>
      </c>
      <c r="G2605" s="9">
        <v>117</v>
      </c>
      <c r="H2605" s="5" t="s">
        <v>21</v>
      </c>
      <c r="I2605" s="5" t="s">
        <v>6453</v>
      </c>
      <c r="J2605" s="12" t="str">
        <f>HYPERLINK("https://www.boe.es/gazeta/dias/1800/02/14/pdfs/GMD-1800-13.pdf#page=1","Abrir facsímil")</f>
        <v>Abrir facsímil</v>
      </c>
      <c r="K2605" s="15" t="s">
        <v>23</v>
      </c>
    </row>
    <row r="2606" spans="1:11" ht="42" customHeight="1">
      <c r="A2606" s="4" t="s">
        <v>6454</v>
      </c>
      <c r="B2606" s="5" t="s">
        <v>6455</v>
      </c>
      <c r="C2606" s="5" t="s">
        <v>18</v>
      </c>
      <c r="D2606" s="5" t="s">
        <v>19</v>
      </c>
      <c r="E2606" s="5" t="s">
        <v>836</v>
      </c>
      <c r="F2606" s="9">
        <v>71</v>
      </c>
      <c r="G2606" s="9">
        <v>789</v>
      </c>
      <c r="H2606" s="5" t="s">
        <v>21</v>
      </c>
      <c r="I2606" s="5" t="s">
        <v>6456</v>
      </c>
      <c r="J2606" s="12" t="str">
        <f>HYPERLINK("https://www.boe.es/gazeta/dias/1800/09/02/pdfs/GMD-1800-71.pdf#page=7","Abrir facsímil")</f>
        <v>Abrir facsímil</v>
      </c>
      <c r="K2606" s="15" t="s">
        <v>23</v>
      </c>
    </row>
    <row r="2607" spans="1:11" ht="42" customHeight="1">
      <c r="A2607" s="4" t="s">
        <v>6457</v>
      </c>
      <c r="B2607" s="5" t="s">
        <v>6458</v>
      </c>
      <c r="C2607" s="5" t="s">
        <v>207</v>
      </c>
      <c r="D2607" s="5" t="s">
        <v>55</v>
      </c>
      <c r="E2607" s="5" t="s">
        <v>346</v>
      </c>
      <c r="F2607" s="9">
        <v>24</v>
      </c>
      <c r="G2607" s="9">
        <v>244</v>
      </c>
      <c r="H2607" s="5" t="s">
        <v>21</v>
      </c>
      <c r="I2607" s="5" t="s">
        <v>6459</v>
      </c>
      <c r="J2607" s="12" t="str">
        <f>HYPERLINK("https://www.boe.es/gazeta/dias/1800/03/25/pdfs/GMD-1800-24.pdf#page=8","Abrir facsímil")</f>
        <v>Abrir facsímil</v>
      </c>
      <c r="K2607" s="15" t="s">
        <v>23</v>
      </c>
    </row>
    <row r="2608" spans="1:11" ht="42" customHeight="1">
      <c r="A2608" s="4" t="s">
        <v>6460</v>
      </c>
      <c r="B2608" s="5" t="s">
        <v>6461</v>
      </c>
      <c r="C2608" s="5" t="s">
        <v>25</v>
      </c>
      <c r="D2608" s="5" t="s">
        <v>26</v>
      </c>
      <c r="E2608" s="5" t="s">
        <v>618</v>
      </c>
      <c r="F2608" s="9">
        <v>1</v>
      </c>
      <c r="G2608" s="9">
        <v>6</v>
      </c>
      <c r="H2608" s="5" t="s">
        <v>21</v>
      </c>
      <c r="I2608" s="5" t="s">
        <v>6462</v>
      </c>
      <c r="J2608" s="12" t="str">
        <f>HYPERLINK("https://www.boe.es/gazeta/dias/1800/01/03/pdfs/GMD-1800-1.pdf#page=6","Abrir facsímil")</f>
        <v>Abrir facsímil</v>
      </c>
      <c r="K2608" s="15" t="s">
        <v>23</v>
      </c>
    </row>
    <row r="2609" spans="1:11" ht="42" customHeight="1">
      <c r="A2609" s="4" t="s">
        <v>6463</v>
      </c>
      <c r="B2609" s="5" t="s">
        <v>6464</v>
      </c>
      <c r="C2609" s="5" t="s">
        <v>18</v>
      </c>
      <c r="D2609" s="5" t="s">
        <v>19</v>
      </c>
      <c r="E2609" s="5" t="s">
        <v>35</v>
      </c>
      <c r="F2609" s="9">
        <v>21</v>
      </c>
      <c r="G2609" s="9">
        <v>205</v>
      </c>
      <c r="H2609" s="5" t="s">
        <v>21</v>
      </c>
      <c r="I2609" s="5" t="s">
        <v>6465</v>
      </c>
      <c r="J2609" s="12" t="str">
        <f>HYPERLINK("https://www.boe.es/gazeta/dias/1800/03/14/pdfs/GMD-1800-21.pdf#page=9","Abrir facsímil")</f>
        <v>Abrir facsímil</v>
      </c>
      <c r="K2609" s="15" t="s">
        <v>23</v>
      </c>
    </row>
    <row r="2610" spans="1:11" ht="42" customHeight="1">
      <c r="A2610" s="4" t="s">
        <v>6466</v>
      </c>
      <c r="B2610" s="5" t="s">
        <v>6467</v>
      </c>
      <c r="C2610" s="5" t="s">
        <v>25</v>
      </c>
      <c r="D2610" s="5" t="s">
        <v>26</v>
      </c>
      <c r="E2610" s="5" t="s">
        <v>618</v>
      </c>
      <c r="F2610" s="9">
        <v>1</v>
      </c>
      <c r="G2610" s="9">
        <v>6</v>
      </c>
      <c r="H2610" s="5" t="s">
        <v>21</v>
      </c>
      <c r="I2610" s="5" t="s">
        <v>6468</v>
      </c>
      <c r="J2610" s="12" t="str">
        <f>HYPERLINK("https://www.boe.es/gazeta/dias/1800/01/03/pdfs/GMD-1800-1.pdf#page=6","Abrir facsímil")</f>
        <v>Abrir facsímil</v>
      </c>
      <c r="K2610" s="15" t="s">
        <v>23</v>
      </c>
    </row>
    <row r="2611" spans="1:11" ht="42" customHeight="1">
      <c r="A2611" s="4" t="s">
        <v>6469</v>
      </c>
      <c r="B2611" s="5" t="s">
        <v>6469</v>
      </c>
      <c r="C2611" s="5" t="s">
        <v>41</v>
      </c>
      <c r="D2611" s="5" t="s">
        <v>42</v>
      </c>
      <c r="E2611" s="5" t="s">
        <v>346</v>
      </c>
      <c r="F2611" s="9">
        <v>24</v>
      </c>
      <c r="G2611" s="9">
        <v>237</v>
      </c>
      <c r="H2611" s="5" t="s">
        <v>21</v>
      </c>
      <c r="I2611" s="5" t="s">
        <v>6470</v>
      </c>
      <c r="J2611" s="12" t="str">
        <f>HYPERLINK("https://www.boe.es/gazeta/dias/1800/03/25/pdfs/GMD-1800-24.pdf#page=1","Abrir facsímil")</f>
        <v>Abrir facsímil</v>
      </c>
      <c r="K2611" s="15" t="s">
        <v>23</v>
      </c>
    </row>
    <row r="2612" spans="1:11" ht="42" customHeight="1">
      <c r="A2612" s="4" t="s">
        <v>6471</v>
      </c>
      <c r="B2612" s="5" t="s">
        <v>6471</v>
      </c>
      <c r="C2612" s="5" t="s">
        <v>41</v>
      </c>
      <c r="D2612" s="5" t="s">
        <v>42</v>
      </c>
      <c r="E2612" s="5" t="s">
        <v>162</v>
      </c>
      <c r="F2612" s="9">
        <v>15</v>
      </c>
      <c r="G2612" s="9">
        <v>138</v>
      </c>
      <c r="H2612" s="5" t="s">
        <v>21</v>
      </c>
      <c r="I2612" s="5" t="s">
        <v>6472</v>
      </c>
      <c r="J2612" s="12" t="str">
        <f>HYPERLINK("https://www.boe.es/gazeta/dias/1800/02/21/pdfs/GMD-1800-15.pdf#page=2","Abrir facsímil")</f>
        <v>Abrir facsímil</v>
      </c>
      <c r="K2612" s="15" t="s">
        <v>23</v>
      </c>
    </row>
    <row r="2613" spans="1:11" ht="42" customHeight="1">
      <c r="A2613" s="4" t="s">
        <v>6471</v>
      </c>
      <c r="B2613" s="5" t="s">
        <v>6471</v>
      </c>
      <c r="C2613" s="5" t="s">
        <v>41</v>
      </c>
      <c r="D2613" s="5" t="s">
        <v>42</v>
      </c>
      <c r="E2613" s="5" t="s">
        <v>491</v>
      </c>
      <c r="F2613" s="9">
        <v>29</v>
      </c>
      <c r="G2613" s="9">
        <v>295</v>
      </c>
      <c r="H2613" s="5" t="s">
        <v>21</v>
      </c>
      <c r="I2613" s="5" t="s">
        <v>6473</v>
      </c>
      <c r="J2613" s="12" t="str">
        <f>HYPERLINK("https://www.boe.es/gazeta/dias/1800/04/11/pdfs/GMD-1800-29.pdf#page=3","Abrir facsímil")</f>
        <v>Abrir facsímil</v>
      </c>
      <c r="K2613" s="15" t="s">
        <v>23</v>
      </c>
    </row>
    <row r="2614" spans="1:11" ht="42" customHeight="1">
      <c r="A2614" s="4" t="s">
        <v>6474</v>
      </c>
      <c r="B2614" s="5" t="s">
        <v>6475</v>
      </c>
      <c r="C2614" s="5" t="s">
        <v>41</v>
      </c>
      <c r="D2614" s="5" t="s">
        <v>42</v>
      </c>
      <c r="E2614" s="5" t="s">
        <v>35</v>
      </c>
      <c r="F2614" s="9">
        <v>21</v>
      </c>
      <c r="G2614" s="9">
        <v>199</v>
      </c>
      <c r="H2614" s="5" t="s">
        <v>21</v>
      </c>
      <c r="I2614" s="5" t="s">
        <v>6476</v>
      </c>
      <c r="J2614" s="12" t="str">
        <f>HYPERLINK("https://www.boe.es/gazeta/dias/1800/03/14/pdfs/GMD-1800-21.pdf#page=3","Abrir facsímil")</f>
        <v>Abrir facsímil</v>
      </c>
      <c r="K2614" s="15" t="s">
        <v>23</v>
      </c>
    </row>
    <row r="2615" spans="1:11" ht="42" customHeight="1">
      <c r="A2615" s="4" t="s">
        <v>6477</v>
      </c>
      <c r="B2615" s="5" t="s">
        <v>6478</v>
      </c>
      <c r="C2615" s="5" t="s">
        <v>41</v>
      </c>
      <c r="D2615" s="5" t="s">
        <v>42</v>
      </c>
      <c r="E2615" s="5" t="s">
        <v>275</v>
      </c>
      <c r="F2615" s="9">
        <v>60</v>
      </c>
      <c r="G2615" s="9">
        <v>682</v>
      </c>
      <c r="H2615" s="5" t="s">
        <v>21</v>
      </c>
      <c r="I2615" s="5" t="s">
        <v>6479</v>
      </c>
      <c r="J2615" s="12" t="str">
        <f>HYPERLINK("https://www.boe.es/gazeta/dias/1800/07/29/pdfs/GMD-1800-60.pdf#page=2","Abrir facsímil")</f>
        <v>Abrir facsímil</v>
      </c>
      <c r="K2615" s="15" t="s">
        <v>23</v>
      </c>
    </row>
    <row r="2616" spans="1:11" ht="42" customHeight="1">
      <c r="A2616" s="4" t="s">
        <v>6480</v>
      </c>
      <c r="B2616" s="5" t="s">
        <v>6481</v>
      </c>
      <c r="C2616" s="5" t="s">
        <v>41</v>
      </c>
      <c r="D2616" s="5" t="s">
        <v>42</v>
      </c>
      <c r="E2616" s="5" t="s">
        <v>1231</v>
      </c>
      <c r="F2616" s="9">
        <v>36</v>
      </c>
      <c r="G2616" s="9">
        <v>364</v>
      </c>
      <c r="H2616" s="5" t="s">
        <v>21</v>
      </c>
      <c r="I2616" s="5" t="s">
        <v>6482</v>
      </c>
      <c r="J2616" s="12" t="str">
        <f>HYPERLINK("https://www.boe.es/gazeta/dias/1800/05/06/pdfs/GMD-1800-36.pdf#page=8","Abrir facsímil")</f>
        <v>Abrir facsímil</v>
      </c>
      <c r="K2616" s="15" t="s">
        <v>23</v>
      </c>
    </row>
    <row r="2617" spans="1:11" ht="42" customHeight="1">
      <c r="A2617" s="4" t="s">
        <v>6483</v>
      </c>
      <c r="B2617" s="5" t="s">
        <v>6483</v>
      </c>
      <c r="C2617" s="5" t="s">
        <v>41</v>
      </c>
      <c r="D2617" s="5" t="s">
        <v>42</v>
      </c>
      <c r="E2617" s="5" t="s">
        <v>196</v>
      </c>
      <c r="F2617" s="9">
        <v>97</v>
      </c>
      <c r="G2617" s="9">
        <v>1115</v>
      </c>
      <c r="H2617" s="5" t="s">
        <v>21</v>
      </c>
      <c r="I2617" s="5" t="s">
        <v>6484</v>
      </c>
      <c r="J2617" s="12" t="str">
        <f>HYPERLINK("https://www.boe.es/gazeta/dias/1800/12/02/pdfs/GMD-1800-97.pdf#page=7","Abrir facsímil")</f>
        <v>Abrir facsímil</v>
      </c>
      <c r="K2617" s="15" t="s">
        <v>23</v>
      </c>
    </row>
    <row r="2618" spans="1:11" ht="42" customHeight="1">
      <c r="A2618" s="4" t="s">
        <v>6485</v>
      </c>
      <c r="B2618" s="5" t="s">
        <v>6486</v>
      </c>
      <c r="C2618" s="5" t="s">
        <v>18</v>
      </c>
      <c r="D2618" s="5" t="s">
        <v>19</v>
      </c>
      <c r="E2618" s="5" t="s">
        <v>1213</v>
      </c>
      <c r="F2618" s="9">
        <v>4</v>
      </c>
      <c r="G2618" s="9">
        <v>35</v>
      </c>
      <c r="H2618" s="5" t="s">
        <v>21</v>
      </c>
      <c r="I2618" s="5" t="s">
        <v>6487</v>
      </c>
      <c r="J2618" s="12" t="str">
        <f>HYPERLINK("https://www.boe.es/gazeta/dias/1800/01/14/pdfs/GMD-1800-4.pdf#page=7","Abrir facsímil")</f>
        <v>Abrir facsímil</v>
      </c>
      <c r="K2618" s="15" t="s">
        <v>23</v>
      </c>
    </row>
    <row r="2619" spans="1:11" ht="42" customHeight="1">
      <c r="A2619" s="4" t="s">
        <v>6488</v>
      </c>
      <c r="B2619" s="5" t="s">
        <v>6489</v>
      </c>
      <c r="C2619" s="5" t="s">
        <v>84</v>
      </c>
      <c r="D2619" s="5" t="s">
        <v>85</v>
      </c>
      <c r="E2619" s="5" t="s">
        <v>1231</v>
      </c>
      <c r="F2619" s="9">
        <v>36</v>
      </c>
      <c r="G2619" s="9">
        <v>368</v>
      </c>
      <c r="H2619" s="5" t="s">
        <v>21</v>
      </c>
      <c r="I2619" s="5" t="s">
        <v>6490</v>
      </c>
      <c r="J2619" s="12" t="str">
        <f>HYPERLINK("https://www.boe.es/gazeta/dias/1800/05/06/pdfs/GMD-1800-36.pdf#page=12","Abrir facsímil")</f>
        <v>Abrir facsímil</v>
      </c>
      <c r="K2619" s="15" t="s">
        <v>23</v>
      </c>
    </row>
    <row r="2620" spans="1:11" ht="42" customHeight="1">
      <c r="A2620" s="4" t="s">
        <v>6488</v>
      </c>
      <c r="B2620" s="5" t="s">
        <v>6489</v>
      </c>
      <c r="C2620" s="5" t="s">
        <v>84</v>
      </c>
      <c r="D2620" s="5" t="s">
        <v>85</v>
      </c>
      <c r="E2620" s="5" t="s">
        <v>1287</v>
      </c>
      <c r="F2620" s="9">
        <v>57</v>
      </c>
      <c r="G2620" s="9">
        <v>652</v>
      </c>
      <c r="H2620" s="5" t="s">
        <v>21</v>
      </c>
      <c r="I2620" s="5" t="s">
        <v>6491</v>
      </c>
      <c r="J2620" s="12" t="str">
        <f>HYPERLINK("https://www.boe.es/gazeta/dias/1800/07/18/pdfs/GMD-1800-57.pdf#page=16","Abrir facsímil")</f>
        <v>Abrir facsímil</v>
      </c>
      <c r="K2620" s="15" t="s">
        <v>23</v>
      </c>
    </row>
    <row r="2621" spans="1:11" ht="42" customHeight="1">
      <c r="A2621" s="4" t="s">
        <v>6492</v>
      </c>
      <c r="B2621" s="5" t="s">
        <v>6493</v>
      </c>
      <c r="C2621" s="5" t="s">
        <v>18</v>
      </c>
      <c r="D2621" s="5" t="s">
        <v>19</v>
      </c>
      <c r="E2621" s="5" t="s">
        <v>120</v>
      </c>
      <c r="F2621" s="9">
        <v>52</v>
      </c>
      <c r="G2621" s="9">
        <v>575</v>
      </c>
      <c r="H2621" s="5" t="s">
        <v>21</v>
      </c>
      <c r="I2621" s="5" t="s">
        <v>6494</v>
      </c>
      <c r="J2621" s="12" t="str">
        <f>HYPERLINK("https://www.boe.es/gazeta/dias/1800/07/01/pdfs/GMD-1800-52.pdf#page=11","Abrir facsímil")</f>
        <v>Abrir facsímil</v>
      </c>
      <c r="K2621" s="15" t="s">
        <v>23</v>
      </c>
    </row>
    <row r="2622" spans="1:11" ht="42" customHeight="1">
      <c r="A2622" s="4" t="s">
        <v>6495</v>
      </c>
      <c r="B2622" s="5" t="s">
        <v>6496</v>
      </c>
      <c r="C2622" s="5" t="s">
        <v>18</v>
      </c>
      <c r="D2622" s="5" t="s">
        <v>19</v>
      </c>
      <c r="E2622" s="5" t="s">
        <v>139</v>
      </c>
      <c r="F2622" s="9">
        <v>2</v>
      </c>
      <c r="G2622" s="9">
        <v>18</v>
      </c>
      <c r="H2622" s="5" t="s">
        <v>21</v>
      </c>
      <c r="I2622" s="5" t="s">
        <v>6497</v>
      </c>
      <c r="J2622" s="12" t="str">
        <f>HYPERLINK("https://www.boe.es/gazeta/dias/1800/01/07/pdfs/GMD-1800-2.pdf#page=10","Abrir facsímil")</f>
        <v>Abrir facsímil</v>
      </c>
      <c r="K2622" s="15" t="s">
        <v>23</v>
      </c>
    </row>
    <row r="2623" spans="1:11" ht="42" customHeight="1">
      <c r="A2623" s="4" t="s">
        <v>6498</v>
      </c>
      <c r="B2623" s="5" t="s">
        <v>6499</v>
      </c>
      <c r="C2623" s="5" t="s">
        <v>25</v>
      </c>
      <c r="D2623" s="5" t="s">
        <v>26</v>
      </c>
      <c r="E2623" s="5" t="s">
        <v>346</v>
      </c>
      <c r="F2623" s="9">
        <v>24</v>
      </c>
      <c r="G2623" s="9">
        <v>244</v>
      </c>
      <c r="H2623" s="5" t="s">
        <v>21</v>
      </c>
      <c r="I2623" s="5" t="s">
        <v>6500</v>
      </c>
      <c r="J2623" s="12" t="str">
        <f>HYPERLINK("https://www.boe.es/gazeta/dias/1800/03/25/pdfs/GMD-1800-24.pdf#page=8","Abrir facsímil")</f>
        <v>Abrir facsímil</v>
      </c>
      <c r="K2623" s="15" t="s">
        <v>23</v>
      </c>
    </row>
    <row r="2624" spans="1:11" ht="42" customHeight="1">
      <c r="A2624" s="4" t="s">
        <v>6501</v>
      </c>
      <c r="B2624" s="5" t="s">
        <v>6502</v>
      </c>
      <c r="C2624" s="5" t="s">
        <v>18</v>
      </c>
      <c r="D2624" s="5" t="s">
        <v>19</v>
      </c>
      <c r="E2624" s="5" t="s">
        <v>90</v>
      </c>
      <c r="F2624" s="9">
        <v>58</v>
      </c>
      <c r="G2624" s="9">
        <v>663</v>
      </c>
      <c r="H2624" s="5" t="s">
        <v>21</v>
      </c>
      <c r="I2624" s="5" t="s">
        <v>6503</v>
      </c>
      <c r="J2624" s="12" t="str">
        <f>HYPERLINK("https://www.boe.es/gazeta/dias/1800/07/22/pdfs/GMD-1800-58.pdf#page=11","Abrir facsímil")</f>
        <v>Abrir facsímil</v>
      </c>
      <c r="K2624" s="15" t="s">
        <v>23</v>
      </c>
    </row>
    <row r="2625" spans="1:11" ht="42" customHeight="1">
      <c r="A2625" s="4" t="s">
        <v>6504</v>
      </c>
      <c r="B2625" s="5" t="s">
        <v>6504</v>
      </c>
      <c r="C2625" s="5" t="s">
        <v>18</v>
      </c>
      <c r="D2625" s="5" t="s">
        <v>19</v>
      </c>
      <c r="E2625" s="5" t="s">
        <v>255</v>
      </c>
      <c r="F2625" s="9">
        <v>75</v>
      </c>
      <c r="G2625" s="9">
        <v>848</v>
      </c>
      <c r="H2625" s="5" t="s">
        <v>21</v>
      </c>
      <c r="I2625" s="5" t="s">
        <v>6505</v>
      </c>
      <c r="J2625" s="12" t="str">
        <f>HYPERLINK("https://www.boe.es/gazeta/dias/1800/09/16/pdfs/GMD-1800-75.pdf#page=2","Abrir facsímil")</f>
        <v>Abrir facsímil</v>
      </c>
      <c r="K2625" s="15" t="s">
        <v>23</v>
      </c>
    </row>
    <row r="2626" spans="1:11" ht="42" customHeight="1">
      <c r="A2626" s="4" t="s">
        <v>6506</v>
      </c>
      <c r="B2626" s="5" t="s">
        <v>6506</v>
      </c>
      <c r="C2626" s="5" t="s">
        <v>41</v>
      </c>
      <c r="D2626" s="5" t="s">
        <v>42</v>
      </c>
      <c r="E2626" s="5" t="s">
        <v>196</v>
      </c>
      <c r="F2626" s="9">
        <v>97</v>
      </c>
      <c r="G2626" s="9">
        <v>1112</v>
      </c>
      <c r="H2626" s="5" t="s">
        <v>21</v>
      </c>
      <c r="I2626" s="5" t="s">
        <v>6507</v>
      </c>
      <c r="J2626" s="12" t="str">
        <f>HYPERLINK("https://www.boe.es/gazeta/dias/1800/12/02/pdfs/GMD-1800-97.pdf#page=4","Abrir facsímil")</f>
        <v>Abrir facsímil</v>
      </c>
      <c r="K2626" s="15" t="s">
        <v>23</v>
      </c>
    </row>
    <row r="2627" spans="1:11" ht="42" customHeight="1">
      <c r="A2627" s="4" t="s">
        <v>6508</v>
      </c>
      <c r="B2627" s="5" t="s">
        <v>6508</v>
      </c>
      <c r="C2627" s="5" t="s">
        <v>18</v>
      </c>
      <c r="D2627" s="5" t="s">
        <v>19</v>
      </c>
      <c r="E2627" s="5" t="s">
        <v>120</v>
      </c>
      <c r="F2627" s="9">
        <v>52</v>
      </c>
      <c r="G2627" s="9">
        <v>573</v>
      </c>
      <c r="H2627" s="5" t="s">
        <v>21</v>
      </c>
      <c r="I2627" s="5" t="s">
        <v>6509</v>
      </c>
      <c r="J2627" s="12" t="str">
        <f>HYPERLINK("https://www.boe.es/gazeta/dias/1800/07/01/pdfs/GMD-1800-52.pdf#page=9","Abrir facsímil")</f>
        <v>Abrir facsímil</v>
      </c>
      <c r="K2627" s="15" t="s">
        <v>23</v>
      </c>
    </row>
    <row r="2628" spans="1:11" ht="42" customHeight="1">
      <c r="A2628" s="4" t="s">
        <v>6510</v>
      </c>
      <c r="B2628" s="5" t="s">
        <v>6511</v>
      </c>
      <c r="C2628" s="5" t="s">
        <v>84</v>
      </c>
      <c r="D2628" s="5" t="s">
        <v>85</v>
      </c>
      <c r="E2628" s="5" t="s">
        <v>1231</v>
      </c>
      <c r="F2628" s="9">
        <v>36</v>
      </c>
      <c r="G2628" s="9">
        <v>361</v>
      </c>
      <c r="H2628" s="5" t="s">
        <v>21</v>
      </c>
      <c r="I2628" s="5" t="s">
        <v>6512</v>
      </c>
      <c r="J2628" s="12" t="str">
        <f>HYPERLINK("https://www.boe.es/gazeta/dias/1800/05/06/pdfs/GMD-1800-36.pdf#page=5","Abrir facsímil")</f>
        <v>Abrir facsímil</v>
      </c>
      <c r="K2628" s="15" t="s">
        <v>23</v>
      </c>
    </row>
    <row r="2629" spans="1:11" ht="42" customHeight="1">
      <c r="A2629" s="4" t="s">
        <v>6513</v>
      </c>
      <c r="B2629" s="5" t="s">
        <v>6514</v>
      </c>
      <c r="C2629" s="5" t="s">
        <v>18</v>
      </c>
      <c r="D2629" s="5" t="s">
        <v>19</v>
      </c>
      <c r="E2629" s="5" t="s">
        <v>162</v>
      </c>
      <c r="F2629" s="9">
        <v>15</v>
      </c>
      <c r="G2629" s="9">
        <v>139</v>
      </c>
      <c r="H2629" s="5" t="s">
        <v>21</v>
      </c>
      <c r="I2629" s="5" t="s">
        <v>6515</v>
      </c>
      <c r="J2629" s="12" t="str">
        <f>HYPERLINK("https://www.boe.es/gazeta/dias/1800/02/21/pdfs/GMD-1800-15.pdf#page=3","Abrir facsímil")</f>
        <v>Abrir facsímil</v>
      </c>
      <c r="K2629" s="15" t="s">
        <v>23</v>
      </c>
    </row>
    <row r="2630" spans="1:11" ht="42" customHeight="1">
      <c r="A2630" s="4" t="s">
        <v>6516</v>
      </c>
      <c r="B2630" s="5" t="s">
        <v>6517</v>
      </c>
      <c r="C2630" s="5" t="s">
        <v>41</v>
      </c>
      <c r="D2630" s="5" t="s">
        <v>42</v>
      </c>
      <c r="E2630" s="5" t="s">
        <v>154</v>
      </c>
      <c r="F2630" s="9">
        <v>61</v>
      </c>
      <c r="G2630" s="9">
        <v>694</v>
      </c>
      <c r="H2630" s="5" t="s">
        <v>21</v>
      </c>
      <c r="I2630" s="5" t="s">
        <v>6518</v>
      </c>
      <c r="J2630" s="12" t="str">
        <f>HYPERLINK("https://www.boe.es/gazeta/dias/1800/08/01/pdfs/GMD-1800-61.pdf#page=6","Abrir facsímil")</f>
        <v>Abrir facsímil</v>
      </c>
      <c r="K2630" s="15" t="s">
        <v>23</v>
      </c>
    </row>
    <row r="2631" spans="1:11" ht="42" customHeight="1">
      <c r="A2631" s="4" t="s">
        <v>6519</v>
      </c>
      <c r="B2631" s="5" t="s">
        <v>6519</v>
      </c>
      <c r="C2631" s="5" t="s">
        <v>41</v>
      </c>
      <c r="D2631" s="5" t="s">
        <v>42</v>
      </c>
      <c r="E2631" s="5" t="s">
        <v>31</v>
      </c>
      <c r="F2631" s="9">
        <v>20</v>
      </c>
      <c r="G2631" s="9">
        <v>186</v>
      </c>
      <c r="H2631" s="5" t="s">
        <v>21</v>
      </c>
      <c r="I2631" s="5" t="s">
        <v>6520</v>
      </c>
      <c r="J2631" s="12" t="str">
        <f>HYPERLINK("https://www.boe.es/gazeta/dias/1800/03/11/pdfs/GMD-1800-20.pdf#page=2","Abrir facsímil")</f>
        <v>Abrir facsímil</v>
      </c>
      <c r="K2631" s="15" t="s">
        <v>23</v>
      </c>
    </row>
    <row r="2632" spans="1:11" ht="42" customHeight="1">
      <c r="A2632" s="4" t="s">
        <v>6521</v>
      </c>
      <c r="B2632" s="5" t="s">
        <v>6521</v>
      </c>
      <c r="C2632" s="5" t="s">
        <v>41</v>
      </c>
      <c r="D2632" s="5" t="s">
        <v>42</v>
      </c>
      <c r="E2632" s="5" t="s">
        <v>139</v>
      </c>
      <c r="F2632" s="9">
        <v>2</v>
      </c>
      <c r="G2632" s="9">
        <v>9</v>
      </c>
      <c r="H2632" s="5" t="s">
        <v>21</v>
      </c>
      <c r="I2632" s="5" t="s">
        <v>6522</v>
      </c>
      <c r="J2632" s="12" t="str">
        <f>HYPERLINK("https://www.boe.es/gazeta/dias/1800/01/07/pdfs/GMD-1800-2.pdf#page=1","Abrir facsímil")</f>
        <v>Abrir facsímil</v>
      </c>
      <c r="K2632" s="15" t="s">
        <v>23</v>
      </c>
    </row>
    <row r="2633" spans="1:11" ht="42" customHeight="1">
      <c r="A2633" s="4" t="s">
        <v>6523</v>
      </c>
      <c r="B2633" s="5" t="s">
        <v>6523</v>
      </c>
      <c r="C2633" s="5" t="s">
        <v>41</v>
      </c>
      <c r="D2633" s="5" t="s">
        <v>42</v>
      </c>
      <c r="E2633" s="5" t="s">
        <v>825</v>
      </c>
      <c r="F2633" s="9">
        <v>51</v>
      </c>
      <c r="G2633" s="9">
        <v>551</v>
      </c>
      <c r="H2633" s="5" t="s">
        <v>21</v>
      </c>
      <c r="I2633" s="5" t="s">
        <v>6524</v>
      </c>
      <c r="J2633" s="12" t="str">
        <f>HYPERLINK("https://www.boe.es/gazeta/dias/1800/06/27/pdfs/GMD-1800-51.pdf#page=3","Abrir facsímil")</f>
        <v>Abrir facsímil</v>
      </c>
      <c r="K2633" s="15" t="s">
        <v>23</v>
      </c>
    </row>
    <row r="2634" spans="1:11" ht="42" customHeight="1">
      <c r="A2634" s="4" t="s">
        <v>6525</v>
      </c>
      <c r="B2634" s="5" t="s">
        <v>6525</v>
      </c>
      <c r="C2634" s="5" t="s">
        <v>18</v>
      </c>
      <c r="D2634" s="5" t="s">
        <v>19</v>
      </c>
      <c r="E2634" s="5" t="s">
        <v>314</v>
      </c>
      <c r="F2634" s="9">
        <v>74</v>
      </c>
      <c r="G2634" s="9">
        <v>824</v>
      </c>
      <c r="H2634" s="5" t="s">
        <v>21</v>
      </c>
      <c r="I2634" s="5" t="s">
        <v>6526</v>
      </c>
      <c r="J2634" s="12" t="str">
        <f>HYPERLINK("https://www.boe.es/gazeta/dias/1800/09/12/pdfs/GMD-1800-74.pdf#page=2","Abrir facsímil")</f>
        <v>Abrir facsímil</v>
      </c>
      <c r="K2634" s="15" t="s">
        <v>23</v>
      </c>
    </row>
    <row r="2635" spans="1:11" ht="42" customHeight="1">
      <c r="A2635" s="4" t="s">
        <v>6527</v>
      </c>
      <c r="B2635" s="5" t="s">
        <v>6527</v>
      </c>
      <c r="C2635" s="5" t="s">
        <v>41</v>
      </c>
      <c r="D2635" s="5" t="s">
        <v>42</v>
      </c>
      <c r="E2635" s="5" t="s">
        <v>56</v>
      </c>
      <c r="F2635" s="9">
        <v>90</v>
      </c>
      <c r="G2635" s="9">
        <v>1047</v>
      </c>
      <c r="H2635" s="5" t="s">
        <v>21</v>
      </c>
      <c r="I2635" s="5" t="s">
        <v>6528</v>
      </c>
      <c r="J2635" s="12" t="str">
        <f>HYPERLINK("https://www.boe.es/gazeta/dias/1800/11/07/pdfs/GMD-1800-90.pdf#page=1","Abrir facsímil")</f>
        <v>Abrir facsímil</v>
      </c>
      <c r="K2635" s="15" t="s">
        <v>23</v>
      </c>
    </row>
    <row r="2636" spans="1:11" ht="42" customHeight="1">
      <c r="A2636" s="4" t="s">
        <v>6529</v>
      </c>
      <c r="B2636" s="5" t="s">
        <v>6529</v>
      </c>
      <c r="C2636" s="5" t="s">
        <v>41</v>
      </c>
      <c r="D2636" s="5" t="s">
        <v>42</v>
      </c>
      <c r="E2636" s="5" t="s">
        <v>120</v>
      </c>
      <c r="F2636" s="9">
        <v>52</v>
      </c>
      <c r="G2636" s="9">
        <v>566</v>
      </c>
      <c r="H2636" s="5" t="s">
        <v>21</v>
      </c>
      <c r="I2636" s="5" t="s">
        <v>6530</v>
      </c>
      <c r="J2636" s="12" t="str">
        <f>HYPERLINK("https://www.boe.es/gazeta/dias/1800/07/01/pdfs/GMD-1800-52.pdf#page=2","Abrir facsímil")</f>
        <v>Abrir facsímil</v>
      </c>
      <c r="K2636" s="15" t="s">
        <v>23</v>
      </c>
    </row>
    <row r="2637" spans="1:11" ht="42" customHeight="1">
      <c r="A2637" s="4" t="s">
        <v>6531</v>
      </c>
      <c r="B2637" s="5" t="s">
        <v>6531</v>
      </c>
      <c r="C2637" s="5" t="s">
        <v>41</v>
      </c>
      <c r="D2637" s="5" t="s">
        <v>42</v>
      </c>
      <c r="E2637" s="5" t="s">
        <v>194</v>
      </c>
      <c r="F2637" s="9">
        <v>48</v>
      </c>
      <c r="G2637" s="9">
        <v>509</v>
      </c>
      <c r="H2637" s="5" t="s">
        <v>21</v>
      </c>
      <c r="I2637" s="5" t="s">
        <v>6532</v>
      </c>
      <c r="J2637" s="12" t="str">
        <f>HYPERLINK("https://www.boe.es/gazeta/dias/1800/06/17/pdfs/GMD-1800-48.pdf#page=1","Abrir facsímil")</f>
        <v>Abrir facsímil</v>
      </c>
      <c r="K2637" s="15" t="s">
        <v>23</v>
      </c>
    </row>
    <row r="2638" spans="1:11" ht="42" customHeight="1">
      <c r="A2638" s="4" t="s">
        <v>6533</v>
      </c>
      <c r="B2638" s="5" t="s">
        <v>6533</v>
      </c>
      <c r="C2638" s="5" t="s">
        <v>18</v>
      </c>
      <c r="D2638" s="5" t="s">
        <v>19</v>
      </c>
      <c r="E2638" s="5" t="s">
        <v>58</v>
      </c>
      <c r="F2638" s="9">
        <v>92</v>
      </c>
      <c r="G2638" s="9">
        <v>1049</v>
      </c>
      <c r="H2638" s="5" t="s">
        <v>21</v>
      </c>
      <c r="I2638" s="5" t="s">
        <v>6534</v>
      </c>
      <c r="J2638" s="12" t="str">
        <f>HYPERLINK("https://www.boe.es/gazeta/dias/1800/11/14/pdfs/GMD-1800-92.pdf#page=3","Abrir facsímil")</f>
        <v>Abrir facsímil</v>
      </c>
      <c r="K2638" s="15" t="s">
        <v>23</v>
      </c>
    </row>
    <row r="2639" spans="1:11" ht="42" customHeight="1">
      <c r="A2639" s="4" t="s">
        <v>6535</v>
      </c>
      <c r="B2639" s="5" t="s">
        <v>6535</v>
      </c>
      <c r="C2639" s="5" t="s">
        <v>41</v>
      </c>
      <c r="D2639" s="5" t="s">
        <v>42</v>
      </c>
      <c r="E2639" s="5" t="s">
        <v>618</v>
      </c>
      <c r="F2639" s="9">
        <v>1</v>
      </c>
      <c r="G2639" s="9">
        <v>2</v>
      </c>
      <c r="H2639" s="5" t="s">
        <v>21</v>
      </c>
      <c r="I2639" s="5" t="s">
        <v>6536</v>
      </c>
      <c r="J2639" s="12" t="str">
        <f>HYPERLINK("https://www.boe.es/gazeta/dias/1800/01/03/pdfs/GMD-1800-1.pdf#page=2","Abrir facsímil")</f>
        <v>Abrir facsímil</v>
      </c>
      <c r="K2639" s="15" t="s">
        <v>23</v>
      </c>
    </row>
    <row r="2640" spans="1:11" ht="42" customHeight="1">
      <c r="A2640" s="4" t="s">
        <v>6537</v>
      </c>
      <c r="B2640" s="5" t="s">
        <v>6537</v>
      </c>
      <c r="C2640" s="5" t="s">
        <v>41</v>
      </c>
      <c r="D2640" s="5" t="s">
        <v>42</v>
      </c>
      <c r="E2640" s="5" t="s">
        <v>31</v>
      </c>
      <c r="F2640" s="9">
        <v>20</v>
      </c>
      <c r="G2640" s="9">
        <v>186</v>
      </c>
      <c r="H2640" s="5" t="s">
        <v>21</v>
      </c>
      <c r="I2640" s="5" t="s">
        <v>6538</v>
      </c>
      <c r="J2640" s="12" t="str">
        <f>HYPERLINK("https://www.boe.es/gazeta/dias/1800/03/11/pdfs/GMD-1800-20.pdf#page=2","Abrir facsímil")</f>
        <v>Abrir facsímil</v>
      </c>
      <c r="K2640" s="15" t="s">
        <v>23</v>
      </c>
    </row>
    <row r="2641" spans="1:11" ht="42" customHeight="1">
      <c r="A2641" s="4" t="s">
        <v>6539</v>
      </c>
      <c r="B2641" s="5" t="s">
        <v>6539</v>
      </c>
      <c r="C2641" s="5" t="s">
        <v>84</v>
      </c>
      <c r="D2641" s="5" t="s">
        <v>85</v>
      </c>
      <c r="E2641" s="5" t="s">
        <v>825</v>
      </c>
      <c r="F2641" s="9">
        <v>51</v>
      </c>
      <c r="G2641" s="9">
        <v>553</v>
      </c>
      <c r="H2641" s="5" t="s">
        <v>21</v>
      </c>
      <c r="I2641" s="5" t="s">
        <v>6540</v>
      </c>
      <c r="J2641" s="12" t="str">
        <f>HYPERLINK("https://www.boe.es/gazeta/dias/1800/06/27/pdfs/GMD-1800-51.pdf#page=5","Abrir facsímil")</f>
        <v>Abrir facsímil</v>
      </c>
      <c r="K2641" s="15" t="s">
        <v>23</v>
      </c>
    </row>
    <row r="2642" spans="1:11" ht="42" customHeight="1">
      <c r="A2642" s="4" t="s">
        <v>6541</v>
      </c>
      <c r="B2642" s="5" t="s">
        <v>6541</v>
      </c>
      <c r="C2642" s="5" t="s">
        <v>18</v>
      </c>
      <c r="D2642" s="5" t="s">
        <v>19</v>
      </c>
      <c r="E2642" s="5" t="s">
        <v>299</v>
      </c>
      <c r="F2642" s="9">
        <v>40</v>
      </c>
      <c r="G2642" s="9">
        <v>409</v>
      </c>
      <c r="H2642" s="5" t="s">
        <v>21</v>
      </c>
      <c r="I2642" s="5" t="s">
        <v>6542</v>
      </c>
      <c r="J2642" s="12" t="str">
        <f>HYPERLINK("https://www.boe.es/gazeta/dias/1800/05/20/pdfs/GMD-1800-40.pdf#page=5","Abrir facsímil")</f>
        <v>Abrir facsímil</v>
      </c>
      <c r="K2642" s="15" t="s">
        <v>23</v>
      </c>
    </row>
    <row r="2643" spans="1:11" ht="42" customHeight="1">
      <c r="A2643" s="4" t="s">
        <v>6543</v>
      </c>
      <c r="B2643" s="5" t="s">
        <v>6543</v>
      </c>
      <c r="C2643" s="5" t="s">
        <v>41</v>
      </c>
      <c r="D2643" s="5" t="s">
        <v>42</v>
      </c>
      <c r="E2643" s="5" t="s">
        <v>101</v>
      </c>
      <c r="F2643" s="9">
        <v>37</v>
      </c>
      <c r="G2643" s="9">
        <v>371</v>
      </c>
      <c r="H2643" s="5" t="s">
        <v>21</v>
      </c>
      <c r="I2643" s="5" t="s">
        <v>6544</v>
      </c>
      <c r="J2643" s="12" t="str">
        <f>HYPERLINK("https://www.boe.es/gazeta/dias/1800/05/09/pdfs/GMD-1800-37.pdf#page=3","Abrir facsímil")</f>
        <v>Abrir facsímil</v>
      </c>
      <c r="K2643" s="15" t="s">
        <v>23</v>
      </c>
    </row>
    <row r="2644" spans="1:11" ht="42" customHeight="1">
      <c r="A2644" s="4" t="s">
        <v>6545</v>
      </c>
      <c r="B2644" s="5" t="s">
        <v>6545</v>
      </c>
      <c r="C2644" s="5" t="s">
        <v>18</v>
      </c>
      <c r="D2644" s="5" t="s">
        <v>19</v>
      </c>
      <c r="E2644" s="5" t="s">
        <v>31</v>
      </c>
      <c r="F2644" s="9">
        <v>20</v>
      </c>
      <c r="G2644" s="9">
        <v>188</v>
      </c>
      <c r="H2644" s="5" t="s">
        <v>21</v>
      </c>
      <c r="I2644" s="5" t="s">
        <v>6546</v>
      </c>
      <c r="J2644" s="12" t="str">
        <f>HYPERLINK("https://www.boe.es/gazeta/dias/1800/03/11/pdfs/GMD-1800-20.pdf#page=4","Abrir facsímil")</f>
        <v>Abrir facsímil</v>
      </c>
      <c r="K2644" s="15" t="s">
        <v>23</v>
      </c>
    </row>
    <row r="2645" spans="1:11" ht="42" customHeight="1">
      <c r="A2645" s="4" t="s">
        <v>6547</v>
      </c>
      <c r="B2645" s="5" t="s">
        <v>6548</v>
      </c>
      <c r="C2645" s="5" t="s">
        <v>54</v>
      </c>
      <c r="D2645" s="5" t="s">
        <v>55</v>
      </c>
      <c r="E2645" s="5" t="s">
        <v>218</v>
      </c>
      <c r="F2645" s="9">
        <v>5</v>
      </c>
      <c r="G2645" s="9">
        <v>44</v>
      </c>
      <c r="H2645" s="5" t="s">
        <v>21</v>
      </c>
      <c r="I2645" s="5" t="s">
        <v>6549</v>
      </c>
      <c r="J2645" s="12" t="str">
        <f>HYPERLINK("https://www.boe.es/gazeta/dias/1800/01/17/pdfs/GMD-1800-5.pdf#page=4","Abrir facsímil")</f>
        <v>Abrir facsímil</v>
      </c>
      <c r="K2645" s="15" t="s">
        <v>23</v>
      </c>
    </row>
    <row r="2646" spans="1:11" ht="42" customHeight="1">
      <c r="A2646" s="4" t="s">
        <v>6547</v>
      </c>
      <c r="B2646" s="5" t="s">
        <v>6548</v>
      </c>
      <c r="C2646" s="5" t="s">
        <v>41</v>
      </c>
      <c r="D2646" s="5" t="s">
        <v>42</v>
      </c>
      <c r="E2646" s="5" t="s">
        <v>124</v>
      </c>
      <c r="F2646" s="9">
        <v>16</v>
      </c>
      <c r="G2646" s="9">
        <v>145</v>
      </c>
      <c r="H2646" s="5" t="s">
        <v>21</v>
      </c>
      <c r="I2646" s="5" t="s">
        <v>6550</v>
      </c>
      <c r="J2646" s="12" t="str">
        <f>HYPERLINK("https://www.boe.es/gazeta/dias/1800/02/25/pdfs/GMD-1800-16.pdf#page=1","Abrir facsímil")</f>
        <v>Abrir facsímil</v>
      </c>
      <c r="K2646" s="15" t="s">
        <v>23</v>
      </c>
    </row>
    <row r="2647" spans="1:11" ht="42" customHeight="1">
      <c r="A2647" s="4" t="s">
        <v>6547</v>
      </c>
      <c r="B2647" s="5" t="s">
        <v>6548</v>
      </c>
      <c r="C2647" s="5" t="s">
        <v>41</v>
      </c>
      <c r="D2647" s="5" t="s">
        <v>42</v>
      </c>
      <c r="E2647" s="5" t="s">
        <v>248</v>
      </c>
      <c r="F2647" s="9">
        <v>33</v>
      </c>
      <c r="G2647" s="9">
        <v>326</v>
      </c>
      <c r="H2647" s="5" t="s">
        <v>21</v>
      </c>
      <c r="I2647" s="5" t="s">
        <v>6551</v>
      </c>
      <c r="J2647" s="12" t="str">
        <f>HYPERLINK("https://www.boe.es/gazeta/dias/1800/04/25/pdfs/GMD-1800-33.pdf#page=2","Abrir facsímil")</f>
        <v>Abrir facsímil</v>
      </c>
      <c r="K2647" s="15" t="s">
        <v>23</v>
      </c>
    </row>
    <row r="2648" spans="1:11" ht="42" customHeight="1">
      <c r="A2648" s="4" t="s">
        <v>6547</v>
      </c>
      <c r="B2648" s="5" t="s">
        <v>6548</v>
      </c>
      <c r="C2648" s="5" t="s">
        <v>84</v>
      </c>
      <c r="D2648" s="5" t="s">
        <v>85</v>
      </c>
      <c r="E2648" s="5" t="s">
        <v>248</v>
      </c>
      <c r="F2648" s="9">
        <v>33</v>
      </c>
      <c r="G2648" s="9">
        <v>329</v>
      </c>
      <c r="H2648" s="5" t="s">
        <v>21</v>
      </c>
      <c r="I2648" s="5" t="s">
        <v>6552</v>
      </c>
      <c r="J2648" s="12" t="str">
        <f>HYPERLINK("https://www.boe.es/gazeta/dias/1800/04/25/pdfs/GMD-1800-33.pdf#page=5","Abrir facsímil")</f>
        <v>Abrir facsímil</v>
      </c>
      <c r="K2648" s="15" t="s">
        <v>23</v>
      </c>
    </row>
    <row r="2649" spans="1:11" ht="42" customHeight="1">
      <c r="A2649" s="4" t="s">
        <v>6547</v>
      </c>
      <c r="B2649" s="5" t="s">
        <v>6548</v>
      </c>
      <c r="C2649" s="5" t="s">
        <v>41</v>
      </c>
      <c r="D2649" s="5" t="s">
        <v>42</v>
      </c>
      <c r="E2649" s="5" t="s">
        <v>262</v>
      </c>
      <c r="F2649" s="9">
        <v>39</v>
      </c>
      <c r="G2649" s="9">
        <v>396</v>
      </c>
      <c r="H2649" s="5" t="s">
        <v>21</v>
      </c>
      <c r="I2649" s="5" t="s">
        <v>6553</v>
      </c>
      <c r="J2649" s="12" t="str">
        <f>HYPERLINK("https://www.boe.es/gazeta/dias/1800/05/16/pdfs/GMD-1800-39.pdf#page=4","Abrir facsímil")</f>
        <v>Abrir facsímil</v>
      </c>
      <c r="K2649" s="15" t="s">
        <v>23</v>
      </c>
    </row>
    <row r="2650" spans="1:11" ht="42" customHeight="1">
      <c r="A2650" s="4" t="s">
        <v>6547</v>
      </c>
      <c r="B2650" s="5" t="s">
        <v>6548</v>
      </c>
      <c r="C2650" s="5" t="s">
        <v>41</v>
      </c>
      <c r="D2650" s="5" t="s">
        <v>42</v>
      </c>
      <c r="E2650" s="5" t="s">
        <v>828</v>
      </c>
      <c r="F2650" s="9">
        <v>53</v>
      </c>
      <c r="G2650" s="9">
        <v>581</v>
      </c>
      <c r="H2650" s="5" t="s">
        <v>21</v>
      </c>
      <c r="I2650" s="5" t="s">
        <v>6554</v>
      </c>
      <c r="J2650" s="12" t="str">
        <f>HYPERLINK("https://www.boe.es/gazeta/dias/1800/07/04/pdfs/GMD-1800-53.pdf#page=1","Abrir facsímil")</f>
        <v>Abrir facsímil</v>
      </c>
      <c r="K2650" s="15" t="s">
        <v>23</v>
      </c>
    </row>
    <row r="2651" spans="1:11" ht="42" customHeight="1">
      <c r="A2651" s="4" t="s">
        <v>6547</v>
      </c>
      <c r="B2651" s="5" t="s">
        <v>6548</v>
      </c>
      <c r="C2651" s="5" t="s">
        <v>41</v>
      </c>
      <c r="D2651" s="5" t="s">
        <v>42</v>
      </c>
      <c r="E2651" s="5" t="s">
        <v>56</v>
      </c>
      <c r="F2651" s="9">
        <v>90</v>
      </c>
      <c r="G2651" s="9">
        <v>1053</v>
      </c>
      <c r="H2651" s="5" t="s">
        <v>21</v>
      </c>
      <c r="I2651" s="5" t="s">
        <v>6555</v>
      </c>
      <c r="J2651" s="12" t="str">
        <f>HYPERLINK("https://www.boe.es/gazeta/dias/1800/11/07/pdfs/GMD-1800-90.pdf#page=7","Abrir facsímil")</f>
        <v>Abrir facsímil</v>
      </c>
      <c r="K2651" s="15" t="s">
        <v>23</v>
      </c>
    </row>
    <row r="2652" spans="1:11" ht="42" customHeight="1">
      <c r="A2652" s="4" t="s">
        <v>6556</v>
      </c>
      <c r="B2652" s="5" t="s">
        <v>6556</v>
      </c>
      <c r="C2652" s="5" t="s">
        <v>18</v>
      </c>
      <c r="D2652" s="5" t="s">
        <v>19</v>
      </c>
      <c r="E2652" s="5" t="s">
        <v>491</v>
      </c>
      <c r="F2652" s="9">
        <v>29</v>
      </c>
      <c r="G2652" s="9">
        <v>298</v>
      </c>
      <c r="H2652" s="5" t="s">
        <v>21</v>
      </c>
      <c r="I2652" s="5" t="s">
        <v>6557</v>
      </c>
      <c r="J2652" s="12" t="str">
        <f>HYPERLINK("https://www.boe.es/gazeta/dias/1800/04/11/pdfs/GMD-1800-29.pdf#page=6","Abrir facsímil")</f>
        <v>Abrir facsímil</v>
      </c>
      <c r="K2652" s="15" t="s">
        <v>23</v>
      </c>
    </row>
    <row r="2653" spans="1:11" ht="42" customHeight="1">
      <c r="A2653" s="4" t="s">
        <v>6558</v>
      </c>
      <c r="B2653" s="5" t="s">
        <v>6559</v>
      </c>
      <c r="C2653" s="5" t="s">
        <v>18</v>
      </c>
      <c r="D2653" s="5" t="s">
        <v>19</v>
      </c>
      <c r="E2653" s="5" t="s">
        <v>135</v>
      </c>
      <c r="F2653" s="9">
        <v>73</v>
      </c>
      <c r="G2653" s="9">
        <v>816</v>
      </c>
      <c r="H2653" s="5" t="s">
        <v>21</v>
      </c>
      <c r="I2653" s="5" t="s">
        <v>6560</v>
      </c>
      <c r="J2653" s="12" t="str">
        <f>HYPERLINK("https://www.boe.es/gazeta/dias/1800/09/09/pdfs/GMD-1800-73.pdf#page=10","Abrir facsímil")</f>
        <v>Abrir facsímil</v>
      </c>
      <c r="K2653" s="15" t="s">
        <v>23</v>
      </c>
    </row>
    <row r="2654" spans="1:11" ht="42" customHeight="1">
      <c r="A2654" s="4" t="s">
        <v>6561</v>
      </c>
      <c r="B2654" s="5" t="s">
        <v>6561</v>
      </c>
      <c r="C2654" s="5" t="s">
        <v>25</v>
      </c>
      <c r="D2654" s="5" t="s">
        <v>26</v>
      </c>
      <c r="E2654" s="5" t="s">
        <v>1108</v>
      </c>
      <c r="F2654" s="9">
        <v>30</v>
      </c>
      <c r="G2654" s="9">
        <v>307</v>
      </c>
      <c r="H2654" s="5" t="s">
        <v>21</v>
      </c>
      <c r="I2654" s="5" t="s">
        <v>6562</v>
      </c>
      <c r="J2654" s="12" t="str">
        <f>HYPERLINK("https://www.boe.es/gazeta/dias/1800/04/15/pdfs/GMD-1800-30.pdf#page=7","Abrir facsímil")</f>
        <v>Abrir facsímil</v>
      </c>
      <c r="K2654" s="15" t="s">
        <v>23</v>
      </c>
    </row>
    <row r="2655" spans="1:11" ht="42" customHeight="1">
      <c r="A2655" s="4" t="s">
        <v>6563</v>
      </c>
      <c r="B2655" s="5" t="s">
        <v>6564</v>
      </c>
      <c r="C2655" s="5" t="s">
        <v>207</v>
      </c>
      <c r="D2655" s="5" t="s">
        <v>55</v>
      </c>
      <c r="E2655" s="5" t="s">
        <v>88</v>
      </c>
      <c r="F2655" s="9">
        <v>23</v>
      </c>
      <c r="G2655" s="9">
        <v>233</v>
      </c>
      <c r="H2655" s="5" t="s">
        <v>21</v>
      </c>
      <c r="I2655" s="5" t="s">
        <v>6565</v>
      </c>
      <c r="J2655" s="12" t="str">
        <f>HYPERLINK("https://www.boe.es/gazeta/dias/1800/03/21/pdfs/GMD-1800-23.pdf#page=9","Abrir facsímil")</f>
        <v>Abrir facsímil</v>
      </c>
      <c r="K2655" s="15" t="s">
        <v>23</v>
      </c>
    </row>
    <row r="2656" spans="1:11" ht="42" customHeight="1">
      <c r="A2656" s="4" t="s">
        <v>6566</v>
      </c>
      <c r="B2656" s="5" t="s">
        <v>6566</v>
      </c>
      <c r="C2656" s="5" t="s">
        <v>207</v>
      </c>
      <c r="D2656" s="5" t="s">
        <v>55</v>
      </c>
      <c r="E2656" s="5" t="s">
        <v>244</v>
      </c>
      <c r="F2656" s="9">
        <v>9</v>
      </c>
      <c r="G2656" s="9">
        <v>85</v>
      </c>
      <c r="H2656" s="5" t="s">
        <v>21</v>
      </c>
      <c r="I2656" s="5" t="s">
        <v>6567</v>
      </c>
      <c r="J2656" s="12" t="str">
        <f>HYPERLINK("https://www.boe.es/gazeta/dias/1800/01/31/pdfs/GMD-1800-9.pdf#page=9","Abrir facsímil")</f>
        <v>Abrir facsímil</v>
      </c>
      <c r="K2656" s="15" t="s">
        <v>23</v>
      </c>
    </row>
    <row r="2657" spans="1:11" ht="42" customHeight="1">
      <c r="A2657" s="4" t="s">
        <v>6568</v>
      </c>
      <c r="B2657" s="5" t="s">
        <v>6569</v>
      </c>
      <c r="C2657" s="5" t="s">
        <v>54</v>
      </c>
      <c r="D2657" s="5" t="s">
        <v>55</v>
      </c>
      <c r="E2657" s="5" t="s">
        <v>618</v>
      </c>
      <c r="F2657" s="9">
        <v>1</v>
      </c>
      <c r="G2657" s="9">
        <v>8</v>
      </c>
      <c r="H2657" s="5" t="s">
        <v>21</v>
      </c>
      <c r="I2657" s="5" t="s">
        <v>6570</v>
      </c>
      <c r="J2657" s="12" t="str">
        <f>HYPERLINK("https://www.boe.es/gazeta/dias/1800/01/03/pdfs/GMD-1800-1.pdf#page=8","Abrir facsímil")</f>
        <v>Abrir facsímil</v>
      </c>
      <c r="K2657" s="15" t="s">
        <v>23</v>
      </c>
    </row>
    <row r="2658" spans="1:11" ht="42" customHeight="1">
      <c r="A2658" s="4" t="s">
        <v>6571</v>
      </c>
      <c r="B2658" s="5" t="s">
        <v>6571</v>
      </c>
      <c r="C2658" s="5" t="s">
        <v>41</v>
      </c>
      <c r="D2658" s="5" t="s">
        <v>42</v>
      </c>
      <c r="E2658" s="5" t="s">
        <v>50</v>
      </c>
      <c r="F2658" s="9">
        <v>81</v>
      </c>
      <c r="G2658" s="9">
        <v>913</v>
      </c>
      <c r="H2658" s="5" t="s">
        <v>21</v>
      </c>
      <c r="I2658" s="5" t="s">
        <v>6572</v>
      </c>
      <c r="J2658" s="12" t="str">
        <f>HYPERLINK("https://www.boe.es/gazeta/dias/1800/10/07/pdfs/GMD-1800-81.pdf#page=3","Abrir facsímil")</f>
        <v>Abrir facsímil</v>
      </c>
      <c r="K2658" s="15" t="s">
        <v>23</v>
      </c>
    </row>
    <row r="2659" spans="1:11" ht="42" customHeight="1">
      <c r="A2659" s="4" t="s">
        <v>6573</v>
      </c>
      <c r="B2659" s="5" t="s">
        <v>6573</v>
      </c>
      <c r="C2659" s="5" t="s">
        <v>18</v>
      </c>
      <c r="D2659" s="5" t="s">
        <v>19</v>
      </c>
      <c r="E2659" s="5" t="s">
        <v>410</v>
      </c>
      <c r="F2659" s="9">
        <v>87</v>
      </c>
      <c r="G2659" s="9">
        <v>1007</v>
      </c>
      <c r="H2659" s="5" t="s">
        <v>21</v>
      </c>
      <c r="I2659" s="5" t="s">
        <v>6574</v>
      </c>
      <c r="J2659" s="12" t="str">
        <f>HYPERLINK("https://www.boe.es/gazeta/dias/1800/10/28/pdfs/GMD-1800-87.pdf#page=5","Abrir facsímil")</f>
        <v>Abrir facsímil</v>
      </c>
      <c r="K2659" s="15" t="s">
        <v>23</v>
      </c>
    </row>
    <row r="2660" spans="1:11" ht="42" customHeight="1">
      <c r="A2660" s="4" t="s">
        <v>6575</v>
      </c>
      <c r="B2660" s="5" t="s">
        <v>6576</v>
      </c>
      <c r="C2660" s="5" t="s">
        <v>41</v>
      </c>
      <c r="D2660" s="5" t="s">
        <v>42</v>
      </c>
      <c r="E2660" s="5" t="s">
        <v>2338</v>
      </c>
      <c r="F2660" s="9">
        <v>42</v>
      </c>
      <c r="G2660" s="9">
        <v>432</v>
      </c>
      <c r="H2660" s="5" t="s">
        <v>21</v>
      </c>
      <c r="I2660" s="5" t="s">
        <v>6577</v>
      </c>
      <c r="J2660" s="12" t="str">
        <f>HYPERLINK("https://www.boe.es/gazeta/dias/1800/05/27/pdfs/GMD-1800-42.pdf#page=4","Abrir facsímil")</f>
        <v>Abrir facsímil</v>
      </c>
      <c r="K2660" s="15" t="s">
        <v>23</v>
      </c>
    </row>
    <row r="2661" spans="1:11" ht="42" customHeight="1">
      <c r="A2661" s="4" t="s">
        <v>6578</v>
      </c>
      <c r="B2661" s="5" t="s">
        <v>6578</v>
      </c>
      <c r="C2661" s="5" t="s">
        <v>18</v>
      </c>
      <c r="D2661" s="5" t="s">
        <v>19</v>
      </c>
      <c r="E2661" s="5" t="s">
        <v>576</v>
      </c>
      <c r="F2661" s="9">
        <v>91</v>
      </c>
      <c r="G2661" s="9">
        <v>1061</v>
      </c>
      <c r="H2661" s="5" t="s">
        <v>21</v>
      </c>
      <c r="I2661" s="5" t="s">
        <v>6579</v>
      </c>
      <c r="J2661" s="12" t="str">
        <f>HYPERLINK("https://www.boe.es/gazeta/dias/1800/11/11/pdfs/GMD-1800-91.pdf#page=3","Abrir facsímil")</f>
        <v>Abrir facsímil</v>
      </c>
      <c r="K2661" s="15" t="s">
        <v>23</v>
      </c>
    </row>
    <row r="2662" spans="1:11" ht="42" customHeight="1">
      <c r="A2662" s="4" t="s">
        <v>6580</v>
      </c>
      <c r="B2662" s="5" t="s">
        <v>6581</v>
      </c>
      <c r="C2662" s="5" t="s">
        <v>41</v>
      </c>
      <c r="D2662" s="5" t="s">
        <v>42</v>
      </c>
      <c r="E2662" s="5" t="s">
        <v>45</v>
      </c>
      <c r="F2662" s="9">
        <v>47</v>
      </c>
      <c r="G2662" s="9">
        <v>494</v>
      </c>
      <c r="H2662" s="5" t="s">
        <v>21</v>
      </c>
      <c r="I2662" s="5" t="s">
        <v>6582</v>
      </c>
      <c r="J2662" s="12" t="str">
        <f>HYPERLINK("https://www.boe.es/gazeta/dias/1800/06/13/pdfs/GMD-1800-47.pdf#page=2","Abrir facsímil")</f>
        <v>Abrir facsímil</v>
      </c>
      <c r="K2662" s="15" t="s">
        <v>23</v>
      </c>
    </row>
    <row r="2663" spans="1:11" ht="42" customHeight="1">
      <c r="A2663" s="4" t="s">
        <v>6580</v>
      </c>
      <c r="B2663" s="5" t="s">
        <v>6581</v>
      </c>
      <c r="C2663" s="5" t="s">
        <v>18</v>
      </c>
      <c r="D2663" s="5" t="s">
        <v>19</v>
      </c>
      <c r="E2663" s="5" t="s">
        <v>45</v>
      </c>
      <c r="F2663" s="9">
        <v>47</v>
      </c>
      <c r="G2663" s="9">
        <v>501</v>
      </c>
      <c r="H2663" s="5" t="s">
        <v>21</v>
      </c>
      <c r="I2663" s="5" t="s">
        <v>6583</v>
      </c>
      <c r="J2663" s="12" t="str">
        <f>HYPERLINK("https://www.boe.es/gazeta/dias/1800/06/13/pdfs/GMD-1800-47.pdf#page=9","Abrir facsímil")</f>
        <v>Abrir facsímil</v>
      </c>
      <c r="K2663" s="15" t="s">
        <v>23</v>
      </c>
    </row>
    <row r="2664" spans="1:11" ht="42" customHeight="1">
      <c r="A2664" s="4" t="s">
        <v>6580</v>
      </c>
      <c r="B2664" s="5" t="s">
        <v>6581</v>
      </c>
      <c r="C2664" s="5" t="s">
        <v>41</v>
      </c>
      <c r="D2664" s="5" t="s">
        <v>42</v>
      </c>
      <c r="E2664" s="5" t="s">
        <v>120</v>
      </c>
      <c r="F2664" s="9">
        <v>52</v>
      </c>
      <c r="G2664" s="9">
        <v>565</v>
      </c>
      <c r="H2664" s="5" t="s">
        <v>21</v>
      </c>
      <c r="I2664" s="5" t="s">
        <v>6584</v>
      </c>
      <c r="J2664" s="12" t="str">
        <f>HYPERLINK("https://www.boe.es/gazeta/dias/1800/07/01/pdfs/GMD-1800-52.pdf#page=1","Abrir facsímil")</f>
        <v>Abrir facsímil</v>
      </c>
      <c r="K2664" s="15" t="s">
        <v>23</v>
      </c>
    </row>
    <row r="2665" spans="1:11" ht="42" customHeight="1">
      <c r="A2665" s="4" t="s">
        <v>6580</v>
      </c>
      <c r="B2665" s="5" t="s">
        <v>6581</v>
      </c>
      <c r="C2665" s="5" t="s">
        <v>41</v>
      </c>
      <c r="D2665" s="5" t="s">
        <v>42</v>
      </c>
      <c r="E2665" s="5" t="s">
        <v>530</v>
      </c>
      <c r="F2665" s="9">
        <v>55</v>
      </c>
      <c r="G2665" s="9">
        <v>619</v>
      </c>
      <c r="H2665" s="5" t="s">
        <v>21</v>
      </c>
      <c r="I2665" s="5" t="s">
        <v>6585</v>
      </c>
      <c r="J2665" s="12" t="str">
        <f>HYPERLINK("https://www.boe.es/gazeta/dias/1800/07/11/pdfs/GMD-1800-55.pdf#page=7","Abrir facsímil")</f>
        <v>Abrir facsímil</v>
      </c>
      <c r="K2665" s="15" t="s">
        <v>23</v>
      </c>
    </row>
    <row r="2666" spans="1:11" ht="42" customHeight="1">
      <c r="A2666" s="4" t="s">
        <v>6580</v>
      </c>
      <c r="B2666" s="5" t="s">
        <v>6581</v>
      </c>
      <c r="C2666" s="5" t="s">
        <v>41</v>
      </c>
      <c r="D2666" s="5" t="s">
        <v>42</v>
      </c>
      <c r="E2666" s="5" t="s">
        <v>530</v>
      </c>
      <c r="F2666" s="9">
        <v>55</v>
      </c>
      <c r="G2666" s="9">
        <v>620</v>
      </c>
      <c r="H2666" s="5" t="s">
        <v>21</v>
      </c>
      <c r="I2666" s="5" t="s">
        <v>6586</v>
      </c>
      <c r="J2666" s="12" t="str">
        <f>HYPERLINK("https://www.boe.es/gazeta/dias/1800/07/11/pdfs/GMD-1800-55.pdf#page=8","Abrir facsímil")</f>
        <v>Abrir facsímil</v>
      </c>
      <c r="K2666" s="15" t="s">
        <v>23</v>
      </c>
    </row>
    <row r="2667" spans="1:11" ht="42" customHeight="1">
      <c r="A2667" s="4" t="s">
        <v>6580</v>
      </c>
      <c r="B2667" s="5" t="s">
        <v>6581</v>
      </c>
      <c r="C2667" s="5" t="s">
        <v>41</v>
      </c>
      <c r="D2667" s="5" t="s">
        <v>42</v>
      </c>
      <c r="E2667" s="5" t="s">
        <v>310</v>
      </c>
      <c r="F2667" s="9">
        <v>56</v>
      </c>
      <c r="G2667" s="9">
        <v>631</v>
      </c>
      <c r="H2667" s="5" t="s">
        <v>21</v>
      </c>
      <c r="I2667" s="5" t="s">
        <v>6587</v>
      </c>
      <c r="J2667" s="12" t="str">
        <f>HYPERLINK("https://www.boe.es/gazeta/dias/1800/07/15/pdfs/GMD-1800-56.pdf#page=7","Abrir facsímil")</f>
        <v>Abrir facsímil</v>
      </c>
      <c r="K2667" s="15" t="s">
        <v>23</v>
      </c>
    </row>
    <row r="2668" spans="1:11" ht="42" customHeight="1">
      <c r="A2668" s="4" t="s">
        <v>6580</v>
      </c>
      <c r="B2668" s="5" t="s">
        <v>6581</v>
      </c>
      <c r="C2668" s="5" t="s">
        <v>41</v>
      </c>
      <c r="D2668" s="5" t="s">
        <v>42</v>
      </c>
      <c r="E2668" s="5" t="s">
        <v>1287</v>
      </c>
      <c r="F2668" s="9">
        <v>57</v>
      </c>
      <c r="G2668" s="9">
        <v>641</v>
      </c>
      <c r="H2668" s="5" t="s">
        <v>21</v>
      </c>
      <c r="I2668" s="5" t="s">
        <v>1288</v>
      </c>
      <c r="J2668" s="12" t="str">
        <f>HYPERLINK("https://www.boe.es/gazeta/dias/1800/07/18/pdfs/GMD-1800-57.pdf#page=5","Abrir facsímil")</f>
        <v>Abrir facsímil</v>
      </c>
      <c r="K2668" s="15" t="s">
        <v>23</v>
      </c>
    </row>
    <row r="2669" spans="1:11" ht="42" customHeight="1">
      <c r="A2669" s="4" t="s">
        <v>6580</v>
      </c>
      <c r="B2669" s="5" t="s">
        <v>6581</v>
      </c>
      <c r="C2669" s="5" t="s">
        <v>18</v>
      </c>
      <c r="D2669" s="5" t="s">
        <v>19</v>
      </c>
      <c r="E2669" s="5" t="s">
        <v>154</v>
      </c>
      <c r="F2669" s="9">
        <v>61</v>
      </c>
      <c r="G2669" s="9">
        <v>690</v>
      </c>
      <c r="H2669" s="5" t="s">
        <v>21</v>
      </c>
      <c r="I2669" s="5" t="s">
        <v>6588</v>
      </c>
      <c r="J2669" s="12" t="str">
        <f>HYPERLINK("https://www.boe.es/gazeta/dias/1800/08/01/pdfs/GMD-1800-61.pdf#page=2","Abrir facsímil")</f>
        <v>Abrir facsímil</v>
      </c>
      <c r="K2669" s="15" t="s">
        <v>23</v>
      </c>
    </row>
    <row r="2670" spans="1:11" ht="42" customHeight="1">
      <c r="A2670" s="4" t="s">
        <v>6589</v>
      </c>
      <c r="B2670" s="5" t="s">
        <v>6590</v>
      </c>
      <c r="C2670" s="5" t="s">
        <v>41</v>
      </c>
      <c r="D2670" s="5" t="s">
        <v>42</v>
      </c>
      <c r="E2670" s="5" t="s">
        <v>461</v>
      </c>
      <c r="F2670" s="9">
        <v>18</v>
      </c>
      <c r="G2670" s="9">
        <v>166</v>
      </c>
      <c r="H2670" s="5" t="s">
        <v>21</v>
      </c>
      <c r="I2670" s="5" t="s">
        <v>6591</v>
      </c>
      <c r="J2670" s="12" t="str">
        <f>HYPERLINK("https://www.boe.es/datos/pdfs/BOE//1800/018/C00173-00176.pdf#page=2","Abrir facsímil")</f>
        <v>Abrir facsímil</v>
      </c>
      <c r="K2670" s="15" t="s">
        <v>23</v>
      </c>
    </row>
    <row r="2671" spans="1:11" ht="42" customHeight="1">
      <c r="A2671" s="4" t="s">
        <v>6592</v>
      </c>
      <c r="B2671" s="5" t="s">
        <v>6592</v>
      </c>
      <c r="C2671" s="5" t="s">
        <v>41</v>
      </c>
      <c r="D2671" s="5" t="s">
        <v>42</v>
      </c>
      <c r="E2671" s="5" t="s">
        <v>86</v>
      </c>
      <c r="F2671" s="9">
        <v>17</v>
      </c>
      <c r="G2671" s="9">
        <v>156</v>
      </c>
      <c r="H2671" s="5" t="s">
        <v>21</v>
      </c>
      <c r="I2671" s="5" t="s">
        <v>6593</v>
      </c>
      <c r="J2671" s="12" t="str">
        <f>HYPERLINK("https://www.boe.es/gazeta/dias/1800/02/28/pdfs/GMD-1800-17.pdf#page=4","Abrir facsímil")</f>
        <v>Abrir facsímil</v>
      </c>
      <c r="K2671" s="15" t="s">
        <v>23</v>
      </c>
    </row>
    <row r="2672" spans="1:11" ht="42" customHeight="1">
      <c r="A2672" s="4" t="s">
        <v>6594</v>
      </c>
      <c r="B2672" s="5" t="s">
        <v>6595</v>
      </c>
      <c r="C2672" s="5" t="s">
        <v>41</v>
      </c>
      <c r="D2672" s="5" t="s">
        <v>42</v>
      </c>
      <c r="E2672" s="5" t="s">
        <v>406</v>
      </c>
      <c r="F2672" s="9">
        <v>44</v>
      </c>
      <c r="G2672" s="9">
        <v>456</v>
      </c>
      <c r="H2672" s="5" t="s">
        <v>21</v>
      </c>
      <c r="I2672" s="5" t="s">
        <v>6596</v>
      </c>
      <c r="J2672" s="12" t="str">
        <f>HYPERLINK("https://www.boe.es/gazeta/dias/1800/06/03/pdfs/GMD-1800-44.pdf#page=4","Abrir facsímil")</f>
        <v>Abrir facsímil</v>
      </c>
      <c r="K2672" s="15" t="s">
        <v>23</v>
      </c>
    </row>
    <row r="2673" spans="1:11" ht="42" customHeight="1">
      <c r="A2673" s="4" t="s">
        <v>6594</v>
      </c>
      <c r="B2673" s="5" t="s">
        <v>6595</v>
      </c>
      <c r="C2673" s="5" t="s">
        <v>41</v>
      </c>
      <c r="D2673" s="5" t="s">
        <v>42</v>
      </c>
      <c r="E2673" s="5" t="s">
        <v>823</v>
      </c>
      <c r="F2673" s="9">
        <v>50</v>
      </c>
      <c r="G2673" s="9">
        <v>540</v>
      </c>
      <c r="H2673" s="5" t="s">
        <v>21</v>
      </c>
      <c r="I2673" s="5" t="s">
        <v>6597</v>
      </c>
      <c r="J2673" s="12" t="str">
        <f>HYPERLINK("https://www.boe.es/gazeta/dias/1800/06/24/pdfs/GMD-1800-50.pdf#page=4","Abrir facsímil")</f>
        <v>Abrir facsímil</v>
      </c>
      <c r="K2673" s="15" t="s">
        <v>23</v>
      </c>
    </row>
    <row r="2674" spans="1:11" ht="42" customHeight="1">
      <c r="A2674" s="4" t="s">
        <v>6594</v>
      </c>
      <c r="B2674" s="5" t="s">
        <v>6595</v>
      </c>
      <c r="C2674" s="5" t="s">
        <v>41</v>
      </c>
      <c r="D2674" s="5" t="s">
        <v>42</v>
      </c>
      <c r="E2674" s="5" t="s">
        <v>673</v>
      </c>
      <c r="F2674" s="9">
        <v>89</v>
      </c>
      <c r="G2674" s="9">
        <v>1037</v>
      </c>
      <c r="H2674" s="5" t="s">
        <v>21</v>
      </c>
      <c r="I2674" s="5" t="s">
        <v>6598</v>
      </c>
      <c r="J2674" s="12" t="str">
        <f>HYPERLINK("https://www.boe.es/gazeta/dias/1800/11/04/pdfs/GMD-1800-89.pdf#page=3","Abrir facsímil")</f>
        <v>Abrir facsímil</v>
      </c>
      <c r="K2674" s="15" t="s">
        <v>23</v>
      </c>
    </row>
    <row r="2675" spans="1:11" ht="42" customHeight="1">
      <c r="A2675" s="4" t="s">
        <v>6594</v>
      </c>
      <c r="B2675" s="5" t="s">
        <v>6595</v>
      </c>
      <c r="C2675" s="5" t="s">
        <v>41</v>
      </c>
      <c r="D2675" s="5" t="s">
        <v>42</v>
      </c>
      <c r="E2675" s="5" t="s">
        <v>534</v>
      </c>
      <c r="F2675" s="9">
        <v>100</v>
      </c>
      <c r="G2675" s="9">
        <v>1154</v>
      </c>
      <c r="H2675" s="5" t="s">
        <v>21</v>
      </c>
      <c r="I2675" s="5" t="s">
        <v>6599</v>
      </c>
      <c r="J2675" s="12" t="str">
        <f>HYPERLINK("https://www.boe.es/gazeta/dias/1800/12/12/pdfs/GMD-1800-100.pdf#page=6","Abrir facsímil")</f>
        <v>Abrir facsímil</v>
      </c>
      <c r="K2675" s="15" t="s">
        <v>23</v>
      </c>
    </row>
    <row r="2676" spans="1:11" ht="42" customHeight="1">
      <c r="A2676" s="4" t="s">
        <v>6594</v>
      </c>
      <c r="B2676" s="5" t="s">
        <v>6595</v>
      </c>
      <c r="C2676" s="5" t="s">
        <v>41</v>
      </c>
      <c r="D2676" s="5" t="s">
        <v>42</v>
      </c>
      <c r="E2676" s="5" t="s">
        <v>279</v>
      </c>
      <c r="F2676" s="9">
        <v>103</v>
      </c>
      <c r="G2676" s="9">
        <v>1192</v>
      </c>
      <c r="H2676" s="5" t="s">
        <v>21</v>
      </c>
      <c r="I2676" s="5" t="s">
        <v>6600</v>
      </c>
      <c r="J2676" s="12" t="str">
        <f>HYPERLINK("https://www.boe.es/gazeta/dias/1800/12/23/pdfs/GMD-1800-103.pdf#page=4","Abrir facsímil")</f>
        <v>Abrir facsímil</v>
      </c>
      <c r="K2676" s="15" t="s">
        <v>23</v>
      </c>
    </row>
    <row r="2677" spans="1:11" ht="42" customHeight="1">
      <c r="A2677" s="4" t="s">
        <v>6601</v>
      </c>
      <c r="B2677" s="5" t="s">
        <v>6602</v>
      </c>
      <c r="C2677" s="5" t="s">
        <v>41</v>
      </c>
      <c r="D2677" s="5" t="s">
        <v>42</v>
      </c>
      <c r="E2677" s="5" t="s">
        <v>27</v>
      </c>
      <c r="F2677" s="9">
        <v>65</v>
      </c>
      <c r="G2677" s="9">
        <v>731</v>
      </c>
      <c r="H2677" s="5" t="s">
        <v>21</v>
      </c>
      <c r="I2677" s="5" t="s">
        <v>6603</v>
      </c>
      <c r="J2677" s="12" t="str">
        <f>HYPERLINK("https://www.boe.es/gazeta/dias/1800/08/15/pdfs/GMD-1800-65.pdf#page=7","Abrir facsímil")</f>
        <v>Abrir facsímil</v>
      </c>
      <c r="K2677" s="15" t="s">
        <v>23</v>
      </c>
    </row>
    <row r="2678" spans="1:11" ht="42" customHeight="1">
      <c r="A2678" s="4" t="s">
        <v>6604</v>
      </c>
      <c r="B2678" s="5" t="s">
        <v>6605</v>
      </c>
      <c r="C2678" s="5" t="s">
        <v>41</v>
      </c>
      <c r="D2678" s="5" t="s">
        <v>42</v>
      </c>
      <c r="E2678" s="5" t="s">
        <v>45</v>
      </c>
      <c r="F2678" s="9">
        <v>47</v>
      </c>
      <c r="G2678" s="9">
        <v>498</v>
      </c>
      <c r="H2678" s="5" t="s">
        <v>21</v>
      </c>
      <c r="I2678" s="5" t="s">
        <v>6606</v>
      </c>
      <c r="J2678" s="12" t="str">
        <f>HYPERLINK("https://www.boe.es/gazeta/dias/1800/06/13/pdfs/GMD-1800-47.pdf#page=6","Abrir facsímil")</f>
        <v>Abrir facsímil</v>
      </c>
      <c r="K2678" s="15" t="s">
        <v>23</v>
      </c>
    </row>
    <row r="2679" spans="1:11" ht="42" customHeight="1">
      <c r="A2679" s="4" t="s">
        <v>6604</v>
      </c>
      <c r="B2679" s="5" t="s">
        <v>6605</v>
      </c>
      <c r="C2679" s="5" t="s">
        <v>25</v>
      </c>
      <c r="D2679" s="5" t="s">
        <v>26</v>
      </c>
      <c r="E2679" s="5" t="s">
        <v>120</v>
      </c>
      <c r="F2679" s="9">
        <v>52</v>
      </c>
      <c r="G2679" s="9">
        <v>574</v>
      </c>
      <c r="H2679" s="5" t="s">
        <v>21</v>
      </c>
      <c r="I2679" s="5" t="s">
        <v>6607</v>
      </c>
      <c r="J2679" s="12" t="str">
        <f>HYPERLINK("https://www.boe.es/gazeta/dias/1800/07/01/pdfs/GMD-1800-52.pdf#page=10","Abrir facsímil")</f>
        <v>Abrir facsímil</v>
      </c>
      <c r="K2679" s="15" t="s">
        <v>23</v>
      </c>
    </row>
    <row r="2680" spans="1:11" ht="42" customHeight="1">
      <c r="A2680" s="4" t="s">
        <v>6608</v>
      </c>
      <c r="B2680" s="5" t="s">
        <v>6609</v>
      </c>
      <c r="C2680" s="5" t="s">
        <v>18</v>
      </c>
      <c r="D2680" s="5" t="s">
        <v>19</v>
      </c>
      <c r="E2680" s="5" t="s">
        <v>56</v>
      </c>
      <c r="F2680" s="9">
        <v>90</v>
      </c>
      <c r="G2680" s="9">
        <v>1051</v>
      </c>
      <c r="H2680" s="5" t="s">
        <v>21</v>
      </c>
      <c r="I2680" s="5" t="s">
        <v>6610</v>
      </c>
      <c r="J2680" s="12" t="str">
        <f>HYPERLINK("https://www.boe.es/gazeta/dias/1800/11/07/pdfs/GMD-1800-90.pdf#page=5","Abrir facsímil")</f>
        <v>Abrir facsímil</v>
      </c>
      <c r="K2680" s="15" t="s">
        <v>23</v>
      </c>
    </row>
    <row r="2681" spans="1:11" ht="42" customHeight="1">
      <c r="A2681" s="4" t="s">
        <v>6611</v>
      </c>
      <c r="B2681" s="5" t="s">
        <v>6612</v>
      </c>
      <c r="C2681" s="5" t="s">
        <v>18</v>
      </c>
      <c r="D2681" s="5" t="s">
        <v>19</v>
      </c>
      <c r="E2681" s="5" t="s">
        <v>545</v>
      </c>
      <c r="F2681" s="9">
        <v>14</v>
      </c>
      <c r="G2681" s="9">
        <v>133</v>
      </c>
      <c r="H2681" s="5" t="s">
        <v>21</v>
      </c>
      <c r="I2681" s="5" t="s">
        <v>6613</v>
      </c>
      <c r="J2681" s="12" t="str">
        <f>HYPERLINK("https://www.boe.es/gazeta/dias/1800/02/18/pdfs/GMD-1800-14.pdf#page=5","Abrir facsímil")</f>
        <v>Abrir facsímil</v>
      </c>
      <c r="K2681" s="15" t="s">
        <v>23</v>
      </c>
    </row>
    <row r="2682" spans="1:11" ht="42" customHeight="1">
      <c r="A2682" s="4" t="s">
        <v>6611</v>
      </c>
      <c r="B2682" s="5" t="s">
        <v>6612</v>
      </c>
      <c r="C2682" s="5" t="s">
        <v>84</v>
      </c>
      <c r="D2682" s="5" t="s">
        <v>85</v>
      </c>
      <c r="E2682" s="5" t="s">
        <v>162</v>
      </c>
      <c r="F2682" s="9">
        <v>15</v>
      </c>
      <c r="G2682" s="9">
        <v>140</v>
      </c>
      <c r="H2682" s="5" t="s">
        <v>21</v>
      </c>
      <c r="I2682" s="5" t="s">
        <v>6614</v>
      </c>
      <c r="J2682" s="12" t="str">
        <f>HYPERLINK("https://www.boe.es/gazeta/dias/1800/02/21/pdfs/GMD-1800-15.pdf#page=4","Abrir facsímil")</f>
        <v>Abrir facsímil</v>
      </c>
      <c r="K2682" s="15" t="s">
        <v>23</v>
      </c>
    </row>
    <row r="2683" spans="1:11" ht="42" customHeight="1">
      <c r="A2683" s="4" t="s">
        <v>6611</v>
      </c>
      <c r="B2683" s="5" t="s">
        <v>6612</v>
      </c>
      <c r="C2683" s="5" t="s">
        <v>41</v>
      </c>
      <c r="D2683" s="5" t="s">
        <v>42</v>
      </c>
      <c r="E2683" s="5" t="s">
        <v>143</v>
      </c>
      <c r="F2683" s="9">
        <v>22</v>
      </c>
      <c r="G2683" s="9">
        <v>216</v>
      </c>
      <c r="H2683" s="5" t="s">
        <v>21</v>
      </c>
      <c r="I2683" s="5" t="s">
        <v>6615</v>
      </c>
      <c r="J2683" s="12" t="str">
        <f>HYPERLINK("https://www.boe.es/gazeta/dias/1800/03/18/pdfs/GMD-1800-22.pdf#page=8","Abrir facsímil")</f>
        <v>Abrir facsímil</v>
      </c>
      <c r="K2683" s="15" t="s">
        <v>23</v>
      </c>
    </row>
    <row r="2684" spans="1:11" ht="42" customHeight="1">
      <c r="A2684" s="4" t="s">
        <v>6616</v>
      </c>
      <c r="B2684" s="5" t="s">
        <v>6617</v>
      </c>
      <c r="C2684" s="5" t="s">
        <v>41</v>
      </c>
      <c r="D2684" s="5" t="s">
        <v>42</v>
      </c>
      <c r="E2684" s="5" t="s">
        <v>196</v>
      </c>
      <c r="F2684" s="9">
        <v>97</v>
      </c>
      <c r="G2684" s="9">
        <v>1115</v>
      </c>
      <c r="H2684" s="5" t="s">
        <v>21</v>
      </c>
      <c r="I2684" s="5" t="s">
        <v>6618</v>
      </c>
      <c r="J2684" s="12" t="str">
        <f>HYPERLINK("https://www.boe.es/gazeta/dias/1800/12/02/pdfs/GMD-1800-97.pdf#page=7","Abrir facsímil")</f>
        <v>Abrir facsímil</v>
      </c>
      <c r="K2684" s="15" t="s">
        <v>23</v>
      </c>
    </row>
    <row r="2685" spans="1:11" ht="42" customHeight="1">
      <c r="A2685" s="4" t="s">
        <v>6619</v>
      </c>
      <c r="B2685" s="5" t="s">
        <v>6620</v>
      </c>
      <c r="C2685" s="5" t="s">
        <v>18</v>
      </c>
      <c r="D2685" s="5" t="s">
        <v>19</v>
      </c>
      <c r="E2685" s="5" t="s">
        <v>162</v>
      </c>
      <c r="F2685" s="9">
        <v>15</v>
      </c>
      <c r="G2685" s="9">
        <v>141</v>
      </c>
      <c r="H2685" s="5" t="s">
        <v>21</v>
      </c>
      <c r="I2685" s="5" t="s">
        <v>6621</v>
      </c>
      <c r="J2685" s="12" t="str">
        <f>HYPERLINK("https://www.boe.es/gazeta/dias/1800/02/21/pdfs/GMD-1800-15.pdf#page=5","Abrir facsímil")</f>
        <v>Abrir facsímil</v>
      </c>
      <c r="K2685" s="15" t="s">
        <v>23</v>
      </c>
    </row>
    <row r="2686" spans="1:11" ht="42" customHeight="1">
      <c r="A2686" s="4" t="s">
        <v>6622</v>
      </c>
      <c r="B2686" s="5" t="s">
        <v>6623</v>
      </c>
      <c r="C2686" s="5" t="s">
        <v>41</v>
      </c>
      <c r="D2686" s="5" t="s">
        <v>42</v>
      </c>
      <c r="E2686" s="5" t="s">
        <v>184</v>
      </c>
      <c r="F2686" s="9">
        <v>82</v>
      </c>
      <c r="G2686" s="9">
        <v>947</v>
      </c>
      <c r="H2686" s="5" t="s">
        <v>21</v>
      </c>
      <c r="I2686" s="5" t="s">
        <v>6624</v>
      </c>
      <c r="J2686" s="12" t="str">
        <f>HYPERLINK("https://www.boe.es/gazeta/dias/1800/10/10/pdfs/GMD-1800-82.pdf#page=5","Abrir facsímil")</f>
        <v>Abrir facsímil</v>
      </c>
      <c r="K2686" s="15" t="s">
        <v>23</v>
      </c>
    </row>
    <row r="2687" spans="1:11" ht="42" customHeight="1">
      <c r="A2687" s="4" t="s">
        <v>6622</v>
      </c>
      <c r="B2687" s="5" t="s">
        <v>6623</v>
      </c>
      <c r="C2687" s="5" t="s">
        <v>41</v>
      </c>
      <c r="D2687" s="5" t="s">
        <v>42</v>
      </c>
      <c r="E2687" s="5" t="s">
        <v>52</v>
      </c>
      <c r="F2687" s="9">
        <v>83</v>
      </c>
      <c r="G2687" s="9">
        <v>958</v>
      </c>
      <c r="H2687" s="5" t="s">
        <v>21</v>
      </c>
      <c r="I2687" s="5" t="s">
        <v>6625</v>
      </c>
      <c r="J2687" s="12" t="str">
        <f>HYPERLINK("https://www.boe.es/gazeta/dias/1800/10/14/pdfs/GMD-1800-83.pdf#page=4","Abrir facsímil")</f>
        <v>Abrir facsímil</v>
      </c>
      <c r="K2687" s="15" t="s">
        <v>23</v>
      </c>
    </row>
    <row r="2688" spans="1:11" ht="42" customHeight="1">
      <c r="A2688" s="4" t="s">
        <v>6622</v>
      </c>
      <c r="B2688" s="5" t="s">
        <v>6623</v>
      </c>
      <c r="C2688" s="5" t="s">
        <v>54</v>
      </c>
      <c r="D2688" s="5" t="s">
        <v>55</v>
      </c>
      <c r="E2688" s="5" t="s">
        <v>147</v>
      </c>
      <c r="F2688" s="9">
        <v>84</v>
      </c>
      <c r="G2688" s="9">
        <v>969</v>
      </c>
      <c r="H2688" s="5" t="s">
        <v>21</v>
      </c>
      <c r="I2688" s="5" t="s">
        <v>6626</v>
      </c>
      <c r="J2688" s="12" t="str">
        <f>HYPERLINK("https://www.boe.es/gazeta/dias/1800/10/17/pdfs/GMD-1800-84.pdf#page=3","Abrir facsímil")</f>
        <v>Abrir facsímil</v>
      </c>
      <c r="K2688" s="15" t="s">
        <v>23</v>
      </c>
    </row>
    <row r="2689" spans="1:11" ht="42" customHeight="1">
      <c r="A2689" s="4" t="s">
        <v>6622</v>
      </c>
      <c r="B2689" s="5" t="s">
        <v>6623</v>
      </c>
      <c r="C2689" s="5" t="s">
        <v>41</v>
      </c>
      <c r="D2689" s="5" t="s">
        <v>42</v>
      </c>
      <c r="E2689" s="5" t="s">
        <v>410</v>
      </c>
      <c r="F2689" s="9">
        <v>87</v>
      </c>
      <c r="G2689" s="9">
        <v>1006</v>
      </c>
      <c r="H2689" s="5" t="s">
        <v>21</v>
      </c>
      <c r="I2689" s="5" t="s">
        <v>6627</v>
      </c>
      <c r="J2689" s="12" t="str">
        <f>HYPERLINK("https://www.boe.es/gazeta/dias/1800/10/28/pdfs/GMD-1800-87.pdf#page=4","Abrir facsímil")</f>
        <v>Abrir facsímil</v>
      </c>
      <c r="K2689" s="15" t="s">
        <v>23</v>
      </c>
    </row>
    <row r="2690" spans="1:11" ht="42" customHeight="1">
      <c r="A2690" s="4" t="s">
        <v>6622</v>
      </c>
      <c r="B2690" s="5" t="s">
        <v>6623</v>
      </c>
      <c r="C2690" s="5" t="s">
        <v>41</v>
      </c>
      <c r="D2690" s="5" t="s">
        <v>42</v>
      </c>
      <c r="E2690" s="5" t="s">
        <v>279</v>
      </c>
      <c r="F2690" s="9">
        <v>103</v>
      </c>
      <c r="G2690" s="9">
        <v>1194</v>
      </c>
      <c r="H2690" s="5" t="s">
        <v>21</v>
      </c>
      <c r="I2690" s="5" t="s">
        <v>6628</v>
      </c>
      <c r="J2690" s="12" t="str">
        <f>HYPERLINK("https://www.boe.es/gazeta/dias/1800/12/23/pdfs/GMD-1800-103.pdf#page=6","Abrir facsímil")</f>
        <v>Abrir facsímil</v>
      </c>
      <c r="K2690" s="15" t="s">
        <v>23</v>
      </c>
    </row>
    <row r="2691" spans="1:11" ht="42" customHeight="1">
      <c r="A2691" s="4" t="s">
        <v>6622</v>
      </c>
      <c r="B2691" s="5" t="s">
        <v>6623</v>
      </c>
      <c r="C2691" s="5" t="s">
        <v>41</v>
      </c>
      <c r="D2691" s="5" t="s">
        <v>42</v>
      </c>
      <c r="E2691" s="5" t="s">
        <v>60</v>
      </c>
      <c r="F2691" s="9">
        <v>105</v>
      </c>
      <c r="G2691" s="9">
        <v>1222</v>
      </c>
      <c r="H2691" s="5" t="s">
        <v>21</v>
      </c>
      <c r="I2691" s="5" t="s">
        <v>6629</v>
      </c>
      <c r="J2691" s="12" t="str">
        <f>HYPERLINK("https://www.boe.es/gazeta/dias/1800/12/30/pdfs/GMD-1800-105.pdf#page=6","Abrir facsímil")</f>
        <v>Abrir facsímil</v>
      </c>
      <c r="K2691" s="15" t="s">
        <v>23</v>
      </c>
    </row>
    <row r="2692" spans="1:11" ht="42" customHeight="1">
      <c r="A2692" s="4" t="s">
        <v>6630</v>
      </c>
      <c r="B2692" s="5" t="s">
        <v>6631</v>
      </c>
      <c r="C2692" s="5" t="s">
        <v>41</v>
      </c>
      <c r="D2692" s="5" t="s">
        <v>42</v>
      </c>
      <c r="E2692" s="5" t="s">
        <v>131</v>
      </c>
      <c r="F2692" s="9">
        <v>8</v>
      </c>
      <c r="G2692" s="9">
        <v>72</v>
      </c>
      <c r="H2692" s="5" t="s">
        <v>21</v>
      </c>
      <c r="I2692" s="5" t="s">
        <v>6632</v>
      </c>
      <c r="J2692" s="12" t="str">
        <f>HYPERLINK("https://www.boe.es/gazeta/dias/1800/01/28/pdfs/GMD-1800-8.pdf#page=4","Abrir facsímil")</f>
        <v>Abrir facsímil</v>
      </c>
      <c r="K2692" s="15" t="s">
        <v>23</v>
      </c>
    </row>
    <row r="2693" spans="1:11" ht="42" customHeight="1">
      <c r="A2693" s="4" t="s">
        <v>6630</v>
      </c>
      <c r="B2693" s="5" t="s">
        <v>6631</v>
      </c>
      <c r="C2693" s="5" t="s">
        <v>41</v>
      </c>
      <c r="D2693" s="5" t="s">
        <v>42</v>
      </c>
      <c r="E2693" s="5" t="s">
        <v>244</v>
      </c>
      <c r="F2693" s="9">
        <v>9</v>
      </c>
      <c r="G2693" s="9">
        <v>81</v>
      </c>
      <c r="H2693" s="5" t="s">
        <v>21</v>
      </c>
      <c r="I2693" s="5" t="s">
        <v>6633</v>
      </c>
      <c r="J2693" s="12" t="str">
        <f>HYPERLINK("https://www.boe.es/gazeta/dias/1800/01/31/pdfs/GMD-1800-9.pdf#page=5","Abrir facsímil")</f>
        <v>Abrir facsímil</v>
      </c>
      <c r="K2693" s="15" t="s">
        <v>23</v>
      </c>
    </row>
    <row r="2694" spans="1:11" ht="42" customHeight="1">
      <c r="A2694" s="4" t="s">
        <v>6630</v>
      </c>
      <c r="B2694" s="5" t="s">
        <v>6631</v>
      </c>
      <c r="C2694" s="5" t="s">
        <v>41</v>
      </c>
      <c r="D2694" s="5" t="s">
        <v>42</v>
      </c>
      <c r="E2694" s="5" t="s">
        <v>75</v>
      </c>
      <c r="F2694" s="9">
        <v>64</v>
      </c>
      <c r="G2694" s="9">
        <v>727</v>
      </c>
      <c r="H2694" s="5" t="s">
        <v>21</v>
      </c>
      <c r="I2694" s="5" t="s">
        <v>6634</v>
      </c>
      <c r="J2694" s="12" t="str">
        <f>HYPERLINK("https://www.boe.es/gazeta/dias/1800/08/12/pdfs/GMD-1800-64.pdf#page=3","Abrir facsímil")</f>
        <v>Abrir facsímil</v>
      </c>
      <c r="K2694" s="15" t="s">
        <v>23</v>
      </c>
    </row>
    <row r="2695" spans="1:11" ht="42" customHeight="1">
      <c r="A2695" s="4" t="s">
        <v>6630</v>
      </c>
      <c r="B2695" s="5" t="s">
        <v>6631</v>
      </c>
      <c r="C2695" s="5" t="s">
        <v>18</v>
      </c>
      <c r="D2695" s="5" t="s">
        <v>19</v>
      </c>
      <c r="E2695" s="5" t="s">
        <v>135</v>
      </c>
      <c r="F2695" s="9">
        <v>73</v>
      </c>
      <c r="G2695" s="9">
        <v>811</v>
      </c>
      <c r="H2695" s="5" t="s">
        <v>21</v>
      </c>
      <c r="I2695" s="5" t="s">
        <v>6635</v>
      </c>
      <c r="J2695" s="12" t="str">
        <f>HYPERLINK("https://www.boe.es/gazeta/dias/1800/09/09/pdfs/GMD-1800-73.pdf#page=5","Abrir facsímil")</f>
        <v>Abrir facsímil</v>
      </c>
      <c r="K2695" s="15" t="s">
        <v>23</v>
      </c>
    </row>
    <row r="2696" spans="1:11" ht="42" customHeight="1">
      <c r="A2696" s="4" t="s">
        <v>6630</v>
      </c>
      <c r="B2696" s="5" t="s">
        <v>6631</v>
      </c>
      <c r="C2696" s="5" t="s">
        <v>41</v>
      </c>
      <c r="D2696" s="5" t="s">
        <v>42</v>
      </c>
      <c r="E2696" s="5" t="s">
        <v>306</v>
      </c>
      <c r="F2696" s="9">
        <v>79</v>
      </c>
      <c r="G2696" s="9">
        <v>893</v>
      </c>
      <c r="H2696" s="5" t="s">
        <v>21</v>
      </c>
      <c r="I2696" s="5" t="s">
        <v>6636</v>
      </c>
      <c r="J2696" s="12" t="str">
        <f>HYPERLINK("https://www.boe.es/gazeta/dias/1800/09/30/pdfs/GMD-1800-79.pdf#page=3","Abrir facsímil")</f>
        <v>Abrir facsímil</v>
      </c>
      <c r="K2696" s="15" t="s">
        <v>23</v>
      </c>
    </row>
    <row r="2697" spans="1:11" ht="42" customHeight="1">
      <c r="A2697" s="4" t="s">
        <v>6630</v>
      </c>
      <c r="B2697" s="5" t="s">
        <v>6631</v>
      </c>
      <c r="C2697" s="5" t="s">
        <v>18</v>
      </c>
      <c r="D2697" s="5" t="s">
        <v>19</v>
      </c>
      <c r="E2697" s="5" t="s">
        <v>184</v>
      </c>
      <c r="F2697" s="9">
        <v>82</v>
      </c>
      <c r="G2697" s="9">
        <v>945</v>
      </c>
      <c r="H2697" s="5" t="s">
        <v>21</v>
      </c>
      <c r="I2697" s="5" t="s">
        <v>6637</v>
      </c>
      <c r="J2697" s="12" t="str">
        <f>HYPERLINK("https://www.boe.es/gazeta/dias/1800/10/10/pdfs/GMD-1800-82.pdf#page=3","Abrir facsímil")</f>
        <v>Abrir facsímil</v>
      </c>
      <c r="K2697" s="15" t="s">
        <v>23</v>
      </c>
    </row>
    <row r="2698" spans="1:11" ht="42" customHeight="1">
      <c r="A2698" s="4" t="s">
        <v>6630</v>
      </c>
      <c r="B2698" s="5" t="s">
        <v>6631</v>
      </c>
      <c r="C2698" s="5" t="s">
        <v>41</v>
      </c>
      <c r="D2698" s="5" t="s">
        <v>42</v>
      </c>
      <c r="E2698" s="5" t="s">
        <v>422</v>
      </c>
      <c r="F2698" s="9">
        <v>85</v>
      </c>
      <c r="G2698" s="9">
        <v>980</v>
      </c>
      <c r="H2698" s="5" t="s">
        <v>21</v>
      </c>
      <c r="I2698" s="5" t="s">
        <v>6638</v>
      </c>
      <c r="J2698" s="12" t="str">
        <f>HYPERLINK("https://www.boe.es/gazeta/dias/1800/10/21/pdfs/GMD-1800-85.pdf#page=2","Abrir facsímil")</f>
        <v>Abrir facsímil</v>
      </c>
      <c r="K2698" s="15" t="s">
        <v>23</v>
      </c>
    </row>
    <row r="2699" spans="1:11" ht="42" customHeight="1">
      <c r="A2699" s="4" t="s">
        <v>6630</v>
      </c>
      <c r="B2699" s="5" t="s">
        <v>6631</v>
      </c>
      <c r="C2699" s="5" t="s">
        <v>41</v>
      </c>
      <c r="D2699" s="5" t="s">
        <v>42</v>
      </c>
      <c r="E2699" s="5" t="s">
        <v>410</v>
      </c>
      <c r="F2699" s="9">
        <v>87</v>
      </c>
      <c r="G2699" s="9">
        <v>1004</v>
      </c>
      <c r="H2699" s="5" t="s">
        <v>21</v>
      </c>
      <c r="I2699" s="5" t="s">
        <v>6639</v>
      </c>
      <c r="J2699" s="12" t="str">
        <f>HYPERLINK("https://www.boe.es/gazeta/dias/1800/10/28/pdfs/GMD-1800-87.pdf#page=2","Abrir facsímil")</f>
        <v>Abrir facsímil</v>
      </c>
      <c r="K2699" s="15" t="s">
        <v>23</v>
      </c>
    </row>
    <row r="2700" spans="1:11" ht="42" customHeight="1">
      <c r="A2700" s="4" t="s">
        <v>6630</v>
      </c>
      <c r="B2700" s="5" t="s">
        <v>6631</v>
      </c>
      <c r="C2700" s="5" t="s">
        <v>41</v>
      </c>
      <c r="D2700" s="5" t="s">
        <v>42</v>
      </c>
      <c r="E2700" s="5" t="s">
        <v>56</v>
      </c>
      <c r="F2700" s="9">
        <v>90</v>
      </c>
      <c r="G2700" s="9">
        <v>1048</v>
      </c>
      <c r="H2700" s="5" t="s">
        <v>21</v>
      </c>
      <c r="I2700" s="5" t="s">
        <v>6640</v>
      </c>
      <c r="J2700" s="12" t="str">
        <f>HYPERLINK("https://www.boe.es/gazeta/dias/1800/11/07/pdfs/GMD-1800-90.pdf#page=2","Abrir facsímil")</f>
        <v>Abrir facsímil</v>
      </c>
      <c r="K2700" s="15" t="s">
        <v>23</v>
      </c>
    </row>
    <row r="2701" spans="1:11" ht="42" customHeight="1">
      <c r="A2701" s="4" t="s">
        <v>6630</v>
      </c>
      <c r="B2701" s="5" t="s">
        <v>6631</v>
      </c>
      <c r="C2701" s="5" t="s">
        <v>41</v>
      </c>
      <c r="D2701" s="5" t="s">
        <v>42</v>
      </c>
      <c r="E2701" s="5" t="s">
        <v>190</v>
      </c>
      <c r="F2701" s="9">
        <v>93</v>
      </c>
      <c r="G2701" s="9">
        <v>1062</v>
      </c>
      <c r="H2701" s="5" t="s">
        <v>21</v>
      </c>
      <c r="I2701" s="5" t="s">
        <v>6641</v>
      </c>
      <c r="J2701" s="12" t="str">
        <f>HYPERLINK("https://www.boe.es/gazeta/dias/1800/11/18/pdfs/GMD-1800-93.pdf#page=8","Abrir facsímil")</f>
        <v>Abrir facsímil</v>
      </c>
      <c r="K2701" s="15" t="s">
        <v>23</v>
      </c>
    </row>
    <row r="2702" spans="1:11" ht="42" customHeight="1">
      <c r="A2702" s="4" t="s">
        <v>6630</v>
      </c>
      <c r="B2702" s="5" t="s">
        <v>6631</v>
      </c>
      <c r="C2702" s="5" t="s">
        <v>18</v>
      </c>
      <c r="D2702" s="5" t="s">
        <v>19</v>
      </c>
      <c r="E2702" s="5" t="s">
        <v>329</v>
      </c>
      <c r="F2702" s="9">
        <v>99</v>
      </c>
      <c r="G2702" s="9">
        <v>1136</v>
      </c>
      <c r="H2702" s="5" t="s">
        <v>21</v>
      </c>
      <c r="I2702" s="5" t="s">
        <v>6642</v>
      </c>
      <c r="J2702" s="12" t="str">
        <f>HYPERLINK("https://www.boe.es/gazeta/dias/1800/12/09/pdfs/GMD-1800-99.pdf#page=4","Abrir facsímil")</f>
        <v>Abrir facsímil</v>
      </c>
      <c r="K2702" s="15" t="s">
        <v>23</v>
      </c>
    </row>
    <row r="2703" spans="1:11" ht="42" customHeight="1">
      <c r="A2703" s="4" t="s">
        <v>6630</v>
      </c>
      <c r="B2703" s="5" t="s">
        <v>6631</v>
      </c>
      <c r="C2703" s="5" t="s">
        <v>41</v>
      </c>
      <c r="D2703" s="5" t="s">
        <v>42</v>
      </c>
      <c r="E2703" s="5" t="s">
        <v>180</v>
      </c>
      <c r="F2703" s="9">
        <v>102</v>
      </c>
      <c r="G2703" s="9">
        <v>1178</v>
      </c>
      <c r="H2703" s="5" t="s">
        <v>21</v>
      </c>
      <c r="I2703" s="5" t="s">
        <v>6643</v>
      </c>
      <c r="J2703" s="12" t="str">
        <f>HYPERLINK("https://www.boe.es/gazeta/dias/1800/12/19/pdfs/GMD-1800-102.pdf#page=2","Abrir facsímil")</f>
        <v>Abrir facsímil</v>
      </c>
      <c r="K2703" s="15" t="s">
        <v>23</v>
      </c>
    </row>
    <row r="2704" spans="1:11" ht="42" customHeight="1">
      <c r="A2704" s="4" t="s">
        <v>6630</v>
      </c>
      <c r="B2704" s="5" t="s">
        <v>6631</v>
      </c>
      <c r="C2704" s="5" t="s">
        <v>41</v>
      </c>
      <c r="D2704" s="5" t="s">
        <v>42</v>
      </c>
      <c r="E2704" s="5" t="s">
        <v>60</v>
      </c>
      <c r="F2704" s="9">
        <v>105</v>
      </c>
      <c r="G2704" s="9">
        <v>1223</v>
      </c>
      <c r="H2704" s="5" t="s">
        <v>21</v>
      </c>
      <c r="I2704" s="5" t="s">
        <v>6644</v>
      </c>
      <c r="J2704" s="12" t="str">
        <f>HYPERLINK("https://www.boe.es/gazeta/dias/1800/12/30/pdfs/GMD-1800-105.pdf#page=7","Abrir facsímil")</f>
        <v>Abrir facsímil</v>
      </c>
      <c r="K2704" s="15" t="s">
        <v>23</v>
      </c>
    </row>
    <row r="2705" spans="1:11" ht="42" customHeight="1">
      <c r="A2705" s="4" t="s">
        <v>6645</v>
      </c>
      <c r="B2705" s="5" t="s">
        <v>6646</v>
      </c>
      <c r="C2705" s="5" t="s">
        <v>41</v>
      </c>
      <c r="D2705" s="5" t="s">
        <v>42</v>
      </c>
      <c r="E2705" s="5" t="s">
        <v>314</v>
      </c>
      <c r="F2705" s="9">
        <v>74</v>
      </c>
      <c r="G2705" s="9">
        <v>827</v>
      </c>
      <c r="H2705" s="5" t="s">
        <v>21</v>
      </c>
      <c r="I2705" s="5" t="s">
        <v>6647</v>
      </c>
      <c r="J2705" s="12" t="str">
        <f>HYPERLINK("https://www.boe.es/gazeta/dias/1800/09/12/pdfs/GMD-1800-74.pdf#page=5","Abrir facsímil")</f>
        <v>Abrir facsímil</v>
      </c>
      <c r="K2705" s="15" t="s">
        <v>23</v>
      </c>
    </row>
    <row r="2706" spans="1:11" ht="42" customHeight="1">
      <c r="A2706" s="4" t="s">
        <v>6648</v>
      </c>
      <c r="B2706" s="5" t="s">
        <v>6648</v>
      </c>
      <c r="C2706" s="5" t="s">
        <v>84</v>
      </c>
      <c r="D2706" s="5" t="s">
        <v>85</v>
      </c>
      <c r="E2706" s="5" t="s">
        <v>262</v>
      </c>
      <c r="F2706" s="9">
        <v>39</v>
      </c>
      <c r="G2706" s="9">
        <v>404</v>
      </c>
      <c r="H2706" s="5" t="s">
        <v>21</v>
      </c>
      <c r="I2706" s="5" t="s">
        <v>6649</v>
      </c>
      <c r="J2706" s="12" t="str">
        <f>HYPERLINK("https://www.boe.es/gazeta/dias/1800/05/16/pdfs/GMD-1800-39.pdf#page=12","Abrir facsímil")</f>
        <v>Abrir facsímil</v>
      </c>
      <c r="K2706" s="15" t="s">
        <v>23</v>
      </c>
    </row>
    <row r="2707" spans="1:11" ht="42" customHeight="1">
      <c r="A2707" s="4" t="s">
        <v>6650</v>
      </c>
      <c r="B2707" s="5" t="s">
        <v>6650</v>
      </c>
      <c r="C2707" s="5" t="s">
        <v>84</v>
      </c>
      <c r="D2707" s="5" t="s">
        <v>85</v>
      </c>
      <c r="E2707" s="5" t="s">
        <v>673</v>
      </c>
      <c r="F2707" s="9">
        <v>89</v>
      </c>
      <c r="G2707" s="9">
        <v>1046</v>
      </c>
      <c r="H2707" s="5" t="s">
        <v>21</v>
      </c>
      <c r="I2707" s="5" t="s">
        <v>6651</v>
      </c>
      <c r="J2707" s="12" t="str">
        <f>HYPERLINK("https://www.boe.es/gazeta/dias/1800/11/04/pdfs/GMD-1800-89.pdf#page=12","Abrir facsímil")</f>
        <v>Abrir facsímil</v>
      </c>
      <c r="K2707" s="15" t="s">
        <v>23</v>
      </c>
    </row>
    <row r="2708" spans="1:11" ht="42" customHeight="1">
      <c r="A2708" s="4" t="s">
        <v>6652</v>
      </c>
      <c r="B2708" s="5" t="s">
        <v>6652</v>
      </c>
      <c r="C2708" s="5" t="s">
        <v>84</v>
      </c>
      <c r="D2708" s="5" t="s">
        <v>85</v>
      </c>
      <c r="E2708" s="5" t="s">
        <v>618</v>
      </c>
      <c r="F2708" s="9">
        <v>1</v>
      </c>
      <c r="G2708" s="9">
        <v>8</v>
      </c>
      <c r="H2708" s="5" t="s">
        <v>21</v>
      </c>
      <c r="I2708" s="5" t="s">
        <v>6653</v>
      </c>
      <c r="J2708" s="12" t="str">
        <f>HYPERLINK("https://www.boe.es/gazeta/dias/1800/01/03/pdfs/GMD-1800-1.pdf#page=8","Abrir facsímil")</f>
        <v>Abrir facsímil</v>
      </c>
      <c r="K2708" s="15" t="s">
        <v>23</v>
      </c>
    </row>
    <row r="2709" spans="1:11" ht="42" customHeight="1">
      <c r="A2709" s="4" t="s">
        <v>6654</v>
      </c>
      <c r="B2709" s="5" t="s">
        <v>6655</v>
      </c>
      <c r="C2709" s="5" t="s">
        <v>18</v>
      </c>
      <c r="D2709" s="5" t="s">
        <v>19</v>
      </c>
      <c r="E2709" s="5" t="s">
        <v>825</v>
      </c>
      <c r="F2709" s="9">
        <v>51</v>
      </c>
      <c r="G2709" s="9">
        <v>560</v>
      </c>
      <c r="H2709" s="5" t="s">
        <v>21</v>
      </c>
      <c r="I2709" s="5" t="s">
        <v>6656</v>
      </c>
      <c r="J2709" s="12" t="str">
        <f>HYPERLINK("https://www.boe.es/gazeta/dias/1800/06/27/pdfs/GMD-1800-51.pdf#page=12","Abrir facsímil")</f>
        <v>Abrir facsímil</v>
      </c>
      <c r="K2709" s="15" t="s">
        <v>23</v>
      </c>
    </row>
    <row r="2710" spans="1:11" ht="42" customHeight="1">
      <c r="A2710" s="4" t="s">
        <v>6657</v>
      </c>
      <c r="B2710" s="5" t="s">
        <v>6657</v>
      </c>
      <c r="C2710" s="5" t="s">
        <v>18</v>
      </c>
      <c r="D2710" s="5" t="s">
        <v>19</v>
      </c>
      <c r="E2710" s="5" t="s">
        <v>618</v>
      </c>
      <c r="F2710" s="9">
        <v>1</v>
      </c>
      <c r="G2710" s="9">
        <v>5</v>
      </c>
      <c r="H2710" s="5" t="s">
        <v>21</v>
      </c>
      <c r="I2710" s="5" t="s">
        <v>6658</v>
      </c>
      <c r="J2710" s="12" t="str">
        <f>HYPERLINK("https://www.boe.es/gazeta/dias/1800/01/03/pdfs/GMD-1800-1.pdf#page=5","Abrir facsímil")</f>
        <v>Abrir facsímil</v>
      </c>
      <c r="K2710" s="15" t="s">
        <v>23</v>
      </c>
    </row>
    <row r="2711" spans="1:11" ht="42" customHeight="1">
      <c r="A2711" s="4" t="s">
        <v>6659</v>
      </c>
      <c r="B2711" s="5" t="s">
        <v>6660</v>
      </c>
      <c r="C2711" s="5" t="s">
        <v>18</v>
      </c>
      <c r="D2711" s="5" t="s">
        <v>19</v>
      </c>
      <c r="E2711" s="5" t="s">
        <v>583</v>
      </c>
      <c r="F2711" s="9">
        <v>77</v>
      </c>
      <c r="G2711" s="9">
        <v>878</v>
      </c>
      <c r="H2711" s="5" t="s">
        <v>21</v>
      </c>
      <c r="I2711" s="5" t="s">
        <v>6661</v>
      </c>
      <c r="J2711" s="12" t="str">
        <f>HYPERLINK("https://www.boe.es/gazeta/dias/1800/09/23/pdfs/GMD-1800-77.pdf#page=8","Abrir facsímil")</f>
        <v>Abrir facsímil</v>
      </c>
      <c r="K2711" s="15" t="s">
        <v>23</v>
      </c>
    </row>
    <row r="2712" spans="1:11" ht="42" customHeight="1">
      <c r="A2712" s="4" t="s">
        <v>6662</v>
      </c>
      <c r="B2712" s="5" t="s">
        <v>6663</v>
      </c>
      <c r="C2712" s="5" t="s">
        <v>41</v>
      </c>
      <c r="D2712" s="5" t="s">
        <v>42</v>
      </c>
      <c r="E2712" s="5" t="s">
        <v>356</v>
      </c>
      <c r="F2712" s="9">
        <v>31</v>
      </c>
      <c r="G2712" s="9">
        <v>310</v>
      </c>
      <c r="H2712" s="5" t="s">
        <v>21</v>
      </c>
      <c r="I2712" s="5" t="s">
        <v>6664</v>
      </c>
      <c r="J2712" s="12" t="str">
        <f>HYPERLINK("https://www.boe.es/gazeta/dias/1800/04/18/pdfs/GMD-1800-31.pdf#page=2","Abrir facsímil")</f>
        <v>Abrir facsímil</v>
      </c>
      <c r="K2712" s="15" t="s">
        <v>23</v>
      </c>
    </row>
    <row r="2713" spans="1:11" ht="42" customHeight="1">
      <c r="A2713" s="4" t="s">
        <v>6665</v>
      </c>
      <c r="B2713" s="5" t="s">
        <v>6666</v>
      </c>
      <c r="C2713" s="5" t="s">
        <v>25</v>
      </c>
      <c r="D2713" s="5" t="s">
        <v>26</v>
      </c>
      <c r="E2713" s="5" t="s">
        <v>88</v>
      </c>
      <c r="F2713" s="9">
        <v>23</v>
      </c>
      <c r="G2713" s="9">
        <v>235</v>
      </c>
      <c r="H2713" s="5" t="s">
        <v>21</v>
      </c>
      <c r="I2713" s="5" t="s">
        <v>6667</v>
      </c>
      <c r="J2713" s="12" t="str">
        <f>HYPERLINK("https://www.boe.es/gazeta/dias/1800/03/21/pdfs/GMD-1800-23.pdf#page=11","Abrir facsímil")</f>
        <v>Abrir facsímil</v>
      </c>
      <c r="K2713" s="15" t="s">
        <v>23</v>
      </c>
    </row>
    <row r="2714" spans="1:11" ht="42" customHeight="1">
      <c r="A2714" s="4" t="s">
        <v>6668</v>
      </c>
      <c r="B2714" s="5" t="s">
        <v>6669</v>
      </c>
      <c r="C2714" s="5" t="s">
        <v>18</v>
      </c>
      <c r="D2714" s="5" t="s">
        <v>19</v>
      </c>
      <c r="E2714" s="5" t="s">
        <v>158</v>
      </c>
      <c r="F2714" s="9">
        <v>25</v>
      </c>
      <c r="G2714" s="9">
        <v>256</v>
      </c>
      <c r="H2714" s="5" t="s">
        <v>21</v>
      </c>
      <c r="I2714" s="5" t="s">
        <v>6670</v>
      </c>
      <c r="J2714" s="12" t="str">
        <f>HYPERLINK("https://www.boe.es/gazeta/dias/1800/03/28/pdfs/GMD-1800-25.pdf#page=8","Abrir facsímil")</f>
        <v>Abrir facsímil</v>
      </c>
      <c r="K2714" s="15" t="s">
        <v>23</v>
      </c>
    </row>
    <row r="2715" spans="1:11" ht="42" customHeight="1">
      <c r="A2715" s="4" t="s">
        <v>6671</v>
      </c>
      <c r="B2715" s="5" t="s">
        <v>6672</v>
      </c>
      <c r="C2715" s="5" t="s">
        <v>18</v>
      </c>
      <c r="D2715" s="5" t="s">
        <v>19</v>
      </c>
      <c r="E2715" s="5" t="s">
        <v>196</v>
      </c>
      <c r="F2715" s="9">
        <v>97</v>
      </c>
      <c r="G2715" s="9">
        <v>1116</v>
      </c>
      <c r="H2715" s="5" t="s">
        <v>21</v>
      </c>
      <c r="I2715" s="5" t="s">
        <v>6673</v>
      </c>
      <c r="J2715" s="12" t="str">
        <f>HYPERLINK("https://www.boe.es/gazeta/dias/1800/12/02/pdfs/GMD-1800-97.pdf#page=8","Abrir facsímil")</f>
        <v>Abrir facsímil</v>
      </c>
      <c r="K2715" s="15" t="s">
        <v>23</v>
      </c>
    </row>
    <row r="2716" spans="1:11" ht="42" customHeight="1">
      <c r="A2716" s="4" t="s">
        <v>6674</v>
      </c>
      <c r="B2716" s="5" t="s">
        <v>6675</v>
      </c>
      <c r="C2716" s="5" t="s">
        <v>18</v>
      </c>
      <c r="D2716" s="5" t="s">
        <v>19</v>
      </c>
      <c r="E2716" s="5" t="s">
        <v>240</v>
      </c>
      <c r="F2716" s="9">
        <v>26</v>
      </c>
      <c r="G2716" s="9">
        <v>269</v>
      </c>
      <c r="H2716" s="5" t="s">
        <v>21</v>
      </c>
      <c r="I2716" s="5" t="s">
        <v>6676</v>
      </c>
      <c r="J2716" s="12" t="str">
        <f>HYPERLINK("https://www.boe.es/gazeta/dias/1800/04/01/pdfs/GMD-1800-26.pdf#page=9","Abrir facsímil")</f>
        <v>Abrir facsímil</v>
      </c>
      <c r="K2716" s="15" t="s">
        <v>23</v>
      </c>
    </row>
    <row r="2717" spans="1:11" ht="42" customHeight="1">
      <c r="A2717" s="4" t="s">
        <v>6677</v>
      </c>
      <c r="B2717" s="5" t="s">
        <v>6678</v>
      </c>
      <c r="C2717" s="5" t="s">
        <v>18</v>
      </c>
      <c r="D2717" s="5" t="s">
        <v>19</v>
      </c>
      <c r="E2717" s="5" t="s">
        <v>422</v>
      </c>
      <c r="F2717" s="9">
        <v>85</v>
      </c>
      <c r="G2717" s="9">
        <v>986</v>
      </c>
      <c r="H2717" s="5" t="s">
        <v>21</v>
      </c>
      <c r="I2717" s="5" t="s">
        <v>6679</v>
      </c>
      <c r="J2717" s="12" t="str">
        <f>HYPERLINK("https://www.boe.es/gazeta/dias/1800/10/21/pdfs/GMD-1800-85.pdf#page=8","Abrir facsímil")</f>
        <v>Abrir facsímil</v>
      </c>
      <c r="K2717" s="15" t="s">
        <v>23</v>
      </c>
    </row>
    <row r="2718" spans="1:11" ht="42" customHeight="1">
      <c r="A2718" s="4" t="s">
        <v>6680</v>
      </c>
      <c r="B2718" s="5" t="s">
        <v>6681</v>
      </c>
      <c r="C2718" s="5" t="s">
        <v>2123</v>
      </c>
      <c r="D2718" s="5" t="s">
        <v>2124</v>
      </c>
      <c r="E2718" s="5" t="s">
        <v>58</v>
      </c>
      <c r="F2718" s="9">
        <v>92</v>
      </c>
      <c r="G2718" s="9">
        <v>1056</v>
      </c>
      <c r="H2718" s="5" t="s">
        <v>21</v>
      </c>
      <c r="I2718" s="5" t="s">
        <v>6682</v>
      </c>
      <c r="J2718" s="12" t="str">
        <f>HYPERLINK("https://www.boe.es/gazeta/dias/1800/11/14/pdfs/GMD-C-1800-92.pdf#page=2","Abrir facsímil")</f>
        <v>Abrir facsímil</v>
      </c>
      <c r="K2718" s="15" t="s">
        <v>23</v>
      </c>
    </row>
    <row r="2719" spans="1:11" ht="42" customHeight="1">
      <c r="A2719" s="4" t="s">
        <v>6680</v>
      </c>
      <c r="B2719" s="5" t="s">
        <v>6681</v>
      </c>
      <c r="C2719" s="5" t="s">
        <v>25</v>
      </c>
      <c r="D2719" s="5" t="s">
        <v>26</v>
      </c>
      <c r="E2719" s="5" t="s">
        <v>190</v>
      </c>
      <c r="F2719" s="9">
        <v>93</v>
      </c>
      <c r="G2719" s="9">
        <v>1068</v>
      </c>
      <c r="H2719" s="5" t="s">
        <v>21</v>
      </c>
      <c r="I2719" s="5" t="s">
        <v>6683</v>
      </c>
      <c r="J2719" s="12" t="str">
        <f>HYPERLINK("https://www.boe.es/gazeta/dias/1800/11/18/pdfs/GMD-1800-93.pdf#page=14","Abrir facsímil")</f>
        <v>Abrir facsímil</v>
      </c>
      <c r="K2719" s="15" t="s">
        <v>23</v>
      </c>
    </row>
    <row r="2720" spans="1:11" ht="42" customHeight="1">
      <c r="A2720" s="4" t="s">
        <v>6680</v>
      </c>
      <c r="B2720" s="5" t="s">
        <v>6681</v>
      </c>
      <c r="C2720" s="5" t="s">
        <v>25</v>
      </c>
      <c r="D2720" s="5" t="s">
        <v>26</v>
      </c>
      <c r="E2720" s="5" t="s">
        <v>203</v>
      </c>
      <c r="F2720" s="9">
        <v>94</v>
      </c>
      <c r="G2720" s="9">
        <v>1079</v>
      </c>
      <c r="H2720" s="5" t="s">
        <v>21</v>
      </c>
      <c r="I2720" s="5" t="s">
        <v>6684</v>
      </c>
      <c r="J2720" s="12" t="str">
        <f>HYPERLINK("https://www.boe.es/gazeta/dias/1800/11/21/pdfs/GMD-1800-94.pdf#page=9","Abrir facsímil")</f>
        <v>Abrir facsímil</v>
      </c>
      <c r="K2720" s="15" t="s">
        <v>23</v>
      </c>
    </row>
    <row r="2721" spans="1:11" ht="42" customHeight="1">
      <c r="A2721" s="4" t="s">
        <v>6685</v>
      </c>
      <c r="B2721" s="5" t="s">
        <v>6686</v>
      </c>
      <c r="C2721" s="5" t="s">
        <v>18</v>
      </c>
      <c r="D2721" s="5" t="s">
        <v>19</v>
      </c>
      <c r="E2721" s="5" t="s">
        <v>534</v>
      </c>
      <c r="F2721" s="9">
        <v>100</v>
      </c>
      <c r="G2721" s="9">
        <v>1160</v>
      </c>
      <c r="H2721" s="5" t="s">
        <v>21</v>
      </c>
      <c r="I2721" s="5" t="s">
        <v>6687</v>
      </c>
      <c r="J2721" s="12" t="str">
        <f>HYPERLINK("https://www.boe.es/gazeta/dias/1800/12/12/pdfs/GMD-1800-100.pdf#page=12","Abrir facsímil")</f>
        <v>Abrir facsímil</v>
      </c>
      <c r="K2721" s="15" t="s">
        <v>23</v>
      </c>
    </row>
    <row r="2722" spans="1:11" ht="42" customHeight="1">
      <c r="A2722" s="4" t="s">
        <v>6688</v>
      </c>
      <c r="B2722" s="5" t="s">
        <v>6689</v>
      </c>
      <c r="C2722" s="5" t="s">
        <v>25</v>
      </c>
      <c r="D2722" s="5" t="s">
        <v>26</v>
      </c>
      <c r="E2722" s="5" t="s">
        <v>52</v>
      </c>
      <c r="F2722" s="9">
        <v>83</v>
      </c>
      <c r="G2722" s="9">
        <v>963</v>
      </c>
      <c r="H2722" s="5" t="s">
        <v>21</v>
      </c>
      <c r="I2722" s="5" t="s">
        <v>6690</v>
      </c>
      <c r="J2722" s="12" t="str">
        <f>HYPERLINK("https://www.boe.es/gazeta/dias/1800/10/14/pdfs/GMD-1800-83.pdf#page=9","Abrir facsímil")</f>
        <v>Abrir facsímil</v>
      </c>
      <c r="K2722" s="15" t="s">
        <v>23</v>
      </c>
    </row>
    <row r="2723" spans="1:11" ht="42" customHeight="1">
      <c r="A2723" s="4" t="s">
        <v>6691</v>
      </c>
      <c r="B2723" s="5" t="s">
        <v>6692</v>
      </c>
      <c r="C2723" s="5" t="s">
        <v>54</v>
      </c>
      <c r="D2723" s="5" t="s">
        <v>55</v>
      </c>
      <c r="E2723" s="5" t="s">
        <v>240</v>
      </c>
      <c r="F2723" s="9">
        <v>26</v>
      </c>
      <c r="G2723" s="9">
        <v>271</v>
      </c>
      <c r="H2723" s="5" t="s">
        <v>21</v>
      </c>
      <c r="I2723" s="5" t="s">
        <v>6693</v>
      </c>
      <c r="J2723" s="12" t="str">
        <f>HYPERLINK("https://www.boe.es/gazeta/dias/1800/04/01/pdfs/GMD-1800-26.pdf#page=11","Abrir facsímil")</f>
        <v>Abrir facsímil</v>
      </c>
      <c r="K2723" s="15" t="s">
        <v>23</v>
      </c>
    </row>
    <row r="2724" spans="1:11" ht="42" customHeight="1">
      <c r="A2724" s="4" t="s">
        <v>6694</v>
      </c>
      <c r="B2724" s="5" t="s">
        <v>6695</v>
      </c>
      <c r="C2724" s="5" t="s">
        <v>18</v>
      </c>
      <c r="D2724" s="5" t="s">
        <v>19</v>
      </c>
      <c r="E2724" s="5" t="s">
        <v>314</v>
      </c>
      <c r="F2724" s="9">
        <v>74</v>
      </c>
      <c r="G2724" s="9">
        <v>832</v>
      </c>
      <c r="H2724" s="5" t="s">
        <v>21</v>
      </c>
      <c r="I2724" s="5" t="s">
        <v>6696</v>
      </c>
      <c r="J2724" s="12" t="str">
        <f>HYPERLINK("https://www.boe.es/gazeta/dias/1800/09/12/pdfs/GMD-1800-74.pdf#page=10","Abrir facsímil")</f>
        <v>Abrir facsímil</v>
      </c>
      <c r="K2724" s="15" t="s">
        <v>23</v>
      </c>
    </row>
    <row r="2725" spans="1:11" ht="42" customHeight="1">
      <c r="A2725" s="4" t="s">
        <v>6697</v>
      </c>
      <c r="B2725" s="5" t="s">
        <v>6698</v>
      </c>
      <c r="C2725" s="5" t="s">
        <v>18</v>
      </c>
      <c r="D2725" s="5" t="s">
        <v>19</v>
      </c>
      <c r="E2725" s="5" t="s">
        <v>135</v>
      </c>
      <c r="F2725" s="9">
        <v>73</v>
      </c>
      <c r="G2725" s="9">
        <v>814</v>
      </c>
      <c r="H2725" s="5" t="s">
        <v>21</v>
      </c>
      <c r="I2725" s="5" t="s">
        <v>6699</v>
      </c>
      <c r="J2725" s="12" t="str">
        <f>HYPERLINK("https://www.boe.es/gazeta/dias/1800/09/09/pdfs/GMD-1800-73.pdf#page=8","Abrir facsímil")</f>
        <v>Abrir facsímil</v>
      </c>
      <c r="K2725" s="15" t="s">
        <v>23</v>
      </c>
    </row>
    <row r="2726" spans="1:11" ht="42" customHeight="1">
      <c r="A2726" s="4" t="s">
        <v>6700</v>
      </c>
      <c r="B2726" s="5" t="s">
        <v>6701</v>
      </c>
      <c r="C2726" s="5" t="s">
        <v>207</v>
      </c>
      <c r="D2726" s="5" t="s">
        <v>55</v>
      </c>
      <c r="E2726" s="5" t="s">
        <v>176</v>
      </c>
      <c r="F2726" s="9">
        <v>88</v>
      </c>
      <c r="G2726" s="9">
        <v>1031</v>
      </c>
      <c r="H2726" s="5" t="s">
        <v>21</v>
      </c>
      <c r="I2726" s="5" t="s">
        <v>6702</v>
      </c>
      <c r="J2726" s="12" t="str">
        <f>HYPERLINK("https://www.boe.es/gazeta/dias/1800/10/31/pdfs/GMD-1800-88.pdf#page=13","Abrir facsímil")</f>
        <v>Abrir facsímil</v>
      </c>
      <c r="K2726" s="15" t="s">
        <v>23</v>
      </c>
    </row>
    <row r="2727" spans="1:11" ht="42" customHeight="1">
      <c r="A2727" s="4" t="s">
        <v>6703</v>
      </c>
      <c r="B2727" s="5" t="s">
        <v>6704</v>
      </c>
      <c r="C2727" s="5" t="s">
        <v>18</v>
      </c>
      <c r="D2727" s="5" t="s">
        <v>19</v>
      </c>
      <c r="E2727" s="5" t="s">
        <v>176</v>
      </c>
      <c r="F2727" s="9">
        <v>88</v>
      </c>
      <c r="G2727" s="9">
        <v>1031</v>
      </c>
      <c r="H2727" s="5" t="s">
        <v>21</v>
      </c>
      <c r="I2727" s="5" t="s">
        <v>6705</v>
      </c>
      <c r="J2727" s="12" t="str">
        <f>HYPERLINK("https://www.boe.es/gazeta/dias/1800/10/31/pdfs/GMD-1800-88.pdf#page=13","Abrir facsímil")</f>
        <v>Abrir facsímil</v>
      </c>
      <c r="K2727" s="15" t="s">
        <v>23</v>
      </c>
    </row>
    <row r="2728" spans="1:11" ht="42" customHeight="1">
      <c r="A2728" s="4" t="s">
        <v>6706</v>
      </c>
      <c r="B2728" s="5" t="s">
        <v>6706</v>
      </c>
      <c r="C2728" s="5" t="s">
        <v>41</v>
      </c>
      <c r="D2728" s="5" t="s">
        <v>42</v>
      </c>
      <c r="E2728" s="5" t="s">
        <v>176</v>
      </c>
      <c r="F2728" s="9">
        <v>88</v>
      </c>
      <c r="G2728" s="9">
        <v>1021</v>
      </c>
      <c r="H2728" s="5" t="s">
        <v>21</v>
      </c>
      <c r="I2728" s="5" t="s">
        <v>6707</v>
      </c>
      <c r="J2728" s="12" t="str">
        <f>HYPERLINK("https://www.boe.es/gazeta/dias/1800/10/31/pdfs/GMD-1800-88.pdf#page=3","Abrir facsímil")</f>
        <v>Abrir facsímil</v>
      </c>
      <c r="K2728" s="15" t="s">
        <v>23</v>
      </c>
    </row>
    <row r="2729" spans="1:11" ht="42" customHeight="1">
      <c r="A2729" s="4" t="s">
        <v>6708</v>
      </c>
      <c r="B2729" s="5" t="s">
        <v>6709</v>
      </c>
      <c r="C2729" s="5" t="s">
        <v>18</v>
      </c>
      <c r="D2729" s="5" t="s">
        <v>19</v>
      </c>
      <c r="E2729" s="5" t="s">
        <v>673</v>
      </c>
      <c r="F2729" s="9">
        <v>89</v>
      </c>
      <c r="G2729" s="9">
        <v>1043</v>
      </c>
      <c r="H2729" s="5" t="s">
        <v>21</v>
      </c>
      <c r="I2729" s="5" t="s">
        <v>6710</v>
      </c>
      <c r="J2729" s="12" t="str">
        <f>HYPERLINK("https://www.boe.es/gazeta/dias/1800/11/04/pdfs/GMD-1800-89.pdf#page=9","Abrir facsímil")</f>
        <v>Abrir facsímil</v>
      </c>
      <c r="K2729" s="15" t="s">
        <v>23</v>
      </c>
    </row>
    <row r="2730" spans="1:11" ht="42" customHeight="1">
      <c r="A2730" s="4" t="s">
        <v>6711</v>
      </c>
      <c r="B2730" s="5" t="s">
        <v>6712</v>
      </c>
      <c r="C2730" s="5" t="s">
        <v>18</v>
      </c>
      <c r="D2730" s="5" t="s">
        <v>19</v>
      </c>
      <c r="E2730" s="5" t="s">
        <v>194</v>
      </c>
      <c r="F2730" s="9">
        <v>48</v>
      </c>
      <c r="G2730" s="9">
        <v>518</v>
      </c>
      <c r="H2730" s="5" t="s">
        <v>21</v>
      </c>
      <c r="I2730" s="5" t="s">
        <v>6713</v>
      </c>
      <c r="J2730" s="12" t="str">
        <f>HYPERLINK("https://www.boe.es/gazeta/dias/1800/06/17/pdfs/GMD-1800-48.pdf#page=10","Abrir facsímil")</f>
        <v>Abrir facsímil</v>
      </c>
      <c r="K2730" s="15" t="s">
        <v>23</v>
      </c>
    </row>
    <row r="2731" spans="1:11" ht="42" customHeight="1">
      <c r="A2731" s="4" t="s">
        <v>6714</v>
      </c>
      <c r="B2731" s="5" t="s">
        <v>6715</v>
      </c>
      <c r="C2731" s="5" t="s">
        <v>18</v>
      </c>
      <c r="D2731" s="5" t="s">
        <v>19</v>
      </c>
      <c r="E2731" s="5" t="s">
        <v>184</v>
      </c>
      <c r="F2731" s="9">
        <v>82</v>
      </c>
      <c r="G2731" s="9">
        <v>950</v>
      </c>
      <c r="H2731" s="5" t="s">
        <v>21</v>
      </c>
      <c r="I2731" s="5" t="s">
        <v>6716</v>
      </c>
      <c r="J2731" s="12" t="str">
        <f>HYPERLINK("https://www.boe.es/gazeta/dias/1800/10/10/pdfs/GMD-1800-82.pdf#page=8","Abrir facsímil")</f>
        <v>Abrir facsímil</v>
      </c>
      <c r="K2731" s="15" t="s">
        <v>23</v>
      </c>
    </row>
    <row r="2732" spans="1:11" ht="42" customHeight="1">
      <c r="A2732" s="4" t="s">
        <v>6717</v>
      </c>
      <c r="B2732" s="5" t="s">
        <v>6718</v>
      </c>
      <c r="C2732" s="5" t="s">
        <v>18</v>
      </c>
      <c r="D2732" s="5" t="s">
        <v>19</v>
      </c>
      <c r="E2732" s="5" t="s">
        <v>196</v>
      </c>
      <c r="F2732" s="9">
        <v>97</v>
      </c>
      <c r="G2732" s="9">
        <v>1117</v>
      </c>
      <c r="H2732" s="5" t="s">
        <v>21</v>
      </c>
      <c r="I2732" s="5" t="s">
        <v>6719</v>
      </c>
      <c r="J2732" s="12" t="str">
        <f>HYPERLINK("https://www.boe.es/gazeta/dias/1800/12/02/pdfs/GMD-1800-97.pdf#page=9","Abrir facsímil")</f>
        <v>Abrir facsímil</v>
      </c>
      <c r="K2732" s="15" t="s">
        <v>23</v>
      </c>
    </row>
    <row r="2733" spans="1:11" ht="42" customHeight="1">
      <c r="A2733" s="4" t="s">
        <v>6720</v>
      </c>
      <c r="B2733" s="5" t="s">
        <v>6721</v>
      </c>
      <c r="C2733" s="5" t="s">
        <v>18</v>
      </c>
      <c r="D2733" s="5" t="s">
        <v>19</v>
      </c>
      <c r="E2733" s="5" t="s">
        <v>135</v>
      </c>
      <c r="F2733" s="9">
        <v>73</v>
      </c>
      <c r="G2733" s="9">
        <v>815</v>
      </c>
      <c r="H2733" s="5" t="s">
        <v>21</v>
      </c>
      <c r="I2733" s="5" t="s">
        <v>6722</v>
      </c>
      <c r="J2733" s="12" t="str">
        <f>HYPERLINK("https://www.boe.es/gazeta/dias/1800/09/09/pdfs/GMD-1800-73.pdf#page=9","Abrir facsímil")</f>
        <v>Abrir facsímil</v>
      </c>
      <c r="K2733" s="15" t="s">
        <v>23</v>
      </c>
    </row>
    <row r="2734" spans="1:11" ht="42" customHeight="1">
      <c r="A2734" s="4" t="s">
        <v>6723</v>
      </c>
      <c r="B2734" s="5" t="s">
        <v>6724</v>
      </c>
      <c r="C2734" s="5" t="s">
        <v>18</v>
      </c>
      <c r="D2734" s="5" t="s">
        <v>19</v>
      </c>
      <c r="E2734" s="5" t="s">
        <v>180</v>
      </c>
      <c r="F2734" s="9">
        <v>102</v>
      </c>
      <c r="G2734" s="9">
        <v>1185</v>
      </c>
      <c r="H2734" s="5" t="s">
        <v>21</v>
      </c>
      <c r="I2734" s="5" t="s">
        <v>6725</v>
      </c>
      <c r="J2734" s="12" t="str">
        <f>HYPERLINK("https://www.boe.es/gazeta/dias/1800/12/19/pdfs/GMD-1800-102.pdf#page=9","Abrir facsímil")</f>
        <v>Abrir facsímil</v>
      </c>
      <c r="K2734" s="15" t="s">
        <v>23</v>
      </c>
    </row>
    <row r="2735" spans="1:11" ht="42" customHeight="1">
      <c r="A2735" s="4" t="s">
        <v>6726</v>
      </c>
      <c r="B2735" s="5" t="s">
        <v>6727</v>
      </c>
      <c r="C2735" s="5" t="s">
        <v>18</v>
      </c>
      <c r="D2735" s="5" t="s">
        <v>19</v>
      </c>
      <c r="E2735" s="5" t="s">
        <v>299</v>
      </c>
      <c r="F2735" s="9">
        <v>40</v>
      </c>
      <c r="G2735" s="9">
        <v>412</v>
      </c>
      <c r="H2735" s="5" t="s">
        <v>21</v>
      </c>
      <c r="I2735" s="5" t="s">
        <v>6728</v>
      </c>
      <c r="J2735" s="12" t="str">
        <f>HYPERLINK("https://www.boe.es/gazeta/dias/1800/05/20/pdfs/GMD-1800-40.pdf#page=8","Abrir facsímil")</f>
        <v>Abrir facsímil</v>
      </c>
      <c r="K2735" s="15" t="s">
        <v>23</v>
      </c>
    </row>
    <row r="2736" spans="1:11" ht="42" customHeight="1">
      <c r="A2736" s="4" t="s">
        <v>6729</v>
      </c>
      <c r="B2736" s="5" t="s">
        <v>6730</v>
      </c>
      <c r="C2736" s="5" t="s">
        <v>18</v>
      </c>
      <c r="D2736" s="5" t="s">
        <v>19</v>
      </c>
      <c r="E2736" s="5" t="s">
        <v>75</v>
      </c>
      <c r="F2736" s="9">
        <v>64</v>
      </c>
      <c r="G2736" s="9">
        <v>733</v>
      </c>
      <c r="H2736" s="5" t="s">
        <v>21</v>
      </c>
      <c r="I2736" s="5" t="s">
        <v>6731</v>
      </c>
      <c r="J2736" s="12" t="str">
        <f>HYPERLINK("https://www.boe.es/gazeta/dias/1800/08/12/pdfs/GMD-1800-64.pdf#page=9","Abrir facsímil")</f>
        <v>Abrir facsímil</v>
      </c>
      <c r="K2736" s="15" t="s">
        <v>23</v>
      </c>
    </row>
    <row r="2737" spans="1:11" ht="42" customHeight="1">
      <c r="A2737" s="4" t="s">
        <v>6732</v>
      </c>
      <c r="B2737" s="5" t="s">
        <v>6733</v>
      </c>
      <c r="C2737" s="5" t="s">
        <v>1035</v>
      </c>
      <c r="D2737" s="5" t="s">
        <v>1036</v>
      </c>
      <c r="E2737" s="5" t="s">
        <v>50</v>
      </c>
      <c r="F2737" s="9">
        <v>81</v>
      </c>
      <c r="G2737" s="9">
        <v>942</v>
      </c>
      <c r="H2737" s="5" t="s">
        <v>21</v>
      </c>
      <c r="I2737" s="5" t="s">
        <v>6734</v>
      </c>
      <c r="J2737" s="12" t="str">
        <f>HYPERLINK("https://www.boe.es/gazeta/dias/1800/10/07/pdfs/GMD-C-1800-81.pdf#page=24","Abrir facsímil")</f>
        <v>Abrir facsímil</v>
      </c>
      <c r="K2737" s="15" t="s">
        <v>23</v>
      </c>
    </row>
    <row r="2738" spans="1:11" ht="42" customHeight="1">
      <c r="A2738" s="4" t="s">
        <v>6732</v>
      </c>
      <c r="B2738" s="5" t="s">
        <v>6733</v>
      </c>
      <c r="C2738" s="5" t="s">
        <v>2123</v>
      </c>
      <c r="D2738" s="5" t="s">
        <v>2124</v>
      </c>
      <c r="E2738" s="5" t="s">
        <v>58</v>
      </c>
      <c r="F2738" s="9">
        <v>92</v>
      </c>
      <c r="G2738" s="9">
        <v>1056</v>
      </c>
      <c r="H2738" s="5" t="s">
        <v>21</v>
      </c>
      <c r="I2738" s="5" t="s">
        <v>6735</v>
      </c>
      <c r="J2738" s="12" t="str">
        <f>HYPERLINK("https://www.boe.es/gazeta/dias/1800/11/14/pdfs/GMD-C-1800-92.pdf#page=2","Abrir facsímil")</f>
        <v>Abrir facsímil</v>
      </c>
      <c r="K2738" s="15" t="s">
        <v>23</v>
      </c>
    </row>
    <row r="2739" spans="1:11" ht="42" customHeight="1">
      <c r="A2739" s="4" t="s">
        <v>6732</v>
      </c>
      <c r="B2739" s="5" t="s">
        <v>6733</v>
      </c>
      <c r="C2739" s="5" t="s">
        <v>25</v>
      </c>
      <c r="D2739" s="5" t="s">
        <v>26</v>
      </c>
      <c r="E2739" s="5" t="s">
        <v>190</v>
      </c>
      <c r="F2739" s="9">
        <v>93</v>
      </c>
      <c r="G2739" s="9">
        <v>1068</v>
      </c>
      <c r="H2739" s="5" t="s">
        <v>21</v>
      </c>
      <c r="I2739" s="5" t="s">
        <v>6736</v>
      </c>
      <c r="J2739" s="12" t="str">
        <f>HYPERLINK("https://www.boe.es/gazeta/dias/1800/11/18/pdfs/GMD-1800-93.pdf#page=14","Abrir facsímil")</f>
        <v>Abrir facsímil</v>
      </c>
      <c r="K2739" s="15" t="s">
        <v>23</v>
      </c>
    </row>
    <row r="2740" spans="1:11" ht="42" customHeight="1">
      <c r="A2740" s="4" t="s">
        <v>6732</v>
      </c>
      <c r="B2740" s="5" t="s">
        <v>6733</v>
      </c>
      <c r="C2740" s="5" t="s">
        <v>25</v>
      </c>
      <c r="D2740" s="5" t="s">
        <v>26</v>
      </c>
      <c r="E2740" s="5" t="s">
        <v>203</v>
      </c>
      <c r="F2740" s="9">
        <v>94</v>
      </c>
      <c r="G2740" s="9">
        <v>1080</v>
      </c>
      <c r="H2740" s="5" t="s">
        <v>21</v>
      </c>
      <c r="I2740" s="5" t="s">
        <v>6737</v>
      </c>
      <c r="J2740" s="12" t="str">
        <f>HYPERLINK("https://www.boe.es/gazeta/dias/1800/11/21/pdfs/GMD-1800-94.pdf#page=10","Abrir facsímil")</f>
        <v>Abrir facsímil</v>
      </c>
      <c r="K2740" s="15" t="s">
        <v>23</v>
      </c>
    </row>
    <row r="2741" spans="1:11" ht="42" customHeight="1">
      <c r="A2741" s="4" t="s">
        <v>6738</v>
      </c>
      <c r="B2741" s="5" t="s">
        <v>6739</v>
      </c>
      <c r="C2741" s="5" t="s">
        <v>18</v>
      </c>
      <c r="D2741" s="5" t="s">
        <v>19</v>
      </c>
      <c r="E2741" s="5" t="s">
        <v>176</v>
      </c>
      <c r="F2741" s="9">
        <v>88</v>
      </c>
      <c r="G2741" s="9">
        <v>1031</v>
      </c>
      <c r="H2741" s="5" t="s">
        <v>21</v>
      </c>
      <c r="I2741" s="5" t="s">
        <v>6740</v>
      </c>
      <c r="J2741" s="12" t="str">
        <f>HYPERLINK("https://www.boe.es/gazeta/dias/1800/10/31/pdfs/GMD-1800-88.pdf#page=13","Abrir facsímil")</f>
        <v>Abrir facsímil</v>
      </c>
      <c r="K2741" s="15" t="s">
        <v>23</v>
      </c>
    </row>
    <row r="2742" spans="1:11" ht="42" customHeight="1">
      <c r="A2742" s="4" t="s">
        <v>6741</v>
      </c>
      <c r="B2742" s="5" t="s">
        <v>6742</v>
      </c>
      <c r="C2742" s="5" t="s">
        <v>18</v>
      </c>
      <c r="D2742" s="5" t="s">
        <v>19</v>
      </c>
      <c r="E2742" s="5" t="s">
        <v>176</v>
      </c>
      <c r="F2742" s="9">
        <v>88</v>
      </c>
      <c r="G2742" s="9">
        <v>1020</v>
      </c>
      <c r="H2742" s="5" t="s">
        <v>21</v>
      </c>
      <c r="I2742" s="5" t="s">
        <v>6743</v>
      </c>
      <c r="J2742" s="12" t="str">
        <f>HYPERLINK("https://www.boe.es/gazeta/dias/1800/10/31/pdfs/GMD-1800-88.pdf#page=2","Abrir facsímil")</f>
        <v>Abrir facsímil</v>
      </c>
      <c r="K2742" s="15" t="s">
        <v>23</v>
      </c>
    </row>
    <row r="2743" spans="1:11" ht="42" customHeight="1">
      <c r="A2743" s="4" t="s">
        <v>6744</v>
      </c>
      <c r="B2743" s="5" t="s">
        <v>6745</v>
      </c>
      <c r="C2743" s="5" t="s">
        <v>84</v>
      </c>
      <c r="D2743" s="5" t="s">
        <v>85</v>
      </c>
      <c r="E2743" s="5" t="s">
        <v>618</v>
      </c>
      <c r="F2743" s="9">
        <v>1</v>
      </c>
      <c r="G2743" s="9">
        <v>8</v>
      </c>
      <c r="H2743" s="5" t="s">
        <v>21</v>
      </c>
      <c r="I2743" s="5" t="s">
        <v>6746</v>
      </c>
      <c r="J2743" s="12" t="str">
        <f>HYPERLINK("https://www.boe.es/gazeta/dias/1800/01/03/pdfs/GMD-1800-1.pdf#page=8","Abrir facsímil")</f>
        <v>Abrir facsímil</v>
      </c>
      <c r="K2743" s="15" t="s">
        <v>23</v>
      </c>
    </row>
    <row r="2744" spans="1:11" ht="42" customHeight="1">
      <c r="A2744" s="4" t="s">
        <v>6744</v>
      </c>
      <c r="B2744" s="5" t="s">
        <v>6745</v>
      </c>
      <c r="C2744" s="5" t="s">
        <v>84</v>
      </c>
      <c r="D2744" s="5" t="s">
        <v>85</v>
      </c>
      <c r="E2744" s="5" t="s">
        <v>787</v>
      </c>
      <c r="F2744" s="9">
        <v>6</v>
      </c>
      <c r="G2744" s="9">
        <v>60</v>
      </c>
      <c r="H2744" s="5" t="s">
        <v>21</v>
      </c>
      <c r="I2744" s="5" t="s">
        <v>6747</v>
      </c>
      <c r="J2744" s="12" t="str">
        <f>HYPERLINK("https://www.boe.es/gazeta/dias/1800/01/21/pdfs/GMD-1800-6.pdf#page=12","Abrir facsímil")</f>
        <v>Abrir facsímil</v>
      </c>
      <c r="K2744" s="15" t="s">
        <v>23</v>
      </c>
    </row>
    <row r="2745" spans="1:11" ht="42" customHeight="1">
      <c r="A2745" s="4" t="s">
        <v>6744</v>
      </c>
      <c r="B2745" s="5" t="s">
        <v>6745</v>
      </c>
      <c r="C2745" s="5" t="s">
        <v>84</v>
      </c>
      <c r="D2745" s="5" t="s">
        <v>85</v>
      </c>
      <c r="E2745" s="5" t="s">
        <v>503</v>
      </c>
      <c r="F2745" s="9">
        <v>13</v>
      </c>
      <c r="G2745" s="9">
        <v>128</v>
      </c>
      <c r="H2745" s="5" t="s">
        <v>21</v>
      </c>
      <c r="I2745" s="5" t="s">
        <v>6748</v>
      </c>
      <c r="J2745" s="12" t="str">
        <f>HYPERLINK("https://www.boe.es/gazeta/dias/1800/02/14/pdfs/GMD-1800-13.pdf#page=12","Abrir facsímil")</f>
        <v>Abrir facsímil</v>
      </c>
      <c r="K2745" s="15" t="s">
        <v>23</v>
      </c>
    </row>
    <row r="2746" spans="1:11" ht="42" customHeight="1">
      <c r="A2746" s="4" t="s">
        <v>6744</v>
      </c>
      <c r="B2746" s="5" t="s">
        <v>6745</v>
      </c>
      <c r="C2746" s="5" t="s">
        <v>84</v>
      </c>
      <c r="D2746" s="5" t="s">
        <v>85</v>
      </c>
      <c r="E2746" s="5" t="s">
        <v>31</v>
      </c>
      <c r="F2746" s="9">
        <v>20</v>
      </c>
      <c r="G2746" s="9">
        <v>196</v>
      </c>
      <c r="H2746" s="5" t="s">
        <v>21</v>
      </c>
      <c r="I2746" s="5" t="s">
        <v>6749</v>
      </c>
      <c r="J2746" s="12" t="str">
        <f>HYPERLINK("https://www.boe.es/gazeta/dias/1800/03/11/pdfs/GMD-1800-20.pdf#page=12","Abrir facsímil")</f>
        <v>Abrir facsímil</v>
      </c>
      <c r="K2746" s="15" t="s">
        <v>23</v>
      </c>
    </row>
    <row r="2747" spans="1:11" ht="42" customHeight="1">
      <c r="A2747" s="4" t="s">
        <v>6744</v>
      </c>
      <c r="B2747" s="5" t="s">
        <v>6745</v>
      </c>
      <c r="C2747" s="5" t="s">
        <v>84</v>
      </c>
      <c r="D2747" s="5" t="s">
        <v>85</v>
      </c>
      <c r="E2747" s="5" t="s">
        <v>158</v>
      </c>
      <c r="F2747" s="9">
        <v>25</v>
      </c>
      <c r="G2747" s="9">
        <v>260</v>
      </c>
      <c r="H2747" s="5" t="s">
        <v>21</v>
      </c>
      <c r="I2747" s="5" t="s">
        <v>6750</v>
      </c>
      <c r="J2747" s="12" t="str">
        <f>HYPERLINK("https://www.boe.es/gazeta/dias/1800/03/28/pdfs/GMD-1800-25.pdf#page=12","Abrir facsímil")</f>
        <v>Abrir facsímil</v>
      </c>
      <c r="K2747" s="15" t="s">
        <v>23</v>
      </c>
    </row>
    <row r="2748" spans="1:11" ht="42" customHeight="1">
      <c r="A2748" s="4" t="s">
        <v>6744</v>
      </c>
      <c r="B2748" s="5" t="s">
        <v>6745</v>
      </c>
      <c r="C2748" s="5" t="s">
        <v>84</v>
      </c>
      <c r="D2748" s="5" t="s">
        <v>85</v>
      </c>
      <c r="E2748" s="5" t="s">
        <v>1108</v>
      </c>
      <c r="F2748" s="9">
        <v>30</v>
      </c>
      <c r="G2748" s="9">
        <v>308</v>
      </c>
      <c r="H2748" s="5" t="s">
        <v>21</v>
      </c>
      <c r="I2748" s="5" t="s">
        <v>6751</v>
      </c>
      <c r="J2748" s="12" t="str">
        <f>HYPERLINK("https://www.boe.es/gazeta/dias/1800/04/15/pdfs/GMD-1800-30.pdf#page=8","Abrir facsímil")</f>
        <v>Abrir facsímil</v>
      </c>
      <c r="K2748" s="15" t="s">
        <v>23</v>
      </c>
    </row>
    <row r="2749" spans="1:11" ht="42" customHeight="1">
      <c r="A2749" s="4" t="s">
        <v>6744</v>
      </c>
      <c r="B2749" s="5" t="s">
        <v>6745</v>
      </c>
      <c r="C2749" s="5" t="s">
        <v>84</v>
      </c>
      <c r="D2749" s="5" t="s">
        <v>85</v>
      </c>
      <c r="E2749" s="5" t="s">
        <v>248</v>
      </c>
      <c r="F2749" s="9">
        <v>33</v>
      </c>
      <c r="G2749" s="9">
        <v>336</v>
      </c>
      <c r="H2749" s="5" t="s">
        <v>21</v>
      </c>
      <c r="I2749" s="5" t="s">
        <v>6752</v>
      </c>
      <c r="J2749" s="12" t="str">
        <f>HYPERLINK("https://www.boe.es/gazeta/dias/1800/04/25/pdfs/GMD-1800-33.pdf#page=12","Abrir facsímil")</f>
        <v>Abrir facsímil</v>
      </c>
      <c r="K2749" s="15" t="s">
        <v>23</v>
      </c>
    </row>
    <row r="2750" spans="1:11" ht="42" customHeight="1">
      <c r="A2750" s="4" t="s">
        <v>6744</v>
      </c>
      <c r="B2750" s="5" t="s">
        <v>6745</v>
      </c>
      <c r="C2750" s="5" t="s">
        <v>84</v>
      </c>
      <c r="D2750" s="5" t="s">
        <v>85</v>
      </c>
      <c r="E2750" s="5" t="s">
        <v>101</v>
      </c>
      <c r="F2750" s="9">
        <v>37</v>
      </c>
      <c r="G2750" s="9">
        <v>380</v>
      </c>
      <c r="H2750" s="5" t="s">
        <v>21</v>
      </c>
      <c r="I2750" s="5" t="s">
        <v>6753</v>
      </c>
      <c r="J2750" s="12" t="str">
        <f>HYPERLINK("https://www.boe.es/gazeta/dias/1800/05/09/pdfs/GMD-1800-37.pdf#page=12","Abrir facsímil")</f>
        <v>Abrir facsímil</v>
      </c>
      <c r="K2750" s="15" t="s">
        <v>23</v>
      </c>
    </row>
    <row r="2751" spans="1:11" ht="42" customHeight="1">
      <c r="A2751" s="4" t="s">
        <v>6744</v>
      </c>
      <c r="B2751" s="5" t="s">
        <v>6745</v>
      </c>
      <c r="C2751" s="5" t="s">
        <v>84</v>
      </c>
      <c r="D2751" s="5" t="s">
        <v>85</v>
      </c>
      <c r="E2751" s="5" t="s">
        <v>194</v>
      </c>
      <c r="F2751" s="9">
        <v>48</v>
      </c>
      <c r="G2751" s="9">
        <v>520</v>
      </c>
      <c r="H2751" s="5" t="s">
        <v>21</v>
      </c>
      <c r="I2751" s="5" t="s">
        <v>6754</v>
      </c>
      <c r="J2751" s="12" t="str">
        <f>HYPERLINK("https://www.boe.es/gazeta/dias/1800/06/17/pdfs/GMD-1800-48.pdf#page=12","Abrir facsímil")</f>
        <v>Abrir facsímil</v>
      </c>
      <c r="K2751" s="15" t="s">
        <v>23</v>
      </c>
    </row>
    <row r="2752" spans="1:11" ht="42" customHeight="1">
      <c r="A2752" s="4" t="s">
        <v>6744</v>
      </c>
      <c r="B2752" s="5" t="s">
        <v>6745</v>
      </c>
      <c r="C2752" s="5" t="s">
        <v>84</v>
      </c>
      <c r="D2752" s="5" t="s">
        <v>85</v>
      </c>
      <c r="E2752" s="5" t="s">
        <v>120</v>
      </c>
      <c r="F2752" s="9">
        <v>52</v>
      </c>
      <c r="G2752" s="9">
        <v>576</v>
      </c>
      <c r="H2752" s="5" t="s">
        <v>21</v>
      </c>
      <c r="I2752" s="5" t="s">
        <v>6755</v>
      </c>
      <c r="J2752" s="12" t="str">
        <f>HYPERLINK("https://www.boe.es/gazeta/dias/1800/07/01/pdfs/GMD-1800-52.pdf#page=12","Abrir facsímil")</f>
        <v>Abrir facsímil</v>
      </c>
      <c r="K2752" s="15" t="s">
        <v>23</v>
      </c>
    </row>
    <row r="2753" spans="1:11" ht="42" customHeight="1">
      <c r="A2753" s="4" t="s">
        <v>6744</v>
      </c>
      <c r="B2753" s="5" t="s">
        <v>6745</v>
      </c>
      <c r="C2753" s="5" t="s">
        <v>84</v>
      </c>
      <c r="D2753" s="5" t="s">
        <v>85</v>
      </c>
      <c r="E2753" s="5" t="s">
        <v>310</v>
      </c>
      <c r="F2753" s="9">
        <v>56</v>
      </c>
      <c r="G2753" s="9">
        <v>636</v>
      </c>
      <c r="H2753" s="5" t="s">
        <v>21</v>
      </c>
      <c r="I2753" s="5" t="s">
        <v>6756</v>
      </c>
      <c r="J2753" s="12" t="str">
        <f>HYPERLINK("https://www.boe.es/gazeta/dias/1800/07/15/pdfs/GMD-1800-56.pdf#page=12","Abrir facsímil")</f>
        <v>Abrir facsímil</v>
      </c>
      <c r="K2753" s="15" t="s">
        <v>23</v>
      </c>
    </row>
    <row r="2754" spans="1:11" ht="42" customHeight="1">
      <c r="A2754" s="4" t="s">
        <v>6744</v>
      </c>
      <c r="B2754" s="5" t="s">
        <v>6745</v>
      </c>
      <c r="C2754" s="5" t="s">
        <v>84</v>
      </c>
      <c r="D2754" s="5" t="s">
        <v>85</v>
      </c>
      <c r="E2754" s="5" t="s">
        <v>275</v>
      </c>
      <c r="F2754" s="9">
        <v>60</v>
      </c>
      <c r="G2754" s="9">
        <v>688</v>
      </c>
      <c r="H2754" s="5" t="s">
        <v>21</v>
      </c>
      <c r="I2754" s="5" t="s">
        <v>6757</v>
      </c>
      <c r="J2754" s="12" t="str">
        <f>HYPERLINK("https://www.boe.es/gazeta/dias/1800/07/29/pdfs/GMD-1800-60.pdf#page=8","Abrir facsímil")</f>
        <v>Abrir facsímil</v>
      </c>
      <c r="K2754" s="15" t="s">
        <v>23</v>
      </c>
    </row>
    <row r="2755" spans="1:11" ht="42" customHeight="1">
      <c r="A2755" s="4" t="s">
        <v>6744</v>
      </c>
      <c r="B2755" s="5" t="s">
        <v>6745</v>
      </c>
      <c r="C2755" s="5" t="s">
        <v>25</v>
      </c>
      <c r="D2755" s="5" t="s">
        <v>26</v>
      </c>
      <c r="E2755" s="5" t="s">
        <v>319</v>
      </c>
      <c r="F2755" s="9">
        <v>62</v>
      </c>
      <c r="G2755" s="9">
        <v>708</v>
      </c>
      <c r="H2755" s="5" t="s">
        <v>21</v>
      </c>
      <c r="I2755" s="5" t="s">
        <v>6758</v>
      </c>
      <c r="J2755" s="12" t="str">
        <f>HYPERLINK("https://www.boe.es/gazeta/dias/1800/08/05/pdfs/GMD-1800-62.pdf#page=8","Abrir facsímil")</f>
        <v>Abrir facsímil</v>
      </c>
      <c r="K2755" s="15" t="s">
        <v>23</v>
      </c>
    </row>
    <row r="2756" spans="1:11" ht="42" customHeight="1">
      <c r="A2756" s="4" t="s">
        <v>6744</v>
      </c>
      <c r="B2756" s="5" t="s">
        <v>6745</v>
      </c>
      <c r="C2756" s="5" t="s">
        <v>84</v>
      </c>
      <c r="D2756" s="5" t="s">
        <v>85</v>
      </c>
      <c r="E2756" s="5" t="s">
        <v>75</v>
      </c>
      <c r="F2756" s="9">
        <v>64</v>
      </c>
      <c r="G2756" s="9">
        <v>736</v>
      </c>
      <c r="H2756" s="5" t="s">
        <v>21</v>
      </c>
      <c r="I2756" s="5" t="s">
        <v>6759</v>
      </c>
      <c r="J2756" s="12" t="str">
        <f>HYPERLINK("https://www.boe.es/gazeta/dias/1800/08/12/pdfs/GMD-1800-64.pdf#page=12","Abrir facsímil")</f>
        <v>Abrir facsímil</v>
      </c>
      <c r="K2756" s="15" t="s">
        <v>23</v>
      </c>
    </row>
    <row r="2757" spans="1:11" ht="42" customHeight="1">
      <c r="A2757" s="4" t="s">
        <v>6744</v>
      </c>
      <c r="B2757" s="5" t="s">
        <v>6745</v>
      </c>
      <c r="C2757" s="5" t="s">
        <v>84</v>
      </c>
      <c r="D2757" s="5" t="s">
        <v>85</v>
      </c>
      <c r="E2757" s="5" t="s">
        <v>283</v>
      </c>
      <c r="F2757" s="9">
        <v>68</v>
      </c>
      <c r="G2757" s="9">
        <v>768</v>
      </c>
      <c r="H2757" s="5" t="s">
        <v>21</v>
      </c>
      <c r="I2757" s="5" t="s">
        <v>6760</v>
      </c>
      <c r="J2757" s="12" t="str">
        <f>HYPERLINK("https://www.boe.es/gazeta/dias/1800/08/26/pdfs/GMD-1800-68.pdf#page=12","Abrir facsímil")</f>
        <v>Abrir facsímil</v>
      </c>
      <c r="K2757" s="15" t="s">
        <v>23</v>
      </c>
    </row>
    <row r="2758" spans="1:11" ht="42" customHeight="1">
      <c r="A2758" s="4" t="s">
        <v>6744</v>
      </c>
      <c r="B2758" s="5" t="s">
        <v>6745</v>
      </c>
      <c r="C2758" s="5" t="s">
        <v>84</v>
      </c>
      <c r="D2758" s="5" t="s">
        <v>85</v>
      </c>
      <c r="E2758" s="5" t="s">
        <v>135</v>
      </c>
      <c r="F2758" s="9">
        <v>73</v>
      </c>
      <c r="G2758" s="9">
        <v>818</v>
      </c>
      <c r="H2758" s="5" t="s">
        <v>21</v>
      </c>
      <c r="I2758" s="5" t="s">
        <v>6761</v>
      </c>
      <c r="J2758" s="12" t="str">
        <f>HYPERLINK("https://www.boe.es/gazeta/dias/1800/09/09/pdfs/GMD-1800-73.pdf#page=12","Abrir facsímil")</f>
        <v>Abrir facsímil</v>
      </c>
      <c r="K2758" s="15" t="s">
        <v>23</v>
      </c>
    </row>
    <row r="2759" spans="1:11" ht="42" customHeight="1">
      <c r="A2759" s="4" t="s">
        <v>6744</v>
      </c>
      <c r="B2759" s="5" t="s">
        <v>6745</v>
      </c>
      <c r="C2759" s="5" t="s">
        <v>84</v>
      </c>
      <c r="D2759" s="5" t="s">
        <v>85</v>
      </c>
      <c r="E2759" s="5" t="s">
        <v>583</v>
      </c>
      <c r="F2759" s="9">
        <v>77</v>
      </c>
      <c r="G2759" s="9">
        <v>882</v>
      </c>
      <c r="H2759" s="5" t="s">
        <v>21</v>
      </c>
      <c r="I2759" s="5" t="s">
        <v>6762</v>
      </c>
      <c r="J2759" s="12" t="str">
        <f>HYPERLINK("https://www.boe.es/gazeta/dias/1800/09/23/pdfs/GMD-1800-77.pdf#page=12","Abrir facsímil")</f>
        <v>Abrir facsímil</v>
      </c>
      <c r="K2759" s="15" t="s">
        <v>23</v>
      </c>
    </row>
    <row r="2760" spans="1:11" ht="42" customHeight="1">
      <c r="A2760" s="4" t="s">
        <v>6744</v>
      </c>
      <c r="B2760" s="5" t="s">
        <v>6745</v>
      </c>
      <c r="C2760" s="5" t="s">
        <v>84</v>
      </c>
      <c r="D2760" s="5" t="s">
        <v>85</v>
      </c>
      <c r="E2760" s="5" t="s">
        <v>845</v>
      </c>
      <c r="F2760" s="9">
        <v>80</v>
      </c>
      <c r="G2760" s="9">
        <v>910</v>
      </c>
      <c r="H2760" s="5" t="s">
        <v>21</v>
      </c>
      <c r="I2760" s="5" t="s">
        <v>6763</v>
      </c>
      <c r="J2760" s="12" t="str">
        <f>HYPERLINK("https://www.boe.es/gazeta/dias/1800/10/03/pdfs/GMD-1800-80.pdf#page=8","Abrir facsímil")</f>
        <v>Abrir facsímil</v>
      </c>
      <c r="K2760" s="15" t="s">
        <v>23</v>
      </c>
    </row>
    <row r="2761" spans="1:11" ht="42" customHeight="1">
      <c r="A2761" s="4" t="s">
        <v>6744</v>
      </c>
      <c r="B2761" s="5" t="s">
        <v>6745</v>
      </c>
      <c r="C2761" s="5" t="s">
        <v>84</v>
      </c>
      <c r="D2761" s="5" t="s">
        <v>85</v>
      </c>
      <c r="E2761" s="5" t="s">
        <v>422</v>
      </c>
      <c r="F2761" s="9">
        <v>85</v>
      </c>
      <c r="G2761" s="9">
        <v>986</v>
      </c>
      <c r="H2761" s="5" t="s">
        <v>21</v>
      </c>
      <c r="I2761" s="5" t="s">
        <v>6764</v>
      </c>
      <c r="J2761" s="12" t="str">
        <f>HYPERLINK("https://www.boe.es/gazeta/dias/1800/10/21/pdfs/GMD-1800-85.pdf#page=8","Abrir facsímil")</f>
        <v>Abrir facsímil</v>
      </c>
      <c r="K2761" s="15" t="s">
        <v>23</v>
      </c>
    </row>
    <row r="2762" spans="1:11" ht="42" customHeight="1">
      <c r="A2762" s="4" t="s">
        <v>6744</v>
      </c>
      <c r="B2762" s="5" t="s">
        <v>6745</v>
      </c>
      <c r="C2762" s="5" t="s">
        <v>84</v>
      </c>
      <c r="D2762" s="5" t="s">
        <v>85</v>
      </c>
      <c r="E2762" s="5" t="s">
        <v>673</v>
      </c>
      <c r="F2762" s="9">
        <v>89</v>
      </c>
      <c r="G2762" s="9">
        <v>1045</v>
      </c>
      <c r="H2762" s="5" t="s">
        <v>21</v>
      </c>
      <c r="I2762" s="5" t="s">
        <v>6765</v>
      </c>
      <c r="J2762" s="12" t="str">
        <f>HYPERLINK("https://www.boe.es/gazeta/dias/1800/11/04/pdfs/GMD-1800-89.pdf#page=11","Abrir facsímil")</f>
        <v>Abrir facsímil</v>
      </c>
      <c r="K2762" s="15" t="s">
        <v>23</v>
      </c>
    </row>
    <row r="2763" spans="1:11" ht="42" customHeight="1">
      <c r="A2763" s="4" t="s">
        <v>6744</v>
      </c>
      <c r="B2763" s="5" t="s">
        <v>6745</v>
      </c>
      <c r="C2763" s="5" t="s">
        <v>84</v>
      </c>
      <c r="D2763" s="5" t="s">
        <v>85</v>
      </c>
      <c r="E2763" s="5" t="s">
        <v>190</v>
      </c>
      <c r="F2763" s="9">
        <v>93</v>
      </c>
      <c r="G2763" s="9">
        <v>1070</v>
      </c>
      <c r="H2763" s="5" t="s">
        <v>21</v>
      </c>
      <c r="I2763" s="5" t="s">
        <v>6766</v>
      </c>
      <c r="J2763" s="12" t="str">
        <f>HYPERLINK("https://www.boe.es/gazeta/dias/1800/11/18/pdfs/GMD-1800-93.pdf#page=16","Abrir facsímil")</f>
        <v>Abrir facsímil</v>
      </c>
      <c r="K2763" s="15" t="s">
        <v>23</v>
      </c>
    </row>
    <row r="2764" spans="1:11" ht="42" customHeight="1">
      <c r="A2764" s="4" t="s">
        <v>6744</v>
      </c>
      <c r="B2764" s="5" t="s">
        <v>6745</v>
      </c>
      <c r="C2764" s="5" t="s">
        <v>84</v>
      </c>
      <c r="D2764" s="5" t="s">
        <v>85</v>
      </c>
      <c r="E2764" s="5" t="s">
        <v>196</v>
      </c>
      <c r="F2764" s="9">
        <v>97</v>
      </c>
      <c r="G2764" s="9">
        <v>1120</v>
      </c>
      <c r="H2764" s="5" t="s">
        <v>21</v>
      </c>
      <c r="I2764" s="5" t="s">
        <v>6767</v>
      </c>
      <c r="J2764" s="12" t="str">
        <f>HYPERLINK("https://www.boe.es/gazeta/dias/1800/12/02/pdfs/GMD-1800-97.pdf#page=12","Abrir facsímil")</f>
        <v>Abrir facsímil</v>
      </c>
      <c r="K2764" s="15" t="s">
        <v>23</v>
      </c>
    </row>
    <row r="2765" spans="1:11" ht="42" customHeight="1">
      <c r="A2765" s="4" t="s">
        <v>6744</v>
      </c>
      <c r="B2765" s="5" t="s">
        <v>6745</v>
      </c>
      <c r="C2765" s="5" t="s">
        <v>84</v>
      </c>
      <c r="D2765" s="5" t="s">
        <v>85</v>
      </c>
      <c r="E2765" s="5" t="s">
        <v>402</v>
      </c>
      <c r="F2765" s="9">
        <v>101</v>
      </c>
      <c r="G2765" s="9">
        <v>1176</v>
      </c>
      <c r="H2765" s="5" t="s">
        <v>21</v>
      </c>
      <c r="I2765" s="5" t="s">
        <v>6768</v>
      </c>
      <c r="J2765" s="12" t="str">
        <f>HYPERLINK("https://www.boe.es/gazeta/dias/1800/12/16/pdfs/GMD-1800-101.pdf#page=12","Abrir facsímil")</f>
        <v>Abrir facsímil</v>
      </c>
      <c r="K2765" s="15" t="s">
        <v>23</v>
      </c>
    </row>
    <row r="2766" spans="1:11" ht="42" customHeight="1">
      <c r="A2766" s="4" t="s">
        <v>6744</v>
      </c>
      <c r="B2766" s="5" t="s">
        <v>6745</v>
      </c>
      <c r="C2766" s="5" t="s">
        <v>84</v>
      </c>
      <c r="D2766" s="5" t="s">
        <v>85</v>
      </c>
      <c r="E2766" s="5" t="s">
        <v>60</v>
      </c>
      <c r="F2766" s="9">
        <v>105</v>
      </c>
      <c r="G2766" s="9">
        <v>1228</v>
      </c>
      <c r="H2766" s="5" t="s">
        <v>21</v>
      </c>
      <c r="I2766" s="5" t="s">
        <v>6769</v>
      </c>
      <c r="J2766" s="12" t="str">
        <f>HYPERLINK("https://www.boe.es/gazeta/dias/1800/12/30/pdfs/GMD-1800-105.pdf#page=12","Abrir facsímil")</f>
        <v>Abrir facsímil</v>
      </c>
      <c r="K2766" s="15" t="s">
        <v>23</v>
      </c>
    </row>
    <row r="2767" spans="1:11" ht="42" customHeight="1">
      <c r="A2767" s="4" t="s">
        <v>6770</v>
      </c>
      <c r="B2767" s="5" t="s">
        <v>6770</v>
      </c>
      <c r="C2767" s="5" t="s">
        <v>171</v>
      </c>
      <c r="D2767" s="5" t="s">
        <v>172</v>
      </c>
      <c r="E2767" s="5" t="s">
        <v>422</v>
      </c>
      <c r="F2767" s="9">
        <v>85</v>
      </c>
      <c r="G2767" s="9">
        <v>990</v>
      </c>
      <c r="H2767" s="5" t="s">
        <v>21</v>
      </c>
      <c r="I2767" s="5" t="s">
        <v>6771</v>
      </c>
      <c r="J2767" s="12" t="str">
        <f>HYPERLINK("https://www.boe.es/gazeta/dias/1800/10/21/pdfs/GMD-C-1800-85.pdf#page=4","Abrir facsímil")</f>
        <v>Abrir facsímil</v>
      </c>
      <c r="K2767" s="15" t="s">
        <v>23</v>
      </c>
    </row>
    <row r="2768" spans="1:11" ht="42" customHeight="1">
      <c r="A2768" s="4" t="s">
        <v>6772</v>
      </c>
      <c r="B2768" s="5" t="s">
        <v>6772</v>
      </c>
      <c r="C2768" s="5" t="s">
        <v>18</v>
      </c>
      <c r="D2768" s="5" t="s">
        <v>19</v>
      </c>
      <c r="E2768" s="5" t="s">
        <v>184</v>
      </c>
      <c r="F2768" s="9">
        <v>82</v>
      </c>
      <c r="G2768" s="9">
        <v>951</v>
      </c>
      <c r="H2768" s="5" t="s">
        <v>21</v>
      </c>
      <c r="I2768" s="5" t="s">
        <v>6773</v>
      </c>
      <c r="J2768" s="12" t="str">
        <f>HYPERLINK("https://www.boe.es/gazeta/dias/1800/10/10/pdfs/GMD-1800-82.pdf#page=9","Abrir facsímil")</f>
        <v>Abrir facsímil</v>
      </c>
      <c r="K2768" s="15" t="s">
        <v>23</v>
      </c>
    </row>
    <row r="2769" spans="1:11" ht="42" customHeight="1">
      <c r="A2769" s="4" t="s">
        <v>6774</v>
      </c>
      <c r="B2769" s="5" t="s">
        <v>6774</v>
      </c>
      <c r="C2769" s="5" t="s">
        <v>18</v>
      </c>
      <c r="D2769" s="5" t="s">
        <v>19</v>
      </c>
      <c r="E2769" s="5" t="s">
        <v>310</v>
      </c>
      <c r="F2769" s="9">
        <v>56</v>
      </c>
      <c r="G2769" s="9">
        <v>633</v>
      </c>
      <c r="H2769" s="5" t="s">
        <v>21</v>
      </c>
      <c r="I2769" s="5" t="s">
        <v>6775</v>
      </c>
      <c r="J2769" s="12" t="str">
        <f>HYPERLINK("https://www.boe.es/gazeta/dias/1800/07/15/pdfs/GMD-1800-56.pdf#page=9","Abrir facsímil")</f>
        <v>Abrir facsímil</v>
      </c>
      <c r="K2769" s="15" t="s">
        <v>23</v>
      </c>
    </row>
    <row r="2770" spans="1:11" ht="42" customHeight="1">
      <c r="A2770" s="4" t="s">
        <v>6776</v>
      </c>
      <c r="B2770" s="5" t="s">
        <v>6777</v>
      </c>
      <c r="C2770" s="5" t="s">
        <v>18</v>
      </c>
      <c r="D2770" s="5" t="s">
        <v>19</v>
      </c>
      <c r="E2770" s="5" t="s">
        <v>176</v>
      </c>
      <c r="F2770" s="9">
        <v>88</v>
      </c>
      <c r="G2770" s="9">
        <v>1030</v>
      </c>
      <c r="H2770" s="5" t="s">
        <v>21</v>
      </c>
      <c r="I2770" s="5" t="s">
        <v>6778</v>
      </c>
      <c r="J2770" s="12" t="str">
        <f>HYPERLINK("https://www.boe.es/gazeta/dias/1800/10/31/pdfs/GMD-1800-88.pdf#page=12","Abrir facsímil")</f>
        <v>Abrir facsímil</v>
      </c>
      <c r="K2770" s="15" t="s">
        <v>23</v>
      </c>
    </row>
    <row r="2771" spans="1:11" ht="42" customHeight="1">
      <c r="A2771" s="4" t="s">
        <v>6779</v>
      </c>
      <c r="B2771" s="5" t="s">
        <v>6780</v>
      </c>
      <c r="C2771" s="5" t="s">
        <v>18</v>
      </c>
      <c r="D2771" s="5" t="s">
        <v>19</v>
      </c>
      <c r="E2771" s="5" t="s">
        <v>35</v>
      </c>
      <c r="F2771" s="9">
        <v>21</v>
      </c>
      <c r="G2771" s="9">
        <v>205</v>
      </c>
      <c r="H2771" s="5" t="s">
        <v>21</v>
      </c>
      <c r="I2771" s="5" t="s">
        <v>6781</v>
      </c>
      <c r="J2771" s="12" t="str">
        <f>HYPERLINK("https://www.boe.es/gazeta/dias/1800/03/14/pdfs/GMD-1800-21.pdf#page=9","Abrir facsímil")</f>
        <v>Abrir facsímil</v>
      </c>
      <c r="K2771" s="15" t="s">
        <v>23</v>
      </c>
    </row>
    <row r="2772" spans="1:11" ht="42" customHeight="1">
      <c r="A2772" s="4" t="s">
        <v>6782</v>
      </c>
      <c r="B2772" s="5" t="s">
        <v>6783</v>
      </c>
      <c r="C2772" s="5" t="s">
        <v>54</v>
      </c>
      <c r="D2772" s="5" t="s">
        <v>55</v>
      </c>
      <c r="E2772" s="5" t="s">
        <v>45</v>
      </c>
      <c r="F2772" s="9">
        <v>47</v>
      </c>
      <c r="G2772" s="9">
        <v>502</v>
      </c>
      <c r="H2772" s="5" t="s">
        <v>21</v>
      </c>
      <c r="I2772" s="5" t="s">
        <v>6784</v>
      </c>
      <c r="J2772" s="12" t="str">
        <f>HYPERLINK("https://www.boe.es/gazeta/dias/1800/06/13/pdfs/GMD-1800-47.pdf#page=10","Abrir facsímil")</f>
        <v>Abrir facsímil</v>
      </c>
      <c r="K2772" s="15" t="s">
        <v>23</v>
      </c>
    </row>
    <row r="2773" spans="1:11" ht="42" customHeight="1">
      <c r="A2773" s="4" t="s">
        <v>6785</v>
      </c>
      <c r="B2773" s="5" t="s">
        <v>6785</v>
      </c>
      <c r="C2773" s="5" t="s">
        <v>25</v>
      </c>
      <c r="D2773" s="5" t="s">
        <v>26</v>
      </c>
      <c r="E2773" s="5" t="s">
        <v>75</v>
      </c>
      <c r="F2773" s="9">
        <v>64</v>
      </c>
      <c r="G2773" s="9">
        <v>735</v>
      </c>
      <c r="H2773" s="5" t="s">
        <v>21</v>
      </c>
      <c r="I2773" s="5" t="s">
        <v>6786</v>
      </c>
      <c r="J2773" s="12" t="str">
        <f>HYPERLINK("https://www.boe.es/gazeta/dias/1800/08/12/pdfs/GMD-1800-64.pdf#page=11","Abrir facsímil")</f>
        <v>Abrir facsímil</v>
      </c>
      <c r="K2773" s="15" t="s">
        <v>23</v>
      </c>
    </row>
    <row r="2774" spans="1:11" ht="42" customHeight="1">
      <c r="A2774" s="4" t="s">
        <v>6787</v>
      </c>
      <c r="B2774" s="5" t="s">
        <v>6788</v>
      </c>
      <c r="C2774" s="5" t="s">
        <v>207</v>
      </c>
      <c r="D2774" s="5" t="s">
        <v>55</v>
      </c>
      <c r="E2774" s="5" t="s">
        <v>154</v>
      </c>
      <c r="F2774" s="9">
        <v>61</v>
      </c>
      <c r="G2774" s="9">
        <v>699</v>
      </c>
      <c r="H2774" s="5" t="s">
        <v>21</v>
      </c>
      <c r="I2774" s="5" t="s">
        <v>6789</v>
      </c>
      <c r="J2774" s="12" t="str">
        <f>HYPERLINK("https://www.boe.es/gazeta/dias/1800/08/01/pdfs/GMD-1800-61.pdf#page=11","Abrir facsímil")</f>
        <v>Abrir facsímil</v>
      </c>
      <c r="K2774" s="15" t="s">
        <v>23</v>
      </c>
    </row>
    <row r="2775" spans="1:11" ht="42" customHeight="1">
      <c r="A2775" s="4" t="s">
        <v>6790</v>
      </c>
      <c r="B2775" s="5" t="s">
        <v>6791</v>
      </c>
      <c r="C2775" s="5" t="s">
        <v>18</v>
      </c>
      <c r="D2775" s="5" t="s">
        <v>19</v>
      </c>
      <c r="E2775" s="5" t="s">
        <v>56</v>
      </c>
      <c r="F2775" s="9">
        <v>90</v>
      </c>
      <c r="G2775" s="9">
        <v>1055</v>
      </c>
      <c r="H2775" s="5" t="s">
        <v>21</v>
      </c>
      <c r="I2775" s="5" t="s">
        <v>6792</v>
      </c>
      <c r="J2775" s="12" t="str">
        <f>HYPERLINK("https://www.boe.es/gazeta/dias/1800/11/07/pdfs/GMD-1800-90.pdf#page=9","Abrir facsímil")</f>
        <v>Abrir facsímil</v>
      </c>
      <c r="K2775" s="15" t="s">
        <v>23</v>
      </c>
    </row>
    <row r="2776" spans="1:11" ht="42" customHeight="1">
      <c r="A2776" s="4" t="s">
        <v>6793</v>
      </c>
      <c r="B2776" s="5" t="s">
        <v>6794</v>
      </c>
      <c r="C2776" s="5" t="s">
        <v>18</v>
      </c>
      <c r="D2776" s="5" t="s">
        <v>19</v>
      </c>
      <c r="E2776" s="5" t="s">
        <v>534</v>
      </c>
      <c r="F2776" s="9">
        <v>100</v>
      </c>
      <c r="G2776" s="9">
        <v>1159</v>
      </c>
      <c r="H2776" s="5" t="s">
        <v>21</v>
      </c>
      <c r="I2776" s="5" t="s">
        <v>6795</v>
      </c>
      <c r="J2776" s="12" t="str">
        <f>HYPERLINK("https://www.boe.es/gazeta/dias/1800/12/12/pdfs/GMD-1800-100.pdf#page=11","Abrir facsímil")</f>
        <v>Abrir facsímil</v>
      </c>
      <c r="K2776" s="15" t="s">
        <v>23</v>
      </c>
    </row>
    <row r="2777" spans="1:11" ht="42" customHeight="1">
      <c r="A2777" s="4" t="s">
        <v>6796</v>
      </c>
      <c r="B2777" s="5" t="s">
        <v>6797</v>
      </c>
      <c r="C2777" s="5" t="s">
        <v>18</v>
      </c>
      <c r="D2777" s="5" t="s">
        <v>19</v>
      </c>
      <c r="E2777" s="5" t="s">
        <v>190</v>
      </c>
      <c r="F2777" s="9">
        <v>93</v>
      </c>
      <c r="G2777" s="9">
        <v>1067</v>
      </c>
      <c r="H2777" s="5" t="s">
        <v>21</v>
      </c>
      <c r="I2777" s="5" t="s">
        <v>6798</v>
      </c>
      <c r="J2777" s="12" t="str">
        <f>HYPERLINK("https://www.boe.es/gazeta/dias/1800/11/18/pdfs/GMD-1800-93.pdf#page=13","Abrir facsímil")</f>
        <v>Abrir facsímil</v>
      </c>
      <c r="K2777" s="15" t="s">
        <v>23</v>
      </c>
    </row>
    <row r="2778" spans="1:11" ht="42" customHeight="1">
      <c r="A2778" s="4" t="s">
        <v>6799</v>
      </c>
      <c r="B2778" s="5" t="s">
        <v>6799</v>
      </c>
      <c r="C2778" s="5" t="s">
        <v>171</v>
      </c>
      <c r="D2778" s="5" t="s">
        <v>172</v>
      </c>
      <c r="E2778" s="5" t="s">
        <v>465</v>
      </c>
      <c r="F2778" s="9">
        <v>49</v>
      </c>
      <c r="G2778" s="9">
        <v>536</v>
      </c>
      <c r="H2778" s="5" t="s">
        <v>21</v>
      </c>
      <c r="I2778" s="5" t="s">
        <v>6800</v>
      </c>
      <c r="J2778" s="12" t="str">
        <f>HYPERLINK("https://www.boe.es/gazeta/dias/1800/06/20/pdfs/GMD-C-1800-49.pdf#page=4","Abrir facsímil")</f>
        <v>Abrir facsímil</v>
      </c>
      <c r="K2778" s="15" t="s">
        <v>23</v>
      </c>
    </row>
    <row r="2779" spans="1:11" ht="42" customHeight="1">
      <c r="A2779" s="4" t="s">
        <v>6801</v>
      </c>
      <c r="B2779" s="5" t="s">
        <v>6801</v>
      </c>
      <c r="C2779" s="5" t="s">
        <v>54</v>
      </c>
      <c r="D2779" s="5" t="s">
        <v>55</v>
      </c>
      <c r="E2779" s="5" t="s">
        <v>572</v>
      </c>
      <c r="F2779" s="9">
        <v>76</v>
      </c>
      <c r="G2779" s="9">
        <v>867</v>
      </c>
      <c r="H2779" s="5" t="s">
        <v>21</v>
      </c>
      <c r="I2779" s="5" t="s">
        <v>6802</v>
      </c>
      <c r="J2779" s="12" t="str">
        <f>HYPERLINK("https://www.boe.es/gazeta/dias/1800/09/19/pdfs/GMD-1800-76.pdf#page=9","Abrir facsímil")</f>
        <v>Abrir facsímil</v>
      </c>
      <c r="K2779" s="15" t="s">
        <v>23</v>
      </c>
    </row>
    <row r="2780" spans="1:11" ht="42" customHeight="1">
      <c r="A2780" s="4" t="s">
        <v>6803</v>
      </c>
      <c r="B2780" s="5" t="s">
        <v>6803</v>
      </c>
      <c r="C2780" s="5" t="s">
        <v>54</v>
      </c>
      <c r="D2780" s="5" t="s">
        <v>55</v>
      </c>
      <c r="E2780" s="5" t="s">
        <v>75</v>
      </c>
      <c r="F2780" s="9">
        <v>64</v>
      </c>
      <c r="G2780" s="9">
        <v>734</v>
      </c>
      <c r="H2780" s="5" t="s">
        <v>21</v>
      </c>
      <c r="I2780" s="5" t="s">
        <v>6804</v>
      </c>
      <c r="J2780" s="12" t="str">
        <f>HYPERLINK("https://www.boe.es/gazeta/dias/1800/08/12/pdfs/GMD-1800-64.pdf#page=10","Abrir facsímil")</f>
        <v>Abrir facsímil</v>
      </c>
      <c r="K2780" s="15" t="s">
        <v>23</v>
      </c>
    </row>
    <row r="2781" spans="1:11" ht="42" customHeight="1">
      <c r="A2781" s="4" t="s">
        <v>6803</v>
      </c>
      <c r="B2781" s="5" t="s">
        <v>6803</v>
      </c>
      <c r="C2781" s="5" t="s">
        <v>84</v>
      </c>
      <c r="D2781" s="5" t="s">
        <v>85</v>
      </c>
      <c r="E2781" s="5" t="s">
        <v>314</v>
      </c>
      <c r="F2781" s="9">
        <v>74</v>
      </c>
      <c r="G2781" s="9">
        <v>834</v>
      </c>
      <c r="H2781" s="5" t="s">
        <v>21</v>
      </c>
      <c r="I2781" s="5" t="s">
        <v>6805</v>
      </c>
      <c r="J2781" s="12" t="str">
        <f>HYPERLINK("https://www.boe.es/gazeta/dias/1800/09/12/pdfs/GMD-1800-74.pdf#page=12","Abrir facsímil")</f>
        <v>Abrir facsímil</v>
      </c>
      <c r="K2781" s="15" t="s">
        <v>23</v>
      </c>
    </row>
    <row r="2782" spans="1:11" ht="42" customHeight="1">
      <c r="A2782" s="4" t="s">
        <v>6806</v>
      </c>
      <c r="B2782" s="5" t="s">
        <v>6806</v>
      </c>
      <c r="C2782" s="5" t="s">
        <v>171</v>
      </c>
      <c r="D2782" s="5" t="s">
        <v>172</v>
      </c>
      <c r="E2782" s="5" t="s">
        <v>465</v>
      </c>
      <c r="F2782" s="9">
        <v>49</v>
      </c>
      <c r="G2782" s="9">
        <v>533</v>
      </c>
      <c r="H2782" s="5" t="s">
        <v>21</v>
      </c>
      <c r="I2782" s="5" t="s">
        <v>6807</v>
      </c>
      <c r="J2782" s="12" t="str">
        <f>HYPERLINK("https://www.boe.es/gazeta/dias/1800/06/20/pdfs/GMD-C-1800-49.pdf#page=1","Abrir facsímil")</f>
        <v>Abrir facsímil</v>
      </c>
      <c r="K2782" s="15" t="s">
        <v>23</v>
      </c>
    </row>
    <row r="2783" spans="1:11" ht="42" customHeight="1">
      <c r="A2783" s="4" t="s">
        <v>6808</v>
      </c>
      <c r="B2783" s="5" t="s">
        <v>6809</v>
      </c>
      <c r="C2783" s="5" t="s">
        <v>18</v>
      </c>
      <c r="D2783" s="5" t="s">
        <v>19</v>
      </c>
      <c r="E2783" s="5" t="s">
        <v>615</v>
      </c>
      <c r="F2783" s="9">
        <v>95</v>
      </c>
      <c r="G2783" s="9">
        <v>1084</v>
      </c>
      <c r="H2783" s="5" t="s">
        <v>21</v>
      </c>
      <c r="I2783" s="5" t="s">
        <v>6810</v>
      </c>
      <c r="J2783" s="12" t="str">
        <f>HYPERLINK("https://www.boe.es/gazeta/dias/1800/11/25/pdfs/GMD-1800-95.pdf#page=2","Abrir facsímil")</f>
        <v>Abrir facsímil</v>
      </c>
      <c r="K2783" s="15" t="s">
        <v>23</v>
      </c>
    </row>
    <row r="2784" spans="1:11" ht="42" customHeight="1">
      <c r="A2784" s="4" t="s">
        <v>6811</v>
      </c>
      <c r="B2784" s="5" t="s">
        <v>6811</v>
      </c>
      <c r="C2784" s="5" t="s">
        <v>18</v>
      </c>
      <c r="D2784" s="5" t="s">
        <v>19</v>
      </c>
      <c r="E2784" s="5" t="s">
        <v>534</v>
      </c>
      <c r="F2784" s="9">
        <v>100</v>
      </c>
      <c r="G2784" s="9">
        <v>1160</v>
      </c>
      <c r="H2784" s="5" t="s">
        <v>21</v>
      </c>
      <c r="I2784" s="5" t="s">
        <v>6812</v>
      </c>
      <c r="J2784" s="12" t="str">
        <f>HYPERLINK("https://www.boe.es/gazeta/dias/1800/12/12/pdfs/GMD-1800-100.pdf#page=12","Abrir facsímil")</f>
        <v>Abrir facsímil</v>
      </c>
      <c r="K2784" s="15" t="s">
        <v>23</v>
      </c>
    </row>
    <row r="2785" spans="1:11" ht="42" customHeight="1">
      <c r="A2785" s="4" t="s">
        <v>6813</v>
      </c>
      <c r="B2785" s="5" t="s">
        <v>6813</v>
      </c>
      <c r="C2785" s="5" t="s">
        <v>18</v>
      </c>
      <c r="D2785" s="5" t="s">
        <v>19</v>
      </c>
      <c r="E2785" s="5" t="s">
        <v>79</v>
      </c>
      <c r="F2785" s="9">
        <v>7</v>
      </c>
      <c r="G2785" s="9">
        <v>66</v>
      </c>
      <c r="H2785" s="5" t="s">
        <v>21</v>
      </c>
      <c r="I2785" s="5" t="s">
        <v>6814</v>
      </c>
      <c r="J2785" s="12" t="str">
        <f>HYPERLINK("https://www.boe.es/gazeta/dias/1800/01/24/pdfs/GMD-1800-7.pdf#page=6","Abrir facsímil")</f>
        <v>Abrir facsímil</v>
      </c>
      <c r="K2785" s="15" t="s">
        <v>23</v>
      </c>
    </row>
    <row r="2786" spans="1:11" ht="42" customHeight="1">
      <c r="A2786" s="4" t="s">
        <v>6815</v>
      </c>
      <c r="B2786" s="5" t="s">
        <v>6815</v>
      </c>
      <c r="C2786" s="5" t="s">
        <v>207</v>
      </c>
      <c r="D2786" s="5" t="s">
        <v>55</v>
      </c>
      <c r="E2786" s="5" t="s">
        <v>135</v>
      </c>
      <c r="F2786" s="9">
        <v>73</v>
      </c>
      <c r="G2786" s="9">
        <v>814</v>
      </c>
      <c r="H2786" s="5" t="s">
        <v>21</v>
      </c>
      <c r="I2786" s="5" t="s">
        <v>6816</v>
      </c>
      <c r="J2786" s="12" t="str">
        <f>HYPERLINK("https://www.boe.es/gazeta/dias/1800/09/09/pdfs/GMD-1800-73.pdf#page=8","Abrir facsímil")</f>
        <v>Abrir facsímil</v>
      </c>
      <c r="K2786" s="15" t="s">
        <v>23</v>
      </c>
    </row>
    <row r="2787" spans="1:11" ht="42" customHeight="1">
      <c r="A2787" s="4" t="s">
        <v>6817</v>
      </c>
      <c r="B2787" s="5" t="s">
        <v>6817</v>
      </c>
      <c r="C2787" s="5" t="s">
        <v>18</v>
      </c>
      <c r="D2787" s="5" t="s">
        <v>19</v>
      </c>
      <c r="E2787" s="5" t="s">
        <v>314</v>
      </c>
      <c r="F2787" s="9">
        <v>74</v>
      </c>
      <c r="G2787" s="9">
        <v>831</v>
      </c>
      <c r="H2787" s="5" t="s">
        <v>21</v>
      </c>
      <c r="I2787" s="5" t="s">
        <v>6818</v>
      </c>
      <c r="J2787" s="12" t="str">
        <f>HYPERLINK("https://www.boe.es/gazeta/dias/1800/09/12/pdfs/GMD-1800-74.pdf#page=9","Abrir facsímil")</f>
        <v>Abrir facsímil</v>
      </c>
      <c r="K2787" s="15" t="s">
        <v>23</v>
      </c>
    </row>
    <row r="2788" spans="1:11" ht="42" customHeight="1">
      <c r="A2788" s="4" t="s">
        <v>6819</v>
      </c>
      <c r="B2788" s="5" t="s">
        <v>6819</v>
      </c>
      <c r="C2788" s="5" t="s">
        <v>18</v>
      </c>
      <c r="D2788" s="5" t="s">
        <v>19</v>
      </c>
      <c r="E2788" s="5" t="s">
        <v>461</v>
      </c>
      <c r="F2788" s="9">
        <v>18</v>
      </c>
      <c r="G2788" s="9">
        <v>170</v>
      </c>
      <c r="H2788" s="5" t="s">
        <v>21</v>
      </c>
      <c r="I2788" s="5" t="s">
        <v>6820</v>
      </c>
      <c r="J2788" s="12" t="str">
        <f>HYPERLINK("https://www.boe.es/datos/pdfs/BOE//1800/018/C00173-00176.pdf#page=6","Abrir facsímil")</f>
        <v>Abrir facsímil</v>
      </c>
      <c r="K2788" s="15" t="s">
        <v>23</v>
      </c>
    </row>
    <row r="2789" spans="1:11" ht="42" customHeight="1">
      <c r="A2789" s="4" t="s">
        <v>6821</v>
      </c>
      <c r="B2789" s="5" t="s">
        <v>6821</v>
      </c>
      <c r="C2789" s="5" t="s">
        <v>84</v>
      </c>
      <c r="D2789" s="5" t="s">
        <v>85</v>
      </c>
      <c r="E2789" s="5" t="s">
        <v>162</v>
      </c>
      <c r="F2789" s="9">
        <v>15</v>
      </c>
      <c r="G2789" s="9">
        <v>144</v>
      </c>
      <c r="H2789" s="5" t="s">
        <v>21</v>
      </c>
      <c r="I2789" s="5" t="s">
        <v>6822</v>
      </c>
      <c r="J2789" s="12" t="str">
        <f>HYPERLINK("https://www.boe.es/gazeta/dias/1800/02/21/pdfs/GMD-1800-15.pdf#page=8","Abrir facsímil")</f>
        <v>Abrir facsímil</v>
      </c>
      <c r="K2789" s="15" t="s">
        <v>23</v>
      </c>
    </row>
    <row r="2790" spans="1:11" ht="42" customHeight="1">
      <c r="A2790" s="4" t="s">
        <v>6823</v>
      </c>
      <c r="B2790" s="5" t="s">
        <v>6823</v>
      </c>
      <c r="C2790" s="5" t="s">
        <v>18</v>
      </c>
      <c r="D2790" s="5" t="s">
        <v>19</v>
      </c>
      <c r="E2790" s="5" t="s">
        <v>248</v>
      </c>
      <c r="F2790" s="9">
        <v>33</v>
      </c>
      <c r="G2790" s="9">
        <v>333</v>
      </c>
      <c r="H2790" s="5" t="s">
        <v>21</v>
      </c>
      <c r="I2790" s="5" t="s">
        <v>6824</v>
      </c>
      <c r="J2790" s="12" t="str">
        <f>HYPERLINK("https://www.boe.es/gazeta/dias/1800/04/25/pdfs/GMD-1800-33.pdf#page=9","Abrir facsímil")</f>
        <v>Abrir facsímil</v>
      </c>
      <c r="K2790" s="15" t="s">
        <v>23</v>
      </c>
    </row>
    <row r="2791" spans="1:11" ht="42" customHeight="1">
      <c r="A2791" s="4" t="s">
        <v>6825</v>
      </c>
      <c r="B2791" s="5" t="s">
        <v>6826</v>
      </c>
      <c r="C2791" s="5" t="s">
        <v>41</v>
      </c>
      <c r="D2791" s="5" t="s">
        <v>42</v>
      </c>
      <c r="E2791" s="5" t="s">
        <v>31</v>
      </c>
      <c r="F2791" s="9">
        <v>20</v>
      </c>
      <c r="G2791" s="9">
        <v>190</v>
      </c>
      <c r="H2791" s="5" t="s">
        <v>21</v>
      </c>
      <c r="I2791" s="5" t="s">
        <v>6827</v>
      </c>
      <c r="J2791" s="12" t="str">
        <f>HYPERLINK("https://www.boe.es/gazeta/dias/1800/03/11/pdfs/GMD-1800-20.pdf#page=6","Abrir facsímil")</f>
        <v>Abrir facsímil</v>
      </c>
      <c r="K2791" s="15" t="s">
        <v>23</v>
      </c>
    </row>
    <row r="2792" spans="1:11" ht="42" customHeight="1">
      <c r="A2792" s="4" t="s">
        <v>6828</v>
      </c>
      <c r="B2792" s="5" t="s">
        <v>6828</v>
      </c>
      <c r="C2792" s="5" t="s">
        <v>207</v>
      </c>
      <c r="D2792" s="5" t="s">
        <v>55</v>
      </c>
      <c r="E2792" s="5" t="s">
        <v>143</v>
      </c>
      <c r="F2792" s="9">
        <v>22</v>
      </c>
      <c r="G2792" s="9">
        <v>220</v>
      </c>
      <c r="H2792" s="5" t="s">
        <v>21</v>
      </c>
      <c r="I2792" s="5" t="s">
        <v>6829</v>
      </c>
      <c r="J2792" s="12" t="str">
        <f>HYPERLINK("https://www.boe.es/gazeta/dias/1800/03/18/pdfs/GMD-1800-22.pdf#page=12","Abrir facsímil")</f>
        <v>Abrir facsímil</v>
      </c>
      <c r="K2792" s="15" t="s">
        <v>23</v>
      </c>
    </row>
    <row r="2793" spans="1:11" ht="42" customHeight="1">
      <c r="A2793" s="4" t="s">
        <v>6830</v>
      </c>
      <c r="B2793" s="5" t="s">
        <v>6830</v>
      </c>
      <c r="C2793" s="5" t="s">
        <v>54</v>
      </c>
      <c r="D2793" s="5" t="s">
        <v>55</v>
      </c>
      <c r="E2793" s="5" t="s">
        <v>618</v>
      </c>
      <c r="F2793" s="9">
        <v>1</v>
      </c>
      <c r="G2793" s="9">
        <v>8</v>
      </c>
      <c r="H2793" s="5" t="s">
        <v>21</v>
      </c>
      <c r="I2793" s="5" t="s">
        <v>6831</v>
      </c>
      <c r="J2793" s="12" t="str">
        <f>HYPERLINK("https://www.boe.es/gazeta/dias/1800/01/03/pdfs/GMD-1800-1.pdf#page=8","Abrir facsímil")</f>
        <v>Abrir facsímil</v>
      </c>
      <c r="K2793" s="15" t="s">
        <v>23</v>
      </c>
    </row>
    <row r="2794" spans="1:11" ht="42" customHeight="1">
      <c r="A2794" s="4" t="s">
        <v>6832</v>
      </c>
      <c r="B2794" s="5" t="s">
        <v>6832</v>
      </c>
      <c r="C2794" s="5" t="s">
        <v>18</v>
      </c>
      <c r="D2794" s="5" t="s">
        <v>19</v>
      </c>
      <c r="E2794" s="5" t="s">
        <v>39</v>
      </c>
      <c r="F2794" s="9">
        <v>43</v>
      </c>
      <c r="G2794" s="9">
        <v>449</v>
      </c>
      <c r="H2794" s="5" t="s">
        <v>21</v>
      </c>
      <c r="I2794" s="5" t="s">
        <v>6833</v>
      </c>
      <c r="J2794" s="12" t="str">
        <f>HYPERLINK("https://www.boe.es/gazeta/dias/1800/05/30/pdfs/GMD-1800-43.pdf#page=9","Abrir facsímil")</f>
        <v>Abrir facsímil</v>
      </c>
      <c r="K2794" s="15" t="s">
        <v>23</v>
      </c>
    </row>
    <row r="2795" spans="1:11" ht="42" customHeight="1">
      <c r="A2795" s="4" t="s">
        <v>6834</v>
      </c>
      <c r="B2795" s="5" t="s">
        <v>6835</v>
      </c>
      <c r="C2795" s="5" t="s">
        <v>207</v>
      </c>
      <c r="D2795" s="5" t="s">
        <v>55</v>
      </c>
      <c r="E2795" s="5" t="s">
        <v>306</v>
      </c>
      <c r="F2795" s="9">
        <v>79</v>
      </c>
      <c r="G2795" s="9">
        <v>899</v>
      </c>
      <c r="H2795" s="5" t="s">
        <v>21</v>
      </c>
      <c r="I2795" s="5" t="s">
        <v>6836</v>
      </c>
      <c r="J2795" s="12" t="str">
        <f>HYPERLINK("https://www.boe.es/gazeta/dias/1800/09/30/pdfs/GMD-1800-79.pdf#page=9","Abrir facsímil")</f>
        <v>Abrir facsímil</v>
      </c>
      <c r="K2795" s="15" t="s">
        <v>23</v>
      </c>
    </row>
    <row r="2796" spans="1:11" ht="42" customHeight="1">
      <c r="A2796" s="4" t="s">
        <v>6837</v>
      </c>
      <c r="B2796" s="5" t="s">
        <v>6837</v>
      </c>
      <c r="C2796" s="5" t="s">
        <v>207</v>
      </c>
      <c r="D2796" s="5" t="s">
        <v>55</v>
      </c>
      <c r="E2796" s="5" t="s">
        <v>116</v>
      </c>
      <c r="F2796" s="9">
        <v>86</v>
      </c>
      <c r="G2796" s="9">
        <v>998</v>
      </c>
      <c r="H2796" s="5" t="s">
        <v>21</v>
      </c>
      <c r="I2796" s="5" t="s">
        <v>6838</v>
      </c>
      <c r="J2796" s="12" t="str">
        <f>HYPERLINK("https://www.boe.es/gazeta/dias/1800/10/24/pdfs/GMD-1800-86.pdf#page=8","Abrir facsímil")</f>
        <v>Abrir facsímil</v>
      </c>
      <c r="K2796" s="15" t="s">
        <v>23</v>
      </c>
    </row>
    <row r="2797" spans="1:11" ht="42" customHeight="1">
      <c r="A2797" s="4" t="s">
        <v>6839</v>
      </c>
      <c r="B2797" s="5" t="s">
        <v>6839</v>
      </c>
      <c r="C2797" s="5" t="s">
        <v>54</v>
      </c>
      <c r="D2797" s="5" t="s">
        <v>55</v>
      </c>
      <c r="E2797" s="5" t="s">
        <v>240</v>
      </c>
      <c r="F2797" s="9">
        <v>26</v>
      </c>
      <c r="G2797" s="9">
        <v>271</v>
      </c>
      <c r="H2797" s="5" t="s">
        <v>21</v>
      </c>
      <c r="I2797" s="5" t="s">
        <v>6840</v>
      </c>
      <c r="J2797" s="12" t="str">
        <f>HYPERLINK("https://www.boe.es/gazeta/dias/1800/04/01/pdfs/GMD-1800-26.pdf#page=11","Abrir facsímil")</f>
        <v>Abrir facsímil</v>
      </c>
      <c r="K2797" s="15" t="s">
        <v>23</v>
      </c>
    </row>
    <row r="2798" spans="1:11" ht="42" customHeight="1">
      <c r="A2798" s="4" t="s">
        <v>6841</v>
      </c>
      <c r="B2798" s="5" t="s">
        <v>6841</v>
      </c>
      <c r="C2798" s="5" t="s">
        <v>207</v>
      </c>
      <c r="D2798" s="5" t="s">
        <v>55</v>
      </c>
      <c r="E2798" s="5" t="s">
        <v>478</v>
      </c>
      <c r="F2798" s="9">
        <v>34</v>
      </c>
      <c r="G2798" s="9">
        <v>346</v>
      </c>
      <c r="H2798" s="5" t="s">
        <v>21</v>
      </c>
      <c r="I2798" s="5" t="s">
        <v>6842</v>
      </c>
      <c r="J2798" s="12" t="str">
        <f>HYPERLINK("https://www.boe.es/gazeta/dias/1800/04/29/pdfs/GMD-1800-34.pdf#page=10","Abrir facsímil")</f>
        <v>Abrir facsímil</v>
      </c>
      <c r="K2798" s="15" t="s">
        <v>23</v>
      </c>
    </row>
    <row r="2799" spans="1:11" ht="42" customHeight="1">
      <c r="A2799" s="4" t="s">
        <v>6843</v>
      </c>
      <c r="B2799" s="5" t="s">
        <v>6844</v>
      </c>
      <c r="C2799" s="5" t="s">
        <v>207</v>
      </c>
      <c r="D2799" s="5" t="s">
        <v>55</v>
      </c>
      <c r="E2799" s="5" t="s">
        <v>283</v>
      </c>
      <c r="F2799" s="9">
        <v>68</v>
      </c>
      <c r="G2799" s="9">
        <v>764</v>
      </c>
      <c r="H2799" s="5" t="s">
        <v>21</v>
      </c>
      <c r="I2799" s="5" t="s">
        <v>6845</v>
      </c>
      <c r="J2799" s="12" t="str">
        <f>HYPERLINK("https://www.boe.es/gazeta/dias/1800/08/26/pdfs/GMD-1800-68.pdf#page=8","Abrir facsímil")</f>
        <v>Abrir facsímil</v>
      </c>
      <c r="K2799" s="15" t="s">
        <v>23</v>
      </c>
    </row>
    <row r="2800" spans="1:11" ht="42" customHeight="1">
      <c r="A2800" s="4" t="s">
        <v>6846</v>
      </c>
      <c r="B2800" s="5" t="s">
        <v>6846</v>
      </c>
      <c r="C2800" s="5" t="s">
        <v>18</v>
      </c>
      <c r="D2800" s="5" t="s">
        <v>19</v>
      </c>
      <c r="E2800" s="5" t="s">
        <v>56</v>
      </c>
      <c r="F2800" s="9">
        <v>90</v>
      </c>
      <c r="G2800" s="9">
        <v>1054</v>
      </c>
      <c r="H2800" s="5" t="s">
        <v>21</v>
      </c>
      <c r="I2800" s="5" t="s">
        <v>6847</v>
      </c>
      <c r="J2800" s="12" t="str">
        <f>HYPERLINK("https://www.boe.es/gazeta/dias/1800/11/07/pdfs/GMD-1800-90.pdf#page=8","Abrir facsímil")</f>
        <v>Abrir facsímil</v>
      </c>
      <c r="K2800" s="15" t="s">
        <v>23</v>
      </c>
    </row>
    <row r="2801" spans="1:11" ht="42" customHeight="1">
      <c r="A2801" s="4" t="s">
        <v>6848</v>
      </c>
      <c r="B2801" s="5" t="s">
        <v>6848</v>
      </c>
      <c r="C2801" s="5" t="s">
        <v>207</v>
      </c>
      <c r="D2801" s="5" t="s">
        <v>55</v>
      </c>
      <c r="E2801" s="5" t="s">
        <v>1108</v>
      </c>
      <c r="F2801" s="9">
        <v>30</v>
      </c>
      <c r="G2801" s="9">
        <v>307</v>
      </c>
      <c r="H2801" s="5" t="s">
        <v>21</v>
      </c>
      <c r="I2801" s="5" t="s">
        <v>6849</v>
      </c>
      <c r="J2801" s="12" t="str">
        <f>HYPERLINK("https://www.boe.es/gazeta/dias/1800/04/15/pdfs/GMD-1800-30.pdf#page=7","Abrir facsímil")</f>
        <v>Abrir facsímil</v>
      </c>
      <c r="K2801" s="15" t="s">
        <v>23</v>
      </c>
    </row>
    <row r="2802" spans="1:11" ht="42" customHeight="1">
      <c r="A2802" s="4" t="s">
        <v>6850</v>
      </c>
      <c r="B2802" s="5" t="s">
        <v>6850</v>
      </c>
      <c r="C2802" s="5" t="s">
        <v>18</v>
      </c>
      <c r="D2802" s="5" t="s">
        <v>19</v>
      </c>
      <c r="E2802" s="5" t="s">
        <v>283</v>
      </c>
      <c r="F2802" s="9">
        <v>68</v>
      </c>
      <c r="G2802" s="9">
        <v>765</v>
      </c>
      <c r="H2802" s="5" t="s">
        <v>21</v>
      </c>
      <c r="I2802" s="5" t="s">
        <v>6851</v>
      </c>
      <c r="J2802" s="12" t="str">
        <f>HYPERLINK("https://www.boe.es/gazeta/dias/1800/08/26/pdfs/GMD-1800-68.pdf#page=9","Abrir facsímil")</f>
        <v>Abrir facsímil</v>
      </c>
      <c r="K2802" s="15" t="s">
        <v>23</v>
      </c>
    </row>
    <row r="2803" spans="1:11" ht="42" customHeight="1">
      <c r="A2803" s="4" t="s">
        <v>6852</v>
      </c>
      <c r="B2803" s="5" t="s">
        <v>6852</v>
      </c>
      <c r="C2803" s="5" t="s">
        <v>18</v>
      </c>
      <c r="D2803" s="5" t="s">
        <v>19</v>
      </c>
      <c r="E2803" s="5" t="s">
        <v>534</v>
      </c>
      <c r="F2803" s="9">
        <v>100</v>
      </c>
      <c r="G2803" s="9">
        <v>1161</v>
      </c>
      <c r="H2803" s="5" t="s">
        <v>21</v>
      </c>
      <c r="I2803" s="5" t="s">
        <v>6853</v>
      </c>
      <c r="J2803" s="12" t="str">
        <f>HYPERLINK("https://www.boe.es/gazeta/dias/1800/12/12/pdfs/GMD-1800-100.pdf#page=13","Abrir facsímil")</f>
        <v>Abrir facsímil</v>
      </c>
      <c r="K2803" s="15" t="s">
        <v>23</v>
      </c>
    </row>
    <row r="2804" spans="1:11" ht="42" customHeight="1">
      <c r="A2804" s="4" t="s">
        <v>6854</v>
      </c>
      <c r="B2804" s="5" t="s">
        <v>6854</v>
      </c>
      <c r="C2804" s="5" t="s">
        <v>1035</v>
      </c>
      <c r="D2804" s="5" t="s">
        <v>1036</v>
      </c>
      <c r="E2804" s="5" t="s">
        <v>50</v>
      </c>
      <c r="F2804" s="9">
        <v>81</v>
      </c>
      <c r="G2804" s="9">
        <v>942</v>
      </c>
      <c r="H2804" s="5" t="s">
        <v>21</v>
      </c>
      <c r="I2804" s="5" t="s">
        <v>6855</v>
      </c>
      <c r="J2804" s="12" t="str">
        <f>HYPERLINK("https://www.boe.es/gazeta/dias/1800/10/07/pdfs/GMD-C-1800-81.pdf#page=24","Abrir facsímil")</f>
        <v>Abrir facsímil</v>
      </c>
      <c r="K2804" s="15" t="s">
        <v>23</v>
      </c>
    </row>
    <row r="2805" spans="1:11" ht="42" customHeight="1">
      <c r="A2805" s="4" t="s">
        <v>6856</v>
      </c>
      <c r="B2805" s="5" t="s">
        <v>6857</v>
      </c>
      <c r="C2805" s="5" t="s">
        <v>25</v>
      </c>
      <c r="D2805" s="5" t="s">
        <v>26</v>
      </c>
      <c r="E2805" s="5" t="s">
        <v>248</v>
      </c>
      <c r="F2805" s="9">
        <v>33</v>
      </c>
      <c r="G2805" s="9">
        <v>336</v>
      </c>
      <c r="H2805" s="5" t="s">
        <v>21</v>
      </c>
      <c r="I2805" s="5" t="s">
        <v>6858</v>
      </c>
      <c r="J2805" s="12" t="str">
        <f>HYPERLINK("https://www.boe.es/gazeta/dias/1800/04/25/pdfs/GMD-1800-33.pdf#page=12","Abrir facsímil")</f>
        <v>Abrir facsímil</v>
      </c>
      <c r="K2805" s="15" t="s">
        <v>23</v>
      </c>
    </row>
    <row r="2806" spans="1:11" ht="42" customHeight="1">
      <c r="A2806" s="4" t="s">
        <v>6859</v>
      </c>
      <c r="B2806" s="5" t="s">
        <v>6860</v>
      </c>
      <c r="C2806" s="5" t="s">
        <v>41</v>
      </c>
      <c r="D2806" s="5" t="s">
        <v>42</v>
      </c>
      <c r="E2806" s="5" t="s">
        <v>143</v>
      </c>
      <c r="F2806" s="9">
        <v>22</v>
      </c>
      <c r="G2806" s="9">
        <v>218</v>
      </c>
      <c r="H2806" s="5" t="s">
        <v>21</v>
      </c>
      <c r="I2806" s="5" t="s">
        <v>6861</v>
      </c>
      <c r="J2806" s="12" t="str">
        <f>HYPERLINK("https://www.boe.es/gazeta/dias/1800/03/18/pdfs/GMD-1800-22.pdf#page=10","Abrir facsímil")</f>
        <v>Abrir facsímil</v>
      </c>
      <c r="K2806" s="15" t="s">
        <v>23</v>
      </c>
    </row>
    <row r="2807" spans="1:11" ht="42" customHeight="1">
      <c r="A2807" s="4" t="s">
        <v>6862</v>
      </c>
      <c r="B2807" s="5" t="s">
        <v>6863</v>
      </c>
      <c r="C2807" s="5" t="s">
        <v>114</v>
      </c>
      <c r="D2807" s="5" t="s">
        <v>115</v>
      </c>
      <c r="E2807" s="5" t="s">
        <v>116</v>
      </c>
      <c r="F2807" s="9">
        <v>86</v>
      </c>
      <c r="G2807" s="9" t="s">
        <v>117</v>
      </c>
      <c r="H2807" s="5" t="s">
        <v>21</v>
      </c>
      <c r="I2807" s="5" t="s">
        <v>6864</v>
      </c>
      <c r="J2807" s="12" t="str">
        <f>HYPERLINK("https://www.boe.es/gazeta/dias/1800/10/24/pdfs/GMD-D-1800-86.pdf#page=3","Abrir facsímil")</f>
        <v>Abrir facsímil</v>
      </c>
      <c r="K2807" s="15" t="s">
        <v>23</v>
      </c>
    </row>
    <row r="2808" spans="1:11" ht="42" customHeight="1">
      <c r="A2808" s="4" t="s">
        <v>6865</v>
      </c>
      <c r="B2808" s="5" t="s">
        <v>6865</v>
      </c>
      <c r="C2808" s="5" t="s">
        <v>25</v>
      </c>
      <c r="D2808" s="5" t="s">
        <v>26</v>
      </c>
      <c r="E2808" s="5" t="s">
        <v>314</v>
      </c>
      <c r="F2808" s="9">
        <v>74</v>
      </c>
      <c r="G2808" s="9">
        <v>830</v>
      </c>
      <c r="H2808" s="5" t="s">
        <v>21</v>
      </c>
      <c r="I2808" s="5" t="s">
        <v>6866</v>
      </c>
      <c r="J2808" s="12" t="str">
        <f>HYPERLINK("https://www.boe.es/gazeta/dias/1800/09/12/pdfs/GMD-1800-74.pdf#page=8","Abrir facsímil")</f>
        <v>Abrir facsímil</v>
      </c>
      <c r="K2808" s="15" t="s">
        <v>23</v>
      </c>
    </row>
    <row r="2809" spans="1:11" ht="42" customHeight="1">
      <c r="A2809" s="4" t="s">
        <v>6867</v>
      </c>
      <c r="B2809" s="5" t="s">
        <v>6867</v>
      </c>
      <c r="C2809" s="5" t="s">
        <v>41</v>
      </c>
      <c r="D2809" s="5" t="s">
        <v>42</v>
      </c>
      <c r="E2809" s="5" t="s">
        <v>194</v>
      </c>
      <c r="F2809" s="9">
        <v>48</v>
      </c>
      <c r="G2809" s="9">
        <v>516</v>
      </c>
      <c r="H2809" s="5" t="s">
        <v>21</v>
      </c>
      <c r="I2809" s="5" t="s">
        <v>6868</v>
      </c>
      <c r="J2809" s="12" t="str">
        <f>HYPERLINK("https://www.boe.es/gazeta/dias/1800/06/17/pdfs/GMD-1800-48.pdf#page=8","Abrir facsímil")</f>
        <v>Abrir facsímil</v>
      </c>
      <c r="K2809" s="15" t="s">
        <v>23</v>
      </c>
    </row>
    <row r="2810" spans="1:11" ht="42" customHeight="1">
      <c r="A2810" s="4" t="s">
        <v>6869</v>
      </c>
      <c r="B2810" s="5" t="s">
        <v>6869</v>
      </c>
      <c r="C2810" s="5" t="s">
        <v>18</v>
      </c>
      <c r="D2810" s="5" t="s">
        <v>19</v>
      </c>
      <c r="E2810" s="5" t="s">
        <v>35</v>
      </c>
      <c r="F2810" s="9">
        <v>21</v>
      </c>
      <c r="G2810" s="9">
        <v>205</v>
      </c>
      <c r="H2810" s="5" t="s">
        <v>21</v>
      </c>
      <c r="I2810" s="5" t="s">
        <v>6870</v>
      </c>
      <c r="J2810" s="12" t="str">
        <f>HYPERLINK("https://www.boe.es/gazeta/dias/1800/03/14/pdfs/GMD-1800-21.pdf#page=9","Abrir facsímil")</f>
        <v>Abrir facsímil</v>
      </c>
      <c r="K2810" s="15" t="s">
        <v>23</v>
      </c>
    </row>
    <row r="2811" spans="1:11" ht="42" customHeight="1">
      <c r="A2811" s="4" t="s">
        <v>6871</v>
      </c>
      <c r="B2811" s="5" t="s">
        <v>6872</v>
      </c>
      <c r="C2811" s="5" t="s">
        <v>18</v>
      </c>
      <c r="D2811" s="5" t="s">
        <v>19</v>
      </c>
      <c r="E2811" s="5" t="s">
        <v>1213</v>
      </c>
      <c r="F2811" s="9">
        <v>4</v>
      </c>
      <c r="G2811" s="9">
        <v>36</v>
      </c>
      <c r="H2811" s="5" t="s">
        <v>21</v>
      </c>
      <c r="I2811" s="5" t="s">
        <v>6873</v>
      </c>
      <c r="J2811" s="12" t="str">
        <f>HYPERLINK("https://www.boe.es/gazeta/dias/1800/01/14/pdfs/GMD-1800-4.pdf#page=8","Abrir facsímil")</f>
        <v>Abrir facsímil</v>
      </c>
      <c r="K2811" s="15" t="s">
        <v>23</v>
      </c>
    </row>
    <row r="2812" spans="1:11" ht="42" customHeight="1">
      <c r="A2812" s="4" t="s">
        <v>6874</v>
      </c>
      <c r="B2812" s="5" t="s">
        <v>6874</v>
      </c>
      <c r="C2812" s="5" t="s">
        <v>18</v>
      </c>
      <c r="D2812" s="5" t="s">
        <v>19</v>
      </c>
      <c r="E2812" s="5" t="s">
        <v>111</v>
      </c>
      <c r="F2812" s="9">
        <v>98</v>
      </c>
      <c r="G2812" s="9">
        <v>1128</v>
      </c>
      <c r="H2812" s="5" t="s">
        <v>21</v>
      </c>
      <c r="I2812" s="5" t="s">
        <v>6875</v>
      </c>
      <c r="J2812" s="12" t="str">
        <f>HYPERLINK("https://www.boe.es/gazeta/dias/1800/12/05/pdfs/GMD-1800-98.pdf#page=8","Abrir facsímil")</f>
        <v>Abrir facsímil</v>
      </c>
      <c r="K2812" s="15" t="s">
        <v>23</v>
      </c>
    </row>
    <row r="2813" spans="1:11" ht="42" customHeight="1">
      <c r="A2813" s="4" t="s">
        <v>6876</v>
      </c>
      <c r="B2813" s="5" t="s">
        <v>6876</v>
      </c>
      <c r="C2813" s="5" t="s">
        <v>84</v>
      </c>
      <c r="D2813" s="5" t="s">
        <v>85</v>
      </c>
      <c r="E2813" s="5" t="s">
        <v>162</v>
      </c>
      <c r="F2813" s="9">
        <v>15</v>
      </c>
      <c r="G2813" s="9">
        <v>144</v>
      </c>
      <c r="H2813" s="5" t="s">
        <v>21</v>
      </c>
      <c r="I2813" s="5" t="s">
        <v>6877</v>
      </c>
      <c r="J2813" s="12" t="str">
        <f>HYPERLINK("https://www.boe.es/gazeta/dias/1800/02/21/pdfs/GMD-1800-15.pdf#page=8","Abrir facsímil")</f>
        <v>Abrir facsímil</v>
      </c>
      <c r="K2813" s="15" t="s">
        <v>23</v>
      </c>
    </row>
    <row r="2814" spans="1:11" ht="42" customHeight="1">
      <c r="A2814" s="4" t="s">
        <v>6878</v>
      </c>
      <c r="B2814" s="5" t="s">
        <v>6879</v>
      </c>
      <c r="C2814" s="5" t="s">
        <v>18</v>
      </c>
      <c r="D2814" s="5" t="s">
        <v>19</v>
      </c>
      <c r="E2814" s="5" t="s">
        <v>230</v>
      </c>
      <c r="F2814" s="9">
        <v>35</v>
      </c>
      <c r="G2814" s="9">
        <v>355</v>
      </c>
      <c r="H2814" s="5" t="s">
        <v>21</v>
      </c>
      <c r="I2814" s="5" t="s">
        <v>6880</v>
      </c>
      <c r="J2814" s="12" t="str">
        <f>HYPERLINK("https://www.boe.es/gazeta/dias/1800/05/02/pdfs/GMD-1800-35.pdf#page=7","Abrir facsímil")</f>
        <v>Abrir facsímil</v>
      </c>
      <c r="K2814" s="15" t="s">
        <v>23</v>
      </c>
    </row>
    <row r="2815" spans="1:11" ht="42" customHeight="1">
      <c r="A2815" s="4" t="s">
        <v>6881</v>
      </c>
      <c r="B2815" s="5" t="s">
        <v>6882</v>
      </c>
      <c r="C2815" s="5" t="s">
        <v>18</v>
      </c>
      <c r="D2815" s="5" t="s">
        <v>19</v>
      </c>
      <c r="E2815" s="5" t="s">
        <v>184</v>
      </c>
      <c r="F2815" s="9">
        <v>82</v>
      </c>
      <c r="G2815" s="9">
        <v>950</v>
      </c>
      <c r="H2815" s="5" t="s">
        <v>21</v>
      </c>
      <c r="I2815" s="5" t="s">
        <v>6883</v>
      </c>
      <c r="J2815" s="12" t="str">
        <f>HYPERLINK("https://www.boe.es/gazeta/dias/1800/10/10/pdfs/GMD-1800-82.pdf#page=8","Abrir facsímil")</f>
        <v>Abrir facsímil</v>
      </c>
      <c r="K2815" s="15" t="s">
        <v>23</v>
      </c>
    </row>
    <row r="2816" spans="1:11" ht="42" customHeight="1">
      <c r="A2816" s="4" t="s">
        <v>6884</v>
      </c>
      <c r="B2816" s="5" t="s">
        <v>6885</v>
      </c>
      <c r="C2816" s="5" t="s">
        <v>18</v>
      </c>
      <c r="D2816" s="5" t="s">
        <v>19</v>
      </c>
      <c r="E2816" s="5" t="s">
        <v>1294</v>
      </c>
      <c r="F2816" s="9">
        <v>59</v>
      </c>
      <c r="G2816" s="9">
        <v>678</v>
      </c>
      <c r="H2816" s="5" t="s">
        <v>21</v>
      </c>
      <c r="I2816" s="5" t="s">
        <v>6886</v>
      </c>
      <c r="J2816" s="12" t="str">
        <f>HYPERLINK("https://www.boe.es/gazeta/dias/1800/07/25/pdfs/GMD-1800-59.pdf#page=10","Abrir facsímil")</f>
        <v>Abrir facsímil</v>
      </c>
      <c r="K2816" s="15" t="s">
        <v>23</v>
      </c>
    </row>
    <row r="2817" spans="1:11" ht="42" customHeight="1">
      <c r="A2817" s="4" t="s">
        <v>6887</v>
      </c>
      <c r="B2817" s="5" t="s">
        <v>6888</v>
      </c>
      <c r="C2817" s="5" t="s">
        <v>18</v>
      </c>
      <c r="D2817" s="5" t="s">
        <v>19</v>
      </c>
      <c r="E2817" s="5" t="s">
        <v>56</v>
      </c>
      <c r="F2817" s="9">
        <v>90</v>
      </c>
      <c r="G2817" s="9">
        <v>1055</v>
      </c>
      <c r="H2817" s="5" t="s">
        <v>21</v>
      </c>
      <c r="I2817" s="5" t="s">
        <v>6889</v>
      </c>
      <c r="J2817" s="12" t="str">
        <f>HYPERLINK("https://www.boe.es/gazeta/dias/1800/11/07/pdfs/GMD-1800-90.pdf#page=9","Abrir facsímil")</f>
        <v>Abrir facsímil</v>
      </c>
      <c r="K2817" s="15" t="s">
        <v>23</v>
      </c>
    </row>
    <row r="2818" spans="1:11" ht="42" customHeight="1">
      <c r="A2818" s="4" t="s">
        <v>6890</v>
      </c>
      <c r="B2818" s="5" t="s">
        <v>6890</v>
      </c>
      <c r="C2818" s="5" t="s">
        <v>41</v>
      </c>
      <c r="D2818" s="5" t="s">
        <v>42</v>
      </c>
      <c r="E2818" s="5" t="s">
        <v>176</v>
      </c>
      <c r="F2818" s="9">
        <v>88</v>
      </c>
      <c r="G2818" s="9">
        <v>1019</v>
      </c>
      <c r="H2818" s="5" t="s">
        <v>21</v>
      </c>
      <c r="I2818" s="5" t="s">
        <v>6891</v>
      </c>
      <c r="J2818" s="12" t="str">
        <f>HYPERLINK("https://www.boe.es/gazeta/dias/1800/10/31/pdfs/GMD-1800-88.pdf#page=1","Abrir facsímil")</f>
        <v>Abrir facsímil</v>
      </c>
      <c r="K2818" s="15" t="s">
        <v>23</v>
      </c>
    </row>
    <row r="2819" spans="1:11" ht="42" customHeight="1">
      <c r="A2819" s="4" t="s">
        <v>6892</v>
      </c>
      <c r="B2819" s="5" t="s">
        <v>6893</v>
      </c>
      <c r="C2819" s="5" t="s">
        <v>18</v>
      </c>
      <c r="D2819" s="5" t="s">
        <v>19</v>
      </c>
      <c r="E2819" s="5" t="s">
        <v>478</v>
      </c>
      <c r="F2819" s="9">
        <v>34</v>
      </c>
      <c r="G2819" s="9">
        <v>346</v>
      </c>
      <c r="H2819" s="5" t="s">
        <v>21</v>
      </c>
      <c r="I2819" s="5" t="s">
        <v>6894</v>
      </c>
      <c r="J2819" s="12" t="str">
        <f>HYPERLINK("https://www.boe.es/gazeta/dias/1800/04/29/pdfs/GMD-1800-34.pdf#page=10","Abrir facsímil")</f>
        <v>Abrir facsímil</v>
      </c>
      <c r="K2819" s="15" t="s">
        <v>23</v>
      </c>
    </row>
    <row r="2820" spans="1:11" ht="42" customHeight="1">
      <c r="A2820" s="4" t="s">
        <v>6895</v>
      </c>
      <c r="B2820" s="5" t="s">
        <v>6896</v>
      </c>
      <c r="C2820" s="5" t="s">
        <v>207</v>
      </c>
      <c r="D2820" s="5" t="s">
        <v>55</v>
      </c>
      <c r="E2820" s="5" t="s">
        <v>306</v>
      </c>
      <c r="F2820" s="9">
        <v>79</v>
      </c>
      <c r="G2820" s="9">
        <v>899</v>
      </c>
      <c r="H2820" s="5" t="s">
        <v>21</v>
      </c>
      <c r="I2820" s="5" t="s">
        <v>6897</v>
      </c>
      <c r="J2820" s="12" t="str">
        <f>HYPERLINK("https://www.boe.es/gazeta/dias/1800/09/30/pdfs/GMD-1800-79.pdf#page=9","Abrir facsímil")</f>
        <v>Abrir facsímil</v>
      </c>
      <c r="K2820" s="15" t="s">
        <v>23</v>
      </c>
    </row>
    <row r="2821" spans="1:11" ht="42" customHeight="1">
      <c r="A2821" s="4" t="s">
        <v>6898</v>
      </c>
      <c r="B2821" s="5" t="s">
        <v>6899</v>
      </c>
      <c r="C2821" s="5" t="s">
        <v>18</v>
      </c>
      <c r="D2821" s="5" t="s">
        <v>19</v>
      </c>
      <c r="E2821" s="5" t="s">
        <v>314</v>
      </c>
      <c r="F2821" s="9">
        <v>74</v>
      </c>
      <c r="G2821" s="9">
        <v>832</v>
      </c>
      <c r="H2821" s="5" t="s">
        <v>21</v>
      </c>
      <c r="I2821" s="5" t="s">
        <v>6900</v>
      </c>
      <c r="J2821" s="12" t="str">
        <f>HYPERLINK("https://www.boe.es/gazeta/dias/1800/09/12/pdfs/GMD-1800-74.pdf#page=10","Abrir facsímil")</f>
        <v>Abrir facsímil</v>
      </c>
      <c r="K2821" s="15" t="s">
        <v>23</v>
      </c>
    </row>
    <row r="2822" spans="1:11" ht="42" customHeight="1">
      <c r="A2822" s="4" t="s">
        <v>6901</v>
      </c>
      <c r="B2822" s="5" t="s">
        <v>6902</v>
      </c>
      <c r="C2822" s="5" t="s">
        <v>18</v>
      </c>
      <c r="D2822" s="5" t="s">
        <v>19</v>
      </c>
      <c r="E2822" s="5" t="s">
        <v>82</v>
      </c>
      <c r="F2822" s="9">
        <v>10</v>
      </c>
      <c r="G2822" s="9">
        <v>97</v>
      </c>
      <c r="H2822" s="5" t="s">
        <v>21</v>
      </c>
      <c r="I2822" s="5" t="s">
        <v>6903</v>
      </c>
      <c r="J2822" s="12" t="str">
        <f>HYPERLINK("https://www.boe.es/gazeta/dias/1800/02/04/pdfs/GMD-1800-10.pdf#page=9","Abrir facsímil")</f>
        <v>Abrir facsímil</v>
      </c>
      <c r="K2822" s="15" t="s">
        <v>23</v>
      </c>
    </row>
    <row r="2823" spans="1:11" ht="42" customHeight="1">
      <c r="A2823" s="4" t="s">
        <v>6904</v>
      </c>
      <c r="B2823" s="5" t="s">
        <v>6905</v>
      </c>
      <c r="C2823" s="5" t="s">
        <v>84</v>
      </c>
      <c r="D2823" s="5" t="s">
        <v>85</v>
      </c>
      <c r="E2823" s="5" t="s">
        <v>530</v>
      </c>
      <c r="F2823" s="9">
        <v>55</v>
      </c>
      <c r="G2823" s="9">
        <v>618</v>
      </c>
      <c r="H2823" s="5" t="s">
        <v>21</v>
      </c>
      <c r="I2823" s="5" t="s">
        <v>6906</v>
      </c>
      <c r="J2823" s="12" t="str">
        <f>HYPERLINK("https://www.boe.es/gazeta/dias/1800/07/11/pdfs/GMD-1800-55.pdf#page=6","Abrir facsímil")</f>
        <v>Abrir facsímil</v>
      </c>
      <c r="K2823" s="15" t="s">
        <v>23</v>
      </c>
    </row>
    <row r="2824" spans="1:11" ht="42" customHeight="1">
      <c r="A2824" s="4" t="s">
        <v>6907</v>
      </c>
      <c r="B2824" s="5" t="s">
        <v>6907</v>
      </c>
      <c r="C2824" s="5" t="s">
        <v>25</v>
      </c>
      <c r="D2824" s="5" t="s">
        <v>26</v>
      </c>
      <c r="E2824" s="5" t="s">
        <v>329</v>
      </c>
      <c r="F2824" s="9">
        <v>99</v>
      </c>
      <c r="G2824" s="9">
        <v>1138</v>
      </c>
      <c r="H2824" s="5" t="s">
        <v>21</v>
      </c>
      <c r="I2824" s="5" t="s">
        <v>6908</v>
      </c>
      <c r="J2824" s="12" t="str">
        <f>HYPERLINK("https://www.boe.es/gazeta/dias/1800/12/09/pdfs/GMD-1800-99.pdf#page=6","Abrir facsímil")</f>
        <v>Abrir facsímil</v>
      </c>
      <c r="K2824" s="15" t="s">
        <v>23</v>
      </c>
    </row>
    <row r="2825" spans="1:11" ht="42" customHeight="1">
      <c r="A2825" s="4" t="s">
        <v>6909</v>
      </c>
      <c r="B2825" s="5" t="s">
        <v>6910</v>
      </c>
      <c r="C2825" s="5" t="s">
        <v>18</v>
      </c>
      <c r="D2825" s="5" t="s">
        <v>19</v>
      </c>
      <c r="E2825" s="5" t="s">
        <v>184</v>
      </c>
      <c r="F2825" s="9">
        <v>82</v>
      </c>
      <c r="G2825" s="9">
        <v>950</v>
      </c>
      <c r="H2825" s="5" t="s">
        <v>21</v>
      </c>
      <c r="I2825" s="5" t="s">
        <v>6911</v>
      </c>
      <c r="J2825" s="12" t="str">
        <f>HYPERLINK("https://www.boe.es/gazeta/dias/1800/10/10/pdfs/GMD-1800-82.pdf#page=8","Abrir facsímil")</f>
        <v>Abrir facsímil</v>
      </c>
      <c r="K2825" s="15" t="s">
        <v>23</v>
      </c>
    </row>
    <row r="2826" spans="1:11" ht="42" customHeight="1">
      <c r="A2826" s="4" t="s">
        <v>6912</v>
      </c>
      <c r="B2826" s="5" t="s">
        <v>6912</v>
      </c>
      <c r="C2826" s="5" t="s">
        <v>207</v>
      </c>
      <c r="D2826" s="5" t="s">
        <v>55</v>
      </c>
      <c r="E2826" s="5" t="s">
        <v>214</v>
      </c>
      <c r="F2826" s="9">
        <v>41</v>
      </c>
      <c r="G2826" s="9">
        <v>424</v>
      </c>
      <c r="H2826" s="5" t="s">
        <v>21</v>
      </c>
      <c r="I2826" s="5" t="s">
        <v>6913</v>
      </c>
      <c r="J2826" s="12" t="str">
        <f>HYPERLINK("https://www.boe.es/gazeta/dias/1800/05/23/pdfs/GMD-1800-41.pdf#page=8","Abrir facsímil")</f>
        <v>Abrir facsímil</v>
      </c>
      <c r="K2826" s="15" t="s">
        <v>23</v>
      </c>
    </row>
    <row r="2827" spans="1:11" ht="42" customHeight="1">
      <c r="A2827" s="4" t="s">
        <v>6914</v>
      </c>
      <c r="B2827" s="5" t="s">
        <v>6914</v>
      </c>
      <c r="C2827" s="5" t="s">
        <v>18</v>
      </c>
      <c r="D2827" s="5" t="s">
        <v>19</v>
      </c>
      <c r="E2827" s="5" t="s">
        <v>20</v>
      </c>
      <c r="F2827" s="9">
        <v>104</v>
      </c>
      <c r="G2827" s="9">
        <v>1210</v>
      </c>
      <c r="H2827" s="5" t="s">
        <v>21</v>
      </c>
      <c r="I2827" s="5" t="s">
        <v>6915</v>
      </c>
      <c r="J2827" s="12" t="str">
        <f>HYPERLINK("https://www.boe.es/gazeta/dias/1800/12/26/pdfs/GMD-1800-104.pdf#page=10","Abrir facsímil")</f>
        <v>Abrir facsímil</v>
      </c>
      <c r="K2827" s="15" t="s">
        <v>23</v>
      </c>
    </row>
    <row r="2828" spans="1:11" ht="42" customHeight="1">
      <c r="A2828" s="4" t="s">
        <v>6916</v>
      </c>
      <c r="B2828" s="5" t="s">
        <v>6916</v>
      </c>
      <c r="C2828" s="5" t="s">
        <v>1035</v>
      </c>
      <c r="D2828" s="5" t="s">
        <v>1036</v>
      </c>
      <c r="E2828" s="5" t="s">
        <v>50</v>
      </c>
      <c r="F2828" s="9">
        <v>81</v>
      </c>
      <c r="G2828" s="9">
        <v>942</v>
      </c>
      <c r="H2828" s="5" t="s">
        <v>21</v>
      </c>
      <c r="I2828" s="5" t="s">
        <v>6917</v>
      </c>
      <c r="J2828" s="12" t="str">
        <f>HYPERLINK("https://www.boe.es/gazeta/dias/1800/10/07/pdfs/GMD-C-1800-81.pdf#page=24","Abrir facsímil")</f>
        <v>Abrir facsímil</v>
      </c>
      <c r="K2828" s="15" t="s">
        <v>23</v>
      </c>
    </row>
    <row r="2829" spans="1:11" ht="42" customHeight="1">
      <c r="A2829" s="4" t="s">
        <v>6918</v>
      </c>
      <c r="B2829" s="5" t="s">
        <v>6918</v>
      </c>
      <c r="C2829" s="5" t="s">
        <v>54</v>
      </c>
      <c r="D2829" s="5" t="s">
        <v>55</v>
      </c>
      <c r="E2829" s="5" t="s">
        <v>445</v>
      </c>
      <c r="F2829" s="9">
        <v>96</v>
      </c>
      <c r="G2829" s="9">
        <v>1108</v>
      </c>
      <c r="H2829" s="5" t="s">
        <v>21</v>
      </c>
      <c r="I2829" s="5" t="s">
        <v>6919</v>
      </c>
      <c r="J2829" s="12" t="str">
        <f>HYPERLINK("https://www.boe.es/gazeta/dias/1800/11/28/pdfs/GMD-1800-96.pdf#page=12","Abrir facsímil")</f>
        <v>Abrir facsímil</v>
      </c>
      <c r="K2829" s="15" t="s">
        <v>23</v>
      </c>
    </row>
    <row r="2830" spans="1:11" ht="42" customHeight="1">
      <c r="A2830" s="4" t="s">
        <v>6920</v>
      </c>
      <c r="B2830" s="5" t="s">
        <v>6920</v>
      </c>
      <c r="C2830" s="5" t="s">
        <v>54</v>
      </c>
      <c r="D2830" s="5" t="s">
        <v>55</v>
      </c>
      <c r="E2830" s="5" t="s">
        <v>465</v>
      </c>
      <c r="F2830" s="9">
        <v>49</v>
      </c>
      <c r="G2830" s="9">
        <v>532</v>
      </c>
      <c r="H2830" s="5" t="s">
        <v>21</v>
      </c>
      <c r="I2830" s="5" t="s">
        <v>6921</v>
      </c>
      <c r="J2830" s="12" t="str">
        <f>HYPERLINK("https://www.boe.es/gazeta/dias/1800/06/20/pdfs/GMD-1800-49.pdf#page=8","Abrir facsímil")</f>
        <v>Abrir facsímil</v>
      </c>
      <c r="K2830" s="15" t="s">
        <v>23</v>
      </c>
    </row>
    <row r="2831" spans="1:11" ht="42" customHeight="1">
      <c r="A2831" s="4" t="s">
        <v>6922</v>
      </c>
      <c r="B2831" s="5" t="s">
        <v>6923</v>
      </c>
      <c r="C2831" s="5" t="s">
        <v>41</v>
      </c>
      <c r="D2831" s="5" t="s">
        <v>42</v>
      </c>
      <c r="E2831" s="5" t="s">
        <v>422</v>
      </c>
      <c r="F2831" s="9">
        <v>85</v>
      </c>
      <c r="G2831" s="9">
        <v>981</v>
      </c>
      <c r="H2831" s="5" t="s">
        <v>21</v>
      </c>
      <c r="I2831" s="5" t="s">
        <v>6924</v>
      </c>
      <c r="J2831" s="12" t="str">
        <f>HYPERLINK("https://www.boe.es/gazeta/dias/1800/10/21/pdfs/GMD-1800-85.pdf#page=3","Abrir facsímil")</f>
        <v>Abrir facsímil</v>
      </c>
      <c r="K2831" s="15" t="s">
        <v>23</v>
      </c>
    </row>
    <row r="2832" spans="1:11" ht="42" customHeight="1">
      <c r="A2832" s="4" t="s">
        <v>6925</v>
      </c>
      <c r="B2832" s="5" t="s">
        <v>6926</v>
      </c>
      <c r="C2832" s="5" t="s">
        <v>25</v>
      </c>
      <c r="D2832" s="5" t="s">
        <v>26</v>
      </c>
      <c r="E2832" s="5" t="s">
        <v>244</v>
      </c>
      <c r="F2832" s="9">
        <v>9</v>
      </c>
      <c r="G2832" s="9">
        <v>85</v>
      </c>
      <c r="H2832" s="5" t="s">
        <v>21</v>
      </c>
      <c r="I2832" s="5" t="s">
        <v>6927</v>
      </c>
      <c r="J2832" s="12" t="str">
        <f>HYPERLINK("https://www.boe.es/gazeta/dias/1800/01/31/pdfs/GMD-1800-9.pdf#page=9","Abrir facsímil")</f>
        <v>Abrir facsímil</v>
      </c>
      <c r="K2832" s="15" t="s">
        <v>23</v>
      </c>
    </row>
    <row r="2833" spans="1:11" ht="42" customHeight="1">
      <c r="A2833" s="4" t="s">
        <v>6928</v>
      </c>
      <c r="B2833" s="5" t="s">
        <v>6928</v>
      </c>
      <c r="C2833" s="5" t="s">
        <v>18</v>
      </c>
      <c r="D2833" s="5" t="s">
        <v>19</v>
      </c>
      <c r="E2833" s="5" t="s">
        <v>618</v>
      </c>
      <c r="F2833" s="9">
        <v>1</v>
      </c>
      <c r="G2833" s="9">
        <v>7</v>
      </c>
      <c r="H2833" s="5" t="s">
        <v>21</v>
      </c>
      <c r="I2833" s="5" t="s">
        <v>6929</v>
      </c>
      <c r="J2833" s="12" t="str">
        <f>HYPERLINK("https://www.boe.es/gazeta/dias/1800/01/03/pdfs/GMD-1800-1.pdf#page=7","Abrir facsímil")</f>
        <v>Abrir facsímil</v>
      </c>
      <c r="K2833" s="15" t="s">
        <v>23</v>
      </c>
    </row>
    <row r="2834" spans="1:11" ht="42" customHeight="1">
      <c r="A2834" s="4" t="s">
        <v>6930</v>
      </c>
      <c r="B2834" s="5" t="s">
        <v>6931</v>
      </c>
      <c r="C2834" s="5" t="s">
        <v>1035</v>
      </c>
      <c r="D2834" s="5" t="s">
        <v>1036</v>
      </c>
      <c r="E2834" s="5" t="s">
        <v>50</v>
      </c>
      <c r="F2834" s="9">
        <v>81</v>
      </c>
      <c r="G2834" s="9">
        <v>941</v>
      </c>
      <c r="H2834" s="5" t="s">
        <v>21</v>
      </c>
      <c r="I2834" s="5" t="s">
        <v>6932</v>
      </c>
      <c r="J2834" s="12" t="str">
        <f>HYPERLINK("https://www.boe.es/gazeta/dias/1800/10/07/pdfs/GMD-C-1800-81.pdf#page=23","Abrir facsímil")</f>
        <v>Abrir facsímil</v>
      </c>
      <c r="K2834" s="15" t="s">
        <v>23</v>
      </c>
    </row>
    <row r="2835" spans="1:11" ht="42" customHeight="1">
      <c r="A2835" s="4" t="s">
        <v>6933</v>
      </c>
      <c r="B2835" s="5" t="s">
        <v>6934</v>
      </c>
      <c r="C2835" s="5" t="s">
        <v>41</v>
      </c>
      <c r="D2835" s="5" t="s">
        <v>42</v>
      </c>
      <c r="E2835" s="5" t="s">
        <v>262</v>
      </c>
      <c r="F2835" s="9">
        <v>39</v>
      </c>
      <c r="G2835" s="9">
        <v>395</v>
      </c>
      <c r="H2835" s="5" t="s">
        <v>21</v>
      </c>
      <c r="I2835" s="5" t="s">
        <v>6935</v>
      </c>
      <c r="J2835" s="12" t="str">
        <f>HYPERLINK("https://www.boe.es/gazeta/dias/1800/05/16/pdfs/GMD-1800-39.pdf#page=3","Abrir facsímil")</f>
        <v>Abrir facsímil</v>
      </c>
      <c r="K2835" s="15" t="s">
        <v>23</v>
      </c>
    </row>
    <row r="2836" spans="1:11" ht="42" customHeight="1">
      <c r="A2836" s="4" t="s">
        <v>6936</v>
      </c>
      <c r="B2836" s="5" t="s">
        <v>6937</v>
      </c>
      <c r="C2836" s="5" t="s">
        <v>25</v>
      </c>
      <c r="D2836" s="5" t="s">
        <v>26</v>
      </c>
      <c r="E2836" s="5" t="s">
        <v>116</v>
      </c>
      <c r="F2836" s="9">
        <v>86</v>
      </c>
      <c r="G2836" s="9">
        <v>998</v>
      </c>
      <c r="H2836" s="5" t="s">
        <v>21</v>
      </c>
      <c r="I2836" s="5" t="s">
        <v>6938</v>
      </c>
      <c r="J2836" s="12" t="str">
        <f>HYPERLINK("https://www.boe.es/gazeta/dias/1800/10/24/pdfs/GMD-1800-86.pdf#page=8","Abrir facsímil")</f>
        <v>Abrir facsímil</v>
      </c>
      <c r="K2836" s="15" t="s">
        <v>23</v>
      </c>
    </row>
    <row r="2837" spans="1:11" ht="42" customHeight="1">
      <c r="A2837" s="4" t="s">
        <v>6939</v>
      </c>
      <c r="B2837" s="5" t="s">
        <v>6939</v>
      </c>
      <c r="C2837" s="5" t="s">
        <v>84</v>
      </c>
      <c r="D2837" s="5" t="s">
        <v>85</v>
      </c>
      <c r="E2837" s="5" t="s">
        <v>31</v>
      </c>
      <c r="F2837" s="9">
        <v>20</v>
      </c>
      <c r="G2837" s="9">
        <v>196</v>
      </c>
      <c r="H2837" s="5" t="s">
        <v>21</v>
      </c>
      <c r="I2837" s="5" t="s">
        <v>6940</v>
      </c>
      <c r="J2837" s="12" t="str">
        <f>HYPERLINK("https://www.boe.es/gazeta/dias/1800/03/11/pdfs/GMD-1800-20.pdf#page=12","Abrir facsímil")</f>
        <v>Abrir facsímil</v>
      </c>
      <c r="K2837" s="15" t="s">
        <v>23</v>
      </c>
    </row>
    <row r="2838" spans="1:11" ht="42" customHeight="1">
      <c r="A2838" s="4" t="s">
        <v>6941</v>
      </c>
      <c r="B2838" s="5" t="s">
        <v>6941</v>
      </c>
      <c r="C2838" s="5" t="s">
        <v>84</v>
      </c>
      <c r="D2838" s="5" t="s">
        <v>85</v>
      </c>
      <c r="E2838" s="5" t="s">
        <v>60</v>
      </c>
      <c r="F2838" s="9">
        <v>105</v>
      </c>
      <c r="G2838" s="9">
        <v>1228</v>
      </c>
      <c r="H2838" s="5" t="s">
        <v>21</v>
      </c>
      <c r="I2838" s="5" t="s">
        <v>6942</v>
      </c>
      <c r="J2838" s="12" t="str">
        <f>HYPERLINK("https://www.boe.es/gazeta/dias/1800/12/30/pdfs/GMD-1800-105.pdf#page=12","Abrir facsímil")</f>
        <v>Abrir facsímil</v>
      </c>
      <c r="K2838" s="15" t="s">
        <v>23</v>
      </c>
    </row>
    <row r="2839" spans="1:11" ht="42" customHeight="1">
      <c r="A2839" s="4" t="s">
        <v>6943</v>
      </c>
      <c r="B2839" s="5" t="s">
        <v>6943</v>
      </c>
      <c r="C2839" s="5" t="s">
        <v>84</v>
      </c>
      <c r="D2839" s="5" t="s">
        <v>85</v>
      </c>
      <c r="E2839" s="5" t="s">
        <v>356</v>
      </c>
      <c r="F2839" s="9">
        <v>31</v>
      </c>
      <c r="G2839" s="9">
        <v>316</v>
      </c>
      <c r="H2839" s="5" t="s">
        <v>21</v>
      </c>
      <c r="I2839" s="5" t="s">
        <v>6944</v>
      </c>
      <c r="J2839" s="12" t="str">
        <f>HYPERLINK("https://www.boe.es/gazeta/dias/1800/04/18/pdfs/GMD-1800-31.pdf#page=8","Abrir facsímil")</f>
        <v>Abrir facsímil</v>
      </c>
      <c r="K2839" s="15" t="s">
        <v>23</v>
      </c>
    </row>
    <row r="2840" spans="1:11" ht="42" customHeight="1">
      <c r="A2840" s="4" t="s">
        <v>6945</v>
      </c>
      <c r="B2840" s="5" t="s">
        <v>6945</v>
      </c>
      <c r="C2840" s="5" t="s">
        <v>84</v>
      </c>
      <c r="D2840" s="5" t="s">
        <v>85</v>
      </c>
      <c r="E2840" s="5" t="s">
        <v>465</v>
      </c>
      <c r="F2840" s="9">
        <v>49</v>
      </c>
      <c r="G2840" s="9">
        <v>532</v>
      </c>
      <c r="H2840" s="5" t="s">
        <v>21</v>
      </c>
      <c r="I2840" s="5" t="s">
        <v>6946</v>
      </c>
      <c r="J2840" s="12" t="str">
        <f>HYPERLINK("https://www.boe.es/gazeta/dias/1800/06/20/pdfs/GMD-1800-49.pdf#page=8","Abrir facsímil")</f>
        <v>Abrir facsímil</v>
      </c>
      <c r="K2840" s="15" t="s">
        <v>23</v>
      </c>
    </row>
    <row r="2841" spans="1:11" ht="42" customHeight="1">
      <c r="A2841" s="4" t="s">
        <v>6947</v>
      </c>
      <c r="B2841" s="5" t="s">
        <v>6948</v>
      </c>
      <c r="C2841" s="5" t="s">
        <v>41</v>
      </c>
      <c r="D2841" s="5" t="s">
        <v>42</v>
      </c>
      <c r="E2841" s="5" t="s">
        <v>545</v>
      </c>
      <c r="F2841" s="9">
        <v>14</v>
      </c>
      <c r="G2841" s="9">
        <v>131</v>
      </c>
      <c r="H2841" s="5" t="s">
        <v>21</v>
      </c>
      <c r="I2841" s="5" t="s">
        <v>6949</v>
      </c>
      <c r="J2841" s="12" t="str">
        <f>HYPERLINK("https://www.boe.es/gazeta/dias/1800/02/18/pdfs/GMD-1800-14.pdf#page=3","Abrir facsímil")</f>
        <v>Abrir facsímil</v>
      </c>
      <c r="K2841" s="15" t="s">
        <v>23</v>
      </c>
    </row>
    <row r="2842" spans="1:11" ht="42" customHeight="1">
      <c r="A2842" s="4" t="s">
        <v>6950</v>
      </c>
      <c r="B2842" s="5" t="s">
        <v>6951</v>
      </c>
      <c r="C2842" s="5" t="s">
        <v>41</v>
      </c>
      <c r="D2842" s="5" t="s">
        <v>42</v>
      </c>
      <c r="E2842" s="5" t="s">
        <v>583</v>
      </c>
      <c r="F2842" s="9">
        <v>77</v>
      </c>
      <c r="G2842" s="9">
        <v>871</v>
      </c>
      <c r="H2842" s="5" t="s">
        <v>21</v>
      </c>
      <c r="I2842" s="5" t="s">
        <v>6952</v>
      </c>
      <c r="J2842" s="12" t="str">
        <f>HYPERLINK("https://www.boe.es/gazeta/dias/1800/09/23/pdfs/GMD-1800-77.pdf#page=1","Abrir facsímil")</f>
        <v>Abrir facsímil</v>
      </c>
      <c r="K2842" s="15" t="s">
        <v>23</v>
      </c>
    </row>
    <row r="2843" spans="1:11" ht="42" customHeight="1">
      <c r="A2843" s="4" t="s">
        <v>6950</v>
      </c>
      <c r="B2843" s="5" t="s">
        <v>6951</v>
      </c>
      <c r="C2843" s="5" t="s">
        <v>41</v>
      </c>
      <c r="D2843" s="5" t="s">
        <v>42</v>
      </c>
      <c r="E2843" s="5" t="s">
        <v>583</v>
      </c>
      <c r="F2843" s="9">
        <v>77</v>
      </c>
      <c r="G2843" s="9">
        <v>872</v>
      </c>
      <c r="H2843" s="5" t="s">
        <v>21</v>
      </c>
      <c r="I2843" s="5" t="s">
        <v>6953</v>
      </c>
      <c r="J2843" s="12" t="str">
        <f>HYPERLINK("https://www.boe.es/gazeta/dias/1800/09/23/pdfs/GMD-1800-77.pdf#page=2","Abrir facsímil")</f>
        <v>Abrir facsímil</v>
      </c>
      <c r="K2843" s="15" t="s">
        <v>23</v>
      </c>
    </row>
    <row r="2844" spans="1:11" ht="42" customHeight="1">
      <c r="A2844" s="4" t="s">
        <v>6954</v>
      </c>
      <c r="B2844" s="5" t="s">
        <v>6955</v>
      </c>
      <c r="C2844" s="5" t="s">
        <v>171</v>
      </c>
      <c r="D2844" s="5" t="s">
        <v>172</v>
      </c>
      <c r="E2844" s="5" t="s">
        <v>64</v>
      </c>
      <c r="F2844" s="9">
        <v>54</v>
      </c>
      <c r="G2844" s="9">
        <v>612</v>
      </c>
      <c r="H2844" s="5" t="s">
        <v>21</v>
      </c>
      <c r="I2844" s="5" t="s">
        <v>6956</v>
      </c>
      <c r="J2844" s="12" t="str">
        <f>HYPERLINK("https://www.boe.es/gazeta/dias/1800/07/08/pdfs/GMD-C-1800-54.pdf#page=4","Abrir facsímil")</f>
        <v>Abrir facsímil</v>
      </c>
      <c r="K2844" s="15" t="s">
        <v>23</v>
      </c>
    </row>
    <row r="2845" spans="1:11" ht="42" customHeight="1">
      <c r="A2845" s="4" t="s">
        <v>6957</v>
      </c>
      <c r="B2845" s="5" t="s">
        <v>6958</v>
      </c>
      <c r="C2845" s="5" t="s">
        <v>18</v>
      </c>
      <c r="D2845" s="5" t="s">
        <v>19</v>
      </c>
      <c r="E2845" s="5" t="s">
        <v>240</v>
      </c>
      <c r="F2845" s="9">
        <v>26</v>
      </c>
      <c r="G2845" s="9">
        <v>269</v>
      </c>
      <c r="H2845" s="5" t="s">
        <v>21</v>
      </c>
      <c r="I2845" s="5" t="s">
        <v>6959</v>
      </c>
      <c r="J2845" s="12" t="str">
        <f>HYPERLINK("https://www.boe.es/gazeta/dias/1800/04/01/pdfs/GMD-1800-26.pdf#page=9","Abrir facsímil")</f>
        <v>Abrir facsímil</v>
      </c>
      <c r="K2845" s="15" t="s">
        <v>23</v>
      </c>
    </row>
    <row r="2846" spans="1:11" ht="42" customHeight="1">
      <c r="A2846" s="4" t="s">
        <v>6960</v>
      </c>
      <c r="B2846" s="5" t="s">
        <v>6961</v>
      </c>
      <c r="C2846" s="5" t="s">
        <v>18</v>
      </c>
      <c r="D2846" s="5" t="s">
        <v>19</v>
      </c>
      <c r="E2846" s="5" t="s">
        <v>135</v>
      </c>
      <c r="F2846" s="9">
        <v>73</v>
      </c>
      <c r="G2846" s="9">
        <v>815</v>
      </c>
      <c r="H2846" s="5" t="s">
        <v>21</v>
      </c>
      <c r="I2846" s="5" t="s">
        <v>6962</v>
      </c>
      <c r="J2846" s="12" t="str">
        <f>HYPERLINK("https://www.boe.es/gazeta/dias/1800/09/09/pdfs/GMD-1800-73.pdf#page=9","Abrir facsímil")</f>
        <v>Abrir facsímil</v>
      </c>
      <c r="K2846" s="15" t="s">
        <v>23</v>
      </c>
    </row>
    <row r="2847" spans="1:11" ht="42" customHeight="1">
      <c r="A2847" s="4" t="s">
        <v>6963</v>
      </c>
      <c r="B2847" s="5" t="s">
        <v>6963</v>
      </c>
      <c r="C2847" s="5" t="s">
        <v>41</v>
      </c>
      <c r="D2847" s="5" t="s">
        <v>42</v>
      </c>
      <c r="E2847" s="5" t="s">
        <v>143</v>
      </c>
      <c r="F2847" s="9">
        <v>22</v>
      </c>
      <c r="G2847" s="9">
        <v>219</v>
      </c>
      <c r="H2847" s="5" t="s">
        <v>21</v>
      </c>
      <c r="I2847" s="5" t="s">
        <v>6964</v>
      </c>
      <c r="J2847" s="12" t="str">
        <f>HYPERLINK("https://www.boe.es/gazeta/dias/1800/03/18/pdfs/GMD-1800-22.pdf#page=11","Abrir facsímil")</f>
        <v>Abrir facsímil</v>
      </c>
      <c r="K2847" s="15" t="s">
        <v>23</v>
      </c>
    </row>
    <row r="2848" spans="1:11" ht="42" customHeight="1">
      <c r="A2848" s="4" t="s">
        <v>6965</v>
      </c>
      <c r="B2848" s="5" t="s">
        <v>6965</v>
      </c>
      <c r="C2848" s="5" t="s">
        <v>18</v>
      </c>
      <c r="D2848" s="5" t="s">
        <v>19</v>
      </c>
      <c r="E2848" s="5" t="s">
        <v>356</v>
      </c>
      <c r="F2848" s="9">
        <v>31</v>
      </c>
      <c r="G2848" s="9">
        <v>314</v>
      </c>
      <c r="H2848" s="5" t="s">
        <v>21</v>
      </c>
      <c r="I2848" s="5" t="s">
        <v>6966</v>
      </c>
      <c r="J2848" s="12" t="str">
        <f>HYPERLINK("https://www.boe.es/gazeta/dias/1800/04/18/pdfs/GMD-1800-31.pdf#page=6","Abrir facsímil")</f>
        <v>Abrir facsímil</v>
      </c>
      <c r="K2848" s="15" t="s">
        <v>23</v>
      </c>
    </row>
    <row r="2849" spans="1:11" ht="42" customHeight="1">
      <c r="A2849" s="4" t="s">
        <v>6967</v>
      </c>
      <c r="B2849" s="5" t="s">
        <v>6967</v>
      </c>
      <c r="C2849" s="5" t="s">
        <v>18</v>
      </c>
      <c r="D2849" s="5" t="s">
        <v>19</v>
      </c>
      <c r="E2849" s="5" t="s">
        <v>314</v>
      </c>
      <c r="F2849" s="9">
        <v>74</v>
      </c>
      <c r="G2849" s="9">
        <v>830</v>
      </c>
      <c r="H2849" s="5" t="s">
        <v>21</v>
      </c>
      <c r="I2849" s="5" t="s">
        <v>6968</v>
      </c>
      <c r="J2849" s="12" t="str">
        <f>HYPERLINK("https://www.boe.es/gazeta/dias/1800/09/12/pdfs/GMD-1800-74.pdf#page=8","Abrir facsímil")</f>
        <v>Abrir facsímil</v>
      </c>
      <c r="K2849" s="15" t="s">
        <v>23</v>
      </c>
    </row>
    <row r="2850" spans="1:11" ht="42" customHeight="1">
      <c r="A2850" s="4" t="s">
        <v>6969</v>
      </c>
      <c r="B2850" s="5" t="s">
        <v>6969</v>
      </c>
      <c r="C2850" s="5" t="s">
        <v>18</v>
      </c>
      <c r="D2850" s="5" t="s">
        <v>19</v>
      </c>
      <c r="E2850" s="5" t="s">
        <v>1287</v>
      </c>
      <c r="F2850" s="9">
        <v>57</v>
      </c>
      <c r="G2850" s="9">
        <v>648</v>
      </c>
      <c r="H2850" s="5" t="s">
        <v>21</v>
      </c>
      <c r="I2850" s="5" t="s">
        <v>6970</v>
      </c>
      <c r="J2850" s="12" t="str">
        <f>HYPERLINK("https://www.boe.es/gazeta/dias/1800/07/18/pdfs/GMD-1800-57.pdf#page=12","Abrir facsímil")</f>
        <v>Abrir facsímil</v>
      </c>
      <c r="K2850" s="15" t="s">
        <v>23</v>
      </c>
    </row>
    <row r="2851" spans="1:11" ht="42" customHeight="1">
      <c r="A2851" s="4" t="s">
        <v>6971</v>
      </c>
      <c r="B2851" s="5" t="s">
        <v>6971</v>
      </c>
      <c r="C2851" s="5" t="s">
        <v>25</v>
      </c>
      <c r="D2851" s="5" t="s">
        <v>26</v>
      </c>
      <c r="E2851" s="5" t="s">
        <v>143</v>
      </c>
      <c r="F2851" s="9">
        <v>22</v>
      </c>
      <c r="G2851" s="9">
        <v>222</v>
      </c>
      <c r="H2851" s="5" t="s">
        <v>21</v>
      </c>
      <c r="I2851" s="5" t="s">
        <v>6972</v>
      </c>
      <c r="J2851" s="12" t="str">
        <f>HYPERLINK("https://www.boe.es/gazeta/dias/1800/03/18/pdfs/GMD-1800-22.pdf#page=14","Abrir facsímil")</f>
        <v>Abrir facsímil</v>
      </c>
      <c r="K2851" s="15" t="s">
        <v>23</v>
      </c>
    </row>
    <row r="2852" spans="1:11" ht="42" customHeight="1">
      <c r="A2852" s="4" t="s">
        <v>6973</v>
      </c>
      <c r="B2852" s="5" t="s">
        <v>6974</v>
      </c>
      <c r="C2852" s="5" t="s">
        <v>18</v>
      </c>
      <c r="D2852" s="5" t="s">
        <v>19</v>
      </c>
      <c r="E2852" s="5" t="s">
        <v>1231</v>
      </c>
      <c r="F2852" s="9">
        <v>36</v>
      </c>
      <c r="G2852" s="9">
        <v>366</v>
      </c>
      <c r="H2852" s="5" t="s">
        <v>21</v>
      </c>
      <c r="I2852" s="5" t="s">
        <v>6975</v>
      </c>
      <c r="J2852" s="12" t="str">
        <f>HYPERLINK("https://www.boe.es/gazeta/dias/1800/05/06/pdfs/GMD-1800-36.pdf#page=10","Abrir facsímil")</f>
        <v>Abrir facsímil</v>
      </c>
      <c r="K2852" s="15" t="s">
        <v>23</v>
      </c>
    </row>
    <row r="2853" spans="1:11" ht="42" customHeight="1">
      <c r="A2853" s="4" t="s">
        <v>6976</v>
      </c>
      <c r="B2853" s="5" t="s">
        <v>6977</v>
      </c>
      <c r="C2853" s="5" t="s">
        <v>41</v>
      </c>
      <c r="D2853" s="5" t="s">
        <v>42</v>
      </c>
      <c r="E2853" s="5" t="s">
        <v>1231</v>
      </c>
      <c r="F2853" s="9">
        <v>36</v>
      </c>
      <c r="G2853" s="9">
        <v>364</v>
      </c>
      <c r="H2853" s="5" t="s">
        <v>21</v>
      </c>
      <c r="I2853" s="5" t="s">
        <v>6978</v>
      </c>
      <c r="J2853" s="12" t="str">
        <f>HYPERLINK("https://www.boe.es/gazeta/dias/1800/05/06/pdfs/GMD-1800-36.pdf#page=8","Abrir facsímil")</f>
        <v>Abrir facsímil</v>
      </c>
      <c r="K2853" s="15" t="s">
        <v>23</v>
      </c>
    </row>
    <row r="2854" spans="1:11" ht="42" customHeight="1">
      <c r="A2854" s="4" t="s">
        <v>6979</v>
      </c>
      <c r="B2854" s="5" t="s">
        <v>6979</v>
      </c>
      <c r="C2854" s="5" t="s">
        <v>41</v>
      </c>
      <c r="D2854" s="5" t="s">
        <v>42</v>
      </c>
      <c r="E2854" s="5" t="s">
        <v>534</v>
      </c>
      <c r="F2854" s="9">
        <v>100</v>
      </c>
      <c r="G2854" s="9">
        <v>1156</v>
      </c>
      <c r="H2854" s="5" t="s">
        <v>21</v>
      </c>
      <c r="I2854" s="5" t="s">
        <v>6980</v>
      </c>
      <c r="J2854" s="12" t="str">
        <f>HYPERLINK("https://www.boe.es/gazeta/dias/1800/12/12/pdfs/GMD-1800-100.pdf#page=8","Abrir facsímil")</f>
        <v>Abrir facsímil</v>
      </c>
      <c r="K2854" s="15" t="s">
        <v>23</v>
      </c>
    </row>
    <row r="2855" spans="1:11" ht="42" customHeight="1">
      <c r="A2855" s="4" t="s">
        <v>6981</v>
      </c>
      <c r="B2855" s="5" t="s">
        <v>6982</v>
      </c>
      <c r="C2855" s="5" t="s">
        <v>41</v>
      </c>
      <c r="D2855" s="5" t="s">
        <v>42</v>
      </c>
      <c r="E2855" s="5" t="s">
        <v>101</v>
      </c>
      <c r="F2855" s="9">
        <v>37</v>
      </c>
      <c r="G2855" s="9">
        <v>376</v>
      </c>
      <c r="H2855" s="5" t="s">
        <v>21</v>
      </c>
      <c r="I2855" s="5" t="s">
        <v>6983</v>
      </c>
      <c r="J2855" s="12" t="str">
        <f>HYPERLINK("https://www.boe.es/gazeta/dias/1800/05/09/pdfs/GMD-1800-37.pdf#page=8","Abrir facsímil")</f>
        <v>Abrir facsímil</v>
      </c>
      <c r="K2855" s="15" t="s">
        <v>23</v>
      </c>
    </row>
    <row r="2856" spans="1:11" ht="42" customHeight="1">
      <c r="A2856" s="4" t="s">
        <v>6984</v>
      </c>
      <c r="B2856" s="5" t="s">
        <v>6985</v>
      </c>
      <c r="C2856" s="5" t="s">
        <v>25</v>
      </c>
      <c r="D2856" s="5" t="s">
        <v>26</v>
      </c>
      <c r="E2856" s="5" t="s">
        <v>306</v>
      </c>
      <c r="F2856" s="9">
        <v>79</v>
      </c>
      <c r="G2856" s="9">
        <v>899</v>
      </c>
      <c r="H2856" s="5" t="s">
        <v>21</v>
      </c>
      <c r="I2856" s="5" t="s">
        <v>6986</v>
      </c>
      <c r="J2856" s="12" t="str">
        <f>HYPERLINK("https://www.boe.es/gazeta/dias/1800/09/30/pdfs/GMD-1800-79.pdf#page=9","Abrir facsímil")</f>
        <v>Abrir facsímil</v>
      </c>
      <c r="K2856" s="15" t="s">
        <v>23</v>
      </c>
    </row>
    <row r="2857" spans="1:11" ht="42" customHeight="1">
      <c r="A2857" s="4" t="s">
        <v>6987</v>
      </c>
      <c r="B2857" s="5" t="s">
        <v>6987</v>
      </c>
      <c r="C2857" s="5" t="s">
        <v>25</v>
      </c>
      <c r="D2857" s="5" t="s">
        <v>26</v>
      </c>
      <c r="E2857" s="5" t="s">
        <v>618</v>
      </c>
      <c r="F2857" s="9">
        <v>1</v>
      </c>
      <c r="G2857" s="9">
        <v>7</v>
      </c>
      <c r="H2857" s="5" t="s">
        <v>21</v>
      </c>
      <c r="I2857" s="5" t="s">
        <v>6988</v>
      </c>
      <c r="J2857" s="12" t="str">
        <f>HYPERLINK("https://www.boe.es/gazeta/dias/1800/01/03/pdfs/GMD-1800-1.pdf#page=7","Abrir facsímil")</f>
        <v>Abrir facsímil</v>
      </c>
      <c r="K2857" s="15" t="s">
        <v>23</v>
      </c>
    </row>
    <row r="2858" spans="1:11" ht="42" customHeight="1">
      <c r="A2858" s="4" t="s">
        <v>6989</v>
      </c>
      <c r="B2858" s="5" t="s">
        <v>6989</v>
      </c>
      <c r="C2858" s="5" t="s">
        <v>18</v>
      </c>
      <c r="D2858" s="5" t="s">
        <v>19</v>
      </c>
      <c r="E2858" s="5" t="s">
        <v>190</v>
      </c>
      <c r="F2858" s="9">
        <v>93</v>
      </c>
      <c r="G2858" s="9">
        <v>1067</v>
      </c>
      <c r="H2858" s="5" t="s">
        <v>21</v>
      </c>
      <c r="I2858" s="5" t="s">
        <v>6990</v>
      </c>
      <c r="J2858" s="12" t="str">
        <f>HYPERLINK("https://www.boe.es/gazeta/dias/1800/11/18/pdfs/GMD-1800-93.pdf#page=13","Abrir facsímil")</f>
        <v>Abrir facsímil</v>
      </c>
      <c r="K2858" s="15" t="s">
        <v>23</v>
      </c>
    </row>
    <row r="2859" spans="1:11" ht="42" customHeight="1">
      <c r="A2859" s="4" t="s">
        <v>6991</v>
      </c>
      <c r="B2859" s="5" t="s">
        <v>6991</v>
      </c>
      <c r="C2859" s="5" t="s">
        <v>18</v>
      </c>
      <c r="D2859" s="5" t="s">
        <v>19</v>
      </c>
      <c r="E2859" s="5" t="s">
        <v>111</v>
      </c>
      <c r="F2859" s="9">
        <v>98</v>
      </c>
      <c r="G2859" s="9">
        <v>1129</v>
      </c>
      <c r="H2859" s="5" t="s">
        <v>21</v>
      </c>
      <c r="I2859" s="5" t="s">
        <v>6992</v>
      </c>
      <c r="J2859" s="12" t="str">
        <f>HYPERLINK("https://www.boe.es/gazeta/dias/1800/12/05/pdfs/GMD-1800-98.pdf#page=9","Abrir facsímil")</f>
        <v>Abrir facsímil</v>
      </c>
      <c r="K2859" s="15" t="s">
        <v>23</v>
      </c>
    </row>
    <row r="2860" spans="1:11" ht="42" customHeight="1">
      <c r="A2860" s="4" t="s">
        <v>6993</v>
      </c>
      <c r="B2860" s="5" t="s">
        <v>6993</v>
      </c>
      <c r="C2860" s="5" t="s">
        <v>18</v>
      </c>
      <c r="D2860" s="5" t="s">
        <v>19</v>
      </c>
      <c r="E2860" s="5" t="s">
        <v>56</v>
      </c>
      <c r="F2860" s="9">
        <v>90</v>
      </c>
      <c r="G2860" s="9">
        <v>1056</v>
      </c>
      <c r="H2860" s="5" t="s">
        <v>21</v>
      </c>
      <c r="I2860" s="5" t="s">
        <v>6994</v>
      </c>
      <c r="J2860" s="12" t="str">
        <f>HYPERLINK("https://www.boe.es/gazeta/dias/1800/11/07/pdfs/GMD-1800-90.pdf#page=10","Abrir facsímil")</f>
        <v>Abrir facsímil</v>
      </c>
      <c r="K2860" s="15" t="s">
        <v>23</v>
      </c>
    </row>
    <row r="2861" spans="1:11" ht="42" customHeight="1">
      <c r="A2861" s="4" t="s">
        <v>6995</v>
      </c>
      <c r="B2861" s="5" t="s">
        <v>6995</v>
      </c>
      <c r="C2861" s="5" t="s">
        <v>18</v>
      </c>
      <c r="D2861" s="5" t="s">
        <v>19</v>
      </c>
      <c r="E2861" s="5" t="s">
        <v>314</v>
      </c>
      <c r="F2861" s="9">
        <v>74</v>
      </c>
      <c r="G2861" s="9">
        <v>831</v>
      </c>
      <c r="H2861" s="5" t="s">
        <v>21</v>
      </c>
      <c r="I2861" s="5" t="s">
        <v>6996</v>
      </c>
      <c r="J2861" s="12" t="str">
        <f>HYPERLINK("https://www.boe.es/gazeta/dias/1800/09/12/pdfs/GMD-1800-74.pdf#page=9","Abrir facsímil")</f>
        <v>Abrir facsímil</v>
      </c>
      <c r="K2861" s="15" t="s">
        <v>23</v>
      </c>
    </row>
    <row r="2862" spans="1:11" ht="42" customHeight="1">
      <c r="A2862" s="4" t="s">
        <v>6997</v>
      </c>
      <c r="B2862" s="5" t="s">
        <v>6997</v>
      </c>
      <c r="C2862" s="5" t="s">
        <v>18</v>
      </c>
      <c r="D2862" s="5" t="s">
        <v>19</v>
      </c>
      <c r="E2862" s="5" t="s">
        <v>139</v>
      </c>
      <c r="F2862" s="9">
        <v>2</v>
      </c>
      <c r="G2862" s="9">
        <v>18</v>
      </c>
      <c r="H2862" s="5" t="s">
        <v>21</v>
      </c>
      <c r="I2862" s="5" t="s">
        <v>6998</v>
      </c>
      <c r="J2862" s="12" t="str">
        <f>HYPERLINK("https://www.boe.es/gazeta/dias/1800/01/07/pdfs/GMD-1800-2.pdf#page=10","Abrir facsímil")</f>
        <v>Abrir facsímil</v>
      </c>
      <c r="K2862" s="15" t="s">
        <v>23</v>
      </c>
    </row>
    <row r="2863" spans="1:11" ht="42" customHeight="1">
      <c r="A2863" s="4" t="s">
        <v>6999</v>
      </c>
      <c r="B2863" s="5" t="s">
        <v>7000</v>
      </c>
      <c r="C2863" s="5" t="s">
        <v>18</v>
      </c>
      <c r="D2863" s="5" t="s">
        <v>19</v>
      </c>
      <c r="E2863" s="5" t="s">
        <v>306</v>
      </c>
      <c r="F2863" s="9">
        <v>79</v>
      </c>
      <c r="G2863" s="9">
        <v>899</v>
      </c>
      <c r="H2863" s="5" t="s">
        <v>21</v>
      </c>
      <c r="I2863" s="5" t="s">
        <v>7001</v>
      </c>
      <c r="J2863" s="12" t="str">
        <f>HYPERLINK("https://www.boe.es/gazeta/dias/1800/09/30/pdfs/GMD-1800-79.pdf#page=9","Abrir facsímil")</f>
        <v>Abrir facsímil</v>
      </c>
      <c r="K2863" s="15" t="s">
        <v>23</v>
      </c>
    </row>
    <row r="2864" spans="1:11" ht="42" customHeight="1">
      <c r="A2864" s="4" t="s">
        <v>7002</v>
      </c>
      <c r="B2864" s="5" t="s">
        <v>7003</v>
      </c>
      <c r="C2864" s="5" t="s">
        <v>54</v>
      </c>
      <c r="D2864" s="5" t="s">
        <v>55</v>
      </c>
      <c r="E2864" s="5" t="s">
        <v>319</v>
      </c>
      <c r="F2864" s="9">
        <v>62</v>
      </c>
      <c r="G2864" s="9">
        <v>709</v>
      </c>
      <c r="H2864" s="5" t="s">
        <v>21</v>
      </c>
      <c r="I2864" s="5" t="s">
        <v>7004</v>
      </c>
      <c r="J2864" s="12" t="str">
        <f>HYPERLINK("https://www.boe.es/gazeta/dias/1800/08/05/pdfs/GMD-1800-62.pdf#page=9","Abrir facsímil")</f>
        <v>Abrir facsímil</v>
      </c>
      <c r="K2864" s="15" t="s">
        <v>23</v>
      </c>
    </row>
    <row r="2865" spans="1:11" ht="42" customHeight="1">
      <c r="A2865" s="4" t="s">
        <v>7005</v>
      </c>
      <c r="B2865" s="5" t="s">
        <v>7006</v>
      </c>
      <c r="C2865" s="5" t="s">
        <v>171</v>
      </c>
      <c r="D2865" s="5" t="s">
        <v>172</v>
      </c>
      <c r="E2865" s="5" t="s">
        <v>194</v>
      </c>
      <c r="F2865" s="9">
        <v>48</v>
      </c>
      <c r="G2865" s="9">
        <v>521</v>
      </c>
      <c r="H2865" s="5" t="s">
        <v>21</v>
      </c>
      <c r="I2865" s="5" t="s">
        <v>7007</v>
      </c>
      <c r="J2865" s="12" t="str">
        <f>HYPERLINK("https://www.boe.es/gazeta/dias/1800/06/17/pdfs/GMD-C-1800-48.pdf#page=1","Abrir facsímil")</f>
        <v>Abrir facsímil</v>
      </c>
      <c r="K2865" s="15" t="s">
        <v>23</v>
      </c>
    </row>
    <row r="2866" spans="1:11" ht="42" customHeight="1">
      <c r="A2866" s="4" t="s">
        <v>7005</v>
      </c>
      <c r="B2866" s="5" t="s">
        <v>7006</v>
      </c>
      <c r="C2866" s="5" t="s">
        <v>54</v>
      </c>
      <c r="D2866" s="5" t="s">
        <v>55</v>
      </c>
      <c r="E2866" s="5" t="s">
        <v>823</v>
      </c>
      <c r="F2866" s="9">
        <v>50</v>
      </c>
      <c r="G2866" s="9">
        <v>546</v>
      </c>
      <c r="H2866" s="5" t="s">
        <v>21</v>
      </c>
      <c r="I2866" s="5" t="s">
        <v>7008</v>
      </c>
      <c r="J2866" s="12" t="str">
        <f>HYPERLINK("https://www.boe.es/gazeta/dias/1800/06/24/pdfs/GMD-1800-50.pdf#page=10","Abrir facsímil")</f>
        <v>Abrir facsímil</v>
      </c>
      <c r="K2866" s="15" t="s">
        <v>23</v>
      </c>
    </row>
    <row r="2867" spans="1:11" ht="42" customHeight="1">
      <c r="A2867" s="4" t="s">
        <v>7005</v>
      </c>
      <c r="B2867" s="5" t="s">
        <v>7006</v>
      </c>
      <c r="C2867" s="5" t="s">
        <v>171</v>
      </c>
      <c r="D2867" s="5" t="s">
        <v>172</v>
      </c>
      <c r="E2867" s="5" t="s">
        <v>828</v>
      </c>
      <c r="F2867" s="9">
        <v>53</v>
      </c>
      <c r="G2867" s="9">
        <v>593</v>
      </c>
      <c r="H2867" s="5" t="s">
        <v>21</v>
      </c>
      <c r="I2867" s="5" t="s">
        <v>7009</v>
      </c>
      <c r="J2867" s="12" t="str">
        <f>HYPERLINK("https://www.boe.es/gazeta/dias/1800/07/04/pdfs/GMD-C-1800-53.pdf#page=1","Abrir facsímil")</f>
        <v>Abrir facsímil</v>
      </c>
      <c r="K2867" s="15" t="s">
        <v>23</v>
      </c>
    </row>
    <row r="2868" spans="1:11" ht="42" customHeight="1">
      <c r="A2868" s="4" t="s">
        <v>7010</v>
      </c>
      <c r="B2868" s="5" t="s">
        <v>7011</v>
      </c>
      <c r="C2868" s="5" t="s">
        <v>54</v>
      </c>
      <c r="D2868" s="5" t="s">
        <v>55</v>
      </c>
      <c r="E2868" s="5" t="s">
        <v>1294</v>
      </c>
      <c r="F2868" s="9">
        <v>59</v>
      </c>
      <c r="G2868" s="9">
        <v>679</v>
      </c>
      <c r="H2868" s="5" t="s">
        <v>21</v>
      </c>
      <c r="I2868" s="5" t="s">
        <v>7012</v>
      </c>
      <c r="J2868" s="12" t="str">
        <f>HYPERLINK("https://www.boe.es/gazeta/dias/1800/07/25/pdfs/GMD-1800-59.pdf#page=11","Abrir facsímil")</f>
        <v>Abrir facsímil</v>
      </c>
      <c r="K2868" s="15" t="s">
        <v>23</v>
      </c>
    </row>
    <row r="2869" spans="1:11" ht="42" customHeight="1">
      <c r="A2869" s="4" t="s">
        <v>7013</v>
      </c>
      <c r="B2869" s="5" t="s">
        <v>7014</v>
      </c>
      <c r="C2869" s="5" t="s">
        <v>207</v>
      </c>
      <c r="D2869" s="5" t="s">
        <v>55</v>
      </c>
      <c r="E2869" s="5" t="s">
        <v>176</v>
      </c>
      <c r="F2869" s="9">
        <v>88</v>
      </c>
      <c r="G2869" s="9">
        <v>1030</v>
      </c>
      <c r="H2869" s="5" t="s">
        <v>21</v>
      </c>
      <c r="I2869" s="5" t="s">
        <v>7015</v>
      </c>
      <c r="J2869" s="12" t="str">
        <f>HYPERLINK("https://www.boe.es/gazeta/dias/1800/10/31/pdfs/GMD-1800-88.pdf#page=12","Abrir facsímil")</f>
        <v>Abrir facsímil</v>
      </c>
      <c r="K2869" s="15" t="s">
        <v>23</v>
      </c>
    </row>
    <row r="2870" spans="1:11" ht="42" customHeight="1">
      <c r="A2870" s="4" t="s">
        <v>7016</v>
      </c>
      <c r="B2870" s="5" t="s">
        <v>7017</v>
      </c>
      <c r="C2870" s="5" t="s">
        <v>18</v>
      </c>
      <c r="D2870" s="5" t="s">
        <v>19</v>
      </c>
      <c r="E2870" s="5" t="s">
        <v>139</v>
      </c>
      <c r="F2870" s="9">
        <v>2</v>
      </c>
      <c r="G2870" s="9">
        <v>18</v>
      </c>
      <c r="H2870" s="5" t="s">
        <v>21</v>
      </c>
      <c r="I2870" s="5" t="s">
        <v>7018</v>
      </c>
      <c r="J2870" s="12" t="str">
        <f>HYPERLINK("https://www.boe.es/gazeta/dias/1800/01/07/pdfs/GMD-1800-2.pdf#page=10","Abrir facsímil")</f>
        <v>Abrir facsímil</v>
      </c>
      <c r="K2870" s="15" t="s">
        <v>23</v>
      </c>
    </row>
    <row r="2871" spans="1:11" ht="42" customHeight="1">
      <c r="A2871" s="4" t="s">
        <v>7019</v>
      </c>
      <c r="B2871" s="5" t="s">
        <v>7020</v>
      </c>
      <c r="C2871" s="5" t="s">
        <v>18</v>
      </c>
      <c r="D2871" s="5" t="s">
        <v>19</v>
      </c>
      <c r="E2871" s="5" t="s">
        <v>420</v>
      </c>
      <c r="F2871" s="9">
        <v>38</v>
      </c>
      <c r="G2871" s="9">
        <v>388</v>
      </c>
      <c r="H2871" s="5" t="s">
        <v>21</v>
      </c>
      <c r="I2871" s="5" t="s">
        <v>7021</v>
      </c>
      <c r="J2871" s="12" t="str">
        <f>HYPERLINK("https://www.boe.es/gazeta/dias/1800/05/13/pdfs/GMD-1800-38.pdf#page=8","Abrir facsímil")</f>
        <v>Abrir facsímil</v>
      </c>
      <c r="K2871" s="15" t="s">
        <v>23</v>
      </c>
    </row>
    <row r="2872" spans="1:11" ht="42" customHeight="1">
      <c r="A2872" s="4" t="s">
        <v>7022</v>
      </c>
      <c r="B2872" s="5" t="s">
        <v>7023</v>
      </c>
      <c r="C2872" s="5" t="s">
        <v>171</v>
      </c>
      <c r="D2872" s="5" t="s">
        <v>172</v>
      </c>
      <c r="E2872" s="5" t="s">
        <v>2338</v>
      </c>
      <c r="F2872" s="9">
        <v>42</v>
      </c>
      <c r="G2872" s="9">
        <v>437</v>
      </c>
      <c r="H2872" s="5" t="s">
        <v>21</v>
      </c>
      <c r="I2872" s="5" t="s">
        <v>7024</v>
      </c>
      <c r="J2872" s="12" t="str">
        <f>HYPERLINK("https://www.boe.es/gazeta/dias/1800/05/27/pdfs/GMD-C-1800-42.pdf#page=1","Abrir facsímil")</f>
        <v>Abrir facsímil</v>
      </c>
      <c r="K2872" s="15" t="s">
        <v>23</v>
      </c>
    </row>
    <row r="2873" spans="1:11" ht="42" customHeight="1">
      <c r="A2873" s="4" t="s">
        <v>7025</v>
      </c>
      <c r="B2873" s="5" t="s">
        <v>7026</v>
      </c>
      <c r="C2873" s="5" t="s">
        <v>54</v>
      </c>
      <c r="D2873" s="5" t="s">
        <v>55</v>
      </c>
      <c r="E2873" s="5" t="s">
        <v>1287</v>
      </c>
      <c r="F2873" s="9">
        <v>57</v>
      </c>
      <c r="G2873" s="9">
        <v>648</v>
      </c>
      <c r="H2873" s="5" t="s">
        <v>21</v>
      </c>
      <c r="I2873" s="5" t="s">
        <v>7027</v>
      </c>
      <c r="J2873" s="12" t="str">
        <f>HYPERLINK("https://www.boe.es/gazeta/dias/1800/07/18/pdfs/GMD-1800-57.pdf#page=12","Abrir facsímil")</f>
        <v>Abrir facsímil</v>
      </c>
      <c r="K2873" s="15" t="s">
        <v>23</v>
      </c>
    </row>
    <row r="2874" spans="1:11" ht="42" customHeight="1">
      <c r="A2874" s="4" t="s">
        <v>7025</v>
      </c>
      <c r="B2874" s="5" t="s">
        <v>7026</v>
      </c>
      <c r="C2874" s="5" t="s">
        <v>171</v>
      </c>
      <c r="D2874" s="5" t="s">
        <v>172</v>
      </c>
      <c r="E2874" s="5" t="s">
        <v>90</v>
      </c>
      <c r="F2874" s="9">
        <v>58</v>
      </c>
      <c r="G2874" s="9">
        <v>665</v>
      </c>
      <c r="H2874" s="5" t="s">
        <v>21</v>
      </c>
      <c r="I2874" s="5" t="s">
        <v>7028</v>
      </c>
      <c r="J2874" s="12" t="str">
        <f>HYPERLINK("https://www.boe.es/gazeta/dias/1800/07/22/pdfs/GMD-C-1800-58.pdf#page=1","Abrir facsímil")</f>
        <v>Abrir facsímil</v>
      </c>
      <c r="K2874" s="15" t="s">
        <v>23</v>
      </c>
    </row>
    <row r="2875" spans="1:11" ht="42" customHeight="1">
      <c r="A2875" s="4" t="s">
        <v>7025</v>
      </c>
      <c r="B2875" s="5" t="s">
        <v>7026</v>
      </c>
      <c r="C2875" s="5" t="s">
        <v>54</v>
      </c>
      <c r="D2875" s="5" t="s">
        <v>55</v>
      </c>
      <c r="E2875" s="5" t="s">
        <v>454</v>
      </c>
      <c r="F2875" s="9">
        <v>63</v>
      </c>
      <c r="G2875" s="9">
        <v>722</v>
      </c>
      <c r="H2875" s="5" t="s">
        <v>21</v>
      </c>
      <c r="I2875" s="5" t="s">
        <v>7029</v>
      </c>
      <c r="J2875" s="12" t="str">
        <f>HYPERLINK("https://www.boe.es/gazeta/dias/1800/08/08/pdfs/GMD-1800-63.pdf#page=10","Abrir facsímil")</f>
        <v>Abrir facsímil</v>
      </c>
      <c r="K2875" s="15" t="s">
        <v>23</v>
      </c>
    </row>
    <row r="2876" spans="1:11" ht="42" customHeight="1">
      <c r="A2876" s="4" t="s">
        <v>7025</v>
      </c>
      <c r="B2876" s="5" t="s">
        <v>7026</v>
      </c>
      <c r="C2876" s="5" t="s">
        <v>54</v>
      </c>
      <c r="D2876" s="5" t="s">
        <v>55</v>
      </c>
      <c r="E2876" s="5" t="s">
        <v>68</v>
      </c>
      <c r="F2876" s="9">
        <v>67</v>
      </c>
      <c r="G2876" s="9">
        <v>756</v>
      </c>
      <c r="H2876" s="5" t="s">
        <v>21</v>
      </c>
      <c r="I2876" s="5" t="s">
        <v>7030</v>
      </c>
      <c r="J2876" s="12" t="str">
        <f>HYPERLINK("https://www.boe.es/gazeta/dias/1800/08/22/pdfs/GMD-1800-67.pdf#page=8","Abrir facsímil")</f>
        <v>Abrir facsímil</v>
      </c>
      <c r="K2876" s="15" t="s">
        <v>23</v>
      </c>
    </row>
    <row r="2877" spans="1:11" ht="42" customHeight="1">
      <c r="A2877" s="4" t="s">
        <v>7031</v>
      </c>
      <c r="B2877" s="5" t="s">
        <v>7032</v>
      </c>
      <c r="C2877" s="5" t="s">
        <v>18</v>
      </c>
      <c r="D2877" s="5" t="s">
        <v>19</v>
      </c>
      <c r="E2877" s="5" t="s">
        <v>111</v>
      </c>
      <c r="F2877" s="9">
        <v>98</v>
      </c>
      <c r="G2877" s="9">
        <v>1128</v>
      </c>
      <c r="H2877" s="5" t="s">
        <v>21</v>
      </c>
      <c r="I2877" s="5" t="s">
        <v>7033</v>
      </c>
      <c r="J2877" s="12" t="str">
        <f>HYPERLINK("https://www.boe.es/gazeta/dias/1800/12/05/pdfs/GMD-1800-98.pdf#page=8","Abrir facsímil")</f>
        <v>Abrir facsímil</v>
      </c>
      <c r="K2877" s="15" t="s">
        <v>23</v>
      </c>
    </row>
    <row r="2878" spans="1:11" ht="42" customHeight="1">
      <c r="A2878" s="4" t="s">
        <v>7034</v>
      </c>
      <c r="B2878" s="5" t="s">
        <v>7035</v>
      </c>
      <c r="C2878" s="5" t="s">
        <v>18</v>
      </c>
      <c r="D2878" s="5" t="s">
        <v>19</v>
      </c>
      <c r="E2878" s="5" t="s">
        <v>135</v>
      </c>
      <c r="F2878" s="9">
        <v>73</v>
      </c>
      <c r="G2878" s="9">
        <v>816</v>
      </c>
      <c r="H2878" s="5" t="s">
        <v>21</v>
      </c>
      <c r="I2878" s="5" t="s">
        <v>7036</v>
      </c>
      <c r="J2878" s="12" t="str">
        <f>HYPERLINK("https://www.boe.es/gazeta/dias/1800/09/09/pdfs/GMD-1800-73.pdf#page=10","Abrir facsímil")</f>
        <v>Abrir facsímil</v>
      </c>
      <c r="K2878" s="15" t="s">
        <v>23</v>
      </c>
    </row>
    <row r="2879" spans="1:11" ht="42" customHeight="1">
      <c r="A2879" s="4" t="s">
        <v>7037</v>
      </c>
      <c r="B2879" s="5" t="s">
        <v>7038</v>
      </c>
      <c r="C2879" s="5" t="s">
        <v>18</v>
      </c>
      <c r="D2879" s="5" t="s">
        <v>19</v>
      </c>
      <c r="E2879" s="5" t="s">
        <v>673</v>
      </c>
      <c r="F2879" s="9">
        <v>89</v>
      </c>
      <c r="G2879" s="9">
        <v>1043</v>
      </c>
      <c r="H2879" s="5" t="s">
        <v>21</v>
      </c>
      <c r="I2879" s="5" t="s">
        <v>7039</v>
      </c>
      <c r="J2879" s="12" t="str">
        <f>HYPERLINK("https://www.boe.es/gazeta/dias/1800/11/04/pdfs/GMD-1800-89.pdf#page=9","Abrir facsímil")</f>
        <v>Abrir facsímil</v>
      </c>
      <c r="K2879" s="15" t="s">
        <v>23</v>
      </c>
    </row>
    <row r="2880" spans="1:11" ht="42" customHeight="1">
      <c r="A2880" s="4" t="s">
        <v>7040</v>
      </c>
      <c r="B2880" s="5" t="s">
        <v>7041</v>
      </c>
      <c r="C2880" s="5" t="s">
        <v>18</v>
      </c>
      <c r="D2880" s="5" t="s">
        <v>19</v>
      </c>
      <c r="E2880" s="5" t="s">
        <v>420</v>
      </c>
      <c r="F2880" s="9">
        <v>38</v>
      </c>
      <c r="G2880" s="9">
        <v>388</v>
      </c>
      <c r="H2880" s="5" t="s">
        <v>21</v>
      </c>
      <c r="I2880" s="5" t="s">
        <v>7042</v>
      </c>
      <c r="J2880" s="12" t="str">
        <f>HYPERLINK("https://www.boe.es/gazeta/dias/1800/05/13/pdfs/GMD-1800-38.pdf#page=8","Abrir facsímil")</f>
        <v>Abrir facsímil</v>
      </c>
      <c r="K2880" s="15" t="s">
        <v>23</v>
      </c>
    </row>
    <row r="2881" spans="1:11" ht="42" customHeight="1">
      <c r="A2881" s="4" t="s">
        <v>7043</v>
      </c>
      <c r="B2881" s="5" t="s">
        <v>7044</v>
      </c>
      <c r="C2881" s="5" t="s">
        <v>171</v>
      </c>
      <c r="D2881" s="5" t="s">
        <v>172</v>
      </c>
      <c r="E2881" s="5" t="s">
        <v>595</v>
      </c>
      <c r="F2881" s="9">
        <v>72</v>
      </c>
      <c r="G2881" s="9">
        <v>805</v>
      </c>
      <c r="H2881" s="5" t="s">
        <v>21</v>
      </c>
      <c r="I2881" s="5" t="s">
        <v>7045</v>
      </c>
      <c r="J2881" s="12" t="str">
        <f>HYPERLINK("https://www.boe.es/gazeta/dias/1800/09/05/pdfs/GMD-C-1800-72.pdf#page=7","Abrir facsímil")</f>
        <v>Abrir facsímil</v>
      </c>
      <c r="K2881" s="15" t="s">
        <v>23</v>
      </c>
    </row>
    <row r="2882" spans="1:11" ht="42" customHeight="1">
      <c r="A2882" s="4" t="s">
        <v>7046</v>
      </c>
      <c r="B2882" s="5" t="s">
        <v>7047</v>
      </c>
      <c r="C2882" s="5" t="s">
        <v>18</v>
      </c>
      <c r="D2882" s="5" t="s">
        <v>19</v>
      </c>
      <c r="E2882" s="5" t="s">
        <v>180</v>
      </c>
      <c r="F2882" s="9">
        <v>102</v>
      </c>
      <c r="G2882" s="9">
        <v>1186</v>
      </c>
      <c r="H2882" s="5" t="s">
        <v>21</v>
      </c>
      <c r="I2882" s="5" t="s">
        <v>7048</v>
      </c>
      <c r="J2882" s="12" t="str">
        <f>HYPERLINK("https://www.boe.es/gazeta/dias/1800/12/19/pdfs/GMD-1800-102.pdf#page=10","Abrir facsímil")</f>
        <v>Abrir facsímil</v>
      </c>
      <c r="K2882" s="15" t="s">
        <v>23</v>
      </c>
    </row>
    <row r="2883" spans="1:11" ht="42" customHeight="1">
      <c r="A2883" s="4" t="s">
        <v>7049</v>
      </c>
      <c r="B2883" s="5" t="s">
        <v>7050</v>
      </c>
      <c r="C2883" s="5" t="s">
        <v>18</v>
      </c>
      <c r="D2883" s="5" t="s">
        <v>19</v>
      </c>
      <c r="E2883" s="5" t="s">
        <v>314</v>
      </c>
      <c r="F2883" s="9">
        <v>74</v>
      </c>
      <c r="G2883" s="9">
        <v>831</v>
      </c>
      <c r="H2883" s="5" t="s">
        <v>21</v>
      </c>
      <c r="I2883" s="5" t="s">
        <v>7051</v>
      </c>
      <c r="J2883" s="12" t="str">
        <f>HYPERLINK("https://www.boe.es/gazeta/dias/1800/09/12/pdfs/GMD-1800-74.pdf#page=9","Abrir facsímil")</f>
        <v>Abrir facsímil</v>
      </c>
      <c r="K2883" s="15" t="s">
        <v>23</v>
      </c>
    </row>
    <row r="2884" spans="1:11" ht="42" customHeight="1">
      <c r="A2884" s="4" t="s">
        <v>7049</v>
      </c>
      <c r="B2884" s="5" t="s">
        <v>7050</v>
      </c>
      <c r="C2884" s="5" t="s">
        <v>18</v>
      </c>
      <c r="D2884" s="5" t="s">
        <v>19</v>
      </c>
      <c r="E2884" s="5" t="s">
        <v>255</v>
      </c>
      <c r="F2884" s="9">
        <v>75</v>
      </c>
      <c r="G2884" s="9">
        <v>855</v>
      </c>
      <c r="H2884" s="5" t="s">
        <v>21</v>
      </c>
      <c r="I2884" s="5" t="s">
        <v>7052</v>
      </c>
      <c r="J2884" s="12" t="str">
        <f>HYPERLINK("https://www.boe.es/gazeta/dias/1800/09/16/pdfs/GMD-1800-75.pdf#page=9","Abrir facsímil")</f>
        <v>Abrir facsímil</v>
      </c>
      <c r="K2884" s="15" t="s">
        <v>23</v>
      </c>
    </row>
    <row r="2885" spans="1:11" ht="42" customHeight="1">
      <c r="A2885" s="4" t="s">
        <v>7053</v>
      </c>
      <c r="B2885" s="5" t="s">
        <v>7054</v>
      </c>
      <c r="C2885" s="5" t="s">
        <v>25</v>
      </c>
      <c r="D2885" s="5" t="s">
        <v>26</v>
      </c>
      <c r="E2885" s="5" t="s">
        <v>88</v>
      </c>
      <c r="F2885" s="9">
        <v>23</v>
      </c>
      <c r="G2885" s="9">
        <v>234</v>
      </c>
      <c r="H2885" s="5" t="s">
        <v>21</v>
      </c>
      <c r="I2885" s="5" t="s">
        <v>7055</v>
      </c>
      <c r="J2885" s="12" t="str">
        <f>HYPERLINK("https://www.boe.es/gazeta/dias/1800/03/21/pdfs/GMD-1800-23.pdf#page=10","Abrir facsímil")</f>
        <v>Abrir facsímil</v>
      </c>
      <c r="K2885" s="15" t="s">
        <v>23</v>
      </c>
    </row>
    <row r="2886" spans="1:11" ht="42" customHeight="1">
      <c r="A2886" s="4" t="s">
        <v>7056</v>
      </c>
      <c r="B2886" s="5" t="s">
        <v>7057</v>
      </c>
      <c r="C2886" s="5" t="s">
        <v>25</v>
      </c>
      <c r="D2886" s="5" t="s">
        <v>26</v>
      </c>
      <c r="E2886" s="5" t="s">
        <v>1231</v>
      </c>
      <c r="F2886" s="9">
        <v>36</v>
      </c>
      <c r="G2886" s="9">
        <v>366</v>
      </c>
      <c r="H2886" s="5" t="s">
        <v>21</v>
      </c>
      <c r="I2886" s="5" t="s">
        <v>7058</v>
      </c>
      <c r="J2886" s="12" t="str">
        <f>HYPERLINK("https://www.boe.es/gazeta/dias/1800/05/06/pdfs/GMD-1800-36.pdf#page=10","Abrir facsímil")</f>
        <v>Abrir facsímil</v>
      </c>
      <c r="K2886" s="15" t="s">
        <v>23</v>
      </c>
    </row>
    <row r="2887" spans="1:11" ht="42" customHeight="1">
      <c r="A2887" s="4" t="s">
        <v>7059</v>
      </c>
      <c r="B2887" s="5" t="s">
        <v>7060</v>
      </c>
      <c r="C2887" s="5" t="s">
        <v>18</v>
      </c>
      <c r="D2887" s="5" t="s">
        <v>19</v>
      </c>
      <c r="E2887" s="5" t="s">
        <v>190</v>
      </c>
      <c r="F2887" s="9">
        <v>93</v>
      </c>
      <c r="G2887" s="9">
        <v>1066</v>
      </c>
      <c r="H2887" s="5" t="s">
        <v>21</v>
      </c>
      <c r="I2887" s="5" t="s">
        <v>7061</v>
      </c>
      <c r="J2887" s="12" t="str">
        <f>HYPERLINK("https://www.boe.es/gazeta/dias/1800/11/18/pdfs/GMD-1800-93.pdf#page=12","Abrir facsímil")</f>
        <v>Abrir facsímil</v>
      </c>
      <c r="K2887" s="15" t="s">
        <v>23</v>
      </c>
    </row>
    <row r="2888" spans="1:11" ht="42" customHeight="1">
      <c r="A2888" s="4" t="s">
        <v>7062</v>
      </c>
      <c r="B2888" s="5" t="s">
        <v>7063</v>
      </c>
      <c r="C2888" s="5" t="s">
        <v>171</v>
      </c>
      <c r="D2888" s="5" t="s">
        <v>172</v>
      </c>
      <c r="E2888" s="5" t="s">
        <v>90</v>
      </c>
      <c r="F2888" s="9">
        <v>58</v>
      </c>
      <c r="G2888" s="9">
        <v>665</v>
      </c>
      <c r="H2888" s="5" t="s">
        <v>21</v>
      </c>
      <c r="I2888" s="5" t="s">
        <v>7064</v>
      </c>
      <c r="J2888" s="12" t="str">
        <f>HYPERLINK("https://www.boe.es/gazeta/dias/1800/07/22/pdfs/GMD-C-1800-58.pdf#page=1","Abrir facsímil")</f>
        <v>Abrir facsímil</v>
      </c>
      <c r="K2888" s="15" t="s">
        <v>23</v>
      </c>
    </row>
    <row r="2889" spans="1:11" ht="42" customHeight="1">
      <c r="A2889" s="4" t="s">
        <v>7062</v>
      </c>
      <c r="B2889" s="5" t="s">
        <v>7063</v>
      </c>
      <c r="C2889" s="5" t="s">
        <v>171</v>
      </c>
      <c r="D2889" s="5" t="s">
        <v>172</v>
      </c>
      <c r="E2889" s="5" t="s">
        <v>135</v>
      </c>
      <c r="F2889" s="9">
        <v>73</v>
      </c>
      <c r="G2889" s="9">
        <v>819</v>
      </c>
      <c r="H2889" s="5" t="s">
        <v>21</v>
      </c>
      <c r="I2889" s="5" t="s">
        <v>7065</v>
      </c>
      <c r="J2889" s="12" t="str">
        <f>HYPERLINK("https://www.boe.es/gazeta/dias/1800/09/09/pdfs/GMD-C-1800-73.pdf#page=1","Abrir facsímil")</f>
        <v>Abrir facsímil</v>
      </c>
      <c r="K2889" s="15" t="s">
        <v>23</v>
      </c>
    </row>
    <row r="2890" spans="1:11" ht="42" customHeight="1">
      <c r="A2890" s="4" t="s">
        <v>7062</v>
      </c>
      <c r="B2890" s="5" t="s">
        <v>7063</v>
      </c>
      <c r="C2890" s="5" t="s">
        <v>18</v>
      </c>
      <c r="D2890" s="5" t="s">
        <v>19</v>
      </c>
      <c r="E2890" s="5" t="s">
        <v>572</v>
      </c>
      <c r="F2890" s="9">
        <v>76</v>
      </c>
      <c r="G2890" s="9">
        <v>868</v>
      </c>
      <c r="H2890" s="5" t="s">
        <v>21</v>
      </c>
      <c r="I2890" s="5" t="s">
        <v>7066</v>
      </c>
      <c r="J2890" s="12" t="str">
        <f>HYPERLINK("https://www.boe.es/gazeta/dias/1800/09/19/pdfs/GMD-1800-76.pdf#page=10","Abrir facsímil")</f>
        <v>Abrir facsímil</v>
      </c>
      <c r="K2890" s="15" t="s">
        <v>23</v>
      </c>
    </row>
    <row r="2891" spans="1:11" ht="42" customHeight="1">
      <c r="A2891" s="4" t="s">
        <v>7062</v>
      </c>
      <c r="B2891" s="5" t="s">
        <v>7063</v>
      </c>
      <c r="C2891" s="5" t="s">
        <v>18</v>
      </c>
      <c r="D2891" s="5" t="s">
        <v>19</v>
      </c>
      <c r="E2891" s="5" t="s">
        <v>410</v>
      </c>
      <c r="F2891" s="9">
        <v>87</v>
      </c>
      <c r="G2891" s="9">
        <v>1010</v>
      </c>
      <c r="H2891" s="5" t="s">
        <v>21</v>
      </c>
      <c r="I2891" s="5" t="s">
        <v>7067</v>
      </c>
      <c r="J2891" s="12" t="str">
        <f>HYPERLINK("https://www.boe.es/gazeta/dias/1800/10/28/pdfs/GMD-1800-87.pdf#page=8","Abrir facsímil")</f>
        <v>Abrir facsímil</v>
      </c>
      <c r="K2891" s="15" t="s">
        <v>23</v>
      </c>
    </row>
    <row r="2892" spans="1:11" ht="42" customHeight="1">
      <c r="A2892" s="4" t="s">
        <v>7062</v>
      </c>
      <c r="B2892" s="5" t="s">
        <v>7063</v>
      </c>
      <c r="C2892" s="5" t="s">
        <v>18</v>
      </c>
      <c r="D2892" s="5" t="s">
        <v>19</v>
      </c>
      <c r="E2892" s="5" t="s">
        <v>203</v>
      </c>
      <c r="F2892" s="9">
        <v>94</v>
      </c>
      <c r="G2892" s="9">
        <v>1081</v>
      </c>
      <c r="H2892" s="5" t="s">
        <v>21</v>
      </c>
      <c r="I2892" s="5" t="s">
        <v>7068</v>
      </c>
      <c r="J2892" s="12" t="str">
        <f>HYPERLINK("https://www.boe.es/gazeta/dias/1800/11/21/pdfs/GMD-1800-94.pdf#page=11","Abrir facsímil")</f>
        <v>Abrir facsímil</v>
      </c>
      <c r="K2892" s="15" t="s">
        <v>23</v>
      </c>
    </row>
    <row r="2893" spans="1:11" ht="42" customHeight="1">
      <c r="A2893" s="4" t="s">
        <v>7062</v>
      </c>
      <c r="B2893" s="5" t="s">
        <v>7063</v>
      </c>
      <c r="C2893" s="5" t="s">
        <v>54</v>
      </c>
      <c r="D2893" s="5" t="s">
        <v>55</v>
      </c>
      <c r="E2893" s="5" t="s">
        <v>279</v>
      </c>
      <c r="F2893" s="9">
        <v>103</v>
      </c>
      <c r="G2893" s="9">
        <v>1199</v>
      </c>
      <c r="H2893" s="5" t="s">
        <v>21</v>
      </c>
      <c r="I2893" s="5" t="s">
        <v>7069</v>
      </c>
      <c r="J2893" s="12" t="str">
        <f>HYPERLINK("https://www.boe.es/gazeta/dias/1800/12/23/pdfs/GMD-1800-103.pdf#page=11","Abrir facsímil")</f>
        <v>Abrir facsímil</v>
      </c>
      <c r="K2893" s="15" t="s">
        <v>23</v>
      </c>
    </row>
    <row r="2894" spans="1:11" ht="42" customHeight="1">
      <c r="A2894" s="4" t="s">
        <v>7070</v>
      </c>
      <c r="B2894" s="5" t="s">
        <v>7071</v>
      </c>
      <c r="C2894" s="5" t="s">
        <v>84</v>
      </c>
      <c r="D2894" s="5" t="s">
        <v>85</v>
      </c>
      <c r="E2894" s="5" t="s">
        <v>1231</v>
      </c>
      <c r="F2894" s="9">
        <v>36</v>
      </c>
      <c r="G2894" s="9">
        <v>368</v>
      </c>
      <c r="H2894" s="5" t="s">
        <v>21</v>
      </c>
      <c r="I2894" s="5" t="s">
        <v>7072</v>
      </c>
      <c r="J2894" s="12" t="str">
        <f>HYPERLINK("https://www.boe.es/gazeta/dias/1800/05/06/pdfs/GMD-1800-36.pdf#page=12","Abrir facsímil")</f>
        <v>Abrir facsímil</v>
      </c>
      <c r="K2894" s="15" t="s">
        <v>23</v>
      </c>
    </row>
    <row r="2895" spans="1:11" ht="42" customHeight="1">
      <c r="A2895" s="4" t="s">
        <v>7070</v>
      </c>
      <c r="B2895" s="5" t="s">
        <v>7071</v>
      </c>
      <c r="C2895" s="5" t="s">
        <v>84</v>
      </c>
      <c r="D2895" s="5" t="s">
        <v>85</v>
      </c>
      <c r="E2895" s="5" t="s">
        <v>262</v>
      </c>
      <c r="F2895" s="9">
        <v>39</v>
      </c>
      <c r="G2895" s="9">
        <v>404</v>
      </c>
      <c r="H2895" s="5" t="s">
        <v>21</v>
      </c>
      <c r="I2895" s="5" t="s">
        <v>7073</v>
      </c>
      <c r="J2895" s="12" t="str">
        <f>HYPERLINK("https://www.boe.es/gazeta/dias/1800/05/16/pdfs/GMD-1800-39.pdf#page=12","Abrir facsímil")</f>
        <v>Abrir facsímil</v>
      </c>
      <c r="K2895" s="15" t="s">
        <v>23</v>
      </c>
    </row>
    <row r="2896" spans="1:11" ht="42" customHeight="1">
      <c r="A2896" s="4" t="s">
        <v>7074</v>
      </c>
      <c r="B2896" s="5" t="s">
        <v>7075</v>
      </c>
      <c r="C2896" s="5" t="s">
        <v>1035</v>
      </c>
      <c r="D2896" s="5" t="s">
        <v>1036</v>
      </c>
      <c r="E2896" s="5" t="s">
        <v>50</v>
      </c>
      <c r="F2896" s="9">
        <v>81</v>
      </c>
      <c r="G2896" s="9">
        <v>941</v>
      </c>
      <c r="H2896" s="5" t="s">
        <v>21</v>
      </c>
      <c r="I2896" s="5" t="s">
        <v>7076</v>
      </c>
      <c r="J2896" s="12" t="str">
        <f>HYPERLINK("https://www.boe.es/gazeta/dias/1800/10/07/pdfs/GMD-C-1800-81.pdf#page=23","Abrir facsímil")</f>
        <v>Abrir facsímil</v>
      </c>
      <c r="K2896" s="15" t="s">
        <v>23</v>
      </c>
    </row>
    <row r="2897" spans="1:11" ht="42" customHeight="1">
      <c r="A2897" s="4" t="s">
        <v>7077</v>
      </c>
      <c r="B2897" s="5" t="s">
        <v>7078</v>
      </c>
      <c r="C2897" s="5" t="s">
        <v>207</v>
      </c>
      <c r="D2897" s="5" t="s">
        <v>55</v>
      </c>
      <c r="E2897" s="5" t="s">
        <v>39</v>
      </c>
      <c r="F2897" s="9">
        <v>43</v>
      </c>
      <c r="G2897" s="9">
        <v>450</v>
      </c>
      <c r="H2897" s="5" t="s">
        <v>21</v>
      </c>
      <c r="I2897" s="5" t="s">
        <v>7079</v>
      </c>
      <c r="J2897" s="12" t="str">
        <f>HYPERLINK("https://www.boe.es/gazeta/dias/1800/05/30/pdfs/GMD-1800-43.pdf#page=10","Abrir facsímil")</f>
        <v>Abrir facsímil</v>
      </c>
      <c r="K2897" s="15" t="s">
        <v>23</v>
      </c>
    </row>
    <row r="2898" spans="1:11" ht="42" customHeight="1">
      <c r="A2898" s="4" t="s">
        <v>7080</v>
      </c>
      <c r="B2898" s="5" t="s">
        <v>7081</v>
      </c>
      <c r="C2898" s="5" t="s">
        <v>207</v>
      </c>
      <c r="D2898" s="5" t="s">
        <v>55</v>
      </c>
      <c r="E2898" s="5" t="s">
        <v>465</v>
      </c>
      <c r="F2898" s="9">
        <v>49</v>
      </c>
      <c r="G2898" s="9">
        <v>532</v>
      </c>
      <c r="H2898" s="5" t="s">
        <v>21</v>
      </c>
      <c r="I2898" s="5" t="s">
        <v>7082</v>
      </c>
      <c r="J2898" s="12" t="str">
        <f>HYPERLINK("https://www.boe.es/gazeta/dias/1800/06/20/pdfs/GMD-1800-49.pdf#page=8","Abrir facsímil")</f>
        <v>Abrir facsímil</v>
      </c>
      <c r="K2898" s="15" t="s">
        <v>23</v>
      </c>
    </row>
    <row r="2899" spans="1:11" ht="42" customHeight="1">
      <c r="A2899" s="4" t="s">
        <v>7083</v>
      </c>
      <c r="B2899" s="5" t="s">
        <v>7084</v>
      </c>
      <c r="C2899" s="5" t="s">
        <v>207</v>
      </c>
      <c r="D2899" s="5" t="s">
        <v>55</v>
      </c>
      <c r="E2899" s="5" t="s">
        <v>283</v>
      </c>
      <c r="F2899" s="9">
        <v>68</v>
      </c>
      <c r="G2899" s="9">
        <v>764</v>
      </c>
      <c r="H2899" s="5" t="s">
        <v>21</v>
      </c>
      <c r="I2899" s="5" t="s">
        <v>7085</v>
      </c>
      <c r="J2899" s="12" t="str">
        <f>HYPERLINK("https://www.boe.es/gazeta/dias/1800/08/26/pdfs/GMD-1800-68.pdf#page=8","Abrir facsímil")</f>
        <v>Abrir facsímil</v>
      </c>
      <c r="K2899" s="15" t="s">
        <v>23</v>
      </c>
    </row>
    <row r="2900" spans="1:11" ht="42" customHeight="1">
      <c r="A2900" s="4" t="s">
        <v>7086</v>
      </c>
      <c r="B2900" s="5" t="s">
        <v>7087</v>
      </c>
      <c r="C2900" s="5" t="s">
        <v>18</v>
      </c>
      <c r="D2900" s="5" t="s">
        <v>19</v>
      </c>
      <c r="E2900" s="5" t="s">
        <v>90</v>
      </c>
      <c r="F2900" s="9">
        <v>58</v>
      </c>
      <c r="G2900" s="9">
        <v>663</v>
      </c>
      <c r="H2900" s="5" t="s">
        <v>21</v>
      </c>
      <c r="I2900" s="5" t="s">
        <v>7088</v>
      </c>
      <c r="J2900" s="12" t="str">
        <f>HYPERLINK("https://www.boe.es/gazeta/dias/1800/07/22/pdfs/GMD-1800-58.pdf#page=11","Abrir facsímil")</f>
        <v>Abrir facsímil</v>
      </c>
      <c r="K2900" s="15" t="s">
        <v>23</v>
      </c>
    </row>
    <row r="2901" spans="1:11" ht="42" customHeight="1">
      <c r="A2901" s="4" t="s">
        <v>7089</v>
      </c>
      <c r="B2901" s="5" t="s">
        <v>7090</v>
      </c>
      <c r="C2901" s="5" t="s">
        <v>25</v>
      </c>
      <c r="D2901" s="5" t="s">
        <v>26</v>
      </c>
      <c r="E2901" s="5" t="s">
        <v>454</v>
      </c>
      <c r="F2901" s="9">
        <v>63</v>
      </c>
      <c r="G2901" s="9">
        <v>720</v>
      </c>
      <c r="H2901" s="5" t="s">
        <v>21</v>
      </c>
      <c r="I2901" s="5" t="s">
        <v>7091</v>
      </c>
      <c r="J2901" s="12" t="str">
        <f>HYPERLINK("https://www.boe.es/gazeta/dias/1800/08/08/pdfs/GMD-1800-63.pdf#page=8","Abrir facsímil")</f>
        <v>Abrir facsímil</v>
      </c>
      <c r="K2901" s="15" t="s">
        <v>23</v>
      </c>
    </row>
    <row r="2902" spans="1:11" ht="42" customHeight="1">
      <c r="A2902" s="4" t="s">
        <v>7092</v>
      </c>
      <c r="B2902" s="5" t="s">
        <v>7093</v>
      </c>
      <c r="C2902" s="5" t="s">
        <v>18</v>
      </c>
      <c r="D2902" s="5" t="s">
        <v>19</v>
      </c>
      <c r="E2902" s="5" t="s">
        <v>214</v>
      </c>
      <c r="F2902" s="9">
        <v>41</v>
      </c>
      <c r="G2902" s="9">
        <v>423</v>
      </c>
      <c r="H2902" s="5" t="s">
        <v>21</v>
      </c>
      <c r="I2902" s="5" t="s">
        <v>7094</v>
      </c>
      <c r="J2902" s="12" t="str">
        <f>HYPERLINK("https://www.boe.es/gazeta/dias/1800/05/23/pdfs/GMD-1800-41.pdf#page=7","Abrir facsímil")</f>
        <v>Abrir facsímil</v>
      </c>
      <c r="K2902" s="15" t="s">
        <v>23</v>
      </c>
    </row>
    <row r="2903" spans="1:11" ht="42" customHeight="1">
      <c r="A2903" s="4" t="s">
        <v>7095</v>
      </c>
      <c r="B2903" s="5" t="s">
        <v>7096</v>
      </c>
      <c r="C2903" s="5" t="s">
        <v>18</v>
      </c>
      <c r="D2903" s="5" t="s">
        <v>19</v>
      </c>
      <c r="E2903" s="5" t="s">
        <v>454</v>
      </c>
      <c r="F2903" s="9">
        <v>63</v>
      </c>
      <c r="G2903" s="9">
        <v>720</v>
      </c>
      <c r="H2903" s="5" t="s">
        <v>21</v>
      </c>
      <c r="I2903" s="5" t="s">
        <v>7097</v>
      </c>
      <c r="J2903" s="12" t="str">
        <f>HYPERLINK("https://www.boe.es/gazeta/dias/1800/08/08/pdfs/GMD-1800-63.pdf#page=8","Abrir facsímil")</f>
        <v>Abrir facsímil</v>
      </c>
      <c r="K2903" s="15" t="s">
        <v>23</v>
      </c>
    </row>
    <row r="2904" spans="1:11" ht="42" customHeight="1">
      <c r="A2904" s="4" t="s">
        <v>7098</v>
      </c>
      <c r="B2904" s="5" t="s">
        <v>7099</v>
      </c>
      <c r="C2904" s="5" t="s">
        <v>18</v>
      </c>
      <c r="D2904" s="5" t="s">
        <v>19</v>
      </c>
      <c r="E2904" s="5" t="s">
        <v>35</v>
      </c>
      <c r="F2904" s="9">
        <v>21</v>
      </c>
      <c r="G2904" s="9">
        <v>205</v>
      </c>
      <c r="H2904" s="5" t="s">
        <v>21</v>
      </c>
      <c r="I2904" s="5" t="s">
        <v>7100</v>
      </c>
      <c r="J2904" s="12" t="str">
        <f>HYPERLINK("https://www.boe.es/gazeta/dias/1800/03/14/pdfs/GMD-1800-21.pdf#page=9","Abrir facsímil")</f>
        <v>Abrir facsímil</v>
      </c>
      <c r="K2904" s="15" t="s">
        <v>23</v>
      </c>
    </row>
    <row r="2905" spans="1:11" ht="42" customHeight="1">
      <c r="A2905" s="4" t="s">
        <v>7101</v>
      </c>
      <c r="B2905" s="5" t="s">
        <v>7102</v>
      </c>
      <c r="C2905" s="5" t="s">
        <v>84</v>
      </c>
      <c r="D2905" s="5" t="s">
        <v>85</v>
      </c>
      <c r="E2905" s="5" t="s">
        <v>143</v>
      </c>
      <c r="F2905" s="9">
        <v>22</v>
      </c>
      <c r="G2905" s="9">
        <v>218</v>
      </c>
      <c r="H2905" s="5" t="s">
        <v>21</v>
      </c>
      <c r="I2905" s="5" t="s">
        <v>7103</v>
      </c>
      <c r="J2905" s="12" t="str">
        <f>HYPERLINK("https://www.boe.es/gazeta/dias/1800/03/18/pdfs/GMD-1800-22.pdf#page=10","Abrir facsímil")</f>
        <v>Abrir facsímil</v>
      </c>
      <c r="K2905" s="15" t="s">
        <v>23</v>
      </c>
    </row>
    <row r="2906" spans="1:11" ht="42" customHeight="1">
      <c r="A2906" s="4" t="s">
        <v>7101</v>
      </c>
      <c r="B2906" s="5" t="s">
        <v>7102</v>
      </c>
      <c r="C2906" s="5" t="s">
        <v>41</v>
      </c>
      <c r="D2906" s="5" t="s">
        <v>42</v>
      </c>
      <c r="E2906" s="5" t="s">
        <v>143</v>
      </c>
      <c r="F2906" s="9">
        <v>22</v>
      </c>
      <c r="G2906" s="9">
        <v>219</v>
      </c>
      <c r="H2906" s="5" t="s">
        <v>21</v>
      </c>
      <c r="I2906" s="5" t="s">
        <v>7104</v>
      </c>
      <c r="J2906" s="12" t="str">
        <f>HYPERLINK("https://www.boe.es/gazeta/dias/1800/03/18/pdfs/GMD-1800-22.pdf#page=11","Abrir facsímil")</f>
        <v>Abrir facsímil</v>
      </c>
      <c r="K2906" s="15" t="s">
        <v>23</v>
      </c>
    </row>
    <row r="2907" spans="1:11" ht="42" customHeight="1">
      <c r="A2907" s="4" t="s">
        <v>7105</v>
      </c>
      <c r="B2907" s="5" t="s">
        <v>7106</v>
      </c>
      <c r="C2907" s="5" t="s">
        <v>18</v>
      </c>
      <c r="D2907" s="5" t="s">
        <v>19</v>
      </c>
      <c r="E2907" s="5" t="s">
        <v>154</v>
      </c>
      <c r="F2907" s="9">
        <v>61</v>
      </c>
      <c r="G2907" s="9">
        <v>697</v>
      </c>
      <c r="H2907" s="5" t="s">
        <v>21</v>
      </c>
      <c r="I2907" s="5" t="s">
        <v>7107</v>
      </c>
      <c r="J2907" s="12" t="str">
        <f>HYPERLINK("https://www.boe.es/gazeta/dias/1800/08/01/pdfs/GMD-1800-61.pdf#page=9","Abrir facsímil")</f>
        <v>Abrir facsímil</v>
      </c>
      <c r="K2907" s="15" t="s">
        <v>23</v>
      </c>
    </row>
    <row r="2908" spans="1:11" ht="42" customHeight="1">
      <c r="A2908" s="4" t="s">
        <v>7108</v>
      </c>
      <c r="B2908" s="5" t="s">
        <v>7109</v>
      </c>
      <c r="C2908" s="5" t="s">
        <v>207</v>
      </c>
      <c r="D2908" s="5" t="s">
        <v>55</v>
      </c>
      <c r="E2908" s="5" t="s">
        <v>116</v>
      </c>
      <c r="F2908" s="9">
        <v>86</v>
      </c>
      <c r="G2908" s="9">
        <v>997</v>
      </c>
      <c r="H2908" s="5" t="s">
        <v>21</v>
      </c>
      <c r="I2908" s="5" t="s">
        <v>7110</v>
      </c>
      <c r="J2908" s="12" t="str">
        <f>HYPERLINK("https://www.boe.es/gazeta/dias/1800/10/24/pdfs/GMD-1800-86.pdf#page=7","Abrir facsímil")</f>
        <v>Abrir facsímil</v>
      </c>
      <c r="K2908" s="15" t="s">
        <v>23</v>
      </c>
    </row>
    <row r="2909" spans="1:11" ht="42" customHeight="1">
      <c r="A2909" s="4" t="s">
        <v>7111</v>
      </c>
      <c r="B2909" s="5" t="s">
        <v>7112</v>
      </c>
      <c r="C2909" s="5" t="s">
        <v>207</v>
      </c>
      <c r="D2909" s="5" t="s">
        <v>55</v>
      </c>
      <c r="E2909" s="5" t="s">
        <v>190</v>
      </c>
      <c r="F2909" s="9">
        <v>93</v>
      </c>
      <c r="G2909" s="9">
        <v>1066</v>
      </c>
      <c r="H2909" s="5" t="s">
        <v>21</v>
      </c>
      <c r="I2909" s="5" t="s">
        <v>7113</v>
      </c>
      <c r="J2909" s="12" t="str">
        <f>HYPERLINK("https://www.boe.es/gazeta/dias/1800/11/18/pdfs/GMD-1800-93.pdf#page=12","Abrir facsímil")</f>
        <v>Abrir facsímil</v>
      </c>
      <c r="K2909" s="15" t="s">
        <v>23</v>
      </c>
    </row>
    <row r="2910" spans="1:11" ht="42" customHeight="1">
      <c r="A2910" s="4" t="s">
        <v>7114</v>
      </c>
      <c r="B2910" s="5" t="s">
        <v>7115</v>
      </c>
      <c r="C2910" s="5" t="s">
        <v>18</v>
      </c>
      <c r="D2910" s="5" t="s">
        <v>19</v>
      </c>
      <c r="E2910" s="5" t="s">
        <v>420</v>
      </c>
      <c r="F2910" s="9">
        <v>38</v>
      </c>
      <c r="G2910" s="9">
        <v>388</v>
      </c>
      <c r="H2910" s="5" t="s">
        <v>21</v>
      </c>
      <c r="I2910" s="5" t="s">
        <v>7116</v>
      </c>
      <c r="J2910" s="12" t="str">
        <f>HYPERLINK("https://www.boe.es/gazeta/dias/1800/05/13/pdfs/GMD-1800-38.pdf#page=8","Abrir facsímil")</f>
        <v>Abrir facsímil</v>
      </c>
      <c r="K2910" s="15" t="s">
        <v>23</v>
      </c>
    </row>
    <row r="2911" spans="1:11" ht="42" customHeight="1">
      <c r="A2911" s="4" t="s">
        <v>7117</v>
      </c>
      <c r="B2911" s="5" t="s">
        <v>7118</v>
      </c>
      <c r="C2911" s="5" t="s">
        <v>207</v>
      </c>
      <c r="D2911" s="5" t="s">
        <v>55</v>
      </c>
      <c r="E2911" s="5" t="s">
        <v>184</v>
      </c>
      <c r="F2911" s="9">
        <v>82</v>
      </c>
      <c r="G2911" s="9">
        <v>950</v>
      </c>
      <c r="H2911" s="5" t="s">
        <v>21</v>
      </c>
      <c r="I2911" s="5" t="s">
        <v>7119</v>
      </c>
      <c r="J2911" s="12" t="str">
        <f>HYPERLINK("https://www.boe.es/gazeta/dias/1800/10/10/pdfs/GMD-1800-82.pdf#page=8","Abrir facsímil")</f>
        <v>Abrir facsímil</v>
      </c>
      <c r="K2911" s="15" t="s">
        <v>23</v>
      </c>
    </row>
    <row r="2912" spans="1:11" ht="42" customHeight="1">
      <c r="A2912" s="4" t="s">
        <v>7120</v>
      </c>
      <c r="B2912" s="5" t="s">
        <v>7121</v>
      </c>
      <c r="C2912" s="5" t="s">
        <v>18</v>
      </c>
      <c r="D2912" s="5" t="s">
        <v>19</v>
      </c>
      <c r="E2912" s="5" t="s">
        <v>356</v>
      </c>
      <c r="F2912" s="9">
        <v>31</v>
      </c>
      <c r="G2912" s="9">
        <v>315</v>
      </c>
      <c r="H2912" s="5" t="s">
        <v>21</v>
      </c>
      <c r="I2912" s="5" t="s">
        <v>7122</v>
      </c>
      <c r="J2912" s="12" t="str">
        <f>HYPERLINK("https://www.boe.es/gazeta/dias/1800/04/18/pdfs/GMD-1800-31.pdf#page=7","Abrir facsímil")</f>
        <v>Abrir facsímil</v>
      </c>
      <c r="K2912" s="15" t="s">
        <v>23</v>
      </c>
    </row>
    <row r="2913" spans="1:11" ht="42" customHeight="1">
      <c r="A2913" s="4" t="s">
        <v>7123</v>
      </c>
      <c r="B2913" s="5" t="s">
        <v>7124</v>
      </c>
      <c r="C2913" s="5" t="s">
        <v>25</v>
      </c>
      <c r="D2913" s="5" t="s">
        <v>26</v>
      </c>
      <c r="E2913" s="5" t="s">
        <v>139</v>
      </c>
      <c r="F2913" s="9">
        <v>2</v>
      </c>
      <c r="G2913" s="9">
        <v>18</v>
      </c>
      <c r="H2913" s="5" t="s">
        <v>21</v>
      </c>
      <c r="I2913" s="5" t="s">
        <v>7125</v>
      </c>
      <c r="J2913" s="12" t="str">
        <f>HYPERLINK("https://www.boe.es/gazeta/dias/1800/01/07/pdfs/GMD-1800-2.pdf#page=10","Abrir facsímil")</f>
        <v>Abrir facsímil</v>
      </c>
      <c r="K2913" s="15" t="s">
        <v>23</v>
      </c>
    </row>
    <row r="2914" spans="1:11" ht="42" customHeight="1">
      <c r="A2914" s="4" t="s">
        <v>7126</v>
      </c>
      <c r="B2914" s="5" t="s">
        <v>7127</v>
      </c>
      <c r="C2914" s="5" t="s">
        <v>18</v>
      </c>
      <c r="D2914" s="5" t="s">
        <v>19</v>
      </c>
      <c r="E2914" s="5" t="s">
        <v>35</v>
      </c>
      <c r="F2914" s="9">
        <v>21</v>
      </c>
      <c r="G2914" s="9">
        <v>205</v>
      </c>
      <c r="H2914" s="5" t="s">
        <v>21</v>
      </c>
      <c r="I2914" s="5" t="s">
        <v>7128</v>
      </c>
      <c r="J2914" s="12" t="str">
        <f>HYPERLINK("https://www.boe.es/gazeta/dias/1800/03/14/pdfs/GMD-1800-21.pdf#page=9","Abrir facsímil")</f>
        <v>Abrir facsímil</v>
      </c>
      <c r="K2914" s="15" t="s">
        <v>23</v>
      </c>
    </row>
    <row r="2915" spans="1:11" ht="42" customHeight="1">
      <c r="A2915" s="4" t="s">
        <v>7129</v>
      </c>
      <c r="B2915" s="5" t="s">
        <v>7130</v>
      </c>
      <c r="C2915" s="5" t="s">
        <v>41</v>
      </c>
      <c r="D2915" s="5" t="s">
        <v>42</v>
      </c>
      <c r="E2915" s="5" t="s">
        <v>143</v>
      </c>
      <c r="F2915" s="9">
        <v>22</v>
      </c>
      <c r="G2915" s="9">
        <v>218</v>
      </c>
      <c r="H2915" s="5" t="s">
        <v>21</v>
      </c>
      <c r="I2915" s="5" t="s">
        <v>7131</v>
      </c>
      <c r="J2915" s="12" t="str">
        <f>HYPERLINK("https://www.boe.es/gazeta/dias/1800/03/18/pdfs/GMD-1800-22.pdf#page=10","Abrir facsímil")</f>
        <v>Abrir facsímil</v>
      </c>
      <c r="K2915" s="15" t="s">
        <v>23</v>
      </c>
    </row>
    <row r="2916" spans="1:11" ht="42" customHeight="1">
      <c r="A2916" s="4" t="s">
        <v>7132</v>
      </c>
      <c r="B2916" s="5" t="s">
        <v>7133</v>
      </c>
      <c r="C2916" s="5" t="s">
        <v>207</v>
      </c>
      <c r="D2916" s="5" t="s">
        <v>55</v>
      </c>
      <c r="E2916" s="5" t="s">
        <v>1108</v>
      </c>
      <c r="F2916" s="9">
        <v>30</v>
      </c>
      <c r="G2916" s="9">
        <v>307</v>
      </c>
      <c r="H2916" s="5" t="s">
        <v>21</v>
      </c>
      <c r="I2916" s="5" t="s">
        <v>7134</v>
      </c>
      <c r="J2916" s="12" t="str">
        <f>HYPERLINK("https://www.boe.es/gazeta/dias/1800/04/15/pdfs/GMD-1800-30.pdf#page=7","Abrir facsímil")</f>
        <v>Abrir facsímil</v>
      </c>
      <c r="K2916" s="15" t="s">
        <v>23</v>
      </c>
    </row>
    <row r="2917" spans="1:11" ht="42" customHeight="1">
      <c r="A2917" s="4" t="s">
        <v>7135</v>
      </c>
      <c r="B2917" s="5" t="s">
        <v>7136</v>
      </c>
      <c r="C2917" s="5" t="s">
        <v>18</v>
      </c>
      <c r="D2917" s="5" t="s">
        <v>19</v>
      </c>
      <c r="E2917" s="5" t="s">
        <v>240</v>
      </c>
      <c r="F2917" s="9">
        <v>26</v>
      </c>
      <c r="G2917" s="9">
        <v>270</v>
      </c>
      <c r="H2917" s="5" t="s">
        <v>21</v>
      </c>
      <c r="I2917" s="5" t="s">
        <v>7137</v>
      </c>
      <c r="J2917" s="12" t="str">
        <f>HYPERLINK("https://www.boe.es/gazeta/dias/1800/04/01/pdfs/GMD-1800-26.pdf#page=10","Abrir facsímil")</f>
        <v>Abrir facsímil</v>
      </c>
      <c r="K2917" s="15" t="s">
        <v>23</v>
      </c>
    </row>
    <row r="2918" spans="1:11" ht="42" customHeight="1">
      <c r="A2918" s="4" t="s">
        <v>7138</v>
      </c>
      <c r="B2918" s="5" t="s">
        <v>7139</v>
      </c>
      <c r="C2918" s="5" t="s">
        <v>41</v>
      </c>
      <c r="D2918" s="5" t="s">
        <v>42</v>
      </c>
      <c r="E2918" s="5" t="s">
        <v>143</v>
      </c>
      <c r="F2918" s="9">
        <v>22</v>
      </c>
      <c r="G2918" s="9">
        <v>219</v>
      </c>
      <c r="H2918" s="5" t="s">
        <v>21</v>
      </c>
      <c r="I2918" s="5" t="s">
        <v>7140</v>
      </c>
      <c r="J2918" s="12" t="str">
        <f>HYPERLINK("https://www.boe.es/gazeta/dias/1800/03/18/pdfs/GMD-1800-22.pdf#page=11","Abrir facsímil")</f>
        <v>Abrir facsímil</v>
      </c>
      <c r="K2918" s="15" t="s">
        <v>23</v>
      </c>
    </row>
    <row r="2919" spans="1:11" ht="42" customHeight="1">
      <c r="A2919" s="4" t="s">
        <v>7141</v>
      </c>
      <c r="B2919" s="5" t="s">
        <v>7142</v>
      </c>
      <c r="C2919" s="5" t="s">
        <v>18</v>
      </c>
      <c r="D2919" s="5" t="s">
        <v>19</v>
      </c>
      <c r="E2919" s="5" t="s">
        <v>196</v>
      </c>
      <c r="F2919" s="9">
        <v>97</v>
      </c>
      <c r="G2919" s="9">
        <v>1117</v>
      </c>
      <c r="H2919" s="5" t="s">
        <v>21</v>
      </c>
      <c r="I2919" s="5" t="s">
        <v>7143</v>
      </c>
      <c r="J2919" s="12" t="str">
        <f>HYPERLINK("https://www.boe.es/gazeta/dias/1800/12/02/pdfs/GMD-1800-97.pdf#page=9","Abrir facsímil")</f>
        <v>Abrir facsímil</v>
      </c>
      <c r="K2919" s="15" t="s">
        <v>23</v>
      </c>
    </row>
    <row r="2920" spans="1:11" ht="42" customHeight="1">
      <c r="A2920" s="4" t="s">
        <v>7144</v>
      </c>
      <c r="B2920" s="5" t="s">
        <v>7145</v>
      </c>
      <c r="C2920" s="5" t="s">
        <v>84</v>
      </c>
      <c r="D2920" s="5" t="s">
        <v>85</v>
      </c>
      <c r="E2920" s="5" t="s">
        <v>1213</v>
      </c>
      <c r="F2920" s="9">
        <v>4</v>
      </c>
      <c r="G2920" s="9">
        <v>39</v>
      </c>
      <c r="H2920" s="5" t="s">
        <v>21</v>
      </c>
      <c r="I2920" s="5" t="s">
        <v>7146</v>
      </c>
      <c r="J2920" s="12" t="str">
        <f>HYPERLINK("https://www.boe.es/gazeta/dias/1800/01/14/pdfs/GMD-1800-4.pdf#page=11","Abrir facsímil")</f>
        <v>Abrir facsímil</v>
      </c>
      <c r="K2920" s="15" t="s">
        <v>23</v>
      </c>
    </row>
    <row r="2921" spans="1:11" ht="42" customHeight="1">
      <c r="A2921" s="4" t="s">
        <v>7144</v>
      </c>
      <c r="B2921" s="5" t="s">
        <v>7145</v>
      </c>
      <c r="C2921" s="5" t="s">
        <v>18</v>
      </c>
      <c r="D2921" s="5" t="s">
        <v>19</v>
      </c>
      <c r="E2921" s="5" t="s">
        <v>124</v>
      </c>
      <c r="F2921" s="9">
        <v>16</v>
      </c>
      <c r="G2921" s="9">
        <v>152</v>
      </c>
      <c r="H2921" s="5" t="s">
        <v>21</v>
      </c>
      <c r="I2921" s="5" t="s">
        <v>7147</v>
      </c>
      <c r="J2921" s="12" t="str">
        <f>HYPERLINK("https://www.boe.es/gazeta/dias/1800/02/25/pdfs/GMD-1800-16.pdf#page=8","Abrir facsímil")</f>
        <v>Abrir facsímil</v>
      </c>
      <c r="K2921" s="15" t="s">
        <v>23</v>
      </c>
    </row>
    <row r="2922" spans="1:11" ht="42" customHeight="1">
      <c r="A2922" s="4" t="s">
        <v>7144</v>
      </c>
      <c r="B2922" s="5" t="s">
        <v>7145</v>
      </c>
      <c r="C2922" s="5" t="s">
        <v>25</v>
      </c>
      <c r="D2922" s="5" t="s">
        <v>26</v>
      </c>
      <c r="E2922" s="5" t="s">
        <v>226</v>
      </c>
      <c r="F2922" s="9">
        <v>27</v>
      </c>
      <c r="G2922" s="9">
        <v>281</v>
      </c>
      <c r="H2922" s="5" t="s">
        <v>21</v>
      </c>
      <c r="I2922" s="5" t="s">
        <v>7148</v>
      </c>
      <c r="J2922" s="12" t="str">
        <f>HYPERLINK("https://www.boe.es/gazeta/dias/1800/04/04/pdfs/GMD-1800-27.pdf#page=9","Abrir facsímil")</f>
        <v>Abrir facsímil</v>
      </c>
      <c r="K2922" s="15" t="s">
        <v>23</v>
      </c>
    </row>
    <row r="2923" spans="1:11" ht="42" customHeight="1">
      <c r="A2923" s="4" t="s">
        <v>7144</v>
      </c>
      <c r="B2923" s="5" t="s">
        <v>7145</v>
      </c>
      <c r="C2923" s="5" t="s">
        <v>54</v>
      </c>
      <c r="D2923" s="5" t="s">
        <v>55</v>
      </c>
      <c r="E2923" s="5" t="s">
        <v>248</v>
      </c>
      <c r="F2923" s="9">
        <v>33</v>
      </c>
      <c r="G2923" s="9">
        <v>334</v>
      </c>
      <c r="H2923" s="5" t="s">
        <v>21</v>
      </c>
      <c r="I2923" s="5" t="s">
        <v>7149</v>
      </c>
      <c r="J2923" s="12" t="str">
        <f>HYPERLINK("https://www.boe.es/gazeta/dias/1800/04/25/pdfs/GMD-1800-33.pdf#page=10","Abrir facsímil")</f>
        <v>Abrir facsímil</v>
      </c>
      <c r="K2923" s="15" t="s">
        <v>23</v>
      </c>
    </row>
    <row r="2924" spans="1:11" ht="42" customHeight="1">
      <c r="A2924" s="4" t="s">
        <v>7144</v>
      </c>
      <c r="B2924" s="5" t="s">
        <v>7145</v>
      </c>
      <c r="C2924" s="5" t="s">
        <v>54</v>
      </c>
      <c r="D2924" s="5" t="s">
        <v>55</v>
      </c>
      <c r="E2924" s="5" t="s">
        <v>248</v>
      </c>
      <c r="F2924" s="9">
        <v>33</v>
      </c>
      <c r="G2924" s="9">
        <v>335</v>
      </c>
      <c r="H2924" s="5" t="s">
        <v>21</v>
      </c>
      <c r="I2924" s="5" t="s">
        <v>7150</v>
      </c>
      <c r="J2924" s="12" t="str">
        <f>HYPERLINK("https://www.boe.es/gazeta/dias/1800/04/25/pdfs/GMD-1800-33.pdf#page=11","Abrir facsímil")</f>
        <v>Abrir facsímil</v>
      </c>
      <c r="K2924" s="15" t="s">
        <v>23</v>
      </c>
    </row>
    <row r="2925" spans="1:11" ht="42" customHeight="1">
      <c r="A2925" s="4" t="s">
        <v>7144</v>
      </c>
      <c r="B2925" s="5" t="s">
        <v>7145</v>
      </c>
      <c r="C2925" s="5" t="s">
        <v>84</v>
      </c>
      <c r="D2925" s="5" t="s">
        <v>85</v>
      </c>
      <c r="E2925" s="5" t="s">
        <v>39</v>
      </c>
      <c r="F2925" s="9">
        <v>43</v>
      </c>
      <c r="G2925" s="9">
        <v>451</v>
      </c>
      <c r="H2925" s="5" t="s">
        <v>21</v>
      </c>
      <c r="I2925" s="5" t="s">
        <v>7151</v>
      </c>
      <c r="J2925" s="12" t="str">
        <f>HYPERLINK("https://www.boe.es/gazeta/dias/1800/05/30/pdfs/GMD-1800-43.pdf#page=11","Abrir facsímil")</f>
        <v>Abrir facsímil</v>
      </c>
      <c r="K2925" s="15" t="s">
        <v>23</v>
      </c>
    </row>
    <row r="2926" spans="1:11" ht="42" customHeight="1">
      <c r="A2926" s="4" t="s">
        <v>7144</v>
      </c>
      <c r="B2926" s="5" t="s">
        <v>7145</v>
      </c>
      <c r="C2926" s="5" t="s">
        <v>54</v>
      </c>
      <c r="D2926" s="5" t="s">
        <v>55</v>
      </c>
      <c r="E2926" s="5" t="s">
        <v>196</v>
      </c>
      <c r="F2926" s="9">
        <v>97</v>
      </c>
      <c r="G2926" s="9">
        <v>1119</v>
      </c>
      <c r="H2926" s="5" t="s">
        <v>21</v>
      </c>
      <c r="I2926" s="5" t="s">
        <v>7152</v>
      </c>
      <c r="J2926" s="12" t="str">
        <f>HYPERLINK("https://www.boe.es/gazeta/dias/1800/12/02/pdfs/GMD-1800-97.pdf#page=11","Abrir facsímil")</f>
        <v>Abrir facsímil</v>
      </c>
      <c r="K2926" s="15" t="s">
        <v>23</v>
      </c>
    </row>
    <row r="2927" spans="1:11" ht="42" customHeight="1">
      <c r="A2927" s="4" t="s">
        <v>7153</v>
      </c>
      <c r="B2927" s="5" t="s">
        <v>7154</v>
      </c>
      <c r="C2927" s="5" t="s">
        <v>18</v>
      </c>
      <c r="D2927" s="5" t="s">
        <v>19</v>
      </c>
      <c r="E2927" s="5" t="s">
        <v>534</v>
      </c>
      <c r="F2927" s="9">
        <v>100</v>
      </c>
      <c r="G2927" s="9">
        <v>1159</v>
      </c>
      <c r="H2927" s="5" t="s">
        <v>21</v>
      </c>
      <c r="I2927" s="5" t="s">
        <v>7155</v>
      </c>
      <c r="J2927" s="12" t="str">
        <f>HYPERLINK("https://www.boe.es/gazeta/dias/1800/12/12/pdfs/GMD-1800-100.pdf#page=11","Abrir facsímil")</f>
        <v>Abrir facsímil</v>
      </c>
      <c r="K2927" s="15" t="s">
        <v>23</v>
      </c>
    </row>
    <row r="2928" spans="1:11" ht="42" customHeight="1">
      <c r="A2928" s="4" t="s">
        <v>7156</v>
      </c>
      <c r="B2928" s="5" t="s">
        <v>7157</v>
      </c>
      <c r="C2928" s="5" t="s">
        <v>41</v>
      </c>
      <c r="D2928" s="5" t="s">
        <v>42</v>
      </c>
      <c r="E2928" s="5" t="s">
        <v>143</v>
      </c>
      <c r="F2928" s="9">
        <v>22</v>
      </c>
      <c r="G2928" s="9">
        <v>218</v>
      </c>
      <c r="H2928" s="5" t="s">
        <v>21</v>
      </c>
      <c r="I2928" s="5" t="s">
        <v>7158</v>
      </c>
      <c r="J2928" s="12" t="str">
        <f>HYPERLINK("https://www.boe.es/gazeta/dias/1800/03/18/pdfs/GMD-1800-22.pdf#page=10","Abrir facsímil")</f>
        <v>Abrir facsímil</v>
      </c>
      <c r="K2928" s="15" t="s">
        <v>23</v>
      </c>
    </row>
    <row r="2929" spans="1:11" ht="42" customHeight="1">
      <c r="A2929" s="4" t="s">
        <v>7156</v>
      </c>
      <c r="B2929" s="5" t="s">
        <v>7157</v>
      </c>
      <c r="C2929" s="5" t="s">
        <v>41</v>
      </c>
      <c r="D2929" s="5" t="s">
        <v>42</v>
      </c>
      <c r="E2929" s="5" t="s">
        <v>143</v>
      </c>
      <c r="F2929" s="9">
        <v>22</v>
      </c>
      <c r="G2929" s="9">
        <v>219</v>
      </c>
      <c r="H2929" s="5" t="s">
        <v>21</v>
      </c>
      <c r="I2929" s="5" t="s">
        <v>7159</v>
      </c>
      <c r="J2929" s="12" t="str">
        <f>HYPERLINK("https://www.boe.es/gazeta/dias/1800/03/18/pdfs/GMD-1800-22.pdf#page=11","Abrir facsímil")</f>
        <v>Abrir facsímil</v>
      </c>
      <c r="K2929" s="15" t="s">
        <v>23</v>
      </c>
    </row>
    <row r="2930" spans="1:11" ht="42" customHeight="1">
      <c r="A2930" s="4" t="s">
        <v>7160</v>
      </c>
      <c r="B2930" s="5" t="s">
        <v>7161</v>
      </c>
      <c r="C2930" s="5" t="s">
        <v>18</v>
      </c>
      <c r="D2930" s="5" t="s">
        <v>19</v>
      </c>
      <c r="E2930" s="5" t="s">
        <v>461</v>
      </c>
      <c r="F2930" s="9">
        <v>18</v>
      </c>
      <c r="G2930" s="9">
        <v>170</v>
      </c>
      <c r="H2930" s="5" t="s">
        <v>21</v>
      </c>
      <c r="I2930" s="5" t="s">
        <v>7162</v>
      </c>
      <c r="J2930" s="12" t="str">
        <f>HYPERLINK("https://www.boe.es/datos/pdfs/BOE//1800/018/C00173-00176.pdf#page=6","Abrir facsímil")</f>
        <v>Abrir facsímil</v>
      </c>
      <c r="K2930" s="15" t="s">
        <v>23</v>
      </c>
    </row>
    <row r="2931" spans="1:11" ht="42" customHeight="1">
      <c r="A2931" s="4" t="s">
        <v>7160</v>
      </c>
      <c r="B2931" s="5" t="s">
        <v>7161</v>
      </c>
      <c r="C2931" s="5" t="s">
        <v>18</v>
      </c>
      <c r="D2931" s="5" t="s">
        <v>19</v>
      </c>
      <c r="E2931" s="5" t="s">
        <v>135</v>
      </c>
      <c r="F2931" s="9">
        <v>73</v>
      </c>
      <c r="G2931" s="9">
        <v>815</v>
      </c>
      <c r="H2931" s="5" t="s">
        <v>21</v>
      </c>
      <c r="I2931" s="5" t="s">
        <v>7163</v>
      </c>
      <c r="J2931" s="12" t="str">
        <f>HYPERLINK("https://www.boe.es/gazeta/dias/1800/09/09/pdfs/GMD-1800-73.pdf#page=9","Abrir facsímil")</f>
        <v>Abrir facsímil</v>
      </c>
      <c r="K2931" s="15" t="s">
        <v>23</v>
      </c>
    </row>
    <row r="2932" spans="1:11" ht="42" customHeight="1">
      <c r="A2932" s="4" t="s">
        <v>7164</v>
      </c>
      <c r="B2932" s="5" t="s">
        <v>7165</v>
      </c>
      <c r="C2932" s="5" t="s">
        <v>18</v>
      </c>
      <c r="D2932" s="5" t="s">
        <v>19</v>
      </c>
      <c r="E2932" s="5" t="s">
        <v>176</v>
      </c>
      <c r="F2932" s="9">
        <v>88</v>
      </c>
      <c r="G2932" s="9">
        <v>1031</v>
      </c>
      <c r="H2932" s="5" t="s">
        <v>21</v>
      </c>
      <c r="I2932" s="5" t="s">
        <v>7166</v>
      </c>
      <c r="J2932" s="12" t="str">
        <f>HYPERLINK("https://www.boe.es/gazeta/dias/1800/10/31/pdfs/GMD-1800-88.pdf#page=13","Abrir facsímil")</f>
        <v>Abrir facsímil</v>
      </c>
      <c r="K2932" s="15" t="s">
        <v>23</v>
      </c>
    </row>
    <row r="2933" spans="1:11" ht="42" customHeight="1">
      <c r="A2933" s="4" t="s">
        <v>7167</v>
      </c>
      <c r="B2933" s="5" t="s">
        <v>7168</v>
      </c>
      <c r="C2933" s="5" t="s">
        <v>18</v>
      </c>
      <c r="D2933" s="5" t="s">
        <v>19</v>
      </c>
      <c r="E2933" s="5" t="s">
        <v>310</v>
      </c>
      <c r="F2933" s="9">
        <v>56</v>
      </c>
      <c r="G2933" s="9">
        <v>633</v>
      </c>
      <c r="H2933" s="5" t="s">
        <v>21</v>
      </c>
      <c r="I2933" s="5" t="s">
        <v>7169</v>
      </c>
      <c r="J2933" s="12" t="str">
        <f>HYPERLINK("https://www.boe.es/gazeta/dias/1800/07/15/pdfs/GMD-1800-56.pdf#page=9","Abrir facsímil")</f>
        <v>Abrir facsímil</v>
      </c>
      <c r="K2933" s="15" t="s">
        <v>23</v>
      </c>
    </row>
    <row r="2934" spans="1:11" ht="42" customHeight="1">
      <c r="A2934" s="4" t="s">
        <v>7167</v>
      </c>
      <c r="B2934" s="5" t="s">
        <v>7168</v>
      </c>
      <c r="C2934" s="5" t="s">
        <v>25</v>
      </c>
      <c r="D2934" s="5" t="s">
        <v>26</v>
      </c>
      <c r="E2934" s="5" t="s">
        <v>58</v>
      </c>
      <c r="F2934" s="9">
        <v>92</v>
      </c>
      <c r="G2934" s="9">
        <v>1054</v>
      </c>
      <c r="H2934" s="5" t="s">
        <v>21</v>
      </c>
      <c r="I2934" s="5" t="s">
        <v>7170</v>
      </c>
      <c r="J2934" s="12" t="str">
        <f>HYPERLINK("https://www.boe.es/gazeta/dias/1800/11/14/pdfs/GMD-1800-92.pdf#page=8","Abrir facsímil")</f>
        <v>Abrir facsímil</v>
      </c>
      <c r="K2934" s="15" t="s">
        <v>23</v>
      </c>
    </row>
    <row r="2935" spans="1:11" ht="42" customHeight="1">
      <c r="A2935" s="4" t="s">
        <v>7171</v>
      </c>
      <c r="B2935" s="5" t="s">
        <v>7172</v>
      </c>
      <c r="C2935" s="5" t="s">
        <v>207</v>
      </c>
      <c r="D2935" s="5" t="s">
        <v>55</v>
      </c>
      <c r="E2935" s="5" t="s">
        <v>478</v>
      </c>
      <c r="F2935" s="9">
        <v>34</v>
      </c>
      <c r="G2935" s="9">
        <v>346</v>
      </c>
      <c r="H2935" s="5" t="s">
        <v>21</v>
      </c>
      <c r="I2935" s="5" t="s">
        <v>7173</v>
      </c>
      <c r="J2935" s="12" t="str">
        <f>HYPERLINK("https://www.boe.es/gazeta/dias/1800/04/29/pdfs/GMD-1800-34.pdf#page=10","Abrir facsímil")</f>
        <v>Abrir facsímil</v>
      </c>
      <c r="K2935" s="15" t="s">
        <v>23</v>
      </c>
    </row>
    <row r="2936" spans="1:11" ht="42" customHeight="1">
      <c r="A2936" s="4" t="s">
        <v>7174</v>
      </c>
      <c r="B2936" s="5" t="s">
        <v>7175</v>
      </c>
      <c r="C2936" s="5" t="s">
        <v>18</v>
      </c>
      <c r="D2936" s="5" t="s">
        <v>19</v>
      </c>
      <c r="E2936" s="5" t="s">
        <v>534</v>
      </c>
      <c r="F2936" s="9">
        <v>100</v>
      </c>
      <c r="G2936" s="9">
        <v>1161</v>
      </c>
      <c r="H2936" s="5" t="s">
        <v>21</v>
      </c>
      <c r="I2936" s="5" t="s">
        <v>7176</v>
      </c>
      <c r="J2936" s="12" t="str">
        <f>HYPERLINK("https://www.boe.es/gazeta/dias/1800/12/12/pdfs/GMD-1800-100.pdf#page=13","Abrir facsímil")</f>
        <v>Abrir facsímil</v>
      </c>
      <c r="K2936" s="15" t="s">
        <v>23</v>
      </c>
    </row>
    <row r="2937" spans="1:11" ht="42" customHeight="1">
      <c r="A2937" s="4" t="s">
        <v>7177</v>
      </c>
      <c r="B2937" s="5" t="s">
        <v>7178</v>
      </c>
      <c r="C2937" s="5" t="s">
        <v>18</v>
      </c>
      <c r="D2937" s="5" t="s">
        <v>19</v>
      </c>
      <c r="E2937" s="5" t="s">
        <v>314</v>
      </c>
      <c r="F2937" s="9">
        <v>74</v>
      </c>
      <c r="G2937" s="9">
        <v>833</v>
      </c>
      <c r="H2937" s="5" t="s">
        <v>21</v>
      </c>
      <c r="I2937" s="5" t="s">
        <v>7179</v>
      </c>
      <c r="J2937" s="12" t="str">
        <f>HYPERLINK("https://www.boe.es/gazeta/dias/1800/09/12/pdfs/GMD-1800-74.pdf#page=11","Abrir facsímil")</f>
        <v>Abrir facsímil</v>
      </c>
      <c r="K2937" s="15" t="s">
        <v>23</v>
      </c>
    </row>
    <row r="2938" spans="1:11" ht="42" customHeight="1">
      <c r="A2938" s="4" t="s">
        <v>7180</v>
      </c>
      <c r="B2938" s="5" t="s">
        <v>7181</v>
      </c>
      <c r="C2938" s="5" t="s">
        <v>41</v>
      </c>
      <c r="D2938" s="5" t="s">
        <v>42</v>
      </c>
      <c r="E2938" s="5" t="s">
        <v>135</v>
      </c>
      <c r="F2938" s="9">
        <v>73</v>
      </c>
      <c r="G2938" s="9">
        <v>813</v>
      </c>
      <c r="H2938" s="5" t="s">
        <v>21</v>
      </c>
      <c r="I2938" s="5" t="s">
        <v>7182</v>
      </c>
      <c r="J2938" s="12" t="str">
        <f>HYPERLINK("https://www.boe.es/gazeta/dias/1800/09/09/pdfs/GMD-1800-73.pdf#page=7","Abrir facsímil")</f>
        <v>Abrir facsímil</v>
      </c>
      <c r="K2938" s="15" t="s">
        <v>23</v>
      </c>
    </row>
    <row r="2939" spans="1:11" ht="42" customHeight="1">
      <c r="A2939" s="4" t="s">
        <v>7180</v>
      </c>
      <c r="B2939" s="5" t="s">
        <v>7181</v>
      </c>
      <c r="C2939" s="5" t="s">
        <v>84</v>
      </c>
      <c r="D2939" s="5" t="s">
        <v>85</v>
      </c>
      <c r="E2939" s="5" t="s">
        <v>135</v>
      </c>
      <c r="F2939" s="9">
        <v>73</v>
      </c>
      <c r="G2939" s="9">
        <v>814</v>
      </c>
      <c r="H2939" s="5" t="s">
        <v>21</v>
      </c>
      <c r="I2939" s="5" t="s">
        <v>7183</v>
      </c>
      <c r="J2939" s="12" t="str">
        <f>HYPERLINK("https://www.boe.es/gazeta/dias/1800/09/09/pdfs/GMD-1800-73.pdf#page=8","Abrir facsímil")</f>
        <v>Abrir facsímil</v>
      </c>
      <c r="K2939" s="15" t="s">
        <v>23</v>
      </c>
    </row>
    <row r="2940" spans="1:11" ht="42" customHeight="1">
      <c r="A2940" s="4" t="s">
        <v>7184</v>
      </c>
      <c r="B2940" s="5" t="s">
        <v>7185</v>
      </c>
      <c r="C2940" s="5" t="s">
        <v>18</v>
      </c>
      <c r="D2940" s="5" t="s">
        <v>19</v>
      </c>
      <c r="E2940" s="5" t="s">
        <v>45</v>
      </c>
      <c r="F2940" s="9">
        <v>47</v>
      </c>
      <c r="G2940" s="9">
        <v>501</v>
      </c>
      <c r="H2940" s="5" t="s">
        <v>21</v>
      </c>
      <c r="I2940" s="5" t="s">
        <v>7186</v>
      </c>
      <c r="J2940" s="12" t="str">
        <f>HYPERLINK("https://www.boe.es/gazeta/dias/1800/06/13/pdfs/GMD-1800-47.pdf#page=9","Abrir facsímil")</f>
        <v>Abrir facsímil</v>
      </c>
      <c r="K2940" s="15" t="s">
        <v>23</v>
      </c>
    </row>
    <row r="2941" spans="1:11" ht="42" customHeight="1">
      <c r="A2941" s="4" t="s">
        <v>7187</v>
      </c>
      <c r="B2941" s="5" t="s">
        <v>7188</v>
      </c>
      <c r="C2941" s="5" t="s">
        <v>25</v>
      </c>
      <c r="D2941" s="5" t="s">
        <v>26</v>
      </c>
      <c r="E2941" s="5" t="s">
        <v>116</v>
      </c>
      <c r="F2941" s="9">
        <v>86</v>
      </c>
      <c r="G2941" s="9">
        <v>997</v>
      </c>
      <c r="H2941" s="5" t="s">
        <v>21</v>
      </c>
      <c r="I2941" s="5" t="s">
        <v>7189</v>
      </c>
      <c r="J2941" s="12" t="str">
        <f>HYPERLINK("https://www.boe.es/gazeta/dias/1800/10/24/pdfs/GMD-1800-86.pdf#page=7","Abrir facsímil")</f>
        <v>Abrir facsímil</v>
      </c>
      <c r="K2941" s="15" t="s">
        <v>23</v>
      </c>
    </row>
    <row r="2942" spans="1:11" ht="42" customHeight="1">
      <c r="A2942" s="4" t="s">
        <v>7190</v>
      </c>
      <c r="B2942" s="5" t="s">
        <v>7191</v>
      </c>
      <c r="C2942" s="5" t="s">
        <v>18</v>
      </c>
      <c r="D2942" s="5" t="s">
        <v>19</v>
      </c>
      <c r="E2942" s="5" t="s">
        <v>836</v>
      </c>
      <c r="F2942" s="9">
        <v>71</v>
      </c>
      <c r="G2942" s="9">
        <v>789</v>
      </c>
      <c r="H2942" s="5" t="s">
        <v>21</v>
      </c>
      <c r="I2942" s="5" t="s">
        <v>7192</v>
      </c>
      <c r="J2942" s="12" t="str">
        <f>HYPERLINK("https://www.boe.es/gazeta/dias/1800/09/02/pdfs/GMD-1800-71.pdf#page=7","Abrir facsímil")</f>
        <v>Abrir facsímil</v>
      </c>
      <c r="K2942" s="15" t="s">
        <v>23</v>
      </c>
    </row>
    <row r="2943" spans="1:11" ht="42" customHeight="1">
      <c r="A2943" s="4" t="s">
        <v>7193</v>
      </c>
      <c r="B2943" s="5" t="s">
        <v>7194</v>
      </c>
      <c r="C2943" s="5" t="s">
        <v>18</v>
      </c>
      <c r="D2943" s="5" t="s">
        <v>19</v>
      </c>
      <c r="E2943" s="5" t="s">
        <v>135</v>
      </c>
      <c r="F2943" s="9">
        <v>73</v>
      </c>
      <c r="G2943" s="9">
        <v>816</v>
      </c>
      <c r="H2943" s="5" t="s">
        <v>21</v>
      </c>
      <c r="I2943" s="5" t="s">
        <v>7195</v>
      </c>
      <c r="J2943" s="12" t="str">
        <f>HYPERLINK("https://www.boe.es/gazeta/dias/1800/09/09/pdfs/GMD-1800-73.pdf#page=10","Abrir facsímil")</f>
        <v>Abrir facsímil</v>
      </c>
      <c r="K2943" s="15" t="s">
        <v>23</v>
      </c>
    </row>
    <row r="2944" spans="1:11" ht="42" customHeight="1">
      <c r="A2944" s="4" t="s">
        <v>7196</v>
      </c>
      <c r="B2944" s="5" t="s">
        <v>7196</v>
      </c>
      <c r="C2944" s="5" t="s">
        <v>25</v>
      </c>
      <c r="D2944" s="5" t="s">
        <v>26</v>
      </c>
      <c r="E2944" s="5" t="s">
        <v>79</v>
      </c>
      <c r="F2944" s="9">
        <v>7</v>
      </c>
      <c r="G2944" s="9">
        <v>67</v>
      </c>
      <c r="H2944" s="5" t="s">
        <v>21</v>
      </c>
      <c r="I2944" s="5" t="s">
        <v>7197</v>
      </c>
      <c r="J2944" s="12" t="str">
        <f>HYPERLINK("https://www.boe.es/gazeta/dias/1800/01/24/pdfs/GMD-1800-7.pdf#page=7","Abrir facsímil")</f>
        <v>Abrir facsímil</v>
      </c>
      <c r="K2944" s="15" t="s">
        <v>23</v>
      </c>
    </row>
    <row r="2945" spans="1:11" ht="42" customHeight="1">
      <c r="A2945" s="4" t="s">
        <v>7198</v>
      </c>
      <c r="B2945" s="5" t="s">
        <v>7199</v>
      </c>
      <c r="C2945" s="5" t="s">
        <v>41</v>
      </c>
      <c r="D2945" s="5" t="s">
        <v>42</v>
      </c>
      <c r="E2945" s="5" t="s">
        <v>162</v>
      </c>
      <c r="F2945" s="9">
        <v>15</v>
      </c>
      <c r="G2945" s="9">
        <v>138</v>
      </c>
      <c r="H2945" s="5" t="s">
        <v>21</v>
      </c>
      <c r="I2945" s="5" t="s">
        <v>7200</v>
      </c>
      <c r="J2945" s="12" t="str">
        <f>HYPERLINK("https://www.boe.es/gazeta/dias/1800/02/21/pdfs/GMD-1800-15.pdf#page=2","Abrir facsímil")</f>
        <v>Abrir facsímil</v>
      </c>
      <c r="K2945" s="15" t="s">
        <v>23</v>
      </c>
    </row>
    <row r="2946" spans="1:11" ht="42" customHeight="1">
      <c r="A2946" s="4" t="s">
        <v>7198</v>
      </c>
      <c r="B2946" s="5" t="s">
        <v>7199</v>
      </c>
      <c r="C2946" s="5" t="s">
        <v>41</v>
      </c>
      <c r="D2946" s="5" t="s">
        <v>42</v>
      </c>
      <c r="E2946" s="5" t="s">
        <v>35</v>
      </c>
      <c r="F2946" s="9">
        <v>21</v>
      </c>
      <c r="G2946" s="9">
        <v>198</v>
      </c>
      <c r="H2946" s="5" t="s">
        <v>21</v>
      </c>
      <c r="I2946" s="5" t="s">
        <v>7201</v>
      </c>
      <c r="J2946" s="12" t="str">
        <f>HYPERLINK("https://www.boe.es/gazeta/dias/1800/03/14/pdfs/GMD-1800-21.pdf#page=2","Abrir facsímil")</f>
        <v>Abrir facsímil</v>
      </c>
      <c r="K2946" s="15" t="s">
        <v>23</v>
      </c>
    </row>
    <row r="2947" spans="1:11" ht="42" customHeight="1">
      <c r="A2947" s="4" t="s">
        <v>7198</v>
      </c>
      <c r="B2947" s="5" t="s">
        <v>7199</v>
      </c>
      <c r="C2947" s="5" t="s">
        <v>41</v>
      </c>
      <c r="D2947" s="5" t="s">
        <v>42</v>
      </c>
      <c r="E2947" s="5" t="s">
        <v>346</v>
      </c>
      <c r="F2947" s="9">
        <v>24</v>
      </c>
      <c r="G2947" s="9">
        <v>238</v>
      </c>
      <c r="H2947" s="5" t="s">
        <v>21</v>
      </c>
      <c r="I2947" s="5" t="s">
        <v>7202</v>
      </c>
      <c r="J2947" s="12" t="str">
        <f>HYPERLINK("https://www.boe.es/gazeta/dias/1800/03/25/pdfs/GMD-1800-24.pdf#page=2","Abrir facsímil")</f>
        <v>Abrir facsímil</v>
      </c>
      <c r="K2947" s="15" t="s">
        <v>23</v>
      </c>
    </row>
    <row r="2948" spans="1:11" ht="42" customHeight="1">
      <c r="A2948" s="4" t="s">
        <v>7198</v>
      </c>
      <c r="B2948" s="5" t="s">
        <v>7199</v>
      </c>
      <c r="C2948" s="5" t="s">
        <v>41</v>
      </c>
      <c r="D2948" s="5" t="s">
        <v>42</v>
      </c>
      <c r="E2948" s="5" t="s">
        <v>1108</v>
      </c>
      <c r="F2948" s="9">
        <v>30</v>
      </c>
      <c r="G2948" s="9">
        <v>301</v>
      </c>
      <c r="H2948" s="5" t="s">
        <v>21</v>
      </c>
      <c r="I2948" s="5" t="s">
        <v>7203</v>
      </c>
      <c r="J2948" s="12" t="str">
        <f>HYPERLINK("https://www.boe.es/gazeta/dias/1800/04/15/pdfs/GMD-1800-30.pdf#page=1","Abrir facsímil")</f>
        <v>Abrir facsímil</v>
      </c>
      <c r="K2948" s="15" t="s">
        <v>23</v>
      </c>
    </row>
    <row r="2949" spans="1:11" ht="42" customHeight="1">
      <c r="A2949" s="4" t="s">
        <v>7198</v>
      </c>
      <c r="B2949" s="5" t="s">
        <v>7199</v>
      </c>
      <c r="C2949" s="5" t="s">
        <v>41</v>
      </c>
      <c r="D2949" s="5" t="s">
        <v>42</v>
      </c>
      <c r="E2949" s="5" t="s">
        <v>598</v>
      </c>
      <c r="F2949" s="9">
        <v>32</v>
      </c>
      <c r="G2949" s="9">
        <v>318</v>
      </c>
      <c r="H2949" s="5" t="s">
        <v>21</v>
      </c>
      <c r="I2949" s="5" t="s">
        <v>7204</v>
      </c>
      <c r="J2949" s="12" t="str">
        <f>HYPERLINK("https://www.boe.es/gazeta/dias/1800/04/22/pdfs/GMD-1800-32.pdf#page=2","Abrir facsímil")</f>
        <v>Abrir facsímil</v>
      </c>
      <c r="K2949" s="15" t="s">
        <v>23</v>
      </c>
    </row>
    <row r="2950" spans="1:11" ht="42" customHeight="1">
      <c r="A2950" s="4" t="s">
        <v>7198</v>
      </c>
      <c r="B2950" s="5" t="s">
        <v>7199</v>
      </c>
      <c r="C2950" s="5" t="s">
        <v>18</v>
      </c>
      <c r="D2950" s="5" t="s">
        <v>19</v>
      </c>
      <c r="E2950" s="5" t="s">
        <v>478</v>
      </c>
      <c r="F2950" s="9">
        <v>34</v>
      </c>
      <c r="G2950" s="9">
        <v>339</v>
      </c>
      <c r="H2950" s="5" t="s">
        <v>21</v>
      </c>
      <c r="I2950" s="5" t="s">
        <v>7205</v>
      </c>
      <c r="J2950" s="12" t="str">
        <f>HYPERLINK("https://www.boe.es/gazeta/dias/1800/04/29/pdfs/GMD-1800-34.pdf#page=3","Abrir facsímil")</f>
        <v>Abrir facsímil</v>
      </c>
      <c r="K2950" s="15" t="s">
        <v>23</v>
      </c>
    </row>
    <row r="2951" spans="1:11" ht="42" customHeight="1">
      <c r="A2951" s="4" t="s">
        <v>7198</v>
      </c>
      <c r="B2951" s="5" t="s">
        <v>7199</v>
      </c>
      <c r="C2951" s="5" t="s">
        <v>41</v>
      </c>
      <c r="D2951" s="5" t="s">
        <v>42</v>
      </c>
      <c r="E2951" s="5" t="s">
        <v>194</v>
      </c>
      <c r="F2951" s="9">
        <v>48</v>
      </c>
      <c r="G2951" s="9">
        <v>511</v>
      </c>
      <c r="H2951" s="5" t="s">
        <v>21</v>
      </c>
      <c r="I2951" s="5" t="s">
        <v>7206</v>
      </c>
      <c r="J2951" s="12" t="str">
        <f>HYPERLINK("https://www.boe.es/gazeta/dias/1800/06/17/pdfs/GMD-1800-48.pdf#page=3","Abrir facsímil")</f>
        <v>Abrir facsímil</v>
      </c>
      <c r="K2951" s="15" t="s">
        <v>23</v>
      </c>
    </row>
    <row r="2952" spans="1:11" ht="42" customHeight="1">
      <c r="A2952" s="4" t="s">
        <v>7198</v>
      </c>
      <c r="B2952" s="5" t="s">
        <v>7199</v>
      </c>
      <c r="C2952" s="5" t="s">
        <v>41</v>
      </c>
      <c r="D2952" s="5" t="s">
        <v>42</v>
      </c>
      <c r="E2952" s="5" t="s">
        <v>825</v>
      </c>
      <c r="F2952" s="9">
        <v>51</v>
      </c>
      <c r="G2952" s="9">
        <v>552</v>
      </c>
      <c r="H2952" s="5" t="s">
        <v>21</v>
      </c>
      <c r="I2952" s="5" t="s">
        <v>7207</v>
      </c>
      <c r="J2952" s="12" t="str">
        <f>HYPERLINK("https://www.boe.es/gazeta/dias/1800/06/27/pdfs/GMD-1800-51.pdf#page=4","Abrir facsímil")</f>
        <v>Abrir facsímil</v>
      </c>
      <c r="K2952" s="15" t="s">
        <v>23</v>
      </c>
    </row>
    <row r="2953" spans="1:11" ht="42" customHeight="1">
      <c r="A2953" s="4" t="s">
        <v>7198</v>
      </c>
      <c r="B2953" s="5" t="s">
        <v>7199</v>
      </c>
      <c r="C2953" s="5" t="s">
        <v>41</v>
      </c>
      <c r="D2953" s="5" t="s">
        <v>42</v>
      </c>
      <c r="E2953" s="5" t="s">
        <v>828</v>
      </c>
      <c r="F2953" s="9">
        <v>53</v>
      </c>
      <c r="G2953" s="9">
        <v>585</v>
      </c>
      <c r="H2953" s="5" t="s">
        <v>21</v>
      </c>
      <c r="I2953" s="5" t="s">
        <v>7208</v>
      </c>
      <c r="J2953" s="12" t="str">
        <f>HYPERLINK("https://www.boe.es/gazeta/dias/1800/07/04/pdfs/GMD-1800-53.pdf#page=5","Abrir facsímil")</f>
        <v>Abrir facsímil</v>
      </c>
      <c r="K2953" s="15" t="s">
        <v>23</v>
      </c>
    </row>
    <row r="2954" spans="1:11" ht="42" customHeight="1">
      <c r="A2954" s="4" t="s">
        <v>7198</v>
      </c>
      <c r="B2954" s="5" t="s">
        <v>7199</v>
      </c>
      <c r="C2954" s="5" t="s">
        <v>41</v>
      </c>
      <c r="D2954" s="5" t="s">
        <v>42</v>
      </c>
      <c r="E2954" s="5" t="s">
        <v>530</v>
      </c>
      <c r="F2954" s="9">
        <v>55</v>
      </c>
      <c r="G2954" s="9">
        <v>617</v>
      </c>
      <c r="H2954" s="5" t="s">
        <v>21</v>
      </c>
      <c r="I2954" s="5" t="s">
        <v>7209</v>
      </c>
      <c r="J2954" s="12" t="str">
        <f>HYPERLINK("https://www.boe.es/gazeta/dias/1800/07/11/pdfs/GMD-1800-55.pdf#page=5","Abrir facsímil")</f>
        <v>Abrir facsímil</v>
      </c>
      <c r="K2954" s="15" t="s">
        <v>23</v>
      </c>
    </row>
    <row r="2955" spans="1:11" ht="42" customHeight="1">
      <c r="A2955" s="4" t="s">
        <v>7198</v>
      </c>
      <c r="B2955" s="5" t="s">
        <v>7199</v>
      </c>
      <c r="C2955" s="5" t="s">
        <v>41</v>
      </c>
      <c r="D2955" s="5" t="s">
        <v>42</v>
      </c>
      <c r="E2955" s="5" t="s">
        <v>454</v>
      </c>
      <c r="F2955" s="9">
        <v>63</v>
      </c>
      <c r="G2955" s="9">
        <v>713</v>
      </c>
      <c r="H2955" s="5" t="s">
        <v>21</v>
      </c>
      <c r="I2955" s="5" t="s">
        <v>7210</v>
      </c>
      <c r="J2955" s="12" t="str">
        <f>HYPERLINK("https://www.boe.es/gazeta/dias/1800/08/08/pdfs/GMD-1800-63.pdf#page=1","Abrir facsímil")</f>
        <v>Abrir facsímil</v>
      </c>
      <c r="K2955" s="15" t="s">
        <v>23</v>
      </c>
    </row>
    <row r="2956" spans="1:11" ht="42" customHeight="1">
      <c r="A2956" s="4" t="s">
        <v>7198</v>
      </c>
      <c r="B2956" s="5" t="s">
        <v>7199</v>
      </c>
      <c r="C2956" s="5" t="s">
        <v>54</v>
      </c>
      <c r="D2956" s="5" t="s">
        <v>55</v>
      </c>
      <c r="E2956" s="5" t="s">
        <v>27</v>
      </c>
      <c r="F2956" s="9">
        <v>65</v>
      </c>
      <c r="G2956" s="9">
        <v>727</v>
      </c>
      <c r="H2956" s="5" t="s">
        <v>21</v>
      </c>
      <c r="I2956" s="5" t="s">
        <v>7211</v>
      </c>
      <c r="J2956" s="12" t="str">
        <f>HYPERLINK("https://www.boe.es/gazeta/dias/1800/08/15/pdfs/GMD-1800-65.pdf#page=3","Abrir facsímil")</f>
        <v>Abrir facsímil</v>
      </c>
      <c r="K2956" s="15" t="s">
        <v>23</v>
      </c>
    </row>
    <row r="2957" spans="1:11" ht="42" customHeight="1">
      <c r="A2957" s="4" t="s">
        <v>7198</v>
      </c>
      <c r="B2957" s="5" t="s">
        <v>7199</v>
      </c>
      <c r="C2957" s="5" t="s">
        <v>41</v>
      </c>
      <c r="D2957" s="5" t="s">
        <v>42</v>
      </c>
      <c r="E2957" s="5" t="s">
        <v>196</v>
      </c>
      <c r="F2957" s="9">
        <v>97</v>
      </c>
      <c r="G2957" s="9">
        <v>1111</v>
      </c>
      <c r="H2957" s="5" t="s">
        <v>21</v>
      </c>
      <c r="I2957" s="5" t="s">
        <v>7212</v>
      </c>
      <c r="J2957" s="12" t="str">
        <f>HYPERLINK("https://www.boe.es/gazeta/dias/1800/12/02/pdfs/GMD-1800-97.pdf#page=3","Abrir facsímil")</f>
        <v>Abrir facsímil</v>
      </c>
      <c r="K2957" s="15" t="s">
        <v>23</v>
      </c>
    </row>
    <row r="2958" spans="1:11" ht="42" customHeight="1">
      <c r="A2958" s="4" t="s">
        <v>7198</v>
      </c>
      <c r="B2958" s="5" t="s">
        <v>7199</v>
      </c>
      <c r="C2958" s="5" t="s">
        <v>41</v>
      </c>
      <c r="D2958" s="5" t="s">
        <v>42</v>
      </c>
      <c r="E2958" s="5" t="s">
        <v>111</v>
      </c>
      <c r="F2958" s="9">
        <v>98</v>
      </c>
      <c r="G2958" s="9">
        <v>1122</v>
      </c>
      <c r="H2958" s="5" t="s">
        <v>21</v>
      </c>
      <c r="I2958" s="5" t="s">
        <v>7213</v>
      </c>
      <c r="J2958" s="12" t="str">
        <f>HYPERLINK("https://www.boe.es/gazeta/dias/1800/12/05/pdfs/GMD-1800-98.pdf#page=2","Abrir facsímil")</f>
        <v>Abrir facsímil</v>
      </c>
      <c r="K2958" s="15" t="s">
        <v>23</v>
      </c>
    </row>
    <row r="2959" spans="1:11" ht="42" customHeight="1">
      <c r="A2959" s="4" t="s">
        <v>7198</v>
      </c>
      <c r="B2959" s="5" t="s">
        <v>7199</v>
      </c>
      <c r="C2959" s="5" t="s">
        <v>41</v>
      </c>
      <c r="D2959" s="5" t="s">
        <v>42</v>
      </c>
      <c r="E2959" s="5" t="s">
        <v>534</v>
      </c>
      <c r="F2959" s="9">
        <v>100</v>
      </c>
      <c r="G2959" s="9">
        <v>1151</v>
      </c>
      <c r="H2959" s="5" t="s">
        <v>21</v>
      </c>
      <c r="I2959" s="5" t="s">
        <v>7214</v>
      </c>
      <c r="J2959" s="12" t="str">
        <f>HYPERLINK("https://www.boe.es/gazeta/dias/1800/12/12/pdfs/GMD-1800-100.pdf#page=3","Abrir facsímil")</f>
        <v>Abrir facsímil</v>
      </c>
      <c r="K2959" s="15" t="s">
        <v>23</v>
      </c>
    </row>
    <row r="2960" spans="1:11" ht="42" customHeight="1">
      <c r="A2960" s="4" t="s">
        <v>7215</v>
      </c>
      <c r="B2960" s="5" t="s">
        <v>7216</v>
      </c>
      <c r="C2960" s="5" t="s">
        <v>18</v>
      </c>
      <c r="D2960" s="5" t="s">
        <v>19</v>
      </c>
      <c r="E2960" s="5" t="s">
        <v>124</v>
      </c>
      <c r="F2960" s="9">
        <v>16</v>
      </c>
      <c r="G2960" s="9">
        <v>146</v>
      </c>
      <c r="H2960" s="5" t="s">
        <v>21</v>
      </c>
      <c r="I2960" s="5" t="s">
        <v>7217</v>
      </c>
      <c r="J2960" s="12" t="str">
        <f>HYPERLINK("https://www.boe.es/gazeta/dias/1800/02/25/pdfs/GMD-1800-16.pdf#page=2","Abrir facsímil")</f>
        <v>Abrir facsímil</v>
      </c>
      <c r="K2960" s="15" t="s">
        <v>23</v>
      </c>
    </row>
    <row r="2961" spans="1:11" ht="42" customHeight="1">
      <c r="A2961" s="4" t="s">
        <v>7215</v>
      </c>
      <c r="B2961" s="5" t="s">
        <v>7216</v>
      </c>
      <c r="C2961" s="5" t="s">
        <v>41</v>
      </c>
      <c r="D2961" s="5" t="s">
        <v>42</v>
      </c>
      <c r="E2961" s="5" t="s">
        <v>825</v>
      </c>
      <c r="F2961" s="9">
        <v>51</v>
      </c>
      <c r="G2961" s="9">
        <v>555</v>
      </c>
      <c r="H2961" s="5" t="s">
        <v>21</v>
      </c>
      <c r="I2961" s="5" t="s">
        <v>7218</v>
      </c>
      <c r="J2961" s="12" t="str">
        <f>HYPERLINK("https://www.boe.es/gazeta/dias/1800/06/27/pdfs/GMD-1800-51.pdf#page=7","Abrir facsímil")</f>
        <v>Abrir facsímil</v>
      </c>
      <c r="K2961" s="15" t="s">
        <v>23</v>
      </c>
    </row>
    <row r="2962" spans="1:11" ht="42" customHeight="1">
      <c r="A2962" s="4" t="s">
        <v>7215</v>
      </c>
      <c r="B2962" s="5" t="s">
        <v>7216</v>
      </c>
      <c r="C2962" s="5" t="s">
        <v>41</v>
      </c>
      <c r="D2962" s="5" t="s">
        <v>42</v>
      </c>
      <c r="E2962" s="5" t="s">
        <v>64</v>
      </c>
      <c r="F2962" s="9">
        <v>54</v>
      </c>
      <c r="G2962" s="9">
        <v>600</v>
      </c>
      <c r="H2962" s="5" t="s">
        <v>21</v>
      </c>
      <c r="I2962" s="5" t="s">
        <v>7219</v>
      </c>
      <c r="J2962" s="12" t="str">
        <f>HYPERLINK("https://www.boe.es/gazeta/dias/1800/07/08/pdfs/GMD-1800-54.pdf#page=4","Abrir facsímil")</f>
        <v>Abrir facsímil</v>
      </c>
      <c r="K2962" s="15" t="s">
        <v>23</v>
      </c>
    </row>
    <row r="2963" spans="1:11" ht="42" customHeight="1">
      <c r="A2963" s="4" t="s">
        <v>7215</v>
      </c>
      <c r="B2963" s="5" t="s">
        <v>7216</v>
      </c>
      <c r="C2963" s="5" t="s">
        <v>41</v>
      </c>
      <c r="D2963" s="5" t="s">
        <v>42</v>
      </c>
      <c r="E2963" s="5" t="s">
        <v>530</v>
      </c>
      <c r="F2963" s="9">
        <v>55</v>
      </c>
      <c r="G2963" s="9">
        <v>618</v>
      </c>
      <c r="H2963" s="5" t="s">
        <v>21</v>
      </c>
      <c r="I2963" s="5" t="s">
        <v>7220</v>
      </c>
      <c r="J2963" s="12" t="str">
        <f>HYPERLINK("https://www.boe.es/gazeta/dias/1800/07/11/pdfs/GMD-1800-55.pdf#page=6","Abrir facsímil")</f>
        <v>Abrir facsímil</v>
      </c>
      <c r="K2963" s="15" t="s">
        <v>23</v>
      </c>
    </row>
    <row r="2964" spans="1:11" ht="42" customHeight="1">
      <c r="A2964" s="4" t="s">
        <v>7221</v>
      </c>
      <c r="B2964" s="5" t="s">
        <v>7221</v>
      </c>
      <c r="C2964" s="5" t="s">
        <v>207</v>
      </c>
      <c r="D2964" s="5" t="s">
        <v>55</v>
      </c>
      <c r="E2964" s="5" t="s">
        <v>618</v>
      </c>
      <c r="F2964" s="9">
        <v>1</v>
      </c>
      <c r="G2964" s="9">
        <v>7</v>
      </c>
      <c r="H2964" s="5" t="s">
        <v>21</v>
      </c>
      <c r="I2964" s="5" t="s">
        <v>7222</v>
      </c>
      <c r="J2964" s="12" t="str">
        <f>HYPERLINK("https://www.boe.es/gazeta/dias/1800/01/03/pdfs/GMD-1800-1.pdf#page=7","Abrir facsímil")</f>
        <v>Abrir facsímil</v>
      </c>
      <c r="K2964" s="15" t="s">
        <v>23</v>
      </c>
    </row>
    <row r="2965" spans="1:11" ht="42" customHeight="1">
      <c r="A2965" s="4" t="s">
        <v>7223</v>
      </c>
      <c r="B2965" s="5" t="s">
        <v>7224</v>
      </c>
      <c r="C2965" s="5" t="s">
        <v>18</v>
      </c>
      <c r="D2965" s="5" t="s">
        <v>19</v>
      </c>
      <c r="E2965" s="5" t="s">
        <v>35</v>
      </c>
      <c r="F2965" s="9">
        <v>21</v>
      </c>
      <c r="G2965" s="9">
        <v>205</v>
      </c>
      <c r="H2965" s="5" t="s">
        <v>21</v>
      </c>
      <c r="I2965" s="5" t="s">
        <v>7225</v>
      </c>
      <c r="J2965" s="12" t="str">
        <f>HYPERLINK("https://www.boe.es/gazeta/dias/1800/03/14/pdfs/GMD-1800-21.pdf#page=9","Abrir facsímil")</f>
        <v>Abrir facsímil</v>
      </c>
      <c r="K2965" s="15" t="s">
        <v>23</v>
      </c>
    </row>
    <row r="2966" spans="1:11" ht="42" customHeight="1">
      <c r="A2966" s="4" t="s">
        <v>7226</v>
      </c>
      <c r="B2966" s="5" t="s">
        <v>7227</v>
      </c>
      <c r="C2966" s="5" t="s">
        <v>207</v>
      </c>
      <c r="D2966" s="5" t="s">
        <v>55</v>
      </c>
      <c r="E2966" s="5" t="s">
        <v>139</v>
      </c>
      <c r="F2966" s="9">
        <v>2</v>
      </c>
      <c r="G2966" s="9">
        <v>16</v>
      </c>
      <c r="H2966" s="5" t="s">
        <v>21</v>
      </c>
      <c r="I2966" s="5" t="s">
        <v>7228</v>
      </c>
      <c r="J2966" s="12" t="str">
        <f>HYPERLINK("https://www.boe.es/gazeta/dias/1800/01/07/pdfs/GMD-1800-2.pdf#page=8","Abrir facsímil")</f>
        <v>Abrir facsímil</v>
      </c>
      <c r="K2966" s="15" t="s">
        <v>23</v>
      </c>
    </row>
    <row r="2967" spans="1:11" ht="42" customHeight="1">
      <c r="A2967" s="4" t="s">
        <v>7226</v>
      </c>
      <c r="B2967" s="5" t="s">
        <v>7227</v>
      </c>
      <c r="C2967" s="5" t="s">
        <v>25</v>
      </c>
      <c r="D2967" s="5" t="s">
        <v>26</v>
      </c>
      <c r="E2967" s="5" t="s">
        <v>75</v>
      </c>
      <c r="F2967" s="9">
        <v>64</v>
      </c>
      <c r="G2967" s="9">
        <v>736</v>
      </c>
      <c r="H2967" s="5" t="s">
        <v>21</v>
      </c>
      <c r="I2967" s="5" t="s">
        <v>7229</v>
      </c>
      <c r="J2967" s="12" t="str">
        <f>HYPERLINK("https://www.boe.es/gazeta/dias/1800/08/12/pdfs/GMD-1800-64.pdf#page=12","Abrir facsímil")</f>
        <v>Abrir facsímil</v>
      </c>
      <c r="K2967" s="15" t="s">
        <v>23</v>
      </c>
    </row>
    <row r="2968" spans="1:11" ht="42" customHeight="1">
      <c r="A2968" s="4" t="s">
        <v>7230</v>
      </c>
      <c r="B2968" s="5" t="s">
        <v>7231</v>
      </c>
      <c r="C2968" s="5" t="s">
        <v>207</v>
      </c>
      <c r="D2968" s="5" t="s">
        <v>55</v>
      </c>
      <c r="E2968" s="5" t="s">
        <v>184</v>
      </c>
      <c r="F2968" s="9">
        <v>82</v>
      </c>
      <c r="G2968" s="9">
        <v>951</v>
      </c>
      <c r="H2968" s="5" t="s">
        <v>21</v>
      </c>
      <c r="I2968" s="5" t="s">
        <v>7232</v>
      </c>
      <c r="J2968" s="12" t="str">
        <f>HYPERLINK("https://www.boe.es/gazeta/dias/1800/10/10/pdfs/GMD-1800-82.pdf#page=9","Abrir facsímil")</f>
        <v>Abrir facsímil</v>
      </c>
      <c r="K2968" s="15" t="s">
        <v>23</v>
      </c>
    </row>
    <row r="2969" spans="1:11" ht="42" customHeight="1">
      <c r="A2969" s="4" t="s">
        <v>7233</v>
      </c>
      <c r="B2969" s="5" t="s">
        <v>7234</v>
      </c>
      <c r="C2969" s="5" t="s">
        <v>171</v>
      </c>
      <c r="D2969" s="5" t="s">
        <v>172</v>
      </c>
      <c r="E2969" s="5" t="s">
        <v>90</v>
      </c>
      <c r="F2969" s="9">
        <v>58</v>
      </c>
      <c r="G2969" s="9">
        <v>668</v>
      </c>
      <c r="H2969" s="5" t="s">
        <v>21</v>
      </c>
      <c r="I2969" s="5" t="s">
        <v>7235</v>
      </c>
      <c r="J2969" s="12" t="str">
        <f>HYPERLINK("https://www.boe.es/gazeta/dias/1800/07/22/pdfs/GMD-C-1800-58.pdf#page=4","Abrir facsímil")</f>
        <v>Abrir facsímil</v>
      </c>
      <c r="K2969" s="15" t="s">
        <v>23</v>
      </c>
    </row>
    <row r="2970" spans="1:11" ht="42" customHeight="1">
      <c r="A2970" s="4" t="s">
        <v>7236</v>
      </c>
      <c r="B2970" s="5" t="s">
        <v>7237</v>
      </c>
      <c r="C2970" s="5" t="s">
        <v>54</v>
      </c>
      <c r="D2970" s="5" t="s">
        <v>55</v>
      </c>
      <c r="E2970" s="5" t="s">
        <v>590</v>
      </c>
      <c r="F2970" s="9">
        <v>69</v>
      </c>
      <c r="G2970" s="9">
        <v>775</v>
      </c>
      <c r="H2970" s="5" t="s">
        <v>21</v>
      </c>
      <c r="I2970" s="5" t="s">
        <v>7238</v>
      </c>
      <c r="J2970" s="12" t="str">
        <f>HYPERLINK("https://www.boe.es/gazeta/dias/1800/08/29/pdfs/GMD-1800-69.pdf#page=7","Abrir facsímil")</f>
        <v>Abrir facsímil</v>
      </c>
      <c r="K2970" s="15" t="s">
        <v>23</v>
      </c>
    </row>
    <row r="2971" spans="1:11" ht="42" customHeight="1">
      <c r="A2971" s="4" t="s">
        <v>7239</v>
      </c>
      <c r="B2971" s="5" t="s">
        <v>7239</v>
      </c>
      <c r="C2971" s="5" t="s">
        <v>18</v>
      </c>
      <c r="D2971" s="5" t="s">
        <v>19</v>
      </c>
      <c r="E2971" s="5" t="s">
        <v>478</v>
      </c>
      <c r="F2971" s="9">
        <v>34</v>
      </c>
      <c r="G2971" s="9">
        <v>347</v>
      </c>
      <c r="H2971" s="5" t="s">
        <v>21</v>
      </c>
      <c r="I2971" s="5" t="s">
        <v>7240</v>
      </c>
      <c r="J2971" s="12" t="str">
        <f>HYPERLINK("https://www.boe.es/gazeta/dias/1800/04/29/pdfs/GMD-1800-34.pdf#page=11","Abrir facsímil")</f>
        <v>Abrir facsímil</v>
      </c>
      <c r="K2971" s="15" t="s">
        <v>23</v>
      </c>
    </row>
    <row r="2972" spans="1:11" ht="42" customHeight="1">
      <c r="A2972" s="4" t="s">
        <v>7239</v>
      </c>
      <c r="B2972" s="5" t="s">
        <v>7239</v>
      </c>
      <c r="C2972" s="5" t="s">
        <v>18</v>
      </c>
      <c r="D2972" s="5" t="s">
        <v>19</v>
      </c>
      <c r="E2972" s="5" t="s">
        <v>184</v>
      </c>
      <c r="F2972" s="9">
        <v>82</v>
      </c>
      <c r="G2972" s="9">
        <v>950</v>
      </c>
      <c r="H2972" s="5" t="s">
        <v>21</v>
      </c>
      <c r="I2972" s="5" t="s">
        <v>7241</v>
      </c>
      <c r="J2972" s="12" t="str">
        <f>HYPERLINK("https://www.boe.es/gazeta/dias/1800/10/10/pdfs/GMD-1800-82.pdf#page=8","Abrir facsímil")</f>
        <v>Abrir facsímil</v>
      </c>
      <c r="K2972" s="15" t="s">
        <v>23</v>
      </c>
    </row>
    <row r="2973" spans="1:11" ht="42" customHeight="1">
      <c r="A2973" s="4" t="s">
        <v>7242</v>
      </c>
      <c r="B2973" s="5" t="s">
        <v>7243</v>
      </c>
      <c r="C2973" s="5" t="s">
        <v>18</v>
      </c>
      <c r="D2973" s="5" t="s">
        <v>19</v>
      </c>
      <c r="E2973" s="5" t="s">
        <v>31</v>
      </c>
      <c r="F2973" s="9">
        <v>20</v>
      </c>
      <c r="G2973" s="9">
        <v>191</v>
      </c>
      <c r="H2973" s="5" t="s">
        <v>21</v>
      </c>
      <c r="I2973" s="5" t="s">
        <v>7244</v>
      </c>
      <c r="J2973" s="12" t="str">
        <f>HYPERLINK("https://www.boe.es/gazeta/dias/1800/03/11/pdfs/GMD-1800-20.pdf#page=7","Abrir facsímil")</f>
        <v>Abrir facsímil</v>
      </c>
      <c r="K2973" s="15" t="s">
        <v>23</v>
      </c>
    </row>
    <row r="2974" spans="1:11" ht="42" customHeight="1">
      <c r="A2974" s="4" t="s">
        <v>7245</v>
      </c>
      <c r="B2974" s="5" t="s">
        <v>7246</v>
      </c>
      <c r="C2974" s="5" t="s">
        <v>207</v>
      </c>
      <c r="D2974" s="5" t="s">
        <v>55</v>
      </c>
      <c r="E2974" s="5" t="s">
        <v>135</v>
      </c>
      <c r="F2974" s="9">
        <v>73</v>
      </c>
      <c r="G2974" s="9">
        <v>814</v>
      </c>
      <c r="H2974" s="5" t="s">
        <v>21</v>
      </c>
      <c r="I2974" s="5" t="s">
        <v>7247</v>
      </c>
      <c r="J2974" s="12" t="str">
        <f>HYPERLINK("https://www.boe.es/gazeta/dias/1800/09/09/pdfs/GMD-1800-73.pdf#page=8","Abrir facsímil")</f>
        <v>Abrir facsímil</v>
      </c>
      <c r="K2974" s="15" t="s">
        <v>23</v>
      </c>
    </row>
    <row r="2975" spans="1:11" ht="42" customHeight="1">
      <c r="A2975" s="4" t="s">
        <v>7248</v>
      </c>
      <c r="B2975" s="5" t="s">
        <v>7249</v>
      </c>
      <c r="C2975" s="5" t="s">
        <v>41</v>
      </c>
      <c r="D2975" s="5" t="s">
        <v>42</v>
      </c>
      <c r="E2975" s="5" t="s">
        <v>184</v>
      </c>
      <c r="F2975" s="9">
        <v>82</v>
      </c>
      <c r="G2975" s="9">
        <v>948</v>
      </c>
      <c r="H2975" s="5" t="s">
        <v>21</v>
      </c>
      <c r="I2975" s="5" t="s">
        <v>7250</v>
      </c>
      <c r="J2975" s="12" t="str">
        <f>HYPERLINK("https://www.boe.es/gazeta/dias/1800/10/10/pdfs/GMD-1800-82.pdf#page=6","Abrir facsímil")</f>
        <v>Abrir facsímil</v>
      </c>
      <c r="K2975" s="15" t="s">
        <v>23</v>
      </c>
    </row>
    <row r="2976" spans="1:11" ht="42" customHeight="1">
      <c r="A2976" s="4" t="s">
        <v>7251</v>
      </c>
      <c r="B2976" s="5" t="s">
        <v>7252</v>
      </c>
      <c r="C2976" s="5" t="s">
        <v>18</v>
      </c>
      <c r="D2976" s="5" t="s">
        <v>19</v>
      </c>
      <c r="E2976" s="5" t="s">
        <v>135</v>
      </c>
      <c r="F2976" s="9">
        <v>73</v>
      </c>
      <c r="G2976" s="9">
        <v>815</v>
      </c>
      <c r="H2976" s="5" t="s">
        <v>21</v>
      </c>
      <c r="I2976" s="5" t="s">
        <v>7253</v>
      </c>
      <c r="J2976" s="12" t="str">
        <f>HYPERLINK("https://www.boe.es/gazeta/dias/1800/09/09/pdfs/GMD-1800-73.pdf#page=9","Abrir facsímil")</f>
        <v>Abrir facsímil</v>
      </c>
      <c r="K2976" s="15" t="s">
        <v>23</v>
      </c>
    </row>
    <row r="2977" spans="1:11" ht="42" customHeight="1">
      <c r="A2977" s="4" t="s">
        <v>7254</v>
      </c>
      <c r="B2977" s="5" t="s">
        <v>7255</v>
      </c>
      <c r="C2977" s="5" t="s">
        <v>18</v>
      </c>
      <c r="D2977" s="5" t="s">
        <v>19</v>
      </c>
      <c r="E2977" s="5" t="s">
        <v>31</v>
      </c>
      <c r="F2977" s="9">
        <v>20</v>
      </c>
      <c r="G2977" s="9">
        <v>192</v>
      </c>
      <c r="H2977" s="5" t="s">
        <v>21</v>
      </c>
      <c r="I2977" s="5" t="s">
        <v>7256</v>
      </c>
      <c r="J2977" s="12" t="str">
        <f>HYPERLINK("https://www.boe.es/gazeta/dias/1800/03/11/pdfs/GMD-1800-20.pdf#page=8","Abrir facsímil")</f>
        <v>Abrir facsímil</v>
      </c>
      <c r="K2977" s="15" t="s">
        <v>23</v>
      </c>
    </row>
    <row r="2978" spans="1:11" ht="42" customHeight="1">
      <c r="A2978" s="4" t="s">
        <v>7257</v>
      </c>
      <c r="B2978" s="5" t="s">
        <v>7258</v>
      </c>
      <c r="C2978" s="5" t="s">
        <v>18</v>
      </c>
      <c r="D2978" s="5" t="s">
        <v>19</v>
      </c>
      <c r="E2978" s="5" t="s">
        <v>478</v>
      </c>
      <c r="F2978" s="9">
        <v>34</v>
      </c>
      <c r="G2978" s="9">
        <v>344</v>
      </c>
      <c r="H2978" s="5" t="s">
        <v>21</v>
      </c>
      <c r="I2978" s="5" t="s">
        <v>7259</v>
      </c>
      <c r="J2978" s="12" t="str">
        <f>HYPERLINK("https://www.boe.es/gazeta/dias/1800/04/29/pdfs/GMD-1800-34.pdf#page=8","Abrir facsímil")</f>
        <v>Abrir facsímil</v>
      </c>
      <c r="K2978" s="15" t="s">
        <v>23</v>
      </c>
    </row>
    <row r="2979" spans="1:11" ht="42" customHeight="1">
      <c r="A2979" s="4" t="s">
        <v>7260</v>
      </c>
      <c r="B2979" s="5" t="s">
        <v>7261</v>
      </c>
      <c r="C2979" s="5" t="s">
        <v>41</v>
      </c>
      <c r="D2979" s="5" t="s">
        <v>42</v>
      </c>
      <c r="E2979" s="5" t="s">
        <v>491</v>
      </c>
      <c r="F2979" s="9">
        <v>29</v>
      </c>
      <c r="G2979" s="9">
        <v>293</v>
      </c>
      <c r="H2979" s="5" t="s">
        <v>21</v>
      </c>
      <c r="I2979" s="5" t="s">
        <v>7262</v>
      </c>
      <c r="J2979" s="12" t="str">
        <f>HYPERLINK("https://www.boe.es/gazeta/dias/1800/04/11/pdfs/GMD-1800-29.pdf#page=1","Abrir facsímil")</f>
        <v>Abrir facsímil</v>
      </c>
      <c r="K2979" s="15" t="s">
        <v>23</v>
      </c>
    </row>
    <row r="2980" spans="1:11" ht="42" customHeight="1">
      <c r="A2980" s="4" t="s">
        <v>7263</v>
      </c>
      <c r="B2980" s="5" t="s">
        <v>7264</v>
      </c>
      <c r="C2980" s="5" t="s">
        <v>18</v>
      </c>
      <c r="D2980" s="5" t="s">
        <v>19</v>
      </c>
      <c r="E2980" s="5" t="s">
        <v>20</v>
      </c>
      <c r="F2980" s="9">
        <v>104</v>
      </c>
      <c r="G2980" s="9">
        <v>1210</v>
      </c>
      <c r="H2980" s="5" t="s">
        <v>21</v>
      </c>
      <c r="I2980" s="5" t="s">
        <v>7265</v>
      </c>
      <c r="J2980" s="12" t="str">
        <f>HYPERLINK("https://www.boe.es/gazeta/dias/1800/12/26/pdfs/GMD-1800-104.pdf#page=10","Abrir facsímil")</f>
        <v>Abrir facsímil</v>
      </c>
      <c r="K2980" s="15" t="s">
        <v>23</v>
      </c>
    </row>
    <row r="2981" spans="1:11" ht="42" customHeight="1">
      <c r="A2981" s="4" t="s">
        <v>7266</v>
      </c>
      <c r="B2981" s="5" t="s">
        <v>7267</v>
      </c>
      <c r="C2981" s="5" t="s">
        <v>18</v>
      </c>
      <c r="D2981" s="5" t="s">
        <v>19</v>
      </c>
      <c r="E2981" s="5" t="s">
        <v>39</v>
      </c>
      <c r="F2981" s="9">
        <v>43</v>
      </c>
      <c r="G2981" s="9">
        <v>450</v>
      </c>
      <c r="H2981" s="5" t="s">
        <v>21</v>
      </c>
      <c r="I2981" s="5" t="s">
        <v>7268</v>
      </c>
      <c r="J2981" s="12" t="str">
        <f>HYPERLINK("https://www.boe.es/gazeta/dias/1800/05/30/pdfs/GMD-1800-43.pdf#page=10","Abrir facsímil")</f>
        <v>Abrir facsímil</v>
      </c>
      <c r="K2981" s="15" t="s">
        <v>23</v>
      </c>
    </row>
    <row r="2982" spans="1:11" ht="42" customHeight="1">
      <c r="A2982" s="4" t="s">
        <v>7269</v>
      </c>
      <c r="B2982" s="5" t="s">
        <v>7270</v>
      </c>
      <c r="C2982" s="5" t="s">
        <v>18</v>
      </c>
      <c r="D2982" s="5" t="s">
        <v>19</v>
      </c>
      <c r="E2982" s="5" t="s">
        <v>184</v>
      </c>
      <c r="F2982" s="9">
        <v>82</v>
      </c>
      <c r="G2982" s="9">
        <v>951</v>
      </c>
      <c r="H2982" s="5" t="s">
        <v>21</v>
      </c>
      <c r="I2982" s="5" t="s">
        <v>7271</v>
      </c>
      <c r="J2982" s="12" t="str">
        <f>HYPERLINK("https://www.boe.es/gazeta/dias/1800/10/10/pdfs/GMD-1800-82.pdf#page=9","Abrir facsímil")</f>
        <v>Abrir facsímil</v>
      </c>
      <c r="K2982" s="15" t="s">
        <v>23</v>
      </c>
    </row>
    <row r="2983" spans="1:11" ht="42" customHeight="1">
      <c r="A2983" s="4" t="s">
        <v>7269</v>
      </c>
      <c r="B2983" s="5" t="s">
        <v>7270</v>
      </c>
      <c r="C2983" s="5" t="s">
        <v>18</v>
      </c>
      <c r="D2983" s="5" t="s">
        <v>19</v>
      </c>
      <c r="E2983" s="5" t="s">
        <v>180</v>
      </c>
      <c r="F2983" s="9">
        <v>102</v>
      </c>
      <c r="G2983" s="9">
        <v>1185</v>
      </c>
      <c r="H2983" s="5" t="s">
        <v>21</v>
      </c>
      <c r="I2983" s="5" t="s">
        <v>7272</v>
      </c>
      <c r="J2983" s="12" t="str">
        <f>HYPERLINK("https://www.boe.es/gazeta/dias/1800/12/19/pdfs/GMD-1800-102.pdf#page=9","Abrir facsímil")</f>
        <v>Abrir facsímil</v>
      </c>
      <c r="K2983" s="15" t="s">
        <v>23</v>
      </c>
    </row>
    <row r="2984" spans="1:11" ht="42" customHeight="1">
      <c r="A2984" s="4" t="s">
        <v>7273</v>
      </c>
      <c r="B2984" s="5" t="s">
        <v>7274</v>
      </c>
      <c r="C2984" s="5" t="s">
        <v>18</v>
      </c>
      <c r="D2984" s="5" t="s">
        <v>19</v>
      </c>
      <c r="E2984" s="5" t="s">
        <v>314</v>
      </c>
      <c r="F2984" s="9">
        <v>74</v>
      </c>
      <c r="G2984" s="9">
        <v>832</v>
      </c>
      <c r="H2984" s="5" t="s">
        <v>21</v>
      </c>
      <c r="I2984" s="5" t="s">
        <v>7275</v>
      </c>
      <c r="J2984" s="12" t="str">
        <f>HYPERLINK("https://www.boe.es/gazeta/dias/1800/09/12/pdfs/GMD-1800-74.pdf#page=10","Abrir facsímil")</f>
        <v>Abrir facsímil</v>
      </c>
      <c r="K2984" s="15" t="s">
        <v>23</v>
      </c>
    </row>
    <row r="2985" spans="1:11" ht="42" customHeight="1">
      <c r="A2985" s="4" t="s">
        <v>7276</v>
      </c>
      <c r="B2985" s="5" t="s">
        <v>7276</v>
      </c>
      <c r="C2985" s="5" t="s">
        <v>41</v>
      </c>
      <c r="D2985" s="5" t="s">
        <v>42</v>
      </c>
      <c r="E2985" s="5" t="s">
        <v>48</v>
      </c>
      <c r="F2985" s="9">
        <v>66</v>
      </c>
      <c r="G2985" s="9">
        <v>742</v>
      </c>
      <c r="H2985" s="5" t="s">
        <v>21</v>
      </c>
      <c r="I2985" s="5" t="s">
        <v>7277</v>
      </c>
      <c r="J2985" s="12" t="str">
        <f>HYPERLINK("https://www.boe.es/gazeta/dias/1800/08/19/pdfs/GMD-1800-66.pdf#page=6","Abrir facsímil")</f>
        <v>Abrir facsímil</v>
      </c>
      <c r="K2985" s="15" t="s">
        <v>23</v>
      </c>
    </row>
    <row r="2986" spans="1:11" ht="42" customHeight="1">
      <c r="A2986" s="4" t="s">
        <v>7278</v>
      </c>
      <c r="B2986" s="5" t="s">
        <v>7278</v>
      </c>
      <c r="C2986" s="5" t="s">
        <v>41</v>
      </c>
      <c r="D2986" s="5" t="s">
        <v>42</v>
      </c>
      <c r="E2986" s="5" t="s">
        <v>48</v>
      </c>
      <c r="F2986" s="9">
        <v>66</v>
      </c>
      <c r="G2986" s="9">
        <v>743</v>
      </c>
      <c r="H2986" s="5" t="s">
        <v>21</v>
      </c>
      <c r="I2986" s="5" t="s">
        <v>7279</v>
      </c>
      <c r="J2986" s="12" t="str">
        <f>HYPERLINK("https://www.boe.es/gazeta/dias/1800/08/19/pdfs/GMD-1800-66.pdf#page=7","Abrir facsímil")</f>
        <v>Abrir facsímil</v>
      </c>
      <c r="K2986" s="15" t="s">
        <v>23</v>
      </c>
    </row>
    <row r="2987" spans="1:11" ht="42" customHeight="1">
      <c r="A2987" s="4" t="s">
        <v>7280</v>
      </c>
      <c r="B2987" s="5" t="s">
        <v>7280</v>
      </c>
      <c r="C2987" s="5" t="s">
        <v>41</v>
      </c>
      <c r="D2987" s="5" t="s">
        <v>42</v>
      </c>
      <c r="E2987" s="5" t="s">
        <v>600</v>
      </c>
      <c r="F2987" s="9">
        <v>45</v>
      </c>
      <c r="G2987" s="9">
        <v>467</v>
      </c>
      <c r="H2987" s="5" t="s">
        <v>21</v>
      </c>
      <c r="I2987" s="5" t="s">
        <v>7281</v>
      </c>
      <c r="J2987" s="12" t="str">
        <f>HYPERLINK("https://www.boe.es/gazeta/dias/1800/06/06/pdfs/GMD-1800-45.pdf#page=3","Abrir facsímil")</f>
        <v>Abrir facsímil</v>
      </c>
      <c r="K2987" s="15" t="s">
        <v>23</v>
      </c>
    </row>
    <row r="2988" spans="1:11" ht="42" customHeight="1">
      <c r="A2988" s="4" t="s">
        <v>7282</v>
      </c>
      <c r="B2988" s="5" t="s">
        <v>7283</v>
      </c>
      <c r="C2988" s="5" t="s">
        <v>207</v>
      </c>
      <c r="D2988" s="5" t="s">
        <v>55</v>
      </c>
      <c r="E2988" s="5" t="s">
        <v>306</v>
      </c>
      <c r="F2988" s="9">
        <v>79</v>
      </c>
      <c r="G2988" s="9">
        <v>899</v>
      </c>
      <c r="H2988" s="5" t="s">
        <v>21</v>
      </c>
      <c r="I2988" s="5" t="s">
        <v>7284</v>
      </c>
      <c r="J2988" s="12" t="str">
        <f>HYPERLINK("https://www.boe.es/gazeta/dias/1800/09/30/pdfs/GMD-1800-79.pdf#page=9","Abrir facsímil")</f>
        <v>Abrir facsímil</v>
      </c>
      <c r="K2988" s="15" t="s">
        <v>23</v>
      </c>
    </row>
    <row r="2989" spans="1:11" ht="42" customHeight="1">
      <c r="A2989" s="4" t="s">
        <v>7285</v>
      </c>
      <c r="B2989" s="5" t="s">
        <v>7286</v>
      </c>
      <c r="C2989" s="5" t="s">
        <v>114</v>
      </c>
      <c r="D2989" s="5" t="s">
        <v>115</v>
      </c>
      <c r="E2989" s="5" t="s">
        <v>116</v>
      </c>
      <c r="F2989" s="9">
        <v>86</v>
      </c>
      <c r="G2989" s="9" t="s">
        <v>725</v>
      </c>
      <c r="H2989" s="5" t="s">
        <v>21</v>
      </c>
      <c r="I2989" s="5" t="s">
        <v>7287</v>
      </c>
      <c r="J2989" s="12" t="str">
        <f>HYPERLINK("https://www.boe.es/gazeta/dias/1800/10/24/pdfs/GMD-D-1800-86.pdf#page=1","Abrir facsímil")</f>
        <v>Abrir facsímil</v>
      </c>
      <c r="K2989" s="15" t="s">
        <v>23</v>
      </c>
    </row>
    <row r="2990" spans="1:11" ht="42" customHeight="1">
      <c r="A2990" s="4" t="s">
        <v>7288</v>
      </c>
      <c r="B2990" s="5" t="s">
        <v>7289</v>
      </c>
      <c r="C2990" s="5" t="s">
        <v>114</v>
      </c>
      <c r="D2990" s="5" t="s">
        <v>115</v>
      </c>
      <c r="E2990" s="5" t="s">
        <v>116</v>
      </c>
      <c r="F2990" s="9">
        <v>86</v>
      </c>
      <c r="G2990" s="9" t="s">
        <v>117</v>
      </c>
      <c r="H2990" s="5" t="s">
        <v>21</v>
      </c>
      <c r="I2990" s="5" t="s">
        <v>7290</v>
      </c>
      <c r="J2990" s="12" t="str">
        <f>HYPERLINK("https://www.boe.es/gazeta/dias/1800/10/24/pdfs/GMD-D-1800-86.pdf#page=3","Abrir facsímil")</f>
        <v>Abrir facsímil</v>
      </c>
      <c r="K2990" s="15" t="s">
        <v>23</v>
      </c>
    </row>
    <row r="2991" spans="1:11" ht="42" customHeight="1">
      <c r="A2991" s="4" t="s">
        <v>7291</v>
      </c>
      <c r="B2991" s="5" t="s">
        <v>7292</v>
      </c>
      <c r="C2991" s="5" t="s">
        <v>54</v>
      </c>
      <c r="D2991" s="5" t="s">
        <v>55</v>
      </c>
      <c r="E2991" s="5" t="s">
        <v>86</v>
      </c>
      <c r="F2991" s="9">
        <v>17</v>
      </c>
      <c r="G2991" s="9">
        <v>162</v>
      </c>
      <c r="H2991" s="5" t="s">
        <v>21</v>
      </c>
      <c r="I2991" s="5" t="s">
        <v>7293</v>
      </c>
      <c r="J2991" s="12" t="str">
        <f>HYPERLINK("https://www.boe.es/gazeta/dias/1800/02/28/pdfs/GMD-1800-17.pdf#page=10","Abrir facsímil")</f>
        <v>Abrir facsímil</v>
      </c>
      <c r="K2991" s="15" t="s">
        <v>23</v>
      </c>
    </row>
    <row r="2992" spans="1:11" ht="42" customHeight="1">
      <c r="A2992" s="4" t="s">
        <v>7294</v>
      </c>
      <c r="B2992" s="5" t="s">
        <v>7295</v>
      </c>
      <c r="C2992" s="5" t="s">
        <v>18</v>
      </c>
      <c r="D2992" s="5" t="s">
        <v>19</v>
      </c>
      <c r="E2992" s="5" t="s">
        <v>56</v>
      </c>
      <c r="F2992" s="9">
        <v>90</v>
      </c>
      <c r="G2992" s="9">
        <v>1056</v>
      </c>
      <c r="H2992" s="5" t="s">
        <v>21</v>
      </c>
      <c r="I2992" s="5" t="s">
        <v>7296</v>
      </c>
      <c r="J2992" s="12" t="str">
        <f>HYPERLINK("https://www.boe.es/gazeta/dias/1800/11/07/pdfs/GMD-1800-90.pdf#page=10","Abrir facsímil")</f>
        <v>Abrir facsímil</v>
      </c>
      <c r="K2992" s="15" t="s">
        <v>23</v>
      </c>
    </row>
    <row r="2993" spans="1:11" ht="42" customHeight="1">
      <c r="A2993" s="4" t="s">
        <v>7297</v>
      </c>
      <c r="B2993" s="5" t="s">
        <v>7298</v>
      </c>
      <c r="C2993" s="5" t="s">
        <v>18</v>
      </c>
      <c r="D2993" s="5" t="s">
        <v>19</v>
      </c>
      <c r="E2993" s="5" t="s">
        <v>190</v>
      </c>
      <c r="F2993" s="9">
        <v>93</v>
      </c>
      <c r="G2993" s="9">
        <v>1067</v>
      </c>
      <c r="H2993" s="5" t="s">
        <v>21</v>
      </c>
      <c r="I2993" s="5" t="s">
        <v>7299</v>
      </c>
      <c r="J2993" s="12" t="str">
        <f>HYPERLINK("https://www.boe.es/gazeta/dias/1800/11/18/pdfs/GMD-1800-93.pdf#page=13","Abrir facsímil")</f>
        <v>Abrir facsímil</v>
      </c>
      <c r="K2993" s="15" t="s">
        <v>23</v>
      </c>
    </row>
    <row r="2994" spans="1:11" ht="42" customHeight="1">
      <c r="A2994" s="4" t="s">
        <v>7300</v>
      </c>
      <c r="B2994" s="5" t="s">
        <v>7301</v>
      </c>
      <c r="C2994" s="5" t="s">
        <v>25</v>
      </c>
      <c r="D2994" s="5" t="s">
        <v>26</v>
      </c>
      <c r="E2994" s="5" t="s">
        <v>1294</v>
      </c>
      <c r="F2994" s="9">
        <v>59</v>
      </c>
      <c r="G2994" s="9">
        <v>678</v>
      </c>
      <c r="H2994" s="5" t="s">
        <v>21</v>
      </c>
      <c r="I2994" s="5" t="s">
        <v>7302</v>
      </c>
      <c r="J2994" s="12" t="str">
        <f>HYPERLINK("https://www.boe.es/gazeta/dias/1800/07/25/pdfs/GMD-1800-59.pdf#page=10","Abrir facsímil")</f>
        <v>Abrir facsímil</v>
      </c>
      <c r="K2994" s="15" t="s">
        <v>23</v>
      </c>
    </row>
    <row r="2995" spans="1:11" ht="42" customHeight="1">
      <c r="A2995" s="4" t="s">
        <v>7303</v>
      </c>
      <c r="B2995" s="5" t="s">
        <v>7304</v>
      </c>
      <c r="C2995" s="5" t="s">
        <v>18</v>
      </c>
      <c r="D2995" s="5" t="s">
        <v>19</v>
      </c>
      <c r="E2995" s="5" t="s">
        <v>20</v>
      </c>
      <c r="F2995" s="9">
        <v>104</v>
      </c>
      <c r="G2995" s="9">
        <v>1210</v>
      </c>
      <c r="H2995" s="5" t="s">
        <v>21</v>
      </c>
      <c r="I2995" s="5" t="s">
        <v>7305</v>
      </c>
      <c r="J2995" s="12" t="str">
        <f>HYPERLINK("https://www.boe.es/gazeta/dias/1800/12/26/pdfs/GMD-1800-104.pdf#page=10","Abrir facsímil")</f>
        <v>Abrir facsímil</v>
      </c>
      <c r="K2995" s="15" t="s">
        <v>23</v>
      </c>
    </row>
    <row r="2996" spans="1:11" ht="42" customHeight="1">
      <c r="A2996" s="4" t="s">
        <v>7306</v>
      </c>
      <c r="B2996" s="5" t="s">
        <v>7307</v>
      </c>
      <c r="C2996" s="5" t="s">
        <v>18</v>
      </c>
      <c r="D2996" s="5" t="s">
        <v>19</v>
      </c>
      <c r="E2996" s="5" t="s">
        <v>422</v>
      </c>
      <c r="F2996" s="9">
        <v>85</v>
      </c>
      <c r="G2996" s="9">
        <v>985</v>
      </c>
      <c r="H2996" s="5" t="s">
        <v>21</v>
      </c>
      <c r="I2996" s="5" t="s">
        <v>7308</v>
      </c>
      <c r="J2996" s="12" t="str">
        <f>HYPERLINK("https://www.boe.es/gazeta/dias/1800/10/21/pdfs/GMD-1800-85.pdf#page=7","Abrir facsímil")</f>
        <v>Abrir facsímil</v>
      </c>
      <c r="K2996" s="15" t="s">
        <v>23</v>
      </c>
    </row>
    <row r="2997" spans="1:11" ht="42" customHeight="1">
      <c r="A2997" s="4" t="s">
        <v>7309</v>
      </c>
      <c r="B2997" s="5" t="s">
        <v>7310</v>
      </c>
      <c r="C2997" s="5" t="s">
        <v>18</v>
      </c>
      <c r="D2997" s="5" t="s">
        <v>19</v>
      </c>
      <c r="E2997" s="5" t="s">
        <v>255</v>
      </c>
      <c r="F2997" s="9">
        <v>75</v>
      </c>
      <c r="G2997" s="9">
        <v>855</v>
      </c>
      <c r="H2997" s="5" t="s">
        <v>21</v>
      </c>
      <c r="I2997" s="5" t="s">
        <v>7311</v>
      </c>
      <c r="J2997" s="12" t="str">
        <f>HYPERLINK("https://www.boe.es/gazeta/dias/1800/09/16/pdfs/GMD-1800-75.pdf#page=9","Abrir facsímil")</f>
        <v>Abrir facsímil</v>
      </c>
      <c r="K2997" s="15" t="s">
        <v>23</v>
      </c>
    </row>
    <row r="2998" spans="1:11" ht="42" customHeight="1">
      <c r="A2998" s="4" t="s">
        <v>7312</v>
      </c>
      <c r="B2998" s="5" t="s">
        <v>7313</v>
      </c>
      <c r="C2998" s="5" t="s">
        <v>18</v>
      </c>
      <c r="D2998" s="5" t="s">
        <v>19</v>
      </c>
      <c r="E2998" s="5" t="s">
        <v>79</v>
      </c>
      <c r="F2998" s="9">
        <v>7</v>
      </c>
      <c r="G2998" s="9">
        <v>67</v>
      </c>
      <c r="H2998" s="5" t="s">
        <v>21</v>
      </c>
      <c r="I2998" s="5" t="s">
        <v>7314</v>
      </c>
      <c r="J2998" s="12" t="str">
        <f>HYPERLINK("https://www.boe.es/gazeta/dias/1800/01/24/pdfs/GMD-1800-7.pdf#page=7","Abrir facsímil")</f>
        <v>Abrir facsímil</v>
      </c>
      <c r="K2998" s="15" t="s">
        <v>23</v>
      </c>
    </row>
    <row r="2999" spans="1:11" ht="42" customHeight="1">
      <c r="A2999" s="4" t="s">
        <v>7315</v>
      </c>
      <c r="B2999" s="5" t="s">
        <v>7315</v>
      </c>
      <c r="C2999" s="5" t="s">
        <v>207</v>
      </c>
      <c r="D2999" s="5" t="s">
        <v>55</v>
      </c>
      <c r="E2999" s="5" t="s">
        <v>845</v>
      </c>
      <c r="F2999" s="9">
        <v>80</v>
      </c>
      <c r="G2999" s="9">
        <v>906</v>
      </c>
      <c r="H2999" s="5" t="s">
        <v>21</v>
      </c>
      <c r="I2999" s="5" t="s">
        <v>7316</v>
      </c>
      <c r="J2999" s="12" t="str">
        <f>HYPERLINK("https://www.boe.es/gazeta/dias/1800/10/03/pdfs/GMD-1800-80.pdf#page=4","Abrir facsímil")</f>
        <v>Abrir facsímil</v>
      </c>
      <c r="K2999" s="15" t="s">
        <v>23</v>
      </c>
    </row>
    <row r="3000" spans="1:11" ht="42" customHeight="1">
      <c r="A3000" s="4" t="s">
        <v>7317</v>
      </c>
      <c r="B3000" s="5" t="s">
        <v>7318</v>
      </c>
      <c r="C3000" s="5" t="s">
        <v>54</v>
      </c>
      <c r="D3000" s="5" t="s">
        <v>55</v>
      </c>
      <c r="E3000" s="5" t="s">
        <v>90</v>
      </c>
      <c r="F3000" s="9">
        <v>58</v>
      </c>
      <c r="G3000" s="9">
        <v>656</v>
      </c>
      <c r="H3000" s="5" t="s">
        <v>21</v>
      </c>
      <c r="I3000" s="5" t="s">
        <v>7319</v>
      </c>
      <c r="J3000" s="12" t="str">
        <f>HYPERLINK("https://www.boe.es/gazeta/dias/1800/07/22/pdfs/GMD-1800-58.pdf#page=4","Abrir facsímil")</f>
        <v>Abrir facsímil</v>
      </c>
      <c r="K3000" s="15" t="s">
        <v>23</v>
      </c>
    </row>
    <row r="3001" spans="1:11" ht="42" customHeight="1">
      <c r="A3001" s="4" t="s">
        <v>7320</v>
      </c>
      <c r="B3001" s="5" t="s">
        <v>7320</v>
      </c>
      <c r="C3001" s="5" t="s">
        <v>41</v>
      </c>
      <c r="D3001" s="5" t="s">
        <v>42</v>
      </c>
      <c r="E3001" s="5" t="s">
        <v>86</v>
      </c>
      <c r="F3001" s="9">
        <v>17</v>
      </c>
      <c r="G3001" s="9">
        <v>156</v>
      </c>
      <c r="H3001" s="5" t="s">
        <v>21</v>
      </c>
      <c r="I3001" s="5" t="s">
        <v>7321</v>
      </c>
      <c r="J3001" s="12" t="str">
        <f>HYPERLINK("https://www.boe.es/gazeta/dias/1800/02/28/pdfs/GMD-1800-17.pdf#page=4","Abrir facsímil")</f>
        <v>Abrir facsímil</v>
      </c>
      <c r="K3001" s="15" t="s">
        <v>23</v>
      </c>
    </row>
    <row r="3002" spans="1:11" ht="42" customHeight="1">
      <c r="A3002" s="4" t="s">
        <v>7320</v>
      </c>
      <c r="B3002" s="5" t="s">
        <v>7320</v>
      </c>
      <c r="C3002" s="5" t="s">
        <v>41</v>
      </c>
      <c r="D3002" s="5" t="s">
        <v>42</v>
      </c>
      <c r="E3002" s="5" t="s">
        <v>35</v>
      </c>
      <c r="F3002" s="9">
        <v>21</v>
      </c>
      <c r="G3002" s="9">
        <v>199</v>
      </c>
      <c r="H3002" s="5" t="s">
        <v>21</v>
      </c>
      <c r="I3002" s="5" t="s">
        <v>7322</v>
      </c>
      <c r="J3002" s="12" t="str">
        <f>HYPERLINK("https://www.boe.es/gazeta/dias/1800/03/14/pdfs/GMD-1800-21.pdf#page=3","Abrir facsímil")</f>
        <v>Abrir facsímil</v>
      </c>
      <c r="K3002" s="15" t="s">
        <v>23</v>
      </c>
    </row>
    <row r="3003" spans="1:11" ht="42" customHeight="1">
      <c r="A3003" s="4" t="s">
        <v>7320</v>
      </c>
      <c r="B3003" s="5" t="s">
        <v>7320</v>
      </c>
      <c r="C3003" s="5" t="s">
        <v>41</v>
      </c>
      <c r="D3003" s="5" t="s">
        <v>42</v>
      </c>
      <c r="E3003" s="5" t="s">
        <v>35</v>
      </c>
      <c r="F3003" s="9">
        <v>21</v>
      </c>
      <c r="G3003" s="9">
        <v>200</v>
      </c>
      <c r="H3003" s="5" t="s">
        <v>21</v>
      </c>
      <c r="I3003" s="5" t="s">
        <v>7323</v>
      </c>
      <c r="J3003" s="12" t="str">
        <f>HYPERLINK("https://www.boe.es/gazeta/dias/1800/03/14/pdfs/GMD-1800-21.pdf#page=4","Abrir facsímil")</f>
        <v>Abrir facsímil</v>
      </c>
      <c r="K3003" s="15" t="s">
        <v>23</v>
      </c>
    </row>
    <row r="3004" spans="1:11" ht="42" customHeight="1">
      <c r="A3004" s="4" t="s">
        <v>7320</v>
      </c>
      <c r="B3004" s="5" t="s">
        <v>7320</v>
      </c>
      <c r="C3004" s="5" t="s">
        <v>41</v>
      </c>
      <c r="D3004" s="5" t="s">
        <v>42</v>
      </c>
      <c r="E3004" s="5" t="s">
        <v>35</v>
      </c>
      <c r="F3004" s="9">
        <v>21</v>
      </c>
      <c r="G3004" s="9">
        <v>201</v>
      </c>
      <c r="H3004" s="5" t="s">
        <v>21</v>
      </c>
      <c r="I3004" s="5" t="s">
        <v>7324</v>
      </c>
      <c r="J3004" s="12" t="str">
        <f>HYPERLINK("https://www.boe.es/gazeta/dias/1800/03/14/pdfs/GMD-1800-21.pdf#page=5","Abrir facsímil")</f>
        <v>Abrir facsímil</v>
      </c>
      <c r="K3004" s="15" t="s">
        <v>23</v>
      </c>
    </row>
    <row r="3005" spans="1:11" ht="42" customHeight="1">
      <c r="A3005" s="4" t="s">
        <v>7320</v>
      </c>
      <c r="B3005" s="5" t="s">
        <v>7320</v>
      </c>
      <c r="C3005" s="5" t="s">
        <v>41</v>
      </c>
      <c r="D3005" s="5" t="s">
        <v>42</v>
      </c>
      <c r="E3005" s="5" t="s">
        <v>143</v>
      </c>
      <c r="F3005" s="9">
        <v>22</v>
      </c>
      <c r="G3005" s="9">
        <v>214</v>
      </c>
      <c r="H3005" s="5" t="s">
        <v>21</v>
      </c>
      <c r="I3005" s="5" t="s">
        <v>7325</v>
      </c>
      <c r="J3005" s="12" t="str">
        <f>HYPERLINK("https://www.boe.es/gazeta/dias/1800/03/18/pdfs/GMD-1800-22.pdf#page=6","Abrir facsímil")</f>
        <v>Abrir facsímil</v>
      </c>
      <c r="K3005" s="15" t="s">
        <v>23</v>
      </c>
    </row>
    <row r="3006" spans="1:11" ht="42" customHeight="1">
      <c r="A3006" s="4" t="s">
        <v>7320</v>
      </c>
      <c r="B3006" s="5" t="s">
        <v>7320</v>
      </c>
      <c r="C3006" s="5" t="s">
        <v>84</v>
      </c>
      <c r="D3006" s="5" t="s">
        <v>85</v>
      </c>
      <c r="E3006" s="5" t="s">
        <v>75</v>
      </c>
      <c r="F3006" s="9">
        <v>64</v>
      </c>
      <c r="G3006" s="9">
        <v>727</v>
      </c>
      <c r="H3006" s="5" t="s">
        <v>21</v>
      </c>
      <c r="I3006" s="5" t="s">
        <v>7326</v>
      </c>
      <c r="J3006" s="12" t="str">
        <f>HYPERLINK("https://www.boe.es/gazeta/dias/1800/08/12/pdfs/GMD-1800-64.pdf#page=3","Abrir facsímil")</f>
        <v>Abrir facsímil</v>
      </c>
      <c r="K3006" s="15" t="s">
        <v>23</v>
      </c>
    </row>
    <row r="3007" spans="1:11" ht="42" customHeight="1">
      <c r="A3007" s="4" t="s">
        <v>7320</v>
      </c>
      <c r="B3007" s="5" t="s">
        <v>7320</v>
      </c>
      <c r="C3007" s="5" t="s">
        <v>41</v>
      </c>
      <c r="D3007" s="5" t="s">
        <v>42</v>
      </c>
      <c r="E3007" s="5" t="s">
        <v>283</v>
      </c>
      <c r="F3007" s="9">
        <v>68</v>
      </c>
      <c r="G3007" s="9">
        <v>758</v>
      </c>
      <c r="H3007" s="5" t="s">
        <v>21</v>
      </c>
      <c r="I3007" s="5" t="s">
        <v>7327</v>
      </c>
      <c r="J3007" s="12" t="str">
        <f>HYPERLINK("https://www.boe.es/gazeta/dias/1800/08/26/pdfs/GMD-1800-68.pdf#page=2","Abrir facsímil")</f>
        <v>Abrir facsímil</v>
      </c>
      <c r="K3007" s="15" t="s">
        <v>23</v>
      </c>
    </row>
    <row r="3008" spans="1:11" ht="42" customHeight="1">
      <c r="A3008" s="4" t="s">
        <v>7320</v>
      </c>
      <c r="B3008" s="5" t="s">
        <v>7320</v>
      </c>
      <c r="C3008" s="5" t="s">
        <v>41</v>
      </c>
      <c r="D3008" s="5" t="s">
        <v>42</v>
      </c>
      <c r="E3008" s="5" t="s">
        <v>56</v>
      </c>
      <c r="F3008" s="9">
        <v>90</v>
      </c>
      <c r="G3008" s="9">
        <v>1050</v>
      </c>
      <c r="H3008" s="5" t="s">
        <v>21</v>
      </c>
      <c r="I3008" s="5" t="s">
        <v>7328</v>
      </c>
      <c r="J3008" s="12" t="str">
        <f>HYPERLINK("https://www.boe.es/gazeta/dias/1800/11/07/pdfs/GMD-1800-90.pdf#page=4","Abrir facsímil")</f>
        <v>Abrir facsímil</v>
      </c>
      <c r="K3008" s="15" t="s">
        <v>23</v>
      </c>
    </row>
    <row r="3009" spans="1:11" ht="42" customHeight="1">
      <c r="A3009" s="4" t="s">
        <v>7329</v>
      </c>
      <c r="B3009" s="5" t="s">
        <v>7330</v>
      </c>
      <c r="C3009" s="5" t="s">
        <v>18</v>
      </c>
      <c r="D3009" s="5" t="s">
        <v>19</v>
      </c>
      <c r="E3009" s="5" t="s">
        <v>240</v>
      </c>
      <c r="F3009" s="9">
        <v>26</v>
      </c>
      <c r="G3009" s="9">
        <v>269</v>
      </c>
      <c r="H3009" s="5" t="s">
        <v>21</v>
      </c>
      <c r="I3009" s="5" t="s">
        <v>7331</v>
      </c>
      <c r="J3009" s="12" t="str">
        <f>HYPERLINK("https://www.boe.es/gazeta/dias/1800/04/01/pdfs/GMD-1800-26.pdf#page=9","Abrir facsímil")</f>
        <v>Abrir facsímil</v>
      </c>
      <c r="K3009" s="15" t="s">
        <v>23</v>
      </c>
    </row>
    <row r="3010" spans="1:11" ht="42" customHeight="1">
      <c r="A3010" s="4" t="s">
        <v>7332</v>
      </c>
      <c r="B3010" s="5" t="s">
        <v>7332</v>
      </c>
      <c r="C3010" s="5" t="s">
        <v>18</v>
      </c>
      <c r="D3010" s="5" t="s">
        <v>19</v>
      </c>
      <c r="E3010" s="5" t="s">
        <v>196</v>
      </c>
      <c r="F3010" s="9">
        <v>97</v>
      </c>
      <c r="G3010" s="9">
        <v>1117</v>
      </c>
      <c r="H3010" s="5" t="s">
        <v>21</v>
      </c>
      <c r="I3010" s="5" t="s">
        <v>7333</v>
      </c>
      <c r="J3010" s="12" t="str">
        <f>HYPERLINK("https://www.boe.es/gazeta/dias/1800/12/02/pdfs/GMD-1800-97.pdf#page=9","Abrir facsímil")</f>
        <v>Abrir facsímil</v>
      </c>
      <c r="K3010" s="15" t="s">
        <v>23</v>
      </c>
    </row>
    <row r="3011" spans="1:11" ht="42" customHeight="1">
      <c r="A3011" s="4" t="s">
        <v>7334</v>
      </c>
      <c r="B3011" s="5" t="s">
        <v>7334</v>
      </c>
      <c r="C3011" s="5" t="s">
        <v>25</v>
      </c>
      <c r="D3011" s="5" t="s">
        <v>26</v>
      </c>
      <c r="E3011" s="5" t="s">
        <v>314</v>
      </c>
      <c r="F3011" s="9">
        <v>74</v>
      </c>
      <c r="G3011" s="9">
        <v>835</v>
      </c>
      <c r="H3011" s="5" t="s">
        <v>21</v>
      </c>
      <c r="I3011" s="5" t="s">
        <v>7335</v>
      </c>
      <c r="J3011" s="12" t="str">
        <f>HYPERLINK("https://www.boe.es/gazeta/dias/1800/09/12/pdfs/GMD-1800-74.pdf#page=13","Abrir facsímil")</f>
        <v>Abrir facsímil</v>
      </c>
      <c r="K3011" s="15" t="s">
        <v>23</v>
      </c>
    </row>
    <row r="3012" spans="1:11" ht="42" customHeight="1">
      <c r="A3012" s="4" t="s">
        <v>7336</v>
      </c>
      <c r="B3012" s="5" t="s">
        <v>7337</v>
      </c>
      <c r="C3012" s="5" t="s">
        <v>171</v>
      </c>
      <c r="D3012" s="5" t="s">
        <v>172</v>
      </c>
      <c r="E3012" s="5" t="s">
        <v>595</v>
      </c>
      <c r="F3012" s="9">
        <v>72</v>
      </c>
      <c r="G3012" s="9">
        <v>801</v>
      </c>
      <c r="H3012" s="5" t="s">
        <v>21</v>
      </c>
      <c r="I3012" s="5" t="s">
        <v>7338</v>
      </c>
      <c r="J3012" s="12" t="str">
        <f>HYPERLINK("https://www.boe.es/gazeta/dias/1800/09/05/pdfs/GMD-C-1800-72.pdf#page=3","Abrir facsímil")</f>
        <v>Abrir facsímil</v>
      </c>
      <c r="K3012" s="15" t="s">
        <v>23</v>
      </c>
    </row>
    <row r="3013" spans="1:11" ht="42" customHeight="1">
      <c r="A3013" s="4" t="s">
        <v>7339</v>
      </c>
      <c r="B3013" s="5" t="s">
        <v>7340</v>
      </c>
      <c r="C3013" s="5" t="s">
        <v>18</v>
      </c>
      <c r="D3013" s="5" t="s">
        <v>19</v>
      </c>
      <c r="E3013" s="5" t="s">
        <v>45</v>
      </c>
      <c r="F3013" s="9">
        <v>47</v>
      </c>
      <c r="G3013" s="9">
        <v>501</v>
      </c>
      <c r="H3013" s="5" t="s">
        <v>21</v>
      </c>
      <c r="I3013" s="5" t="s">
        <v>7341</v>
      </c>
      <c r="J3013" s="12" t="str">
        <f>HYPERLINK("https://www.boe.es/gazeta/dias/1800/06/13/pdfs/GMD-1800-47.pdf#page=9","Abrir facsímil")</f>
        <v>Abrir facsímil</v>
      </c>
      <c r="K3013" s="15" t="s">
        <v>23</v>
      </c>
    </row>
    <row r="3014" spans="1:11" ht="42" customHeight="1">
      <c r="A3014" s="4" t="s">
        <v>7342</v>
      </c>
      <c r="B3014" s="5" t="s">
        <v>7342</v>
      </c>
      <c r="C3014" s="5" t="s">
        <v>18</v>
      </c>
      <c r="D3014" s="5" t="s">
        <v>19</v>
      </c>
      <c r="E3014" s="5" t="s">
        <v>82</v>
      </c>
      <c r="F3014" s="9">
        <v>10</v>
      </c>
      <c r="G3014" s="9">
        <v>98</v>
      </c>
      <c r="H3014" s="5" t="s">
        <v>21</v>
      </c>
      <c r="I3014" s="5" t="s">
        <v>7343</v>
      </c>
      <c r="J3014" s="12" t="str">
        <f>HYPERLINK("https://www.boe.es/gazeta/dias/1800/02/04/pdfs/GMD-1800-10.pdf#page=10","Abrir facsímil")</f>
        <v>Abrir facsímil</v>
      </c>
      <c r="K3014" s="15" t="s">
        <v>23</v>
      </c>
    </row>
    <row r="3015" spans="1:11" ht="42" customHeight="1">
      <c r="A3015" s="4" t="s">
        <v>7344</v>
      </c>
      <c r="B3015" s="5" t="s">
        <v>7344</v>
      </c>
      <c r="C3015" s="5" t="s">
        <v>54</v>
      </c>
      <c r="D3015" s="5" t="s">
        <v>55</v>
      </c>
      <c r="E3015" s="5" t="s">
        <v>248</v>
      </c>
      <c r="F3015" s="9">
        <v>33</v>
      </c>
      <c r="G3015" s="9">
        <v>335</v>
      </c>
      <c r="H3015" s="5" t="s">
        <v>21</v>
      </c>
      <c r="I3015" s="5" t="s">
        <v>7345</v>
      </c>
      <c r="J3015" s="12" t="str">
        <f>HYPERLINK("https://www.boe.es/gazeta/dias/1800/04/25/pdfs/GMD-1800-33.pdf#page=11","Abrir facsímil")</f>
        <v>Abrir facsímil</v>
      </c>
      <c r="K3015" s="15" t="s">
        <v>23</v>
      </c>
    </row>
    <row r="3016" spans="1:11" ht="42" customHeight="1">
      <c r="A3016" s="4" t="s">
        <v>7346</v>
      </c>
      <c r="B3016" s="5" t="s">
        <v>7346</v>
      </c>
      <c r="C3016" s="5" t="s">
        <v>54</v>
      </c>
      <c r="D3016" s="5" t="s">
        <v>55</v>
      </c>
      <c r="E3016" s="5" t="s">
        <v>31</v>
      </c>
      <c r="F3016" s="9">
        <v>20</v>
      </c>
      <c r="G3016" s="9">
        <v>195</v>
      </c>
      <c r="H3016" s="5" t="s">
        <v>21</v>
      </c>
      <c r="I3016" s="5" t="s">
        <v>7347</v>
      </c>
      <c r="J3016" s="12" t="str">
        <f>HYPERLINK("https://www.boe.es/gazeta/dias/1800/03/11/pdfs/GMD-1800-20.pdf#page=11","Abrir facsímil")</f>
        <v>Abrir facsímil</v>
      </c>
      <c r="K3016" s="15" t="s">
        <v>23</v>
      </c>
    </row>
    <row r="3017" spans="1:11" ht="42" customHeight="1">
      <c r="A3017" s="4" t="s">
        <v>7348</v>
      </c>
      <c r="B3017" s="5" t="s">
        <v>7348</v>
      </c>
      <c r="C3017" s="5" t="s">
        <v>18</v>
      </c>
      <c r="D3017" s="5" t="s">
        <v>19</v>
      </c>
      <c r="E3017" s="5" t="s">
        <v>299</v>
      </c>
      <c r="F3017" s="9">
        <v>40</v>
      </c>
      <c r="G3017" s="9">
        <v>414</v>
      </c>
      <c r="H3017" s="5" t="s">
        <v>21</v>
      </c>
      <c r="I3017" s="5" t="s">
        <v>7349</v>
      </c>
      <c r="J3017" s="12" t="str">
        <f>HYPERLINK("https://www.boe.es/gazeta/dias/1800/05/20/pdfs/GMD-1800-40.pdf#page=10","Abrir facsímil")</f>
        <v>Abrir facsímil</v>
      </c>
      <c r="K3017" s="15" t="s">
        <v>23</v>
      </c>
    </row>
    <row r="3018" spans="1:11" ht="42" customHeight="1">
      <c r="A3018" s="4" t="s">
        <v>7350</v>
      </c>
      <c r="B3018" s="5" t="s">
        <v>7350</v>
      </c>
      <c r="C3018" s="5" t="s">
        <v>18</v>
      </c>
      <c r="D3018" s="5" t="s">
        <v>19</v>
      </c>
      <c r="E3018" s="5" t="s">
        <v>35</v>
      </c>
      <c r="F3018" s="9">
        <v>21</v>
      </c>
      <c r="G3018" s="9">
        <v>206</v>
      </c>
      <c r="H3018" s="5" t="s">
        <v>21</v>
      </c>
      <c r="I3018" s="5" t="s">
        <v>7351</v>
      </c>
      <c r="J3018" s="12" t="str">
        <f>HYPERLINK("https://www.boe.es/gazeta/dias/1800/03/14/pdfs/GMD-1800-21.pdf#page=10","Abrir facsímil")</f>
        <v>Abrir facsímil</v>
      </c>
      <c r="K3018" s="15" t="s">
        <v>23</v>
      </c>
    </row>
    <row r="3019" spans="1:11" ht="42" customHeight="1">
      <c r="A3019" s="4" t="s">
        <v>7352</v>
      </c>
      <c r="B3019" s="5" t="s">
        <v>7352</v>
      </c>
      <c r="C3019" s="5" t="s">
        <v>54</v>
      </c>
      <c r="D3019" s="5" t="s">
        <v>55</v>
      </c>
      <c r="E3019" s="5" t="s">
        <v>139</v>
      </c>
      <c r="F3019" s="9">
        <v>2</v>
      </c>
      <c r="G3019" s="9">
        <v>19</v>
      </c>
      <c r="H3019" s="5" t="s">
        <v>21</v>
      </c>
      <c r="I3019" s="5" t="s">
        <v>7353</v>
      </c>
      <c r="J3019" s="12" t="str">
        <f>HYPERLINK("https://www.boe.es/gazeta/dias/1800/01/07/pdfs/GMD-1800-2.pdf#page=11","Abrir facsímil")</f>
        <v>Abrir facsímil</v>
      </c>
      <c r="K3019" s="15" t="s">
        <v>23</v>
      </c>
    </row>
    <row r="3020" spans="1:11" ht="42" customHeight="1">
      <c r="A3020" s="4" t="s">
        <v>7354</v>
      </c>
      <c r="B3020" s="5" t="s">
        <v>7354</v>
      </c>
      <c r="C3020" s="5" t="s">
        <v>18</v>
      </c>
      <c r="D3020" s="5" t="s">
        <v>19</v>
      </c>
      <c r="E3020" s="5" t="s">
        <v>56</v>
      </c>
      <c r="F3020" s="9">
        <v>90</v>
      </c>
      <c r="G3020" s="9">
        <v>1056</v>
      </c>
      <c r="H3020" s="5" t="s">
        <v>21</v>
      </c>
      <c r="I3020" s="5" t="s">
        <v>7355</v>
      </c>
      <c r="J3020" s="12" t="str">
        <f>HYPERLINK("https://www.boe.es/gazeta/dias/1800/11/07/pdfs/GMD-1800-90.pdf#page=10","Abrir facsímil")</f>
        <v>Abrir facsímil</v>
      </c>
      <c r="K3020" s="15" t="s">
        <v>23</v>
      </c>
    </row>
    <row r="3021" spans="1:11" ht="42" customHeight="1">
      <c r="A3021" s="4" t="s">
        <v>7354</v>
      </c>
      <c r="B3021" s="5" t="s">
        <v>7354</v>
      </c>
      <c r="C3021" s="5" t="s">
        <v>18</v>
      </c>
      <c r="D3021" s="5" t="s">
        <v>19</v>
      </c>
      <c r="E3021" s="5" t="s">
        <v>180</v>
      </c>
      <c r="F3021" s="9">
        <v>102</v>
      </c>
      <c r="G3021" s="9">
        <v>1185</v>
      </c>
      <c r="H3021" s="5" t="s">
        <v>21</v>
      </c>
      <c r="I3021" s="5" t="s">
        <v>7356</v>
      </c>
      <c r="J3021" s="12" t="str">
        <f>HYPERLINK("https://www.boe.es/gazeta/dias/1800/12/19/pdfs/GMD-1800-102.pdf#page=9","Abrir facsímil")</f>
        <v>Abrir facsímil</v>
      </c>
      <c r="K3021" s="15" t="s">
        <v>23</v>
      </c>
    </row>
    <row r="3022" spans="1:11" ht="42" customHeight="1">
      <c r="A3022" s="4" t="s">
        <v>7357</v>
      </c>
      <c r="B3022" s="5" t="s">
        <v>7357</v>
      </c>
      <c r="C3022" s="5" t="s">
        <v>18</v>
      </c>
      <c r="D3022" s="5" t="s">
        <v>19</v>
      </c>
      <c r="E3022" s="5" t="s">
        <v>244</v>
      </c>
      <c r="F3022" s="9">
        <v>9</v>
      </c>
      <c r="G3022" s="9">
        <v>85</v>
      </c>
      <c r="H3022" s="5" t="s">
        <v>21</v>
      </c>
      <c r="I3022" s="5" t="s">
        <v>7358</v>
      </c>
      <c r="J3022" s="12" t="str">
        <f>HYPERLINK("https://www.boe.es/gazeta/dias/1800/01/31/pdfs/GMD-1800-9.pdf#page=9","Abrir facsímil")</f>
        <v>Abrir facsímil</v>
      </c>
      <c r="K3022" s="15" t="s">
        <v>23</v>
      </c>
    </row>
    <row r="3023" spans="1:11" ht="42" customHeight="1">
      <c r="A3023" s="4" t="s">
        <v>7357</v>
      </c>
      <c r="B3023" s="5" t="s">
        <v>7357</v>
      </c>
      <c r="C3023" s="5" t="s">
        <v>25</v>
      </c>
      <c r="D3023" s="5" t="s">
        <v>26</v>
      </c>
      <c r="E3023" s="5" t="s">
        <v>48</v>
      </c>
      <c r="F3023" s="9">
        <v>66</v>
      </c>
      <c r="G3023" s="9">
        <v>747</v>
      </c>
      <c r="H3023" s="5" t="s">
        <v>21</v>
      </c>
      <c r="I3023" s="5" t="s">
        <v>7359</v>
      </c>
      <c r="J3023" s="12" t="str">
        <f>HYPERLINK("https://www.boe.es/gazeta/dias/1800/08/19/pdfs/GMD-1800-66.pdf#page=11","Abrir facsímil")</f>
        <v>Abrir facsímil</v>
      </c>
      <c r="K3023" s="15" t="s">
        <v>23</v>
      </c>
    </row>
    <row r="3024" spans="1:11" ht="42" customHeight="1">
      <c r="A3024" s="4" t="s">
        <v>7360</v>
      </c>
      <c r="B3024" s="5" t="s">
        <v>7360</v>
      </c>
      <c r="C3024" s="5" t="s">
        <v>18</v>
      </c>
      <c r="D3024" s="5" t="s">
        <v>19</v>
      </c>
      <c r="E3024" s="5" t="s">
        <v>314</v>
      </c>
      <c r="F3024" s="9">
        <v>74</v>
      </c>
      <c r="G3024" s="9">
        <v>831</v>
      </c>
      <c r="H3024" s="5" t="s">
        <v>21</v>
      </c>
      <c r="I3024" s="5" t="s">
        <v>7361</v>
      </c>
      <c r="J3024" s="12" t="str">
        <f>HYPERLINK("https://www.boe.es/gazeta/dias/1800/09/12/pdfs/GMD-1800-74.pdf#page=9","Abrir facsímil")</f>
        <v>Abrir facsímil</v>
      </c>
      <c r="K3024" s="15" t="s">
        <v>23</v>
      </c>
    </row>
    <row r="3025" spans="1:11" ht="42" customHeight="1">
      <c r="A3025" s="4" t="s">
        <v>7362</v>
      </c>
      <c r="B3025" s="5" t="s">
        <v>7362</v>
      </c>
      <c r="C3025" s="5" t="s">
        <v>18</v>
      </c>
      <c r="D3025" s="5" t="s">
        <v>19</v>
      </c>
      <c r="E3025" s="5" t="s">
        <v>56</v>
      </c>
      <c r="F3025" s="9">
        <v>90</v>
      </c>
      <c r="G3025" s="9">
        <v>1056</v>
      </c>
      <c r="H3025" s="5" t="s">
        <v>21</v>
      </c>
      <c r="I3025" s="5" t="s">
        <v>7363</v>
      </c>
      <c r="J3025" s="12" t="str">
        <f>HYPERLINK("https://www.boe.es/gazeta/dias/1800/11/07/pdfs/GMD-1800-90.pdf#page=10","Abrir facsímil")</f>
        <v>Abrir facsímil</v>
      </c>
      <c r="K3025" s="15" t="s">
        <v>23</v>
      </c>
    </row>
    <row r="3026" spans="1:11" ht="42" customHeight="1">
      <c r="A3026" s="4" t="s">
        <v>7362</v>
      </c>
      <c r="B3026" s="5" t="s">
        <v>7362</v>
      </c>
      <c r="C3026" s="5" t="s">
        <v>18</v>
      </c>
      <c r="D3026" s="5" t="s">
        <v>19</v>
      </c>
      <c r="E3026" s="5" t="s">
        <v>534</v>
      </c>
      <c r="F3026" s="9">
        <v>100</v>
      </c>
      <c r="G3026" s="9">
        <v>1160</v>
      </c>
      <c r="H3026" s="5" t="s">
        <v>21</v>
      </c>
      <c r="I3026" s="5" t="s">
        <v>7364</v>
      </c>
      <c r="J3026" s="12" t="str">
        <f>HYPERLINK("https://www.boe.es/gazeta/dias/1800/12/12/pdfs/GMD-1800-100.pdf#page=12","Abrir facsímil")</f>
        <v>Abrir facsímil</v>
      </c>
      <c r="K3026" s="15" t="s">
        <v>23</v>
      </c>
    </row>
    <row r="3027" spans="1:11" ht="42" customHeight="1">
      <c r="A3027" s="4" t="s">
        <v>7365</v>
      </c>
      <c r="B3027" s="5" t="s">
        <v>7365</v>
      </c>
      <c r="C3027" s="5" t="s">
        <v>54</v>
      </c>
      <c r="D3027" s="5" t="s">
        <v>55</v>
      </c>
      <c r="E3027" s="5" t="s">
        <v>139</v>
      </c>
      <c r="F3027" s="9">
        <v>2</v>
      </c>
      <c r="G3027" s="9">
        <v>19</v>
      </c>
      <c r="H3027" s="5" t="s">
        <v>21</v>
      </c>
      <c r="I3027" s="5" t="s">
        <v>7366</v>
      </c>
      <c r="J3027" s="12" t="str">
        <f>HYPERLINK("https://www.boe.es/gazeta/dias/1800/01/07/pdfs/GMD-1800-2.pdf#page=11","Abrir facsímil")</f>
        <v>Abrir facsímil</v>
      </c>
      <c r="K3027" s="15" t="s">
        <v>23</v>
      </c>
    </row>
    <row r="3028" spans="1:11" ht="42" customHeight="1">
      <c r="A3028" s="4" t="s">
        <v>7367</v>
      </c>
      <c r="B3028" s="5" t="s">
        <v>7368</v>
      </c>
      <c r="C3028" s="5" t="s">
        <v>207</v>
      </c>
      <c r="D3028" s="5" t="s">
        <v>55</v>
      </c>
      <c r="E3028" s="5" t="s">
        <v>478</v>
      </c>
      <c r="F3028" s="9">
        <v>34</v>
      </c>
      <c r="G3028" s="9">
        <v>338</v>
      </c>
      <c r="H3028" s="5" t="s">
        <v>21</v>
      </c>
      <c r="I3028" s="5" t="s">
        <v>7369</v>
      </c>
      <c r="J3028" s="12" t="str">
        <f>HYPERLINK("https://www.boe.es/gazeta/dias/1800/04/29/pdfs/GMD-1800-34.pdf#page=2","Abrir facsímil")</f>
        <v>Abrir facsímil</v>
      </c>
      <c r="K3028" s="15" t="s">
        <v>23</v>
      </c>
    </row>
    <row r="3029" spans="1:11" ht="42" customHeight="1">
      <c r="A3029" s="4" t="s">
        <v>7370</v>
      </c>
      <c r="B3029" s="5" t="s">
        <v>7370</v>
      </c>
      <c r="C3029" s="5" t="s">
        <v>84</v>
      </c>
      <c r="D3029" s="5" t="s">
        <v>85</v>
      </c>
      <c r="E3029" s="5" t="s">
        <v>58</v>
      </c>
      <c r="F3029" s="9">
        <v>92</v>
      </c>
      <c r="G3029" s="9">
        <v>1053</v>
      </c>
      <c r="H3029" s="5" t="s">
        <v>21</v>
      </c>
      <c r="I3029" s="5" t="s">
        <v>7371</v>
      </c>
      <c r="J3029" s="12" t="str">
        <f>HYPERLINK("https://www.boe.es/gazeta/dias/1800/11/14/pdfs/GMD-1800-92.pdf#page=7","Abrir facsímil")</f>
        <v>Abrir facsímil</v>
      </c>
      <c r="K3029" s="15" t="s">
        <v>23</v>
      </c>
    </row>
    <row r="3030" spans="1:11" ht="42" customHeight="1">
      <c r="A3030" s="4" t="s">
        <v>7372</v>
      </c>
      <c r="B3030" s="5" t="s">
        <v>7372</v>
      </c>
      <c r="C3030" s="5" t="s">
        <v>84</v>
      </c>
      <c r="D3030" s="5" t="s">
        <v>85</v>
      </c>
      <c r="E3030" s="5" t="s">
        <v>825</v>
      </c>
      <c r="F3030" s="9">
        <v>51</v>
      </c>
      <c r="G3030" s="9">
        <v>561</v>
      </c>
      <c r="H3030" s="5" t="s">
        <v>21</v>
      </c>
      <c r="I3030" s="5" t="s">
        <v>7373</v>
      </c>
      <c r="J3030" s="12" t="str">
        <f>HYPERLINK("https://www.boe.es/gazeta/dias/1800/06/27/pdfs/GMD-1800-51.pdf#page=13","Abrir facsímil")</f>
        <v>Abrir facsímil</v>
      </c>
      <c r="K3030" s="15" t="s">
        <v>23</v>
      </c>
    </row>
    <row r="3031" spans="1:11" ht="42" customHeight="1">
      <c r="A3031" s="4" t="s">
        <v>7374</v>
      </c>
      <c r="B3031" s="5" t="s">
        <v>7375</v>
      </c>
      <c r="C3031" s="5" t="s">
        <v>18</v>
      </c>
      <c r="D3031" s="5" t="s">
        <v>19</v>
      </c>
      <c r="E3031" s="5" t="s">
        <v>90</v>
      </c>
      <c r="F3031" s="9">
        <v>58</v>
      </c>
      <c r="G3031" s="9">
        <v>663</v>
      </c>
      <c r="H3031" s="5" t="s">
        <v>21</v>
      </c>
      <c r="I3031" s="5" t="s">
        <v>7376</v>
      </c>
      <c r="J3031" s="12" t="str">
        <f>HYPERLINK("https://www.boe.es/gazeta/dias/1800/07/22/pdfs/GMD-1800-58.pdf#page=11","Abrir facsímil")</f>
        <v>Abrir facsímil</v>
      </c>
      <c r="K3031" s="15" t="s">
        <v>23</v>
      </c>
    </row>
    <row r="3032" spans="1:11" ht="42" customHeight="1">
      <c r="A3032" s="4" t="s">
        <v>7377</v>
      </c>
      <c r="B3032" s="5" t="s">
        <v>7378</v>
      </c>
      <c r="C3032" s="5" t="s">
        <v>54</v>
      </c>
      <c r="D3032" s="5" t="s">
        <v>55</v>
      </c>
      <c r="E3032" s="5" t="s">
        <v>75</v>
      </c>
      <c r="F3032" s="9">
        <v>64</v>
      </c>
      <c r="G3032" s="9">
        <v>734</v>
      </c>
      <c r="H3032" s="5" t="s">
        <v>21</v>
      </c>
      <c r="I3032" s="5" t="s">
        <v>7379</v>
      </c>
      <c r="J3032" s="12" t="str">
        <f>HYPERLINK("https://www.boe.es/gazeta/dias/1800/08/12/pdfs/GMD-1800-64.pdf#page=10","Abrir facsímil")</f>
        <v>Abrir facsímil</v>
      </c>
      <c r="K3032" s="15" t="s">
        <v>23</v>
      </c>
    </row>
    <row r="3033" spans="1:11" ht="42" customHeight="1">
      <c r="A3033" s="4" t="s">
        <v>7380</v>
      </c>
      <c r="B3033" s="5" t="s">
        <v>7381</v>
      </c>
      <c r="C3033" s="5" t="s">
        <v>18</v>
      </c>
      <c r="D3033" s="5" t="s">
        <v>19</v>
      </c>
      <c r="E3033" s="5" t="s">
        <v>154</v>
      </c>
      <c r="F3033" s="9">
        <v>61</v>
      </c>
      <c r="G3033" s="9">
        <v>696</v>
      </c>
      <c r="H3033" s="5" t="s">
        <v>21</v>
      </c>
      <c r="I3033" s="5" t="s">
        <v>7382</v>
      </c>
      <c r="J3033" s="12" t="str">
        <f>HYPERLINK("https://www.boe.es/gazeta/dias/1800/08/01/pdfs/GMD-1800-61.pdf#page=8","Abrir facsímil")</f>
        <v>Abrir facsímil</v>
      </c>
      <c r="K3033" s="15" t="s">
        <v>23</v>
      </c>
    </row>
    <row r="3034" spans="1:11" ht="42" customHeight="1">
      <c r="A3034" s="4" t="s">
        <v>7383</v>
      </c>
      <c r="B3034" s="5" t="s">
        <v>7384</v>
      </c>
      <c r="C3034" s="5" t="s">
        <v>84</v>
      </c>
      <c r="D3034" s="5" t="s">
        <v>85</v>
      </c>
      <c r="E3034" s="5" t="s">
        <v>139</v>
      </c>
      <c r="F3034" s="9">
        <v>2</v>
      </c>
      <c r="G3034" s="9">
        <v>15</v>
      </c>
      <c r="H3034" s="5" t="s">
        <v>21</v>
      </c>
      <c r="I3034" s="5" t="s">
        <v>7385</v>
      </c>
      <c r="J3034" s="12" t="str">
        <f>HYPERLINK("https://www.boe.es/gazeta/dias/1800/01/07/pdfs/GMD-1800-2.pdf#page=7","Abrir facsímil")</f>
        <v>Abrir facsímil</v>
      </c>
      <c r="K3034" s="15" t="s">
        <v>23</v>
      </c>
    </row>
    <row r="3035" spans="1:11" ht="42" customHeight="1">
      <c r="A3035" s="4" t="s">
        <v>7386</v>
      </c>
      <c r="B3035" s="5" t="s">
        <v>7386</v>
      </c>
      <c r="C3035" s="5" t="s">
        <v>18</v>
      </c>
      <c r="D3035" s="5" t="s">
        <v>19</v>
      </c>
      <c r="E3035" s="5" t="s">
        <v>203</v>
      </c>
      <c r="F3035" s="9">
        <v>94</v>
      </c>
      <c r="G3035" s="9">
        <v>1076</v>
      </c>
      <c r="H3035" s="5" t="s">
        <v>21</v>
      </c>
      <c r="I3035" s="5" t="s">
        <v>7387</v>
      </c>
      <c r="J3035" s="12" t="str">
        <f>HYPERLINK("https://www.boe.es/gazeta/dias/1800/11/21/pdfs/GMD-1800-94.pdf#page=6","Abrir facsímil")</f>
        <v>Abrir facsímil</v>
      </c>
      <c r="K3035" s="15" t="s">
        <v>23</v>
      </c>
    </row>
    <row r="3036" spans="1:11" ht="42" customHeight="1">
      <c r="A3036" s="4" t="s">
        <v>7388</v>
      </c>
      <c r="B3036" s="5" t="s">
        <v>7389</v>
      </c>
      <c r="C3036" s="5" t="s">
        <v>25</v>
      </c>
      <c r="D3036" s="5" t="s">
        <v>26</v>
      </c>
      <c r="E3036" s="5" t="s">
        <v>402</v>
      </c>
      <c r="F3036" s="9">
        <v>101</v>
      </c>
      <c r="G3036" s="9">
        <v>1175</v>
      </c>
      <c r="H3036" s="5" t="s">
        <v>21</v>
      </c>
      <c r="I3036" s="5" t="s">
        <v>7390</v>
      </c>
      <c r="J3036" s="12" t="str">
        <f>HYPERLINK("https://www.boe.es/gazeta/dias/1800/12/16/pdfs/GMD-1800-101.pdf#page=11","Abrir facsímil")</f>
        <v>Abrir facsímil</v>
      </c>
      <c r="K3036" s="15" t="s">
        <v>23</v>
      </c>
    </row>
    <row r="3037" spans="1:11" ht="42" customHeight="1">
      <c r="A3037" s="4" t="s">
        <v>7391</v>
      </c>
      <c r="B3037" s="5" t="s">
        <v>7392</v>
      </c>
      <c r="C3037" s="5" t="s">
        <v>18</v>
      </c>
      <c r="D3037" s="5" t="s">
        <v>19</v>
      </c>
      <c r="E3037" s="5" t="s">
        <v>56</v>
      </c>
      <c r="F3037" s="9">
        <v>90</v>
      </c>
      <c r="G3037" s="9">
        <v>1055</v>
      </c>
      <c r="H3037" s="5" t="s">
        <v>21</v>
      </c>
      <c r="I3037" s="5" t="s">
        <v>7393</v>
      </c>
      <c r="J3037" s="12" t="str">
        <f>HYPERLINK("https://www.boe.es/gazeta/dias/1800/11/07/pdfs/GMD-1800-90.pdf#page=9","Abrir facsímil")</f>
        <v>Abrir facsímil</v>
      </c>
      <c r="K3037" s="15" t="s">
        <v>23</v>
      </c>
    </row>
    <row r="3038" spans="1:11" ht="42" customHeight="1">
      <c r="A3038" s="4" t="s">
        <v>7394</v>
      </c>
      <c r="B3038" s="5" t="s">
        <v>7394</v>
      </c>
      <c r="C3038" s="5" t="s">
        <v>41</v>
      </c>
      <c r="D3038" s="5" t="s">
        <v>42</v>
      </c>
      <c r="E3038" s="5" t="s">
        <v>843</v>
      </c>
      <c r="F3038" s="9">
        <v>78</v>
      </c>
      <c r="G3038" s="9">
        <v>883</v>
      </c>
      <c r="H3038" s="5" t="s">
        <v>21</v>
      </c>
      <c r="I3038" s="5" t="s">
        <v>7395</v>
      </c>
      <c r="J3038" s="12" t="str">
        <f>HYPERLINK("https://www.boe.es/gazeta/dias/1800/09/26/pdfs/GMD-1800-78.pdf#page=1","Abrir facsímil")</f>
        <v>Abrir facsímil</v>
      </c>
      <c r="K3038" s="15" t="s">
        <v>23</v>
      </c>
    </row>
    <row r="3039" spans="1:11" ht="42" customHeight="1">
      <c r="A3039" s="4" t="s">
        <v>7396</v>
      </c>
      <c r="B3039" s="5" t="s">
        <v>7397</v>
      </c>
      <c r="C3039" s="5" t="s">
        <v>18</v>
      </c>
      <c r="D3039" s="5" t="s">
        <v>19</v>
      </c>
      <c r="E3039" s="5" t="s">
        <v>48</v>
      </c>
      <c r="F3039" s="9">
        <v>66</v>
      </c>
      <c r="G3039" s="9">
        <v>746</v>
      </c>
      <c r="H3039" s="5" t="s">
        <v>21</v>
      </c>
      <c r="I3039" s="5" t="s">
        <v>7398</v>
      </c>
      <c r="J3039" s="12" t="str">
        <f>HYPERLINK("https://www.boe.es/gazeta/dias/1800/08/19/pdfs/GMD-1800-66.pdf#page=10","Abrir facsímil")</f>
        <v>Abrir facsímil</v>
      </c>
      <c r="K3039" s="15" t="s">
        <v>23</v>
      </c>
    </row>
    <row r="3040" spans="1:11" ht="42" customHeight="1">
      <c r="A3040" s="4" t="s">
        <v>7399</v>
      </c>
      <c r="B3040" s="5" t="s">
        <v>7400</v>
      </c>
      <c r="C3040" s="5" t="s">
        <v>25</v>
      </c>
      <c r="D3040" s="5" t="s">
        <v>26</v>
      </c>
      <c r="E3040" s="5" t="s">
        <v>190</v>
      </c>
      <c r="F3040" s="9">
        <v>93</v>
      </c>
      <c r="G3040" s="9">
        <v>1068</v>
      </c>
      <c r="H3040" s="5" t="s">
        <v>21</v>
      </c>
      <c r="I3040" s="5" t="s">
        <v>7401</v>
      </c>
      <c r="J3040" s="12" t="str">
        <f>HYPERLINK("https://www.boe.es/gazeta/dias/1800/11/18/pdfs/GMD-1800-93.pdf#page=14","Abrir facsímil")</f>
        <v>Abrir facsímil</v>
      </c>
      <c r="K3040" s="15" t="s">
        <v>23</v>
      </c>
    </row>
    <row r="3041" spans="1:11" ht="42" customHeight="1">
      <c r="A3041" s="4" t="s">
        <v>7399</v>
      </c>
      <c r="B3041" s="5" t="s">
        <v>7400</v>
      </c>
      <c r="C3041" s="5" t="s">
        <v>25</v>
      </c>
      <c r="D3041" s="5" t="s">
        <v>26</v>
      </c>
      <c r="E3041" s="5" t="s">
        <v>203</v>
      </c>
      <c r="F3041" s="9">
        <v>94</v>
      </c>
      <c r="G3041" s="9">
        <v>1079</v>
      </c>
      <c r="H3041" s="5" t="s">
        <v>21</v>
      </c>
      <c r="I3041" s="5" t="s">
        <v>7402</v>
      </c>
      <c r="J3041" s="12" t="str">
        <f>HYPERLINK("https://www.boe.es/gazeta/dias/1800/11/21/pdfs/GMD-1800-94.pdf#page=9","Abrir facsímil")</f>
        <v>Abrir facsímil</v>
      </c>
      <c r="K3041" s="15" t="s">
        <v>23</v>
      </c>
    </row>
    <row r="3042" spans="1:11" ht="42" customHeight="1">
      <c r="A3042" s="4" t="s">
        <v>7403</v>
      </c>
      <c r="B3042" s="5" t="s">
        <v>7404</v>
      </c>
      <c r="C3042" s="5" t="s">
        <v>25</v>
      </c>
      <c r="D3042" s="5" t="s">
        <v>26</v>
      </c>
      <c r="E3042" s="5" t="s">
        <v>105</v>
      </c>
      <c r="F3042" s="9">
        <v>28</v>
      </c>
      <c r="G3042" s="9">
        <v>291</v>
      </c>
      <c r="H3042" s="5" t="s">
        <v>21</v>
      </c>
      <c r="I3042" s="5" t="s">
        <v>7405</v>
      </c>
      <c r="J3042" s="12" t="str">
        <f>HYPERLINK("https://www.boe.es/gazeta/dias/1800/04/08/pdfs/GMD-1800-28.pdf#page=7","Abrir facsímil")</f>
        <v>Abrir facsímil</v>
      </c>
      <c r="K3042" s="15" t="s">
        <v>23</v>
      </c>
    </row>
    <row r="3043" spans="1:11" ht="42" customHeight="1">
      <c r="A3043" s="4" t="s">
        <v>7406</v>
      </c>
      <c r="B3043" s="5" t="s">
        <v>7407</v>
      </c>
      <c r="C3043" s="5" t="s">
        <v>2123</v>
      </c>
      <c r="D3043" s="5" t="s">
        <v>2124</v>
      </c>
      <c r="E3043" s="5" t="s">
        <v>58</v>
      </c>
      <c r="F3043" s="9">
        <v>92</v>
      </c>
      <c r="G3043" s="9">
        <v>1055</v>
      </c>
      <c r="H3043" s="5" t="s">
        <v>21</v>
      </c>
      <c r="I3043" s="5" t="s">
        <v>7408</v>
      </c>
      <c r="J3043" s="12" t="str">
        <f>HYPERLINK("https://www.boe.es/gazeta/dias/1800/11/14/pdfs/GMD-C-1800-92.pdf#page=1","Abrir facsímil")</f>
        <v>Abrir facsímil</v>
      </c>
      <c r="K3043" s="15" t="s">
        <v>23</v>
      </c>
    </row>
    <row r="3044" spans="1:11" ht="42" customHeight="1">
      <c r="A3044" s="4" t="s">
        <v>7409</v>
      </c>
      <c r="B3044" s="5" t="s">
        <v>7410</v>
      </c>
      <c r="C3044" s="5" t="s">
        <v>18</v>
      </c>
      <c r="D3044" s="5" t="s">
        <v>19</v>
      </c>
      <c r="E3044" s="5" t="s">
        <v>590</v>
      </c>
      <c r="F3044" s="9">
        <v>69</v>
      </c>
      <c r="G3044" s="9">
        <v>775</v>
      </c>
      <c r="H3044" s="5" t="s">
        <v>21</v>
      </c>
      <c r="I3044" s="5" t="s">
        <v>7411</v>
      </c>
      <c r="J3044" s="12" t="str">
        <f>HYPERLINK("https://www.boe.es/gazeta/dias/1800/08/29/pdfs/GMD-1800-69.pdf#page=7","Abrir facsímil")</f>
        <v>Abrir facsímil</v>
      </c>
      <c r="K3044" s="15" t="s">
        <v>23</v>
      </c>
    </row>
    <row r="3045" spans="1:11" ht="42" customHeight="1">
      <c r="A3045" s="4" t="s">
        <v>7412</v>
      </c>
      <c r="B3045" s="5" t="s">
        <v>7412</v>
      </c>
      <c r="C3045" s="5" t="s">
        <v>41</v>
      </c>
      <c r="D3045" s="5" t="s">
        <v>42</v>
      </c>
      <c r="E3045" s="5" t="s">
        <v>478</v>
      </c>
      <c r="F3045" s="9">
        <v>34</v>
      </c>
      <c r="G3045" s="9">
        <v>341</v>
      </c>
      <c r="H3045" s="5" t="s">
        <v>21</v>
      </c>
      <c r="I3045" s="5" t="s">
        <v>7413</v>
      </c>
      <c r="J3045" s="12" t="str">
        <f>HYPERLINK("https://www.boe.es/gazeta/dias/1800/04/29/pdfs/GMD-1800-34.pdf#page=5","Abrir facsímil")</f>
        <v>Abrir facsímil</v>
      </c>
      <c r="K3045" s="15" t="s">
        <v>23</v>
      </c>
    </row>
    <row r="3046" spans="1:11" ht="42" customHeight="1">
      <c r="A3046" s="4" t="s">
        <v>7414</v>
      </c>
      <c r="B3046" s="5" t="s">
        <v>7415</v>
      </c>
      <c r="C3046" s="5" t="s">
        <v>41</v>
      </c>
      <c r="D3046" s="5" t="s">
        <v>42</v>
      </c>
      <c r="E3046" s="5" t="s">
        <v>825</v>
      </c>
      <c r="F3046" s="9">
        <v>51</v>
      </c>
      <c r="G3046" s="9">
        <v>555</v>
      </c>
      <c r="H3046" s="5" t="s">
        <v>21</v>
      </c>
      <c r="I3046" s="5" t="s">
        <v>7416</v>
      </c>
      <c r="J3046" s="12" t="str">
        <f>HYPERLINK("https://www.boe.es/gazeta/dias/1800/06/27/pdfs/GMD-1800-51.pdf#page=7","Abrir facsímil")</f>
        <v>Abrir facsímil</v>
      </c>
      <c r="K3046" s="15" t="s">
        <v>23</v>
      </c>
    </row>
    <row r="3047" spans="1:11" ht="42" customHeight="1">
      <c r="A3047" s="4" t="s">
        <v>7417</v>
      </c>
      <c r="B3047" s="5" t="s">
        <v>7418</v>
      </c>
      <c r="C3047" s="5" t="s">
        <v>114</v>
      </c>
      <c r="D3047" s="5" t="s">
        <v>115</v>
      </c>
      <c r="E3047" s="5" t="s">
        <v>116</v>
      </c>
      <c r="F3047" s="9">
        <v>86</v>
      </c>
      <c r="G3047" s="9" t="s">
        <v>1501</v>
      </c>
      <c r="H3047" s="5" t="s">
        <v>21</v>
      </c>
      <c r="I3047" s="5" t="s">
        <v>7419</v>
      </c>
      <c r="J3047" s="12" t="str">
        <f>HYPERLINK("https://www.boe.es/gazeta/dias/1800/10/24/pdfs/GMD-D-1800-86.pdf#page=2","Abrir facsímil")</f>
        <v>Abrir facsímil</v>
      </c>
      <c r="K3047" s="15" t="s">
        <v>23</v>
      </c>
    </row>
    <row r="3048" spans="1:11" ht="42" customHeight="1">
      <c r="A3048" s="4" t="s">
        <v>7420</v>
      </c>
      <c r="B3048" s="5" t="s">
        <v>7421</v>
      </c>
      <c r="C3048" s="5" t="s">
        <v>18</v>
      </c>
      <c r="D3048" s="5" t="s">
        <v>19</v>
      </c>
      <c r="E3048" s="5" t="s">
        <v>48</v>
      </c>
      <c r="F3048" s="9">
        <v>66</v>
      </c>
      <c r="G3048" s="9">
        <v>746</v>
      </c>
      <c r="H3048" s="5" t="s">
        <v>21</v>
      </c>
      <c r="I3048" s="5" t="s">
        <v>7422</v>
      </c>
      <c r="J3048" s="12" t="str">
        <f>HYPERLINK("https://www.boe.es/gazeta/dias/1800/08/19/pdfs/GMD-1800-66.pdf#page=10","Abrir facsímil")</f>
        <v>Abrir facsímil</v>
      </c>
      <c r="K3048" s="15" t="s">
        <v>23</v>
      </c>
    </row>
    <row r="3049" spans="1:11" ht="42" customHeight="1">
      <c r="A3049" s="4" t="s">
        <v>7423</v>
      </c>
      <c r="B3049" s="5" t="s">
        <v>7424</v>
      </c>
      <c r="C3049" s="5" t="s">
        <v>18</v>
      </c>
      <c r="D3049" s="5" t="s">
        <v>19</v>
      </c>
      <c r="E3049" s="5" t="s">
        <v>319</v>
      </c>
      <c r="F3049" s="9">
        <v>62</v>
      </c>
      <c r="G3049" s="9">
        <v>708</v>
      </c>
      <c r="H3049" s="5" t="s">
        <v>21</v>
      </c>
      <c r="I3049" s="5" t="s">
        <v>7425</v>
      </c>
      <c r="J3049" s="12" t="str">
        <f>HYPERLINK("https://www.boe.es/gazeta/dias/1800/08/05/pdfs/GMD-1800-62.pdf#page=8","Abrir facsímil")</f>
        <v>Abrir facsímil</v>
      </c>
      <c r="K3049" s="15" t="s">
        <v>23</v>
      </c>
    </row>
    <row r="3050" spans="1:11" ht="42" customHeight="1">
      <c r="A3050" s="4" t="s">
        <v>7426</v>
      </c>
      <c r="B3050" s="5" t="s">
        <v>7426</v>
      </c>
      <c r="C3050" s="5" t="s">
        <v>18</v>
      </c>
      <c r="D3050" s="5" t="s">
        <v>19</v>
      </c>
      <c r="E3050" s="5" t="s">
        <v>595</v>
      </c>
      <c r="F3050" s="9">
        <v>72</v>
      </c>
      <c r="G3050" s="9">
        <v>795</v>
      </c>
      <c r="H3050" s="5" t="s">
        <v>21</v>
      </c>
      <c r="I3050" s="5" t="s">
        <v>7427</v>
      </c>
      <c r="J3050" s="12" t="str">
        <f>HYPERLINK("https://www.boe.es/gazeta/dias/1800/09/05/pdfs/GMD-1800-72.pdf#page=5","Abrir facsímil")</f>
        <v>Abrir facsímil</v>
      </c>
      <c r="K3050" s="15" t="s">
        <v>23</v>
      </c>
    </row>
    <row r="3051" spans="1:11" ht="42" customHeight="1">
      <c r="A3051" s="4" t="s">
        <v>7428</v>
      </c>
      <c r="B3051" s="5" t="s">
        <v>7428</v>
      </c>
      <c r="C3051" s="5" t="s">
        <v>41</v>
      </c>
      <c r="D3051" s="5" t="s">
        <v>42</v>
      </c>
      <c r="E3051" s="5" t="s">
        <v>310</v>
      </c>
      <c r="F3051" s="9">
        <v>56</v>
      </c>
      <c r="G3051" s="9">
        <v>627</v>
      </c>
      <c r="H3051" s="5" t="s">
        <v>21</v>
      </c>
      <c r="I3051" s="5" t="s">
        <v>7429</v>
      </c>
      <c r="J3051" s="12" t="str">
        <f>HYPERLINK("https://www.boe.es/gazeta/dias/1800/07/15/pdfs/GMD-1800-56.pdf#page=3","Abrir facsímil")</f>
        <v>Abrir facsímil</v>
      </c>
      <c r="K3051" s="15" t="s">
        <v>23</v>
      </c>
    </row>
    <row r="3052" spans="1:11" ht="42" customHeight="1">
      <c r="A3052" s="4" t="s">
        <v>7430</v>
      </c>
      <c r="B3052" s="5" t="s">
        <v>7431</v>
      </c>
      <c r="C3052" s="5" t="s">
        <v>41</v>
      </c>
      <c r="D3052" s="5" t="s">
        <v>42</v>
      </c>
      <c r="E3052" s="5" t="s">
        <v>1108</v>
      </c>
      <c r="F3052" s="9">
        <v>30</v>
      </c>
      <c r="G3052" s="9">
        <v>302</v>
      </c>
      <c r="H3052" s="5" t="s">
        <v>21</v>
      </c>
      <c r="I3052" s="5" t="s">
        <v>7432</v>
      </c>
      <c r="J3052" s="12" t="str">
        <f>HYPERLINK("https://www.boe.es/gazeta/dias/1800/04/15/pdfs/GMD-1800-30.pdf#page=2","Abrir facsímil")</f>
        <v>Abrir facsímil</v>
      </c>
      <c r="K3052" s="15" t="s">
        <v>23</v>
      </c>
    </row>
    <row r="3053" spans="1:11" ht="42" customHeight="1">
      <c r="A3053" s="4" t="s">
        <v>7430</v>
      </c>
      <c r="B3053" s="5" t="s">
        <v>7431</v>
      </c>
      <c r="C3053" s="5" t="s">
        <v>41</v>
      </c>
      <c r="D3053" s="5" t="s">
        <v>42</v>
      </c>
      <c r="E3053" s="5" t="s">
        <v>248</v>
      </c>
      <c r="F3053" s="9">
        <v>33</v>
      </c>
      <c r="G3053" s="9">
        <v>328</v>
      </c>
      <c r="H3053" s="5" t="s">
        <v>21</v>
      </c>
      <c r="I3053" s="5" t="s">
        <v>7433</v>
      </c>
      <c r="J3053" s="12" t="str">
        <f>HYPERLINK("https://www.boe.es/gazeta/dias/1800/04/25/pdfs/GMD-1800-33.pdf#page=4","Abrir facsímil")</f>
        <v>Abrir facsímil</v>
      </c>
      <c r="K3053" s="15" t="s">
        <v>23</v>
      </c>
    </row>
    <row r="3054" spans="1:11" ht="42" customHeight="1">
      <c r="A3054" s="4" t="s">
        <v>7430</v>
      </c>
      <c r="B3054" s="5" t="s">
        <v>7431</v>
      </c>
      <c r="C3054" s="5" t="s">
        <v>41</v>
      </c>
      <c r="D3054" s="5" t="s">
        <v>42</v>
      </c>
      <c r="E3054" s="5" t="s">
        <v>230</v>
      </c>
      <c r="F3054" s="9">
        <v>35</v>
      </c>
      <c r="G3054" s="9">
        <v>350</v>
      </c>
      <c r="H3054" s="5" t="s">
        <v>21</v>
      </c>
      <c r="I3054" s="5" t="s">
        <v>7434</v>
      </c>
      <c r="J3054" s="12" t="str">
        <f>HYPERLINK("https://www.boe.es/gazeta/dias/1800/05/02/pdfs/GMD-1800-35.pdf#page=2","Abrir facsímil")</f>
        <v>Abrir facsímil</v>
      </c>
      <c r="K3054" s="15" t="s">
        <v>23</v>
      </c>
    </row>
    <row r="3055" spans="1:11" ht="42" customHeight="1">
      <c r="A3055" s="4" t="s">
        <v>7430</v>
      </c>
      <c r="B3055" s="5" t="s">
        <v>7431</v>
      </c>
      <c r="C3055" s="5" t="s">
        <v>41</v>
      </c>
      <c r="D3055" s="5" t="s">
        <v>42</v>
      </c>
      <c r="E3055" s="5" t="s">
        <v>101</v>
      </c>
      <c r="F3055" s="9">
        <v>37</v>
      </c>
      <c r="G3055" s="9">
        <v>372</v>
      </c>
      <c r="H3055" s="5" t="s">
        <v>21</v>
      </c>
      <c r="I3055" s="5" t="s">
        <v>7435</v>
      </c>
      <c r="J3055" s="12" t="str">
        <f>HYPERLINK("https://www.boe.es/gazeta/dias/1800/05/09/pdfs/GMD-1800-37.pdf#page=4","Abrir facsímil")</f>
        <v>Abrir facsímil</v>
      </c>
      <c r="K3055" s="15" t="s">
        <v>23</v>
      </c>
    </row>
    <row r="3056" spans="1:11" ht="42" customHeight="1">
      <c r="A3056" s="4" t="s">
        <v>7430</v>
      </c>
      <c r="B3056" s="5" t="s">
        <v>7431</v>
      </c>
      <c r="C3056" s="5" t="s">
        <v>18</v>
      </c>
      <c r="D3056" s="5" t="s">
        <v>19</v>
      </c>
      <c r="E3056" s="5" t="s">
        <v>406</v>
      </c>
      <c r="F3056" s="9">
        <v>44</v>
      </c>
      <c r="G3056" s="9">
        <v>454</v>
      </c>
      <c r="H3056" s="5" t="s">
        <v>21</v>
      </c>
      <c r="I3056" s="5" t="s">
        <v>7436</v>
      </c>
      <c r="J3056" s="12" t="str">
        <f>HYPERLINK("https://www.boe.es/gazeta/dias/1800/06/03/pdfs/GMD-1800-44.pdf#page=2","Abrir facsímil")</f>
        <v>Abrir facsímil</v>
      </c>
      <c r="K3056" s="15" t="s">
        <v>23</v>
      </c>
    </row>
    <row r="3057" spans="1:11" ht="42" customHeight="1">
      <c r="A3057" s="4" t="s">
        <v>7430</v>
      </c>
      <c r="B3057" s="5" t="s">
        <v>7431</v>
      </c>
      <c r="C3057" s="5" t="s">
        <v>41</v>
      </c>
      <c r="D3057" s="5" t="s">
        <v>42</v>
      </c>
      <c r="E3057" s="5" t="s">
        <v>843</v>
      </c>
      <c r="F3057" s="9">
        <v>78</v>
      </c>
      <c r="G3057" s="9">
        <v>888</v>
      </c>
      <c r="H3057" s="5" t="s">
        <v>21</v>
      </c>
      <c r="I3057" s="5" t="s">
        <v>7437</v>
      </c>
      <c r="J3057" s="12" t="str">
        <f>HYPERLINK("https://www.boe.es/gazeta/dias/1800/09/26/pdfs/GMD-1800-78.pdf#page=6","Abrir facsímil")</f>
        <v>Abrir facsímil</v>
      </c>
      <c r="K3057" s="15" t="s">
        <v>23</v>
      </c>
    </row>
    <row r="3058" spans="1:11" ht="42" customHeight="1">
      <c r="A3058" s="4" t="s">
        <v>7438</v>
      </c>
      <c r="B3058" s="5" t="s">
        <v>7438</v>
      </c>
      <c r="C3058" s="5" t="s">
        <v>41</v>
      </c>
      <c r="D3058" s="5" t="s">
        <v>42</v>
      </c>
      <c r="E3058" s="5" t="s">
        <v>88</v>
      </c>
      <c r="F3058" s="9">
        <v>23</v>
      </c>
      <c r="G3058" s="9">
        <v>230</v>
      </c>
      <c r="H3058" s="5" t="s">
        <v>21</v>
      </c>
      <c r="I3058" s="5" t="s">
        <v>7439</v>
      </c>
      <c r="J3058" s="12" t="str">
        <f>HYPERLINK("https://www.boe.es/gazeta/dias/1800/03/21/pdfs/GMD-1800-23.pdf#page=6","Abrir facsímil")</f>
        <v>Abrir facsímil</v>
      </c>
      <c r="K3058" s="15" t="s">
        <v>23</v>
      </c>
    </row>
    <row r="3059" spans="1:11" ht="42" customHeight="1">
      <c r="A3059" s="4" t="s">
        <v>7440</v>
      </c>
      <c r="B3059" s="5" t="s">
        <v>7440</v>
      </c>
      <c r="C3059" s="5" t="s">
        <v>41</v>
      </c>
      <c r="D3059" s="5" t="s">
        <v>42</v>
      </c>
      <c r="E3059" s="5" t="s">
        <v>143</v>
      </c>
      <c r="F3059" s="9">
        <v>22</v>
      </c>
      <c r="G3059" s="9">
        <v>215</v>
      </c>
      <c r="H3059" s="5" t="s">
        <v>21</v>
      </c>
      <c r="I3059" s="5" t="s">
        <v>7441</v>
      </c>
      <c r="J3059" s="12" t="str">
        <f>HYPERLINK("https://www.boe.es/gazeta/dias/1800/03/18/pdfs/GMD-1800-22.pdf#page=7","Abrir facsímil")</f>
        <v>Abrir facsímil</v>
      </c>
      <c r="K3059" s="15" t="s">
        <v>23</v>
      </c>
    </row>
    <row r="3060" spans="1:11" ht="42" customHeight="1">
      <c r="A3060" s="4" t="s">
        <v>7442</v>
      </c>
      <c r="B3060" s="5" t="s">
        <v>7442</v>
      </c>
      <c r="C3060" s="5" t="s">
        <v>41</v>
      </c>
      <c r="D3060" s="5" t="s">
        <v>42</v>
      </c>
      <c r="E3060" s="5" t="s">
        <v>255</v>
      </c>
      <c r="F3060" s="9">
        <v>75</v>
      </c>
      <c r="G3060" s="9">
        <v>851</v>
      </c>
      <c r="H3060" s="5" t="s">
        <v>21</v>
      </c>
      <c r="I3060" s="5" t="s">
        <v>7443</v>
      </c>
      <c r="J3060" s="12" t="str">
        <f>HYPERLINK("https://www.boe.es/gazeta/dias/1800/09/16/pdfs/GMD-1800-75.pdf#page=5","Abrir facsímil")</f>
        <v>Abrir facsímil</v>
      </c>
      <c r="K3060" s="15" t="s">
        <v>23</v>
      </c>
    </row>
    <row r="3061" spans="1:11" ht="42" customHeight="1">
      <c r="A3061" s="4" t="s">
        <v>7444</v>
      </c>
      <c r="B3061" s="5" t="s">
        <v>7444</v>
      </c>
      <c r="C3061" s="5" t="s">
        <v>114</v>
      </c>
      <c r="D3061" s="5" t="s">
        <v>115</v>
      </c>
      <c r="E3061" s="5" t="s">
        <v>116</v>
      </c>
      <c r="F3061" s="9">
        <v>86</v>
      </c>
      <c r="G3061" s="9" t="s">
        <v>725</v>
      </c>
      <c r="H3061" s="5" t="s">
        <v>21</v>
      </c>
      <c r="I3061" s="5" t="s">
        <v>7445</v>
      </c>
      <c r="J3061" s="12" t="str">
        <f>HYPERLINK("https://www.boe.es/gazeta/dias/1800/10/24/pdfs/GMD-D-1800-86.pdf#page=1","Abrir facsímil")</f>
        <v>Abrir facsímil</v>
      </c>
      <c r="K3061" s="15" t="s">
        <v>23</v>
      </c>
    </row>
    <row r="3062" spans="1:11" ht="42" customHeight="1">
      <c r="A3062" s="4" t="s">
        <v>7446</v>
      </c>
      <c r="B3062" s="5" t="s">
        <v>7447</v>
      </c>
      <c r="C3062" s="5" t="s">
        <v>25</v>
      </c>
      <c r="D3062" s="5" t="s">
        <v>26</v>
      </c>
      <c r="E3062" s="5" t="s">
        <v>420</v>
      </c>
      <c r="F3062" s="9">
        <v>38</v>
      </c>
      <c r="G3062" s="9">
        <v>391</v>
      </c>
      <c r="H3062" s="5" t="s">
        <v>21</v>
      </c>
      <c r="I3062" s="5" t="s">
        <v>7448</v>
      </c>
      <c r="J3062" s="12" t="str">
        <f>HYPERLINK("https://www.boe.es/gazeta/dias/1800/05/13/pdfs/GMD-1800-38.pdf#page=11","Abrir facsímil")</f>
        <v>Abrir facsímil</v>
      </c>
      <c r="K3062" s="15" t="s">
        <v>23</v>
      </c>
    </row>
    <row r="3063" spans="1:11" ht="42" customHeight="1">
      <c r="A3063" s="4" t="s">
        <v>7449</v>
      </c>
      <c r="B3063" s="5" t="s">
        <v>7449</v>
      </c>
      <c r="C3063" s="5" t="s">
        <v>54</v>
      </c>
      <c r="D3063" s="5" t="s">
        <v>55</v>
      </c>
      <c r="E3063" s="5" t="s">
        <v>244</v>
      </c>
      <c r="F3063" s="9">
        <v>9</v>
      </c>
      <c r="G3063" s="9">
        <v>86</v>
      </c>
      <c r="H3063" s="5" t="s">
        <v>21</v>
      </c>
      <c r="I3063" s="5" t="s">
        <v>7450</v>
      </c>
      <c r="J3063" s="12" t="str">
        <f>HYPERLINK("https://www.boe.es/gazeta/dias/1800/01/31/pdfs/GMD-1800-9.pdf#page=10","Abrir facsímil")</f>
        <v>Abrir facsímil</v>
      </c>
      <c r="K3063" s="15" t="s">
        <v>23</v>
      </c>
    </row>
    <row r="3064" spans="1:11" ht="42" customHeight="1">
      <c r="A3064" s="4" t="s">
        <v>7451</v>
      </c>
      <c r="B3064" s="5" t="s">
        <v>7452</v>
      </c>
      <c r="C3064" s="5" t="s">
        <v>18</v>
      </c>
      <c r="D3064" s="5" t="s">
        <v>19</v>
      </c>
      <c r="E3064" s="5" t="s">
        <v>478</v>
      </c>
      <c r="F3064" s="9">
        <v>34</v>
      </c>
      <c r="G3064" s="9">
        <v>346</v>
      </c>
      <c r="H3064" s="5" t="s">
        <v>21</v>
      </c>
      <c r="I3064" s="5" t="s">
        <v>7453</v>
      </c>
      <c r="J3064" s="12" t="str">
        <f>HYPERLINK("https://www.boe.es/gazeta/dias/1800/04/29/pdfs/GMD-1800-34.pdf#page=10","Abrir facsímil")</f>
        <v>Abrir facsímil</v>
      </c>
      <c r="K3064" s="15" t="s">
        <v>23</v>
      </c>
    </row>
    <row r="3065" spans="1:11" ht="42" customHeight="1">
      <c r="A3065" s="4" t="s">
        <v>7454</v>
      </c>
      <c r="B3065" s="5" t="s">
        <v>7455</v>
      </c>
      <c r="C3065" s="5" t="s">
        <v>207</v>
      </c>
      <c r="D3065" s="5" t="s">
        <v>55</v>
      </c>
      <c r="E3065" s="5" t="s">
        <v>572</v>
      </c>
      <c r="F3065" s="9">
        <v>76</v>
      </c>
      <c r="G3065" s="9">
        <v>867</v>
      </c>
      <c r="H3065" s="5" t="s">
        <v>21</v>
      </c>
      <c r="I3065" s="5" t="s">
        <v>7456</v>
      </c>
      <c r="J3065" s="12" t="str">
        <f>HYPERLINK("https://www.boe.es/gazeta/dias/1800/09/19/pdfs/GMD-1800-76.pdf#page=9","Abrir facsímil")</f>
        <v>Abrir facsímil</v>
      </c>
      <c r="K3065" s="15" t="s">
        <v>23</v>
      </c>
    </row>
    <row r="3066" spans="1:11" ht="42" customHeight="1">
      <c r="A3066" s="4" t="s">
        <v>7457</v>
      </c>
      <c r="B3066" s="5" t="s">
        <v>7458</v>
      </c>
      <c r="C3066" s="5" t="s">
        <v>41</v>
      </c>
      <c r="D3066" s="5" t="s">
        <v>42</v>
      </c>
      <c r="E3066" s="5" t="s">
        <v>101</v>
      </c>
      <c r="F3066" s="9">
        <v>37</v>
      </c>
      <c r="G3066" s="9">
        <v>376</v>
      </c>
      <c r="H3066" s="5" t="s">
        <v>21</v>
      </c>
      <c r="I3066" s="5" t="s">
        <v>7459</v>
      </c>
      <c r="J3066" s="12" t="str">
        <f>HYPERLINK("https://www.boe.es/gazeta/dias/1800/05/09/pdfs/GMD-1800-37.pdf#page=8","Abrir facsímil")</f>
        <v>Abrir facsímil</v>
      </c>
      <c r="K3066" s="15" t="s">
        <v>23</v>
      </c>
    </row>
    <row r="3067" spans="1:11" ht="42" customHeight="1">
      <c r="A3067" s="4" t="s">
        <v>7460</v>
      </c>
      <c r="B3067" s="5" t="s">
        <v>7461</v>
      </c>
      <c r="C3067" s="5" t="s">
        <v>1179</v>
      </c>
      <c r="D3067" s="5" t="s">
        <v>1180</v>
      </c>
      <c r="E3067" s="5" t="s">
        <v>314</v>
      </c>
      <c r="F3067" s="9">
        <v>74</v>
      </c>
      <c r="G3067" s="9">
        <v>841</v>
      </c>
      <c r="H3067" s="5" t="s">
        <v>21</v>
      </c>
      <c r="I3067" s="5" t="s">
        <v>7462</v>
      </c>
      <c r="J3067" s="12" t="str">
        <f>HYPERLINK("https://www.boe.es/gazeta/dias/1800/09/12/pdfs/GMD-C-1800-74.pdf#page=3","Abrir facsímil")</f>
        <v>Abrir facsímil</v>
      </c>
      <c r="K3067" s="15" t="s">
        <v>23</v>
      </c>
    </row>
    <row r="3068" spans="1:11" ht="42" customHeight="1">
      <c r="A3068" s="4" t="s">
        <v>7463</v>
      </c>
      <c r="B3068" s="5" t="s">
        <v>7463</v>
      </c>
      <c r="C3068" s="5" t="s">
        <v>18</v>
      </c>
      <c r="D3068" s="5" t="s">
        <v>19</v>
      </c>
      <c r="E3068" s="5" t="s">
        <v>590</v>
      </c>
      <c r="F3068" s="9">
        <v>69</v>
      </c>
      <c r="G3068" s="9">
        <v>773</v>
      </c>
      <c r="H3068" s="5" t="s">
        <v>21</v>
      </c>
      <c r="I3068" s="5" t="s">
        <v>7464</v>
      </c>
      <c r="J3068" s="12" t="str">
        <f>HYPERLINK("https://www.boe.es/gazeta/dias/1800/08/29/pdfs/GMD-1800-69.pdf#page=5","Abrir facsímil")</f>
        <v>Abrir facsímil</v>
      </c>
      <c r="K3068" s="15" t="s">
        <v>23</v>
      </c>
    </row>
    <row r="3069" spans="1:11" ht="42" customHeight="1">
      <c r="A3069" s="4" t="s">
        <v>7465</v>
      </c>
      <c r="B3069" s="5" t="s">
        <v>7466</v>
      </c>
      <c r="C3069" s="5" t="s">
        <v>54</v>
      </c>
      <c r="D3069" s="5" t="s">
        <v>55</v>
      </c>
      <c r="E3069" s="5" t="s">
        <v>143</v>
      </c>
      <c r="F3069" s="9">
        <v>22</v>
      </c>
      <c r="G3069" s="9">
        <v>218</v>
      </c>
      <c r="H3069" s="5" t="s">
        <v>21</v>
      </c>
      <c r="I3069" s="5" t="s">
        <v>7467</v>
      </c>
      <c r="J3069" s="12" t="str">
        <f>HYPERLINK("https://www.boe.es/gazeta/dias/1800/03/18/pdfs/GMD-1800-22.pdf#page=10","Abrir facsímil")</f>
        <v>Abrir facsímil</v>
      </c>
      <c r="K3069" s="15" t="s">
        <v>23</v>
      </c>
    </row>
    <row r="3070" spans="1:11" ht="42" customHeight="1">
      <c r="A3070" s="4" t="s">
        <v>7468</v>
      </c>
      <c r="B3070" s="5" t="s">
        <v>7469</v>
      </c>
      <c r="C3070" s="5" t="s">
        <v>18</v>
      </c>
      <c r="D3070" s="5" t="s">
        <v>19</v>
      </c>
      <c r="E3070" s="5" t="s">
        <v>101</v>
      </c>
      <c r="F3070" s="9">
        <v>37</v>
      </c>
      <c r="G3070" s="9">
        <v>378</v>
      </c>
      <c r="H3070" s="5" t="s">
        <v>21</v>
      </c>
      <c r="I3070" s="5" t="s">
        <v>7470</v>
      </c>
      <c r="J3070" s="12" t="str">
        <f>HYPERLINK("https://www.boe.es/gazeta/dias/1800/05/09/pdfs/GMD-1800-37.pdf#page=10","Abrir facsímil")</f>
        <v>Abrir facsímil</v>
      </c>
      <c r="K3070" s="15" t="s">
        <v>23</v>
      </c>
    </row>
    <row r="3071" spans="1:11" ht="42" customHeight="1">
      <c r="A3071" s="4" t="s">
        <v>7471</v>
      </c>
      <c r="B3071" s="5" t="s">
        <v>7472</v>
      </c>
      <c r="C3071" s="5" t="s">
        <v>41</v>
      </c>
      <c r="D3071" s="5" t="s">
        <v>42</v>
      </c>
      <c r="E3071" s="5" t="s">
        <v>420</v>
      </c>
      <c r="F3071" s="9">
        <v>38</v>
      </c>
      <c r="G3071" s="9">
        <v>385</v>
      </c>
      <c r="H3071" s="5" t="s">
        <v>21</v>
      </c>
      <c r="I3071" s="5" t="s">
        <v>7473</v>
      </c>
      <c r="J3071" s="12" t="str">
        <f>HYPERLINK("https://www.boe.es/gazeta/dias/1800/05/13/pdfs/GMD-1800-38.pdf#page=5","Abrir facsímil")</f>
        <v>Abrir facsímil</v>
      </c>
      <c r="K3071" s="15" t="s">
        <v>23</v>
      </c>
    </row>
    <row r="3072" spans="1:11" ht="42" customHeight="1">
      <c r="A3072" s="4" t="s">
        <v>7474</v>
      </c>
      <c r="B3072" s="5" t="s">
        <v>7474</v>
      </c>
      <c r="C3072" s="5" t="s">
        <v>171</v>
      </c>
      <c r="D3072" s="5" t="s">
        <v>172</v>
      </c>
      <c r="E3072" s="5" t="s">
        <v>461</v>
      </c>
      <c r="F3072" s="9">
        <v>18</v>
      </c>
      <c r="G3072" s="9">
        <v>175</v>
      </c>
      <c r="H3072" s="5" t="s">
        <v>21</v>
      </c>
      <c r="I3072" s="5" t="s">
        <v>7475</v>
      </c>
      <c r="J3072" s="12" t="str">
        <f>HYPERLINK("https://www.boe.es/datos/pdfs/BOE//1800/018/C00173-00176.pdf#page=3","Abrir facsímil")</f>
        <v>Abrir facsímil</v>
      </c>
      <c r="K3072" s="15" t="s">
        <v>23</v>
      </c>
    </row>
    <row r="3073" spans="1:11" ht="42" customHeight="1">
      <c r="A3073" s="4" t="s">
        <v>7476</v>
      </c>
      <c r="B3073" s="5" t="s">
        <v>7477</v>
      </c>
      <c r="C3073" s="5" t="s">
        <v>18</v>
      </c>
      <c r="D3073" s="5" t="s">
        <v>19</v>
      </c>
      <c r="E3073" s="5" t="s">
        <v>56</v>
      </c>
      <c r="F3073" s="9">
        <v>90</v>
      </c>
      <c r="G3073" s="9">
        <v>1056</v>
      </c>
      <c r="H3073" s="5" t="s">
        <v>21</v>
      </c>
      <c r="I3073" s="5" t="s">
        <v>7478</v>
      </c>
      <c r="J3073" s="12" t="str">
        <f>HYPERLINK("https://www.boe.es/gazeta/dias/1800/11/07/pdfs/GMD-1800-90.pdf#page=10","Abrir facsímil")</f>
        <v>Abrir facsímil</v>
      </c>
      <c r="K3073" s="15" t="s">
        <v>23</v>
      </c>
    </row>
    <row r="3074" spans="1:11" ht="42" customHeight="1">
      <c r="A3074" s="4" t="s">
        <v>7479</v>
      </c>
      <c r="B3074" s="5" t="s">
        <v>7480</v>
      </c>
      <c r="C3074" s="5" t="s">
        <v>18</v>
      </c>
      <c r="D3074" s="5" t="s">
        <v>19</v>
      </c>
      <c r="E3074" s="5" t="s">
        <v>530</v>
      </c>
      <c r="F3074" s="9">
        <v>55</v>
      </c>
      <c r="G3074" s="9">
        <v>619</v>
      </c>
      <c r="H3074" s="5" t="s">
        <v>21</v>
      </c>
      <c r="I3074" s="5" t="s">
        <v>7481</v>
      </c>
      <c r="J3074" s="12" t="str">
        <f>HYPERLINK("https://www.boe.es/gazeta/dias/1800/07/11/pdfs/GMD-1800-55.pdf#page=7","Abrir facsímil")</f>
        <v>Abrir facsímil</v>
      </c>
      <c r="K3074" s="15" t="s">
        <v>23</v>
      </c>
    </row>
    <row r="3075" spans="1:11" ht="42" customHeight="1">
      <c r="A3075" s="4" t="s">
        <v>7482</v>
      </c>
      <c r="B3075" s="5" t="s">
        <v>7483</v>
      </c>
      <c r="C3075" s="5" t="s">
        <v>25</v>
      </c>
      <c r="D3075" s="5" t="s">
        <v>26</v>
      </c>
      <c r="E3075" s="5" t="s">
        <v>1213</v>
      </c>
      <c r="F3075" s="9">
        <v>4</v>
      </c>
      <c r="G3075" s="9">
        <v>36</v>
      </c>
      <c r="H3075" s="5" t="s">
        <v>21</v>
      </c>
      <c r="I3075" s="5" t="s">
        <v>7484</v>
      </c>
      <c r="J3075" s="12" t="str">
        <f>HYPERLINK("https://www.boe.es/gazeta/dias/1800/01/14/pdfs/GMD-1800-4.pdf#page=8","Abrir facsímil")</f>
        <v>Abrir facsímil</v>
      </c>
      <c r="K3075" s="15" t="s">
        <v>23</v>
      </c>
    </row>
    <row r="3076" spans="1:11" ht="42" customHeight="1">
      <c r="A3076" s="4" t="s">
        <v>7485</v>
      </c>
      <c r="B3076" s="5" t="s">
        <v>7486</v>
      </c>
      <c r="C3076" s="5" t="s">
        <v>84</v>
      </c>
      <c r="D3076" s="5" t="s">
        <v>85</v>
      </c>
      <c r="E3076" s="5" t="s">
        <v>461</v>
      </c>
      <c r="F3076" s="9">
        <v>18</v>
      </c>
      <c r="G3076" s="9">
        <v>169</v>
      </c>
      <c r="H3076" s="5" t="s">
        <v>21</v>
      </c>
      <c r="I3076" s="5" t="s">
        <v>7487</v>
      </c>
      <c r="J3076" s="12" t="str">
        <f>HYPERLINK("https://www.boe.es/datos/pdfs/BOE//1800/018/C00173-00176.pdf#page=5","Abrir facsímil")</f>
        <v>Abrir facsímil</v>
      </c>
      <c r="K3076" s="15" t="s">
        <v>23</v>
      </c>
    </row>
    <row r="3077" spans="1:11" ht="42" customHeight="1">
      <c r="A3077" s="4" t="s">
        <v>7488</v>
      </c>
      <c r="B3077" s="5" t="s">
        <v>7489</v>
      </c>
      <c r="C3077" s="5" t="s">
        <v>18</v>
      </c>
      <c r="D3077" s="5" t="s">
        <v>19</v>
      </c>
      <c r="E3077" s="5" t="s">
        <v>111</v>
      </c>
      <c r="F3077" s="9">
        <v>98</v>
      </c>
      <c r="G3077" s="9">
        <v>1128</v>
      </c>
      <c r="H3077" s="5" t="s">
        <v>21</v>
      </c>
      <c r="I3077" s="5" t="s">
        <v>7490</v>
      </c>
      <c r="J3077" s="12" t="str">
        <f>HYPERLINK("https://www.boe.es/gazeta/dias/1800/12/05/pdfs/GMD-1800-98.pdf#page=8","Abrir facsímil")</f>
        <v>Abrir facsímil</v>
      </c>
      <c r="K3077" s="15" t="s">
        <v>23</v>
      </c>
    </row>
    <row r="3078" spans="1:11" ht="42" customHeight="1">
      <c r="A3078" s="4" t="s">
        <v>7491</v>
      </c>
      <c r="B3078" s="5" t="s">
        <v>7492</v>
      </c>
      <c r="C3078" s="5" t="s">
        <v>54</v>
      </c>
      <c r="D3078" s="5" t="s">
        <v>55</v>
      </c>
      <c r="E3078" s="5" t="s">
        <v>52</v>
      </c>
      <c r="F3078" s="9">
        <v>83</v>
      </c>
      <c r="G3078" s="9">
        <v>961</v>
      </c>
      <c r="H3078" s="5" t="s">
        <v>21</v>
      </c>
      <c r="I3078" s="5" t="s">
        <v>7493</v>
      </c>
      <c r="J3078" s="12" t="str">
        <f>HYPERLINK("https://www.boe.es/gazeta/dias/1800/10/14/pdfs/GMD-1800-83.pdf#page=7","Abrir facsímil")</f>
        <v>Abrir facsímil</v>
      </c>
      <c r="K3078" s="15" t="s">
        <v>23</v>
      </c>
    </row>
    <row r="3079" spans="1:11" ht="42" customHeight="1">
      <c r="A3079" s="4" t="s">
        <v>7491</v>
      </c>
      <c r="B3079" s="5" t="s">
        <v>7492</v>
      </c>
      <c r="C3079" s="5" t="s">
        <v>25</v>
      </c>
      <c r="D3079" s="5" t="s">
        <v>26</v>
      </c>
      <c r="E3079" s="5" t="s">
        <v>52</v>
      </c>
      <c r="F3079" s="9">
        <v>83</v>
      </c>
      <c r="G3079" s="9">
        <v>962</v>
      </c>
      <c r="H3079" s="5" t="s">
        <v>21</v>
      </c>
      <c r="I3079" s="5" t="s">
        <v>7494</v>
      </c>
      <c r="J3079" s="12" t="str">
        <f>HYPERLINK("https://www.boe.es/gazeta/dias/1800/10/14/pdfs/GMD-1800-83.pdf#page=8","Abrir facsímil")</f>
        <v>Abrir facsímil</v>
      </c>
      <c r="K3079" s="15" t="s">
        <v>23</v>
      </c>
    </row>
    <row r="3080" spans="1:11" ht="42" customHeight="1">
      <c r="A3080" s="4" t="s">
        <v>7495</v>
      </c>
      <c r="B3080" s="5" t="s">
        <v>7496</v>
      </c>
      <c r="C3080" s="5" t="s">
        <v>18</v>
      </c>
      <c r="D3080" s="5" t="s">
        <v>19</v>
      </c>
      <c r="E3080" s="5" t="s">
        <v>1213</v>
      </c>
      <c r="F3080" s="9">
        <v>4</v>
      </c>
      <c r="G3080" s="9">
        <v>36</v>
      </c>
      <c r="H3080" s="5" t="s">
        <v>21</v>
      </c>
      <c r="I3080" s="5" t="s">
        <v>7497</v>
      </c>
      <c r="J3080" s="12" t="str">
        <f>HYPERLINK("https://www.boe.es/gazeta/dias/1800/01/14/pdfs/GMD-1800-4.pdf#page=8","Abrir facsímil")</f>
        <v>Abrir facsímil</v>
      </c>
      <c r="K3080" s="15" t="s">
        <v>23</v>
      </c>
    </row>
    <row r="3081" spans="1:11" ht="42" customHeight="1">
      <c r="A3081" s="4" t="s">
        <v>7498</v>
      </c>
      <c r="B3081" s="5" t="s">
        <v>7499</v>
      </c>
      <c r="C3081" s="5" t="s">
        <v>41</v>
      </c>
      <c r="D3081" s="5" t="s">
        <v>42</v>
      </c>
      <c r="E3081" s="5" t="s">
        <v>283</v>
      </c>
      <c r="F3081" s="9">
        <v>68</v>
      </c>
      <c r="G3081" s="9">
        <v>758</v>
      </c>
      <c r="H3081" s="5" t="s">
        <v>21</v>
      </c>
      <c r="I3081" s="5" t="s">
        <v>7500</v>
      </c>
      <c r="J3081" s="12" t="str">
        <f>HYPERLINK("https://www.boe.es/gazeta/dias/1800/08/26/pdfs/GMD-1800-68.pdf#page=2","Abrir facsímil")</f>
        <v>Abrir facsímil</v>
      </c>
      <c r="K3081" s="15" t="s">
        <v>23</v>
      </c>
    </row>
    <row r="3082" spans="1:11" ht="42" customHeight="1">
      <c r="A3082" s="4" t="s">
        <v>7501</v>
      </c>
      <c r="B3082" s="5" t="s">
        <v>7502</v>
      </c>
      <c r="C3082" s="5" t="s">
        <v>25</v>
      </c>
      <c r="D3082" s="5" t="s">
        <v>26</v>
      </c>
      <c r="E3082" s="5" t="s">
        <v>139</v>
      </c>
      <c r="F3082" s="9">
        <v>2</v>
      </c>
      <c r="G3082" s="9">
        <v>17</v>
      </c>
      <c r="H3082" s="5" t="s">
        <v>21</v>
      </c>
      <c r="I3082" s="5" t="s">
        <v>7503</v>
      </c>
      <c r="J3082" s="12" t="str">
        <f>HYPERLINK("https://www.boe.es/gazeta/dias/1800/01/07/pdfs/GMD-1800-2.pdf#page=9","Abrir facsímil")</f>
        <v>Abrir facsímil</v>
      </c>
      <c r="K3082" s="15" t="s">
        <v>23</v>
      </c>
    </row>
    <row r="3083" spans="1:11" ht="42" customHeight="1">
      <c r="A3083" s="4" t="s">
        <v>7504</v>
      </c>
      <c r="B3083" s="5" t="s">
        <v>7505</v>
      </c>
      <c r="C3083" s="5" t="s">
        <v>18</v>
      </c>
      <c r="D3083" s="5" t="s">
        <v>19</v>
      </c>
      <c r="E3083" s="5" t="s">
        <v>534</v>
      </c>
      <c r="F3083" s="9">
        <v>100</v>
      </c>
      <c r="G3083" s="9">
        <v>1159</v>
      </c>
      <c r="H3083" s="5" t="s">
        <v>21</v>
      </c>
      <c r="I3083" s="5" t="s">
        <v>7506</v>
      </c>
      <c r="J3083" s="12" t="str">
        <f>HYPERLINK("https://www.boe.es/gazeta/dias/1800/12/12/pdfs/GMD-1800-100.pdf#page=11","Abrir facsímil")</f>
        <v>Abrir facsímil</v>
      </c>
      <c r="K3083" s="15" t="s">
        <v>23</v>
      </c>
    </row>
    <row r="3084" spans="1:11" ht="42" customHeight="1">
      <c r="A3084" s="4" t="s">
        <v>7507</v>
      </c>
      <c r="B3084" s="5" t="s">
        <v>7508</v>
      </c>
      <c r="C3084" s="5" t="s">
        <v>18</v>
      </c>
      <c r="D3084" s="5" t="s">
        <v>19</v>
      </c>
      <c r="E3084" s="5" t="s">
        <v>56</v>
      </c>
      <c r="F3084" s="9">
        <v>90</v>
      </c>
      <c r="G3084" s="9">
        <v>1055</v>
      </c>
      <c r="H3084" s="5" t="s">
        <v>21</v>
      </c>
      <c r="I3084" s="5" t="s">
        <v>7509</v>
      </c>
      <c r="J3084" s="12" t="str">
        <f>HYPERLINK("https://www.boe.es/gazeta/dias/1800/11/07/pdfs/GMD-1800-90.pdf#page=9","Abrir facsímil")</f>
        <v>Abrir facsímil</v>
      </c>
      <c r="K3084" s="15" t="s">
        <v>23</v>
      </c>
    </row>
    <row r="3085" spans="1:11" ht="42" customHeight="1">
      <c r="A3085" s="4" t="s">
        <v>7510</v>
      </c>
      <c r="B3085" s="5" t="s">
        <v>7511</v>
      </c>
      <c r="C3085" s="5" t="s">
        <v>18</v>
      </c>
      <c r="D3085" s="5" t="s">
        <v>19</v>
      </c>
      <c r="E3085" s="5" t="s">
        <v>56</v>
      </c>
      <c r="F3085" s="9">
        <v>90</v>
      </c>
      <c r="G3085" s="9">
        <v>1055</v>
      </c>
      <c r="H3085" s="5" t="s">
        <v>21</v>
      </c>
      <c r="I3085" s="5" t="s">
        <v>7512</v>
      </c>
      <c r="J3085" s="12" t="str">
        <f>HYPERLINK("https://www.boe.es/gazeta/dias/1800/11/07/pdfs/GMD-1800-90.pdf#page=9","Abrir facsímil")</f>
        <v>Abrir facsímil</v>
      </c>
      <c r="K3085" s="15" t="s">
        <v>23</v>
      </c>
    </row>
    <row r="3086" spans="1:11" ht="42" customHeight="1">
      <c r="A3086" s="4" t="s">
        <v>7513</v>
      </c>
      <c r="B3086" s="5" t="s">
        <v>7514</v>
      </c>
      <c r="C3086" s="5" t="s">
        <v>207</v>
      </c>
      <c r="D3086" s="5" t="s">
        <v>55</v>
      </c>
      <c r="E3086" s="5" t="s">
        <v>283</v>
      </c>
      <c r="F3086" s="9">
        <v>68</v>
      </c>
      <c r="G3086" s="9">
        <v>764</v>
      </c>
      <c r="H3086" s="5" t="s">
        <v>21</v>
      </c>
      <c r="I3086" s="5" t="s">
        <v>7515</v>
      </c>
      <c r="J3086" s="12" t="str">
        <f>HYPERLINK("https://www.boe.es/gazeta/dias/1800/08/26/pdfs/GMD-1800-68.pdf#page=8","Abrir facsímil")</f>
        <v>Abrir facsímil</v>
      </c>
      <c r="K3086" s="15" t="s">
        <v>23</v>
      </c>
    </row>
    <row r="3087" spans="1:11" ht="42" customHeight="1">
      <c r="A3087" s="4" t="s">
        <v>7516</v>
      </c>
      <c r="B3087" s="5" t="s">
        <v>7517</v>
      </c>
      <c r="C3087" s="5" t="s">
        <v>84</v>
      </c>
      <c r="D3087" s="5" t="s">
        <v>85</v>
      </c>
      <c r="E3087" s="5" t="s">
        <v>823</v>
      </c>
      <c r="F3087" s="9">
        <v>50</v>
      </c>
      <c r="G3087" s="9">
        <v>548</v>
      </c>
      <c r="H3087" s="5" t="s">
        <v>21</v>
      </c>
      <c r="I3087" s="5" t="s">
        <v>7518</v>
      </c>
      <c r="J3087" s="12" t="str">
        <f>HYPERLINK("https://www.boe.es/gazeta/dias/1800/06/24/pdfs/GMD-1800-50.pdf#page=12","Abrir facsímil")</f>
        <v>Abrir facsímil</v>
      </c>
      <c r="K3087" s="15" t="s">
        <v>23</v>
      </c>
    </row>
    <row r="3088" spans="1:11" ht="42" customHeight="1">
      <c r="A3088" s="4" t="s">
        <v>7519</v>
      </c>
      <c r="B3088" s="5" t="s">
        <v>7520</v>
      </c>
      <c r="C3088" s="5" t="s">
        <v>41</v>
      </c>
      <c r="D3088" s="5" t="s">
        <v>42</v>
      </c>
      <c r="E3088" s="5" t="s">
        <v>825</v>
      </c>
      <c r="F3088" s="9">
        <v>51</v>
      </c>
      <c r="G3088" s="9">
        <v>560</v>
      </c>
      <c r="H3088" s="5" t="s">
        <v>21</v>
      </c>
      <c r="I3088" s="5" t="s">
        <v>7521</v>
      </c>
      <c r="J3088" s="12" t="str">
        <f>HYPERLINK("https://www.boe.es/gazeta/dias/1800/06/27/pdfs/GMD-1800-51.pdf#page=12","Abrir facsímil")</f>
        <v>Abrir facsímil</v>
      </c>
      <c r="K3088" s="15" t="s">
        <v>23</v>
      </c>
    </row>
    <row r="3089" spans="1:11" ht="42" customHeight="1">
      <c r="A3089" s="4" t="s">
        <v>7522</v>
      </c>
      <c r="B3089" s="5" t="s">
        <v>7522</v>
      </c>
      <c r="C3089" s="5" t="s">
        <v>41</v>
      </c>
      <c r="D3089" s="5" t="s">
        <v>42</v>
      </c>
      <c r="E3089" s="5" t="s">
        <v>56</v>
      </c>
      <c r="F3089" s="9">
        <v>90</v>
      </c>
      <c r="G3089" s="9">
        <v>1051</v>
      </c>
      <c r="H3089" s="5" t="s">
        <v>21</v>
      </c>
      <c r="I3089" s="5" t="s">
        <v>7523</v>
      </c>
      <c r="J3089" s="12" t="str">
        <f>HYPERLINK("https://www.boe.es/gazeta/dias/1800/11/07/pdfs/GMD-1800-90.pdf#page=5","Abrir facsímil")</f>
        <v>Abrir facsímil</v>
      </c>
      <c r="K3089" s="15" t="s">
        <v>23</v>
      </c>
    </row>
    <row r="3090" spans="1:11" ht="42" customHeight="1">
      <c r="A3090" s="4" t="s">
        <v>7524</v>
      </c>
      <c r="B3090" s="5" t="s">
        <v>7525</v>
      </c>
      <c r="C3090" s="5" t="s">
        <v>18</v>
      </c>
      <c r="D3090" s="5" t="s">
        <v>19</v>
      </c>
      <c r="E3090" s="5" t="s">
        <v>75</v>
      </c>
      <c r="F3090" s="9">
        <v>64</v>
      </c>
      <c r="G3090" s="9">
        <v>733</v>
      </c>
      <c r="H3090" s="5" t="s">
        <v>21</v>
      </c>
      <c r="I3090" s="5" t="s">
        <v>7526</v>
      </c>
      <c r="J3090" s="12" t="str">
        <f>HYPERLINK("https://www.boe.es/gazeta/dias/1800/08/12/pdfs/GMD-1800-64.pdf#page=9","Abrir facsímil")</f>
        <v>Abrir facsímil</v>
      </c>
      <c r="K3090" s="15" t="s">
        <v>23</v>
      </c>
    </row>
    <row r="3091" spans="1:11" ht="42" customHeight="1">
      <c r="A3091" s="4" t="s">
        <v>7527</v>
      </c>
      <c r="B3091" s="5" t="s">
        <v>7528</v>
      </c>
      <c r="C3091" s="5" t="s">
        <v>18</v>
      </c>
      <c r="D3091" s="5" t="s">
        <v>19</v>
      </c>
      <c r="E3091" s="5" t="s">
        <v>534</v>
      </c>
      <c r="F3091" s="9">
        <v>100</v>
      </c>
      <c r="G3091" s="9">
        <v>1161</v>
      </c>
      <c r="H3091" s="5" t="s">
        <v>21</v>
      </c>
      <c r="I3091" s="5" t="s">
        <v>7529</v>
      </c>
      <c r="J3091" s="12" t="str">
        <f>HYPERLINK("https://www.boe.es/gazeta/dias/1800/12/12/pdfs/GMD-1800-100.pdf#page=13","Abrir facsímil")</f>
        <v>Abrir facsímil</v>
      </c>
      <c r="K3091" s="15" t="s">
        <v>23</v>
      </c>
    </row>
    <row r="3092" spans="1:11" ht="42" customHeight="1">
      <c r="A3092" s="4" t="s">
        <v>7530</v>
      </c>
      <c r="B3092" s="5" t="s">
        <v>7531</v>
      </c>
      <c r="C3092" s="5" t="s">
        <v>18</v>
      </c>
      <c r="D3092" s="5" t="s">
        <v>19</v>
      </c>
      <c r="E3092" s="5" t="s">
        <v>618</v>
      </c>
      <c r="F3092" s="9">
        <v>1</v>
      </c>
      <c r="G3092" s="9">
        <v>5</v>
      </c>
      <c r="H3092" s="5" t="s">
        <v>21</v>
      </c>
      <c r="I3092" s="5" t="s">
        <v>7532</v>
      </c>
      <c r="J3092" s="12" t="str">
        <f>HYPERLINK("https://www.boe.es/gazeta/dias/1800/01/03/pdfs/GMD-1800-1.pdf#page=5","Abrir facsímil")</f>
        <v>Abrir facsímil</v>
      </c>
      <c r="K3092" s="15" t="s">
        <v>23</v>
      </c>
    </row>
    <row r="3093" spans="1:11" ht="42" customHeight="1">
      <c r="A3093" s="4" t="s">
        <v>7533</v>
      </c>
      <c r="B3093" s="5" t="s">
        <v>7534</v>
      </c>
      <c r="C3093" s="5" t="s">
        <v>18</v>
      </c>
      <c r="D3093" s="5" t="s">
        <v>19</v>
      </c>
      <c r="E3093" s="5" t="s">
        <v>79</v>
      </c>
      <c r="F3093" s="9">
        <v>7</v>
      </c>
      <c r="G3093" s="9">
        <v>66</v>
      </c>
      <c r="H3093" s="5" t="s">
        <v>21</v>
      </c>
      <c r="I3093" s="5" t="s">
        <v>7535</v>
      </c>
      <c r="J3093" s="12" t="str">
        <f>HYPERLINK("https://www.boe.es/gazeta/dias/1800/01/24/pdfs/GMD-1800-7.pdf#page=6","Abrir facsímil")</f>
        <v>Abrir facsímil</v>
      </c>
      <c r="K3093" s="15" t="s">
        <v>23</v>
      </c>
    </row>
    <row r="3094" spans="1:11" ht="42" customHeight="1">
      <c r="A3094" s="4" t="s">
        <v>7536</v>
      </c>
      <c r="B3094" s="5" t="s">
        <v>7537</v>
      </c>
      <c r="C3094" s="5" t="s">
        <v>18</v>
      </c>
      <c r="D3094" s="5" t="s">
        <v>19</v>
      </c>
      <c r="E3094" s="5" t="s">
        <v>461</v>
      </c>
      <c r="F3094" s="9">
        <v>18</v>
      </c>
      <c r="G3094" s="9">
        <v>170</v>
      </c>
      <c r="H3094" s="5" t="s">
        <v>21</v>
      </c>
      <c r="I3094" s="5" t="s">
        <v>7538</v>
      </c>
      <c r="J3094" s="12" t="str">
        <f>HYPERLINK("https://www.boe.es/datos/pdfs/BOE//1800/018/C00173-00176.pdf#page=6","Abrir facsímil")</f>
        <v>Abrir facsímil</v>
      </c>
      <c r="K3094" s="15" t="s">
        <v>23</v>
      </c>
    </row>
    <row r="3095" spans="1:11" ht="42" customHeight="1">
      <c r="A3095" s="4" t="s">
        <v>7539</v>
      </c>
      <c r="B3095" s="5" t="s">
        <v>7540</v>
      </c>
      <c r="C3095" s="5" t="s">
        <v>18</v>
      </c>
      <c r="D3095" s="5" t="s">
        <v>19</v>
      </c>
      <c r="E3095" s="5" t="s">
        <v>58</v>
      </c>
      <c r="F3095" s="9">
        <v>92</v>
      </c>
      <c r="G3095" s="9">
        <v>1053</v>
      </c>
      <c r="H3095" s="5" t="s">
        <v>21</v>
      </c>
      <c r="I3095" s="5" t="s">
        <v>7541</v>
      </c>
      <c r="J3095" s="12" t="str">
        <f>HYPERLINK("https://www.boe.es/gazeta/dias/1800/11/14/pdfs/GMD-1800-92.pdf#page=7","Abrir facsímil")</f>
        <v>Abrir facsímil</v>
      </c>
      <c r="K3095" s="15" t="s">
        <v>23</v>
      </c>
    </row>
    <row r="3096" spans="1:11" ht="42" customHeight="1">
      <c r="A3096" s="4" t="s">
        <v>7542</v>
      </c>
      <c r="B3096" s="5" t="s">
        <v>7543</v>
      </c>
      <c r="C3096" s="5" t="s">
        <v>18</v>
      </c>
      <c r="D3096" s="5" t="s">
        <v>19</v>
      </c>
      <c r="E3096" s="5" t="s">
        <v>255</v>
      </c>
      <c r="F3096" s="9">
        <v>75</v>
      </c>
      <c r="G3096" s="9">
        <v>855</v>
      </c>
      <c r="H3096" s="5" t="s">
        <v>21</v>
      </c>
      <c r="I3096" s="5" t="s">
        <v>7544</v>
      </c>
      <c r="J3096" s="12" t="str">
        <f>HYPERLINK("https://www.boe.es/gazeta/dias/1800/09/16/pdfs/GMD-1800-75.pdf#page=9","Abrir facsímil")</f>
        <v>Abrir facsímil</v>
      </c>
      <c r="K3096" s="15" t="s">
        <v>23</v>
      </c>
    </row>
    <row r="3097" spans="1:11" ht="42" customHeight="1">
      <c r="A3097" s="4" t="s">
        <v>7545</v>
      </c>
      <c r="B3097" s="5" t="s">
        <v>7546</v>
      </c>
      <c r="C3097" s="5" t="s">
        <v>25</v>
      </c>
      <c r="D3097" s="5" t="s">
        <v>26</v>
      </c>
      <c r="E3097" s="5" t="s">
        <v>45</v>
      </c>
      <c r="F3097" s="9">
        <v>47</v>
      </c>
      <c r="G3097" s="9">
        <v>503</v>
      </c>
      <c r="H3097" s="5" t="s">
        <v>21</v>
      </c>
      <c r="I3097" s="5" t="s">
        <v>7547</v>
      </c>
      <c r="J3097" s="12" t="str">
        <f>HYPERLINK("https://www.boe.es/gazeta/dias/1800/06/13/pdfs/GMD-1800-47.pdf#page=11","Abrir facsímil")</f>
        <v>Abrir facsímil</v>
      </c>
      <c r="K3097" s="15" t="s">
        <v>23</v>
      </c>
    </row>
    <row r="3098" spans="1:11" ht="42" customHeight="1">
      <c r="A3098" s="4" t="s">
        <v>7548</v>
      </c>
      <c r="B3098" s="5" t="s">
        <v>7548</v>
      </c>
      <c r="C3098" s="5" t="s">
        <v>41</v>
      </c>
      <c r="D3098" s="5" t="s">
        <v>42</v>
      </c>
      <c r="E3098" s="5" t="s">
        <v>35</v>
      </c>
      <c r="F3098" s="9">
        <v>21</v>
      </c>
      <c r="G3098" s="9">
        <v>199</v>
      </c>
      <c r="H3098" s="5" t="s">
        <v>21</v>
      </c>
      <c r="I3098" s="5" t="s">
        <v>7549</v>
      </c>
      <c r="J3098" s="12" t="str">
        <f>HYPERLINK("https://www.boe.es/gazeta/dias/1800/03/14/pdfs/GMD-1800-21.pdf#page=3","Abrir facsímil")</f>
        <v>Abrir facsímil</v>
      </c>
      <c r="K3098" s="15" t="s">
        <v>23</v>
      </c>
    </row>
    <row r="3099" spans="1:11" ht="42" customHeight="1">
      <c r="A3099" s="4" t="s">
        <v>7550</v>
      </c>
      <c r="B3099" s="5" t="s">
        <v>7551</v>
      </c>
      <c r="C3099" s="5" t="s">
        <v>41</v>
      </c>
      <c r="D3099" s="5" t="s">
        <v>42</v>
      </c>
      <c r="E3099" s="5" t="s">
        <v>226</v>
      </c>
      <c r="F3099" s="9">
        <v>27</v>
      </c>
      <c r="G3099" s="9">
        <v>278</v>
      </c>
      <c r="H3099" s="5" t="s">
        <v>21</v>
      </c>
      <c r="I3099" s="5" t="s">
        <v>7552</v>
      </c>
      <c r="J3099" s="12" t="str">
        <f>HYPERLINK("https://www.boe.es/gazeta/dias/1800/04/04/pdfs/GMD-1800-27.pdf#page=6","Abrir facsímil")</f>
        <v>Abrir facsímil</v>
      </c>
      <c r="K3099" s="15" t="s">
        <v>23</v>
      </c>
    </row>
    <row r="3100" spans="1:11" ht="42" customHeight="1">
      <c r="A3100" s="4" t="s">
        <v>7553</v>
      </c>
      <c r="B3100" s="5" t="s">
        <v>7554</v>
      </c>
      <c r="C3100" s="5" t="s">
        <v>207</v>
      </c>
      <c r="D3100" s="5" t="s">
        <v>55</v>
      </c>
      <c r="E3100" s="5" t="s">
        <v>406</v>
      </c>
      <c r="F3100" s="9">
        <v>44</v>
      </c>
      <c r="G3100" s="9">
        <v>460</v>
      </c>
      <c r="H3100" s="5" t="s">
        <v>21</v>
      </c>
      <c r="I3100" s="5" t="s">
        <v>7555</v>
      </c>
      <c r="J3100" s="12" t="str">
        <f>HYPERLINK("https://www.boe.es/gazeta/dias/1800/06/03/pdfs/GMD-1800-44.pdf#page=8","Abrir facsímil")</f>
        <v>Abrir facsímil</v>
      </c>
      <c r="K3100" s="15" t="s">
        <v>23</v>
      </c>
    </row>
    <row r="3101" spans="1:11" ht="42" customHeight="1">
      <c r="A3101" s="4" t="s">
        <v>7553</v>
      </c>
      <c r="B3101" s="5" t="s">
        <v>7554</v>
      </c>
      <c r="C3101" s="5" t="s">
        <v>41</v>
      </c>
      <c r="D3101" s="5" t="s">
        <v>42</v>
      </c>
      <c r="E3101" s="5" t="s">
        <v>454</v>
      </c>
      <c r="F3101" s="9">
        <v>63</v>
      </c>
      <c r="G3101" s="9">
        <v>718</v>
      </c>
      <c r="H3101" s="5" t="s">
        <v>21</v>
      </c>
      <c r="I3101" s="5" t="s">
        <v>7556</v>
      </c>
      <c r="J3101" s="12" t="str">
        <f>HYPERLINK("https://www.boe.es/gazeta/dias/1800/08/08/pdfs/GMD-1800-63.pdf#page=6","Abrir facsímil")</f>
        <v>Abrir facsímil</v>
      </c>
      <c r="K3101" s="15" t="s">
        <v>23</v>
      </c>
    </row>
    <row r="3102" spans="1:11" ht="42" customHeight="1">
      <c r="A3102" s="4" t="s">
        <v>7557</v>
      </c>
      <c r="B3102" s="5" t="s">
        <v>7558</v>
      </c>
      <c r="C3102" s="5" t="s">
        <v>18</v>
      </c>
      <c r="D3102" s="5" t="s">
        <v>19</v>
      </c>
      <c r="E3102" s="5" t="s">
        <v>90</v>
      </c>
      <c r="F3102" s="9">
        <v>58</v>
      </c>
      <c r="G3102" s="9">
        <v>663</v>
      </c>
      <c r="H3102" s="5" t="s">
        <v>21</v>
      </c>
      <c r="I3102" s="5" t="s">
        <v>7559</v>
      </c>
      <c r="J3102" s="12" t="str">
        <f>HYPERLINK("https://www.boe.es/gazeta/dias/1800/07/22/pdfs/GMD-1800-58.pdf#page=11","Abrir facsímil")</f>
        <v>Abrir facsímil</v>
      </c>
      <c r="K3102" s="15" t="s">
        <v>23</v>
      </c>
    </row>
    <row r="3103" spans="1:11" ht="42" customHeight="1">
      <c r="A3103" s="4" t="s">
        <v>7560</v>
      </c>
      <c r="B3103" s="5" t="s">
        <v>7561</v>
      </c>
      <c r="C3103" s="5" t="s">
        <v>18</v>
      </c>
      <c r="D3103" s="5" t="s">
        <v>19</v>
      </c>
      <c r="E3103" s="5" t="s">
        <v>787</v>
      </c>
      <c r="F3103" s="9">
        <v>6</v>
      </c>
      <c r="G3103" s="9">
        <v>57</v>
      </c>
      <c r="H3103" s="5" t="s">
        <v>21</v>
      </c>
      <c r="I3103" s="5" t="s">
        <v>7562</v>
      </c>
      <c r="J3103" s="12" t="str">
        <f>HYPERLINK("https://www.boe.es/gazeta/dias/1800/01/21/pdfs/GMD-1800-6.pdf#page=9","Abrir facsímil")</f>
        <v>Abrir facsímil</v>
      </c>
      <c r="K3103" s="15" t="s">
        <v>23</v>
      </c>
    </row>
    <row r="3104" spans="1:11" ht="42" customHeight="1">
      <c r="A3104" s="4" t="s">
        <v>7563</v>
      </c>
      <c r="B3104" s="5" t="s">
        <v>7564</v>
      </c>
      <c r="C3104" s="5" t="s">
        <v>18</v>
      </c>
      <c r="D3104" s="5" t="s">
        <v>19</v>
      </c>
      <c r="E3104" s="5" t="s">
        <v>445</v>
      </c>
      <c r="F3104" s="9">
        <v>96</v>
      </c>
      <c r="G3104" s="9">
        <v>1106</v>
      </c>
      <c r="H3104" s="5" t="s">
        <v>21</v>
      </c>
      <c r="I3104" s="5" t="s">
        <v>7565</v>
      </c>
      <c r="J3104" s="12" t="str">
        <f>HYPERLINK("https://www.boe.es/gazeta/dias/1800/11/28/pdfs/GMD-1800-96.pdf#page=10","Abrir facsímil")</f>
        <v>Abrir facsímil</v>
      </c>
      <c r="K3104" s="15" t="s">
        <v>23</v>
      </c>
    </row>
    <row r="3105" spans="1:11" ht="42" customHeight="1">
      <c r="A3105" s="4" t="s">
        <v>7566</v>
      </c>
      <c r="B3105" s="5" t="s">
        <v>7567</v>
      </c>
      <c r="C3105" s="5" t="s">
        <v>25</v>
      </c>
      <c r="D3105" s="5" t="s">
        <v>26</v>
      </c>
      <c r="E3105" s="5" t="s">
        <v>1294</v>
      </c>
      <c r="F3105" s="9">
        <v>59</v>
      </c>
      <c r="G3105" s="9">
        <v>678</v>
      </c>
      <c r="H3105" s="5" t="s">
        <v>21</v>
      </c>
      <c r="I3105" s="5" t="s">
        <v>7568</v>
      </c>
      <c r="J3105" s="12" t="str">
        <f>HYPERLINK("https://www.boe.es/gazeta/dias/1800/07/25/pdfs/GMD-1800-59.pdf#page=10","Abrir facsímil")</f>
        <v>Abrir facsímil</v>
      </c>
      <c r="K3105" s="15" t="s">
        <v>23</v>
      </c>
    </row>
    <row r="3106" spans="1:11" ht="42" customHeight="1">
      <c r="A3106" s="4" t="s">
        <v>7569</v>
      </c>
      <c r="B3106" s="5" t="s">
        <v>7570</v>
      </c>
      <c r="C3106" s="5" t="s">
        <v>207</v>
      </c>
      <c r="D3106" s="5" t="s">
        <v>55</v>
      </c>
      <c r="E3106" s="5" t="s">
        <v>491</v>
      </c>
      <c r="F3106" s="9">
        <v>29</v>
      </c>
      <c r="G3106" s="9">
        <v>298</v>
      </c>
      <c r="H3106" s="5" t="s">
        <v>21</v>
      </c>
      <c r="I3106" s="5" t="s">
        <v>7571</v>
      </c>
      <c r="J3106" s="12" t="str">
        <f>HYPERLINK("https://www.boe.es/gazeta/dias/1800/04/11/pdfs/GMD-1800-29.pdf#page=6","Abrir facsímil")</f>
        <v>Abrir facsímil</v>
      </c>
      <c r="K3106" s="15" t="s">
        <v>23</v>
      </c>
    </row>
    <row r="3107" spans="1:11" ht="42" customHeight="1">
      <c r="A3107" s="4" t="s">
        <v>7572</v>
      </c>
      <c r="B3107" s="5" t="s">
        <v>7573</v>
      </c>
      <c r="C3107" s="5" t="s">
        <v>18</v>
      </c>
      <c r="D3107" s="5" t="s">
        <v>19</v>
      </c>
      <c r="E3107" s="5" t="s">
        <v>595</v>
      </c>
      <c r="F3107" s="9">
        <v>72</v>
      </c>
      <c r="G3107" s="9">
        <v>797</v>
      </c>
      <c r="H3107" s="5" t="s">
        <v>21</v>
      </c>
      <c r="I3107" s="5" t="s">
        <v>7574</v>
      </c>
      <c r="J3107" s="12" t="str">
        <f>HYPERLINK("https://www.boe.es/gazeta/dias/1800/09/05/pdfs/GMD-1800-72.pdf#page=7","Abrir facsímil")</f>
        <v>Abrir facsímil</v>
      </c>
      <c r="K3107" s="15" t="s">
        <v>23</v>
      </c>
    </row>
    <row r="3108" spans="1:11" ht="42" customHeight="1">
      <c r="A3108" s="4" t="s">
        <v>7575</v>
      </c>
      <c r="B3108" s="5" t="s">
        <v>7576</v>
      </c>
      <c r="C3108" s="5" t="s">
        <v>18</v>
      </c>
      <c r="D3108" s="5" t="s">
        <v>19</v>
      </c>
      <c r="E3108" s="5" t="s">
        <v>283</v>
      </c>
      <c r="F3108" s="9">
        <v>68</v>
      </c>
      <c r="G3108" s="9">
        <v>765</v>
      </c>
      <c r="H3108" s="5" t="s">
        <v>21</v>
      </c>
      <c r="I3108" s="5" t="s">
        <v>7577</v>
      </c>
      <c r="J3108" s="12" t="str">
        <f>HYPERLINK("https://www.boe.es/gazeta/dias/1800/08/26/pdfs/GMD-1800-68.pdf#page=9","Abrir facsímil")</f>
        <v>Abrir facsímil</v>
      </c>
      <c r="K3108" s="15" t="s">
        <v>23</v>
      </c>
    </row>
    <row r="3109" spans="1:11" ht="42" customHeight="1">
      <c r="A3109" s="4" t="s">
        <v>7578</v>
      </c>
      <c r="B3109" s="5" t="s">
        <v>7579</v>
      </c>
      <c r="C3109" s="5" t="s">
        <v>171</v>
      </c>
      <c r="D3109" s="5" t="s">
        <v>172</v>
      </c>
      <c r="E3109" s="5" t="s">
        <v>465</v>
      </c>
      <c r="F3109" s="9">
        <v>49</v>
      </c>
      <c r="G3109" s="9">
        <v>535</v>
      </c>
      <c r="H3109" s="5" t="s">
        <v>21</v>
      </c>
      <c r="I3109" s="5" t="s">
        <v>7580</v>
      </c>
      <c r="J3109" s="12" t="str">
        <f>HYPERLINK("https://www.boe.es/gazeta/dias/1800/06/20/pdfs/GMD-C-1800-49.pdf#page=3","Abrir facsímil")</f>
        <v>Abrir facsímil</v>
      </c>
      <c r="K3109" s="15" t="s">
        <v>23</v>
      </c>
    </row>
    <row r="3110" spans="1:11" ht="42" customHeight="1">
      <c r="A3110" s="4" t="s">
        <v>7581</v>
      </c>
      <c r="B3110" s="5" t="s">
        <v>7582</v>
      </c>
      <c r="C3110" s="5" t="s">
        <v>18</v>
      </c>
      <c r="D3110" s="5" t="s">
        <v>19</v>
      </c>
      <c r="E3110" s="5" t="s">
        <v>39</v>
      </c>
      <c r="F3110" s="9">
        <v>43</v>
      </c>
      <c r="G3110" s="9">
        <v>449</v>
      </c>
      <c r="H3110" s="5" t="s">
        <v>21</v>
      </c>
      <c r="I3110" s="5" t="s">
        <v>7583</v>
      </c>
      <c r="J3110" s="12" t="str">
        <f>HYPERLINK("https://www.boe.es/gazeta/dias/1800/05/30/pdfs/GMD-1800-43.pdf#page=9","Abrir facsímil")</f>
        <v>Abrir facsímil</v>
      </c>
      <c r="K3110" s="15" t="s">
        <v>23</v>
      </c>
    </row>
    <row r="3111" spans="1:11" ht="42" customHeight="1">
      <c r="A3111" s="4" t="s">
        <v>7584</v>
      </c>
      <c r="B3111" s="5" t="s">
        <v>7585</v>
      </c>
      <c r="C3111" s="5" t="s">
        <v>207</v>
      </c>
      <c r="D3111" s="5" t="s">
        <v>55</v>
      </c>
      <c r="E3111" s="5" t="s">
        <v>111</v>
      </c>
      <c r="F3111" s="9">
        <v>98</v>
      </c>
      <c r="G3111" s="9">
        <v>1128</v>
      </c>
      <c r="H3111" s="5" t="s">
        <v>21</v>
      </c>
      <c r="I3111" s="5" t="s">
        <v>7586</v>
      </c>
      <c r="J3111" s="12" t="str">
        <f>HYPERLINK("https://www.boe.es/gazeta/dias/1800/12/05/pdfs/GMD-1800-98.pdf#page=8","Abrir facsímil")</f>
        <v>Abrir facsímil</v>
      </c>
      <c r="K3111" s="15" t="s">
        <v>23</v>
      </c>
    </row>
    <row r="3112" spans="1:11" ht="42" customHeight="1">
      <c r="A3112" s="4" t="s">
        <v>7587</v>
      </c>
      <c r="B3112" s="5" t="s">
        <v>7588</v>
      </c>
      <c r="C3112" s="5" t="s">
        <v>25</v>
      </c>
      <c r="D3112" s="5" t="s">
        <v>26</v>
      </c>
      <c r="E3112" s="5" t="s">
        <v>1213</v>
      </c>
      <c r="F3112" s="9">
        <v>4</v>
      </c>
      <c r="G3112" s="9">
        <v>37</v>
      </c>
      <c r="H3112" s="5" t="s">
        <v>21</v>
      </c>
      <c r="I3112" s="5" t="s">
        <v>7589</v>
      </c>
      <c r="J3112" s="12" t="str">
        <f>HYPERLINK("https://www.boe.es/gazeta/dias/1800/01/14/pdfs/GMD-1800-4.pdf#page=9","Abrir facsímil")</f>
        <v>Abrir facsímil</v>
      </c>
      <c r="K3112" s="15" t="s">
        <v>23</v>
      </c>
    </row>
    <row r="3113" spans="1:11" ht="42" customHeight="1">
      <c r="A3113" s="4" t="s">
        <v>7590</v>
      </c>
      <c r="B3113" s="5" t="s">
        <v>7591</v>
      </c>
      <c r="C3113" s="5" t="s">
        <v>84</v>
      </c>
      <c r="D3113" s="5" t="s">
        <v>85</v>
      </c>
      <c r="E3113" s="5" t="s">
        <v>147</v>
      </c>
      <c r="F3113" s="9">
        <v>84</v>
      </c>
      <c r="G3113" s="9">
        <v>974</v>
      </c>
      <c r="H3113" s="5" t="s">
        <v>21</v>
      </c>
      <c r="I3113" s="5" t="s">
        <v>7592</v>
      </c>
      <c r="J3113" s="12" t="str">
        <f>HYPERLINK("https://www.boe.es/gazeta/dias/1800/10/17/pdfs/GMD-1800-84.pdf#page=8","Abrir facsímil")</f>
        <v>Abrir facsímil</v>
      </c>
      <c r="K3113" s="15" t="s">
        <v>23</v>
      </c>
    </row>
    <row r="3114" spans="1:11" ht="42" customHeight="1">
      <c r="A3114" s="4" t="s">
        <v>7593</v>
      </c>
      <c r="B3114" s="5" t="s">
        <v>7594</v>
      </c>
      <c r="C3114" s="5" t="s">
        <v>18</v>
      </c>
      <c r="D3114" s="5" t="s">
        <v>19</v>
      </c>
      <c r="E3114" s="5" t="s">
        <v>196</v>
      </c>
      <c r="F3114" s="9">
        <v>97</v>
      </c>
      <c r="G3114" s="9">
        <v>1117</v>
      </c>
      <c r="H3114" s="5" t="s">
        <v>21</v>
      </c>
      <c r="I3114" s="5" t="s">
        <v>7595</v>
      </c>
      <c r="J3114" s="12" t="str">
        <f>HYPERLINK("https://www.boe.es/gazeta/dias/1800/12/02/pdfs/GMD-1800-97.pdf#page=9","Abrir facsímil")</f>
        <v>Abrir facsímil</v>
      </c>
      <c r="K3114" s="15" t="s">
        <v>23</v>
      </c>
    </row>
    <row r="3115" spans="1:11" ht="42" customHeight="1">
      <c r="A3115" s="4" t="s">
        <v>7596</v>
      </c>
      <c r="B3115" s="5" t="s">
        <v>7597</v>
      </c>
      <c r="C3115" s="5" t="s">
        <v>207</v>
      </c>
      <c r="D3115" s="5" t="s">
        <v>55</v>
      </c>
      <c r="E3115" s="5" t="s">
        <v>135</v>
      </c>
      <c r="F3115" s="9">
        <v>73</v>
      </c>
      <c r="G3115" s="9">
        <v>814</v>
      </c>
      <c r="H3115" s="5" t="s">
        <v>21</v>
      </c>
      <c r="I3115" s="5" t="s">
        <v>7598</v>
      </c>
      <c r="J3115" s="12" t="str">
        <f>HYPERLINK("https://www.boe.es/gazeta/dias/1800/09/09/pdfs/GMD-1800-73.pdf#page=8","Abrir facsímil")</f>
        <v>Abrir facsímil</v>
      </c>
      <c r="K3115" s="15" t="s">
        <v>23</v>
      </c>
    </row>
    <row r="3116" spans="1:11" ht="42" customHeight="1">
      <c r="A3116" s="4" t="s">
        <v>7599</v>
      </c>
      <c r="B3116" s="5" t="s">
        <v>7600</v>
      </c>
      <c r="C3116" s="5" t="s">
        <v>84</v>
      </c>
      <c r="D3116" s="5" t="s">
        <v>85</v>
      </c>
      <c r="E3116" s="5" t="s">
        <v>50</v>
      </c>
      <c r="F3116" s="9">
        <v>81</v>
      </c>
      <c r="G3116" s="9">
        <v>918</v>
      </c>
      <c r="H3116" s="5" t="s">
        <v>21</v>
      </c>
      <c r="I3116" s="5" t="s">
        <v>7601</v>
      </c>
      <c r="J3116" s="12" t="str">
        <f>HYPERLINK("https://www.boe.es/gazeta/dias/1800/10/07/pdfs/GMD-1800-81.pdf#page=8","Abrir facsímil")</f>
        <v>Abrir facsímil</v>
      </c>
      <c r="K3116" s="15" t="s">
        <v>23</v>
      </c>
    </row>
    <row r="3117" spans="1:11" ht="42" customHeight="1">
      <c r="A3117" s="4" t="s">
        <v>7602</v>
      </c>
      <c r="B3117" s="5" t="s">
        <v>7603</v>
      </c>
      <c r="C3117" s="5" t="s">
        <v>18</v>
      </c>
      <c r="D3117" s="5" t="s">
        <v>19</v>
      </c>
      <c r="E3117" s="5" t="s">
        <v>27</v>
      </c>
      <c r="F3117" s="9">
        <v>65</v>
      </c>
      <c r="G3117" s="9">
        <v>733</v>
      </c>
      <c r="H3117" s="5" t="s">
        <v>21</v>
      </c>
      <c r="I3117" s="5" t="s">
        <v>7604</v>
      </c>
      <c r="J3117" s="12" t="str">
        <f>HYPERLINK("https://www.boe.es/gazeta/dias/1800/08/15/pdfs/GMD-1800-65.pdf#page=9","Abrir facsímil")</f>
        <v>Abrir facsímil</v>
      </c>
      <c r="K3117" s="15" t="s">
        <v>23</v>
      </c>
    </row>
    <row r="3118" spans="1:11" ht="42" customHeight="1">
      <c r="A3118" s="4" t="s">
        <v>7605</v>
      </c>
      <c r="B3118" s="5" t="s">
        <v>7606</v>
      </c>
      <c r="C3118" s="5" t="s">
        <v>25</v>
      </c>
      <c r="D3118" s="5" t="s">
        <v>26</v>
      </c>
      <c r="E3118" s="5" t="s">
        <v>184</v>
      </c>
      <c r="F3118" s="9">
        <v>82</v>
      </c>
      <c r="G3118" s="9">
        <v>950</v>
      </c>
      <c r="H3118" s="5" t="s">
        <v>21</v>
      </c>
      <c r="I3118" s="5" t="s">
        <v>7607</v>
      </c>
      <c r="J3118" s="12" t="str">
        <f>HYPERLINK("https://www.boe.es/gazeta/dias/1800/10/10/pdfs/GMD-1800-82.pdf#page=8","Abrir facsímil")</f>
        <v>Abrir facsímil</v>
      </c>
      <c r="K3118" s="15" t="s">
        <v>23</v>
      </c>
    </row>
    <row r="3119" spans="1:11" ht="42" customHeight="1">
      <c r="A3119" s="4" t="s">
        <v>7608</v>
      </c>
      <c r="B3119" s="5" t="s">
        <v>7609</v>
      </c>
      <c r="C3119" s="5" t="s">
        <v>25</v>
      </c>
      <c r="D3119" s="5" t="s">
        <v>26</v>
      </c>
      <c r="E3119" s="5" t="s">
        <v>45</v>
      </c>
      <c r="F3119" s="9">
        <v>47</v>
      </c>
      <c r="G3119" s="9">
        <v>503</v>
      </c>
      <c r="H3119" s="5" t="s">
        <v>21</v>
      </c>
      <c r="I3119" s="5" t="s">
        <v>7610</v>
      </c>
      <c r="J3119" s="12" t="str">
        <f>HYPERLINK("https://www.boe.es/gazeta/dias/1800/06/13/pdfs/GMD-1800-47.pdf#page=11","Abrir facsímil")</f>
        <v>Abrir facsímil</v>
      </c>
      <c r="K3119" s="15" t="s">
        <v>23</v>
      </c>
    </row>
    <row r="3120" spans="1:11" ht="42" customHeight="1">
      <c r="A3120" s="4" t="s">
        <v>7611</v>
      </c>
      <c r="B3120" s="5" t="s">
        <v>7612</v>
      </c>
      <c r="C3120" s="5" t="s">
        <v>84</v>
      </c>
      <c r="D3120" s="5" t="s">
        <v>85</v>
      </c>
      <c r="E3120" s="5" t="s">
        <v>828</v>
      </c>
      <c r="F3120" s="9">
        <v>53</v>
      </c>
      <c r="G3120" s="9">
        <v>592</v>
      </c>
      <c r="H3120" s="5" t="s">
        <v>21</v>
      </c>
      <c r="I3120" s="5" t="s">
        <v>7613</v>
      </c>
      <c r="J3120" s="12" t="str">
        <f>HYPERLINK("https://www.boe.es/gazeta/dias/1800/07/04/pdfs/GMD-1800-53.pdf#page=12","Abrir facsímil")</f>
        <v>Abrir facsímil</v>
      </c>
      <c r="K3120" s="15" t="s">
        <v>23</v>
      </c>
    </row>
    <row r="3121" spans="1:11" ht="42" customHeight="1">
      <c r="A3121" s="4" t="s">
        <v>7611</v>
      </c>
      <c r="B3121" s="5" t="s">
        <v>7612</v>
      </c>
      <c r="C3121" s="5" t="s">
        <v>84</v>
      </c>
      <c r="D3121" s="5" t="s">
        <v>85</v>
      </c>
      <c r="E3121" s="5" t="s">
        <v>319</v>
      </c>
      <c r="F3121" s="9">
        <v>62</v>
      </c>
      <c r="G3121" s="9">
        <v>712</v>
      </c>
      <c r="H3121" s="5" t="s">
        <v>21</v>
      </c>
      <c r="I3121" s="5" t="s">
        <v>7614</v>
      </c>
      <c r="J3121" s="12" t="str">
        <f>HYPERLINK("https://www.boe.es/gazeta/dias/1800/08/05/pdfs/GMD-1800-62.pdf#page=12","Abrir facsímil")</f>
        <v>Abrir facsímil</v>
      </c>
      <c r="K3121" s="15" t="s">
        <v>23</v>
      </c>
    </row>
    <row r="3122" spans="1:11" ht="42" customHeight="1">
      <c r="A3122" s="4" t="s">
        <v>7611</v>
      </c>
      <c r="B3122" s="5" t="s">
        <v>7612</v>
      </c>
      <c r="C3122" s="5" t="s">
        <v>84</v>
      </c>
      <c r="D3122" s="5" t="s">
        <v>85</v>
      </c>
      <c r="E3122" s="5" t="s">
        <v>836</v>
      </c>
      <c r="F3122" s="9">
        <v>71</v>
      </c>
      <c r="G3122" s="9">
        <v>790</v>
      </c>
      <c r="H3122" s="5" t="s">
        <v>21</v>
      </c>
      <c r="I3122" s="5" t="s">
        <v>7615</v>
      </c>
      <c r="J3122" s="12" t="str">
        <f>HYPERLINK("https://www.boe.es/gazeta/dias/1800/09/02/pdfs/GMD-1800-71.pdf#page=8","Abrir facsímil")</f>
        <v>Abrir facsímil</v>
      </c>
      <c r="K3122" s="15" t="s">
        <v>23</v>
      </c>
    </row>
    <row r="3123" spans="1:11" ht="42" customHeight="1">
      <c r="A3123" s="4" t="s">
        <v>7611</v>
      </c>
      <c r="B3123" s="5" t="s">
        <v>7612</v>
      </c>
      <c r="C3123" s="5" t="s">
        <v>84</v>
      </c>
      <c r="D3123" s="5" t="s">
        <v>85</v>
      </c>
      <c r="E3123" s="5" t="s">
        <v>52</v>
      </c>
      <c r="F3123" s="9">
        <v>83</v>
      </c>
      <c r="G3123" s="9">
        <v>966</v>
      </c>
      <c r="H3123" s="5" t="s">
        <v>21</v>
      </c>
      <c r="I3123" s="5" t="s">
        <v>7616</v>
      </c>
      <c r="J3123" s="12" t="str">
        <f>HYPERLINK("https://www.boe.es/gazeta/dias/1800/10/14/pdfs/GMD-1800-83.pdf#page=12","Abrir facsímil")</f>
        <v>Abrir facsímil</v>
      </c>
      <c r="K3123" s="15" t="s">
        <v>23</v>
      </c>
    </row>
    <row r="3124" spans="1:11" ht="42" customHeight="1">
      <c r="A3124" s="4" t="s">
        <v>7611</v>
      </c>
      <c r="B3124" s="5" t="s">
        <v>7612</v>
      </c>
      <c r="C3124" s="5" t="s">
        <v>84</v>
      </c>
      <c r="D3124" s="5" t="s">
        <v>85</v>
      </c>
      <c r="E3124" s="5" t="s">
        <v>576</v>
      </c>
      <c r="F3124" s="9">
        <v>91</v>
      </c>
      <c r="G3124" s="9">
        <v>1070</v>
      </c>
      <c r="H3124" s="5" t="s">
        <v>21</v>
      </c>
      <c r="I3124" s="5" t="s">
        <v>7617</v>
      </c>
      <c r="J3124" s="12" t="str">
        <f>HYPERLINK("https://www.boe.es/gazeta/dias/1800/11/11/pdfs/GMD-1800-91.pdf#page=12","Abrir facsímil")</f>
        <v>Abrir facsímil</v>
      </c>
      <c r="K3124" s="15" t="s">
        <v>23</v>
      </c>
    </row>
    <row r="3125" spans="1:11" ht="42" customHeight="1">
      <c r="A3125" s="4" t="s">
        <v>7618</v>
      </c>
      <c r="B3125" s="5" t="s">
        <v>7619</v>
      </c>
      <c r="C3125" s="5" t="s">
        <v>84</v>
      </c>
      <c r="D3125" s="5" t="s">
        <v>85</v>
      </c>
      <c r="E3125" s="5" t="s">
        <v>530</v>
      </c>
      <c r="F3125" s="9">
        <v>55</v>
      </c>
      <c r="G3125" s="9">
        <v>624</v>
      </c>
      <c r="H3125" s="5" t="s">
        <v>21</v>
      </c>
      <c r="I3125" s="5" t="s">
        <v>7620</v>
      </c>
      <c r="J3125" s="12" t="str">
        <f>HYPERLINK("https://www.boe.es/gazeta/dias/1800/07/11/pdfs/GMD-1800-55.pdf#page=12","Abrir facsímil")</f>
        <v>Abrir facsímil</v>
      </c>
      <c r="K3125" s="15" t="s">
        <v>23</v>
      </c>
    </row>
    <row r="3126" spans="1:11" ht="42" customHeight="1">
      <c r="A3126" s="4" t="s">
        <v>7621</v>
      </c>
      <c r="B3126" s="5" t="s">
        <v>7622</v>
      </c>
      <c r="C3126" s="5" t="s">
        <v>84</v>
      </c>
      <c r="D3126" s="5" t="s">
        <v>85</v>
      </c>
      <c r="E3126" s="5" t="s">
        <v>306</v>
      </c>
      <c r="F3126" s="9">
        <v>79</v>
      </c>
      <c r="G3126" s="9">
        <v>900</v>
      </c>
      <c r="H3126" s="5" t="s">
        <v>21</v>
      </c>
      <c r="I3126" s="5" t="s">
        <v>7623</v>
      </c>
      <c r="J3126" s="12" t="str">
        <f>HYPERLINK("https://www.boe.es/gazeta/dias/1800/09/30/pdfs/GMD-1800-79.pdf#page=10","Abrir facsímil")</f>
        <v>Abrir facsímil</v>
      </c>
      <c r="K3126" s="15" t="s">
        <v>23</v>
      </c>
    </row>
    <row r="3127" spans="1:11" ht="42" customHeight="1">
      <c r="A3127" s="4" t="s">
        <v>7624</v>
      </c>
      <c r="B3127" s="5" t="s">
        <v>7625</v>
      </c>
      <c r="C3127" s="5" t="s">
        <v>18</v>
      </c>
      <c r="D3127" s="5" t="s">
        <v>19</v>
      </c>
      <c r="E3127" s="5" t="s">
        <v>90</v>
      </c>
      <c r="F3127" s="9">
        <v>58</v>
      </c>
      <c r="G3127" s="9">
        <v>662</v>
      </c>
      <c r="H3127" s="5" t="s">
        <v>21</v>
      </c>
      <c r="I3127" s="5" t="s">
        <v>7626</v>
      </c>
      <c r="J3127" s="12" t="str">
        <f>HYPERLINK("https://www.boe.es/gazeta/dias/1800/07/22/pdfs/GMD-1800-58.pdf#page=10","Abrir facsímil")</f>
        <v>Abrir facsímil</v>
      </c>
      <c r="K3127" s="15" t="s">
        <v>23</v>
      </c>
    </row>
    <row r="3128" spans="1:11" ht="42" customHeight="1">
      <c r="A3128" s="4" t="s">
        <v>7627</v>
      </c>
      <c r="B3128" s="5" t="s">
        <v>7628</v>
      </c>
      <c r="C3128" s="5" t="s">
        <v>54</v>
      </c>
      <c r="D3128" s="5" t="s">
        <v>55</v>
      </c>
      <c r="E3128" s="5" t="s">
        <v>45</v>
      </c>
      <c r="F3128" s="9">
        <v>47</v>
      </c>
      <c r="G3128" s="9">
        <v>502</v>
      </c>
      <c r="H3128" s="5" t="s">
        <v>21</v>
      </c>
      <c r="I3128" s="5" t="s">
        <v>7629</v>
      </c>
      <c r="J3128" s="12" t="str">
        <f>HYPERLINK("https://www.boe.es/gazeta/dias/1800/06/13/pdfs/GMD-1800-47.pdf#page=10","Abrir facsímil")</f>
        <v>Abrir facsímil</v>
      </c>
      <c r="K3128" s="15" t="s">
        <v>23</v>
      </c>
    </row>
    <row r="3129" spans="1:11" ht="42" customHeight="1">
      <c r="A3129" s="4" t="s">
        <v>7630</v>
      </c>
      <c r="B3129" s="5" t="s">
        <v>7631</v>
      </c>
      <c r="C3129" s="5" t="s">
        <v>18</v>
      </c>
      <c r="D3129" s="5" t="s">
        <v>19</v>
      </c>
      <c r="E3129" s="5" t="s">
        <v>244</v>
      </c>
      <c r="F3129" s="9">
        <v>9</v>
      </c>
      <c r="G3129" s="9">
        <v>86</v>
      </c>
      <c r="H3129" s="5" t="s">
        <v>21</v>
      </c>
      <c r="I3129" s="5" t="s">
        <v>7632</v>
      </c>
      <c r="J3129" s="12" t="str">
        <f>HYPERLINK("https://www.boe.es/gazeta/dias/1800/01/31/pdfs/GMD-1800-9.pdf#page=10","Abrir facsímil")</f>
        <v>Abrir facsímil</v>
      </c>
      <c r="K3129" s="15" t="s">
        <v>23</v>
      </c>
    </row>
    <row r="3130" spans="1:11" ht="42" customHeight="1">
      <c r="A3130" s="4" t="s">
        <v>7633</v>
      </c>
      <c r="B3130" s="5" t="s">
        <v>7634</v>
      </c>
      <c r="C3130" s="5" t="s">
        <v>207</v>
      </c>
      <c r="D3130" s="5" t="s">
        <v>55</v>
      </c>
      <c r="E3130" s="5" t="s">
        <v>465</v>
      </c>
      <c r="F3130" s="9">
        <v>49</v>
      </c>
      <c r="G3130" s="9">
        <v>532</v>
      </c>
      <c r="H3130" s="5" t="s">
        <v>21</v>
      </c>
      <c r="I3130" s="5" t="s">
        <v>7635</v>
      </c>
      <c r="J3130" s="12" t="str">
        <f>HYPERLINK("https://www.boe.es/gazeta/dias/1800/06/20/pdfs/GMD-1800-49.pdf#page=8","Abrir facsímil")</f>
        <v>Abrir facsímil</v>
      </c>
      <c r="K3130" s="15" t="s">
        <v>23</v>
      </c>
    </row>
    <row r="3131" spans="1:11" ht="42" customHeight="1">
      <c r="A3131" s="4" t="s">
        <v>7636</v>
      </c>
      <c r="B3131" s="5" t="s">
        <v>7637</v>
      </c>
      <c r="C3131" s="5" t="s">
        <v>207</v>
      </c>
      <c r="D3131" s="5" t="s">
        <v>55</v>
      </c>
      <c r="E3131" s="5" t="s">
        <v>275</v>
      </c>
      <c r="F3131" s="9">
        <v>60</v>
      </c>
      <c r="G3131" s="9">
        <v>687</v>
      </c>
      <c r="H3131" s="5" t="s">
        <v>21</v>
      </c>
      <c r="I3131" s="5" t="s">
        <v>7638</v>
      </c>
      <c r="J3131" s="12" t="str">
        <f>HYPERLINK("https://www.boe.es/gazeta/dias/1800/07/29/pdfs/GMD-1800-60.pdf#page=7","Abrir facsímil")</f>
        <v>Abrir facsímil</v>
      </c>
      <c r="K3131" s="15" t="s">
        <v>23</v>
      </c>
    </row>
    <row r="3132" spans="1:11" ht="42" customHeight="1">
      <c r="A3132" s="4" t="s">
        <v>7639</v>
      </c>
      <c r="B3132" s="5" t="s">
        <v>7640</v>
      </c>
      <c r="C3132" s="5" t="s">
        <v>18</v>
      </c>
      <c r="D3132" s="5" t="s">
        <v>19</v>
      </c>
      <c r="E3132" s="5" t="s">
        <v>139</v>
      </c>
      <c r="F3132" s="9">
        <v>2</v>
      </c>
      <c r="G3132" s="9">
        <v>18</v>
      </c>
      <c r="H3132" s="5" t="s">
        <v>21</v>
      </c>
      <c r="I3132" s="5" t="s">
        <v>7641</v>
      </c>
      <c r="J3132" s="12" t="str">
        <f>HYPERLINK("https://www.boe.es/gazeta/dias/1800/01/07/pdfs/GMD-1800-2.pdf#page=10","Abrir facsímil")</f>
        <v>Abrir facsímil</v>
      </c>
      <c r="K3132" s="15" t="s">
        <v>23</v>
      </c>
    </row>
    <row r="3133" spans="1:11" ht="42" customHeight="1">
      <c r="A3133" s="4" t="s">
        <v>7642</v>
      </c>
      <c r="B3133" s="5" t="s">
        <v>7643</v>
      </c>
      <c r="C3133" s="5" t="s">
        <v>25</v>
      </c>
      <c r="D3133" s="5" t="s">
        <v>26</v>
      </c>
      <c r="E3133" s="5" t="s">
        <v>823</v>
      </c>
      <c r="F3133" s="9">
        <v>50</v>
      </c>
      <c r="G3133" s="9">
        <v>548</v>
      </c>
      <c r="H3133" s="5" t="s">
        <v>21</v>
      </c>
      <c r="I3133" s="5" t="s">
        <v>7644</v>
      </c>
      <c r="J3133" s="12" t="str">
        <f>HYPERLINK("https://www.boe.es/gazeta/dias/1800/06/24/pdfs/GMD-1800-50.pdf#page=12","Abrir facsímil")</f>
        <v>Abrir facsímil</v>
      </c>
      <c r="K3133" s="15" t="s">
        <v>23</v>
      </c>
    </row>
    <row r="3134" spans="1:11" ht="42" customHeight="1">
      <c r="A3134" s="4" t="s">
        <v>7645</v>
      </c>
      <c r="B3134" s="5" t="s">
        <v>7646</v>
      </c>
      <c r="C3134" s="5" t="s">
        <v>18</v>
      </c>
      <c r="D3134" s="5" t="s">
        <v>19</v>
      </c>
      <c r="E3134" s="5" t="s">
        <v>279</v>
      </c>
      <c r="F3134" s="9">
        <v>103</v>
      </c>
      <c r="G3134" s="9">
        <v>1197</v>
      </c>
      <c r="H3134" s="5" t="s">
        <v>21</v>
      </c>
      <c r="I3134" s="5" t="s">
        <v>7647</v>
      </c>
      <c r="J3134" s="12" t="str">
        <f>HYPERLINK("https://www.boe.es/gazeta/dias/1800/12/23/pdfs/GMD-1800-103.pdf#page=9","Abrir facsímil")</f>
        <v>Abrir facsímil</v>
      </c>
      <c r="K3134" s="15" t="s">
        <v>23</v>
      </c>
    </row>
    <row r="3135" spans="1:11" ht="42" customHeight="1">
      <c r="A3135" s="4" t="s">
        <v>7648</v>
      </c>
      <c r="B3135" s="5" t="s">
        <v>7649</v>
      </c>
      <c r="C3135" s="5" t="s">
        <v>18</v>
      </c>
      <c r="D3135" s="5" t="s">
        <v>19</v>
      </c>
      <c r="E3135" s="5" t="s">
        <v>176</v>
      </c>
      <c r="F3135" s="9">
        <v>88</v>
      </c>
      <c r="G3135" s="9">
        <v>1031</v>
      </c>
      <c r="H3135" s="5" t="s">
        <v>21</v>
      </c>
      <c r="I3135" s="5" t="s">
        <v>7650</v>
      </c>
      <c r="J3135" s="12" t="str">
        <f>HYPERLINK("https://www.boe.es/gazeta/dias/1800/10/31/pdfs/GMD-1800-88.pdf#page=13","Abrir facsímil")</f>
        <v>Abrir facsímil</v>
      </c>
      <c r="K3135" s="15" t="s">
        <v>23</v>
      </c>
    </row>
    <row r="3136" spans="1:11" ht="42" customHeight="1">
      <c r="A3136" s="4" t="s">
        <v>7651</v>
      </c>
      <c r="B3136" s="5" t="s">
        <v>7652</v>
      </c>
      <c r="C3136" s="5" t="s">
        <v>18</v>
      </c>
      <c r="D3136" s="5" t="s">
        <v>19</v>
      </c>
      <c r="E3136" s="5" t="s">
        <v>422</v>
      </c>
      <c r="F3136" s="9">
        <v>85</v>
      </c>
      <c r="G3136" s="9">
        <v>985</v>
      </c>
      <c r="H3136" s="5" t="s">
        <v>21</v>
      </c>
      <c r="I3136" s="5" t="s">
        <v>7653</v>
      </c>
      <c r="J3136" s="12" t="str">
        <f>HYPERLINK("https://www.boe.es/gazeta/dias/1800/10/21/pdfs/GMD-1800-85.pdf#page=7","Abrir facsímil")</f>
        <v>Abrir facsímil</v>
      </c>
      <c r="K3136" s="15" t="s">
        <v>23</v>
      </c>
    </row>
    <row r="3137" spans="1:11" ht="42" customHeight="1">
      <c r="A3137" s="4" t="s">
        <v>7654</v>
      </c>
      <c r="B3137" s="5" t="s">
        <v>7655</v>
      </c>
      <c r="C3137" s="5" t="s">
        <v>207</v>
      </c>
      <c r="D3137" s="5" t="s">
        <v>55</v>
      </c>
      <c r="E3137" s="5" t="s">
        <v>465</v>
      </c>
      <c r="F3137" s="9">
        <v>49</v>
      </c>
      <c r="G3137" s="9">
        <v>532</v>
      </c>
      <c r="H3137" s="5" t="s">
        <v>21</v>
      </c>
      <c r="I3137" s="5" t="s">
        <v>7656</v>
      </c>
      <c r="J3137" s="12" t="str">
        <f>HYPERLINK("https://www.boe.es/gazeta/dias/1800/06/20/pdfs/GMD-1800-49.pdf#page=8","Abrir facsímil")</f>
        <v>Abrir facsímil</v>
      </c>
      <c r="K3137" s="15" t="s">
        <v>23</v>
      </c>
    </row>
    <row r="3138" spans="1:11" ht="42" customHeight="1">
      <c r="A3138" s="4" t="s">
        <v>7657</v>
      </c>
      <c r="B3138" s="5" t="s">
        <v>7657</v>
      </c>
      <c r="C3138" s="5" t="s">
        <v>25</v>
      </c>
      <c r="D3138" s="5" t="s">
        <v>26</v>
      </c>
      <c r="E3138" s="5" t="s">
        <v>176</v>
      </c>
      <c r="F3138" s="9">
        <v>88</v>
      </c>
      <c r="G3138" s="9">
        <v>1031</v>
      </c>
      <c r="H3138" s="5" t="s">
        <v>21</v>
      </c>
      <c r="I3138" s="5" t="s">
        <v>7658</v>
      </c>
      <c r="J3138" s="12" t="str">
        <f>HYPERLINK("https://www.boe.es/gazeta/dias/1800/10/31/pdfs/GMD-1800-88.pdf#page=13","Abrir facsímil")</f>
        <v>Abrir facsímil</v>
      </c>
      <c r="K3138" s="15" t="s">
        <v>23</v>
      </c>
    </row>
    <row r="3139" spans="1:11" ht="42" customHeight="1">
      <c r="A3139" s="4" t="s">
        <v>7659</v>
      </c>
      <c r="B3139" s="5" t="s">
        <v>7660</v>
      </c>
      <c r="C3139" s="5" t="s">
        <v>84</v>
      </c>
      <c r="D3139" s="5" t="s">
        <v>85</v>
      </c>
      <c r="E3139" s="5" t="s">
        <v>248</v>
      </c>
      <c r="F3139" s="9">
        <v>33</v>
      </c>
      <c r="G3139" s="9">
        <v>336</v>
      </c>
      <c r="H3139" s="5" t="s">
        <v>21</v>
      </c>
      <c r="I3139" s="5" t="s">
        <v>7661</v>
      </c>
      <c r="J3139" s="12" t="str">
        <f>HYPERLINK("https://www.boe.es/gazeta/dias/1800/04/25/pdfs/GMD-1800-33.pdf#page=12","Abrir facsímil")</f>
        <v>Abrir facsímil</v>
      </c>
      <c r="K3139" s="15" t="s">
        <v>23</v>
      </c>
    </row>
    <row r="3140" spans="1:11" ht="42" customHeight="1">
      <c r="A3140" s="4" t="s">
        <v>7662</v>
      </c>
      <c r="B3140" s="5" t="s">
        <v>7663</v>
      </c>
      <c r="C3140" s="5" t="s">
        <v>1035</v>
      </c>
      <c r="D3140" s="5" t="s">
        <v>1036</v>
      </c>
      <c r="E3140" s="5" t="s">
        <v>50</v>
      </c>
      <c r="F3140" s="9">
        <v>81</v>
      </c>
      <c r="G3140" s="9">
        <v>941</v>
      </c>
      <c r="H3140" s="5" t="s">
        <v>21</v>
      </c>
      <c r="I3140" s="5" t="s">
        <v>7664</v>
      </c>
      <c r="J3140" s="12" t="str">
        <f>HYPERLINK("https://www.boe.es/gazeta/dias/1800/10/07/pdfs/GMD-C-1800-81.pdf#page=23","Abrir facsímil")</f>
        <v>Abrir facsímil</v>
      </c>
      <c r="K3140" s="15" t="s">
        <v>23</v>
      </c>
    </row>
    <row r="3141" spans="1:11" ht="42" customHeight="1">
      <c r="A3141" s="4" t="s">
        <v>7665</v>
      </c>
      <c r="B3141" s="5" t="s">
        <v>7666</v>
      </c>
      <c r="C3141" s="5" t="s">
        <v>18</v>
      </c>
      <c r="D3141" s="5" t="s">
        <v>19</v>
      </c>
      <c r="E3141" s="5" t="s">
        <v>56</v>
      </c>
      <c r="F3141" s="9">
        <v>90</v>
      </c>
      <c r="G3141" s="9">
        <v>1055</v>
      </c>
      <c r="H3141" s="5" t="s">
        <v>21</v>
      </c>
      <c r="I3141" s="5" t="s">
        <v>7667</v>
      </c>
      <c r="J3141" s="12" t="str">
        <f>HYPERLINK("https://www.boe.es/gazeta/dias/1800/11/07/pdfs/GMD-1800-90.pdf#page=9","Abrir facsímil")</f>
        <v>Abrir facsímil</v>
      </c>
      <c r="K3141" s="15" t="s">
        <v>23</v>
      </c>
    </row>
    <row r="3142" spans="1:11" ht="42" customHeight="1">
      <c r="A3142" s="4" t="s">
        <v>7668</v>
      </c>
      <c r="B3142" s="5" t="s">
        <v>7669</v>
      </c>
      <c r="C3142" s="5" t="s">
        <v>18</v>
      </c>
      <c r="D3142" s="5" t="s">
        <v>19</v>
      </c>
      <c r="E3142" s="5" t="s">
        <v>843</v>
      </c>
      <c r="F3142" s="9">
        <v>78</v>
      </c>
      <c r="G3142" s="9">
        <v>889</v>
      </c>
      <c r="H3142" s="5" t="s">
        <v>21</v>
      </c>
      <c r="I3142" s="5" t="s">
        <v>7670</v>
      </c>
      <c r="J3142" s="12" t="str">
        <f>HYPERLINK("https://www.boe.es/gazeta/dias/1800/09/26/pdfs/GMD-1800-78.pdf#page=7","Abrir facsímil")</f>
        <v>Abrir facsímil</v>
      </c>
      <c r="K3142" s="15" t="s">
        <v>23</v>
      </c>
    </row>
    <row r="3143" spans="1:11" ht="42" customHeight="1">
      <c r="A3143" s="4" t="s">
        <v>7671</v>
      </c>
      <c r="B3143" s="5" t="s">
        <v>7672</v>
      </c>
      <c r="C3143" s="5" t="s">
        <v>84</v>
      </c>
      <c r="D3143" s="5" t="s">
        <v>85</v>
      </c>
      <c r="E3143" s="5" t="s">
        <v>75</v>
      </c>
      <c r="F3143" s="9">
        <v>64</v>
      </c>
      <c r="G3143" s="9">
        <v>736</v>
      </c>
      <c r="H3143" s="5" t="s">
        <v>21</v>
      </c>
      <c r="I3143" s="5" t="s">
        <v>7673</v>
      </c>
      <c r="J3143" s="12" t="str">
        <f>HYPERLINK("https://www.boe.es/gazeta/dias/1800/08/12/pdfs/GMD-1800-64.pdf#page=12","Abrir facsímil")</f>
        <v>Abrir facsímil</v>
      </c>
      <c r="K3143" s="15" t="s">
        <v>23</v>
      </c>
    </row>
    <row r="3144" spans="1:11" ht="42" customHeight="1">
      <c r="A3144" s="4" t="s">
        <v>7674</v>
      </c>
      <c r="B3144" s="5" t="s">
        <v>7675</v>
      </c>
      <c r="C3144" s="5" t="s">
        <v>18</v>
      </c>
      <c r="D3144" s="5" t="s">
        <v>19</v>
      </c>
      <c r="E3144" s="5" t="s">
        <v>787</v>
      </c>
      <c r="F3144" s="9">
        <v>6</v>
      </c>
      <c r="G3144" s="9">
        <v>57</v>
      </c>
      <c r="H3144" s="5" t="s">
        <v>21</v>
      </c>
      <c r="I3144" s="5" t="s">
        <v>7676</v>
      </c>
      <c r="J3144" s="12" t="str">
        <f>HYPERLINK("https://www.boe.es/gazeta/dias/1800/01/21/pdfs/GMD-1800-6.pdf#page=9","Abrir facsímil")</f>
        <v>Abrir facsímil</v>
      </c>
      <c r="K3144" s="15" t="s">
        <v>23</v>
      </c>
    </row>
    <row r="3145" spans="1:11" ht="42" customHeight="1">
      <c r="A3145" s="4" t="s">
        <v>7677</v>
      </c>
      <c r="B3145" s="5" t="s">
        <v>7678</v>
      </c>
      <c r="C3145" s="5" t="s">
        <v>25</v>
      </c>
      <c r="D3145" s="5" t="s">
        <v>26</v>
      </c>
      <c r="E3145" s="5" t="s">
        <v>190</v>
      </c>
      <c r="F3145" s="9">
        <v>93</v>
      </c>
      <c r="G3145" s="9">
        <v>1068</v>
      </c>
      <c r="H3145" s="5" t="s">
        <v>21</v>
      </c>
      <c r="I3145" s="5" t="s">
        <v>7679</v>
      </c>
      <c r="J3145" s="12" t="str">
        <f>HYPERLINK("https://www.boe.es/gazeta/dias/1800/11/18/pdfs/GMD-1800-93.pdf#page=14","Abrir facsímil")</f>
        <v>Abrir facsímil</v>
      </c>
      <c r="K3145" s="15" t="s">
        <v>23</v>
      </c>
    </row>
    <row r="3146" spans="1:11" ht="42" customHeight="1">
      <c r="A3146" s="4" t="s">
        <v>7680</v>
      </c>
      <c r="B3146" s="5" t="s">
        <v>7681</v>
      </c>
      <c r="C3146" s="5" t="s">
        <v>18</v>
      </c>
      <c r="D3146" s="5" t="s">
        <v>19</v>
      </c>
      <c r="E3146" s="5" t="s">
        <v>275</v>
      </c>
      <c r="F3146" s="9">
        <v>60</v>
      </c>
      <c r="G3146" s="9">
        <v>688</v>
      </c>
      <c r="H3146" s="5" t="s">
        <v>21</v>
      </c>
      <c r="I3146" s="5" t="s">
        <v>7682</v>
      </c>
      <c r="J3146" s="12" t="str">
        <f>HYPERLINK("https://www.boe.es/gazeta/dias/1800/07/29/pdfs/GMD-1800-60.pdf#page=8","Abrir facsímil")</f>
        <v>Abrir facsímil</v>
      </c>
      <c r="K3146" s="15" t="s">
        <v>23</v>
      </c>
    </row>
    <row r="3147" spans="1:11" ht="42" customHeight="1">
      <c r="A3147" s="4" t="s">
        <v>7683</v>
      </c>
      <c r="B3147" s="5" t="s">
        <v>7684</v>
      </c>
      <c r="C3147" s="5" t="s">
        <v>1035</v>
      </c>
      <c r="D3147" s="5" t="s">
        <v>1036</v>
      </c>
      <c r="E3147" s="5" t="s">
        <v>50</v>
      </c>
      <c r="F3147" s="9">
        <v>81</v>
      </c>
      <c r="G3147" s="9">
        <v>942</v>
      </c>
      <c r="H3147" s="5" t="s">
        <v>21</v>
      </c>
      <c r="I3147" s="5" t="s">
        <v>7685</v>
      </c>
      <c r="J3147" s="12" t="str">
        <f>HYPERLINK("https://www.boe.es/gazeta/dias/1800/10/07/pdfs/GMD-C-1800-81.pdf#page=24","Abrir facsímil")</f>
        <v>Abrir facsímil</v>
      </c>
      <c r="K3147" s="15" t="s">
        <v>23</v>
      </c>
    </row>
    <row r="3148" spans="1:11" ht="42" customHeight="1">
      <c r="A3148" s="4" t="s">
        <v>7686</v>
      </c>
      <c r="B3148" s="5" t="s">
        <v>7687</v>
      </c>
      <c r="C3148" s="5" t="s">
        <v>18</v>
      </c>
      <c r="D3148" s="5" t="s">
        <v>19</v>
      </c>
      <c r="E3148" s="5" t="s">
        <v>240</v>
      </c>
      <c r="F3148" s="9">
        <v>26</v>
      </c>
      <c r="G3148" s="9">
        <v>269</v>
      </c>
      <c r="H3148" s="5" t="s">
        <v>21</v>
      </c>
      <c r="I3148" s="5" t="s">
        <v>7688</v>
      </c>
      <c r="J3148" s="12" t="str">
        <f>HYPERLINK("https://www.boe.es/gazeta/dias/1800/04/01/pdfs/GMD-1800-26.pdf#page=9","Abrir facsímil")</f>
        <v>Abrir facsímil</v>
      </c>
      <c r="K3148" s="15" t="s">
        <v>23</v>
      </c>
    </row>
    <row r="3149" spans="1:11" ht="42" customHeight="1">
      <c r="A3149" s="4" t="s">
        <v>7689</v>
      </c>
      <c r="B3149" s="5" t="s">
        <v>7689</v>
      </c>
      <c r="C3149" s="5" t="s">
        <v>18</v>
      </c>
      <c r="D3149" s="5" t="s">
        <v>19</v>
      </c>
      <c r="E3149" s="5" t="s">
        <v>194</v>
      </c>
      <c r="F3149" s="9">
        <v>48</v>
      </c>
      <c r="G3149" s="9">
        <v>518</v>
      </c>
      <c r="H3149" s="5" t="s">
        <v>21</v>
      </c>
      <c r="I3149" s="5" t="s">
        <v>7690</v>
      </c>
      <c r="J3149" s="12" t="str">
        <f>HYPERLINK("https://www.boe.es/gazeta/dias/1800/06/17/pdfs/GMD-1800-48.pdf#page=10","Abrir facsímil")</f>
        <v>Abrir facsímil</v>
      </c>
      <c r="K3149" s="15" t="s">
        <v>23</v>
      </c>
    </row>
    <row r="3150" spans="1:11" ht="42" customHeight="1">
      <c r="A3150" s="4" t="s">
        <v>7691</v>
      </c>
      <c r="B3150" s="5" t="s">
        <v>7692</v>
      </c>
      <c r="C3150" s="5" t="s">
        <v>25</v>
      </c>
      <c r="D3150" s="5" t="s">
        <v>26</v>
      </c>
      <c r="E3150" s="5" t="s">
        <v>454</v>
      </c>
      <c r="F3150" s="9">
        <v>63</v>
      </c>
      <c r="G3150" s="9">
        <v>724</v>
      </c>
      <c r="H3150" s="5" t="s">
        <v>21</v>
      </c>
      <c r="I3150" s="5" t="s">
        <v>7693</v>
      </c>
      <c r="J3150" s="12" t="str">
        <f>HYPERLINK("https://www.boe.es/gazeta/dias/1800/08/08/pdfs/GMD-1800-63.pdf#page=12","Abrir facsímil")</f>
        <v>Abrir facsímil</v>
      </c>
      <c r="K3150" s="15" t="s">
        <v>23</v>
      </c>
    </row>
    <row r="3151" spans="1:11" ht="42" customHeight="1">
      <c r="A3151" s="4" t="s">
        <v>7694</v>
      </c>
      <c r="B3151" s="5" t="s">
        <v>7695</v>
      </c>
      <c r="C3151" s="5" t="s">
        <v>41</v>
      </c>
      <c r="D3151" s="5" t="s">
        <v>42</v>
      </c>
      <c r="E3151" s="5" t="s">
        <v>143</v>
      </c>
      <c r="F3151" s="9">
        <v>22</v>
      </c>
      <c r="G3151" s="9">
        <v>219</v>
      </c>
      <c r="H3151" s="5" t="s">
        <v>21</v>
      </c>
      <c r="I3151" s="5" t="s">
        <v>7696</v>
      </c>
      <c r="J3151" s="12" t="str">
        <f>HYPERLINK("https://www.boe.es/gazeta/dias/1800/03/18/pdfs/GMD-1800-22.pdf#page=11","Abrir facsímil")</f>
        <v>Abrir facsímil</v>
      </c>
      <c r="K3151" s="15" t="s">
        <v>23</v>
      </c>
    </row>
    <row r="3152" spans="1:11" ht="42" customHeight="1">
      <c r="A3152" s="4" t="s">
        <v>7697</v>
      </c>
      <c r="B3152" s="5" t="s">
        <v>7698</v>
      </c>
      <c r="C3152" s="5" t="s">
        <v>25</v>
      </c>
      <c r="D3152" s="5" t="s">
        <v>26</v>
      </c>
      <c r="E3152" s="5" t="s">
        <v>45</v>
      </c>
      <c r="F3152" s="9">
        <v>47</v>
      </c>
      <c r="G3152" s="9">
        <v>503</v>
      </c>
      <c r="H3152" s="5" t="s">
        <v>21</v>
      </c>
      <c r="I3152" s="5" t="s">
        <v>7699</v>
      </c>
      <c r="J3152" s="12" t="str">
        <f>HYPERLINK("https://www.boe.es/gazeta/dias/1800/06/13/pdfs/GMD-1800-47.pdf#page=11","Abrir facsímil")</f>
        <v>Abrir facsímil</v>
      </c>
      <c r="K3152" s="15" t="s">
        <v>23</v>
      </c>
    </row>
    <row r="3153" spans="1:11" ht="42" customHeight="1">
      <c r="A3153" s="4" t="s">
        <v>7700</v>
      </c>
      <c r="B3153" s="5" t="s">
        <v>7701</v>
      </c>
      <c r="C3153" s="5" t="s">
        <v>18</v>
      </c>
      <c r="D3153" s="5" t="s">
        <v>19</v>
      </c>
      <c r="E3153" s="5" t="s">
        <v>299</v>
      </c>
      <c r="F3153" s="9">
        <v>40</v>
      </c>
      <c r="G3153" s="9">
        <v>412</v>
      </c>
      <c r="H3153" s="5" t="s">
        <v>21</v>
      </c>
      <c r="I3153" s="5" t="s">
        <v>7702</v>
      </c>
      <c r="J3153" s="12" t="str">
        <f>HYPERLINK("https://www.boe.es/gazeta/dias/1800/05/20/pdfs/GMD-1800-40.pdf#page=8","Abrir facsímil")</f>
        <v>Abrir facsímil</v>
      </c>
      <c r="K3153" s="15" t="s">
        <v>23</v>
      </c>
    </row>
    <row r="3154" spans="1:11" ht="42" customHeight="1">
      <c r="A3154" s="4" t="s">
        <v>7700</v>
      </c>
      <c r="B3154" s="5" t="s">
        <v>7701</v>
      </c>
      <c r="C3154" s="5" t="s">
        <v>18</v>
      </c>
      <c r="D3154" s="5" t="s">
        <v>19</v>
      </c>
      <c r="E3154" s="5" t="s">
        <v>52</v>
      </c>
      <c r="F3154" s="9">
        <v>83</v>
      </c>
      <c r="G3154" s="9">
        <v>963</v>
      </c>
      <c r="H3154" s="5" t="s">
        <v>21</v>
      </c>
      <c r="I3154" s="5" t="s">
        <v>7703</v>
      </c>
      <c r="J3154" s="12" t="str">
        <f>HYPERLINK("https://www.boe.es/gazeta/dias/1800/10/14/pdfs/GMD-1800-83.pdf#page=9","Abrir facsímil")</f>
        <v>Abrir facsímil</v>
      </c>
      <c r="K3154" s="15" t="s">
        <v>23</v>
      </c>
    </row>
    <row r="3155" spans="1:11" ht="42" customHeight="1">
      <c r="A3155" s="4" t="s">
        <v>7704</v>
      </c>
      <c r="B3155" s="5" t="s">
        <v>7705</v>
      </c>
      <c r="C3155" s="5" t="s">
        <v>25</v>
      </c>
      <c r="D3155" s="5" t="s">
        <v>26</v>
      </c>
      <c r="E3155" s="5" t="s">
        <v>530</v>
      </c>
      <c r="F3155" s="9">
        <v>55</v>
      </c>
      <c r="G3155" s="9">
        <v>623</v>
      </c>
      <c r="H3155" s="5" t="s">
        <v>21</v>
      </c>
      <c r="I3155" s="5" t="s">
        <v>7706</v>
      </c>
      <c r="J3155" s="12" t="str">
        <f>HYPERLINK("https://www.boe.es/gazeta/dias/1800/07/11/pdfs/GMD-1800-55.pdf#page=11","Abrir facsímil")</f>
        <v>Abrir facsímil</v>
      </c>
      <c r="K3155" s="15" t="s">
        <v>23</v>
      </c>
    </row>
    <row r="3156" spans="1:11" ht="42" customHeight="1">
      <c r="A3156" s="4" t="s">
        <v>7707</v>
      </c>
      <c r="B3156" s="5" t="s">
        <v>7708</v>
      </c>
      <c r="C3156" s="5" t="s">
        <v>18</v>
      </c>
      <c r="D3156" s="5" t="s">
        <v>19</v>
      </c>
      <c r="E3156" s="5" t="s">
        <v>461</v>
      </c>
      <c r="F3156" s="9">
        <v>18</v>
      </c>
      <c r="G3156" s="9">
        <v>170</v>
      </c>
      <c r="H3156" s="5" t="s">
        <v>21</v>
      </c>
      <c r="I3156" s="5" t="s">
        <v>7709</v>
      </c>
      <c r="J3156" s="12" t="str">
        <f>HYPERLINK("https://www.boe.es/datos/pdfs/BOE//1800/018/C00173-00176.pdf#page=6","Abrir facsímil")</f>
        <v>Abrir facsímil</v>
      </c>
      <c r="K3156" s="15" t="s">
        <v>23</v>
      </c>
    </row>
    <row r="3157" spans="1:11" ht="42" customHeight="1">
      <c r="A3157" s="4" t="s">
        <v>7710</v>
      </c>
      <c r="B3157" s="5" t="s">
        <v>7711</v>
      </c>
      <c r="C3157" s="5" t="s">
        <v>171</v>
      </c>
      <c r="D3157" s="5" t="s">
        <v>172</v>
      </c>
      <c r="E3157" s="5" t="s">
        <v>214</v>
      </c>
      <c r="F3157" s="9">
        <v>41</v>
      </c>
      <c r="G3157" s="9">
        <v>427</v>
      </c>
      <c r="H3157" s="5" t="s">
        <v>21</v>
      </c>
      <c r="I3157" s="5" t="s">
        <v>7712</v>
      </c>
      <c r="J3157" s="12" t="str">
        <f>HYPERLINK("https://www.boe.es/gazeta/dias/1800/05/23/pdfs/GMD-C-1800-41.pdf#page=3","Abrir facsímil")</f>
        <v>Abrir facsímil</v>
      </c>
      <c r="K3157" s="15" t="s">
        <v>23</v>
      </c>
    </row>
    <row r="3158" spans="1:11" ht="42" customHeight="1">
      <c r="A3158" s="4" t="s">
        <v>7713</v>
      </c>
      <c r="B3158" s="5" t="s">
        <v>7714</v>
      </c>
      <c r="C3158" s="5" t="s">
        <v>18</v>
      </c>
      <c r="D3158" s="5" t="s">
        <v>19</v>
      </c>
      <c r="E3158" s="5" t="s">
        <v>618</v>
      </c>
      <c r="F3158" s="9">
        <v>1</v>
      </c>
      <c r="G3158" s="9">
        <v>8</v>
      </c>
      <c r="H3158" s="5" t="s">
        <v>21</v>
      </c>
      <c r="I3158" s="5" t="s">
        <v>7715</v>
      </c>
      <c r="J3158" s="12" t="str">
        <f>HYPERLINK("https://www.boe.es/gazeta/dias/1800/01/03/pdfs/GMD-1800-1.pdf#page=8","Abrir facsímil")</f>
        <v>Abrir facsímil</v>
      </c>
      <c r="K3158" s="15" t="s">
        <v>23</v>
      </c>
    </row>
    <row r="3159" spans="1:11" ht="42" customHeight="1">
      <c r="A3159" s="4" t="s">
        <v>7716</v>
      </c>
      <c r="B3159" s="5" t="s">
        <v>7717</v>
      </c>
      <c r="C3159" s="5" t="s">
        <v>18</v>
      </c>
      <c r="D3159" s="5" t="s">
        <v>19</v>
      </c>
      <c r="E3159" s="5" t="s">
        <v>20</v>
      </c>
      <c r="F3159" s="9">
        <v>104</v>
      </c>
      <c r="G3159" s="9">
        <v>1210</v>
      </c>
      <c r="H3159" s="5" t="s">
        <v>21</v>
      </c>
      <c r="I3159" s="5" t="s">
        <v>7718</v>
      </c>
      <c r="J3159" s="12" t="str">
        <f>HYPERLINK("https://www.boe.es/gazeta/dias/1800/12/26/pdfs/GMD-1800-104.pdf#page=10","Abrir facsímil")</f>
        <v>Abrir facsímil</v>
      </c>
      <c r="K3159" s="15" t="s">
        <v>23</v>
      </c>
    </row>
    <row r="3160" spans="1:11" ht="42" customHeight="1">
      <c r="A3160" s="4" t="s">
        <v>7719</v>
      </c>
      <c r="B3160" s="5" t="s">
        <v>7720</v>
      </c>
      <c r="C3160" s="5" t="s">
        <v>18</v>
      </c>
      <c r="D3160" s="5" t="s">
        <v>19</v>
      </c>
      <c r="E3160" s="5" t="s">
        <v>139</v>
      </c>
      <c r="F3160" s="9">
        <v>2</v>
      </c>
      <c r="G3160" s="9">
        <v>17</v>
      </c>
      <c r="H3160" s="5" t="s">
        <v>21</v>
      </c>
      <c r="I3160" s="5" t="s">
        <v>7721</v>
      </c>
      <c r="J3160" s="12" t="str">
        <f>HYPERLINK("https://www.boe.es/gazeta/dias/1800/01/07/pdfs/GMD-1800-2.pdf#page=9","Abrir facsímil")</f>
        <v>Abrir facsímil</v>
      </c>
      <c r="K3160" s="15" t="s">
        <v>23</v>
      </c>
    </row>
    <row r="3161" spans="1:11" ht="42" customHeight="1">
      <c r="A3161" s="4" t="s">
        <v>7719</v>
      </c>
      <c r="B3161" s="5" t="s">
        <v>7720</v>
      </c>
      <c r="C3161" s="5" t="s">
        <v>25</v>
      </c>
      <c r="D3161" s="5" t="s">
        <v>26</v>
      </c>
      <c r="E3161" s="5" t="s">
        <v>1213</v>
      </c>
      <c r="F3161" s="9">
        <v>4</v>
      </c>
      <c r="G3161" s="9">
        <v>36</v>
      </c>
      <c r="H3161" s="5" t="s">
        <v>21</v>
      </c>
      <c r="I3161" s="5" t="s">
        <v>7722</v>
      </c>
      <c r="J3161" s="12" t="str">
        <f>HYPERLINK("https://www.boe.es/gazeta/dias/1800/01/14/pdfs/GMD-1800-4.pdf#page=8","Abrir facsímil")</f>
        <v>Abrir facsímil</v>
      </c>
      <c r="K3161" s="15" t="s">
        <v>23</v>
      </c>
    </row>
    <row r="3162" spans="1:11" ht="42" customHeight="1">
      <c r="A3162" s="4" t="s">
        <v>7719</v>
      </c>
      <c r="B3162" s="5" t="s">
        <v>7720</v>
      </c>
      <c r="C3162" s="5" t="s">
        <v>18</v>
      </c>
      <c r="D3162" s="5" t="s">
        <v>19</v>
      </c>
      <c r="E3162" s="5" t="s">
        <v>461</v>
      </c>
      <c r="F3162" s="9">
        <v>18</v>
      </c>
      <c r="G3162" s="9">
        <v>171</v>
      </c>
      <c r="H3162" s="5" t="s">
        <v>21</v>
      </c>
      <c r="I3162" s="5" t="s">
        <v>7723</v>
      </c>
      <c r="J3162" s="12" t="str">
        <f>HYPERLINK("https://www.boe.es/datos/pdfs/BOE//1800/018/C00173-00176.pdf#page=7","Abrir facsímil")</f>
        <v>Abrir facsímil</v>
      </c>
      <c r="K3162" s="15" t="s">
        <v>23</v>
      </c>
    </row>
    <row r="3163" spans="1:11" ht="42" customHeight="1">
      <c r="A3163" s="4" t="s">
        <v>7719</v>
      </c>
      <c r="B3163" s="5" t="s">
        <v>7720</v>
      </c>
      <c r="C3163" s="5" t="s">
        <v>18</v>
      </c>
      <c r="D3163" s="5" t="s">
        <v>19</v>
      </c>
      <c r="E3163" s="5" t="s">
        <v>1231</v>
      </c>
      <c r="F3163" s="9">
        <v>36</v>
      </c>
      <c r="G3163" s="9">
        <v>366</v>
      </c>
      <c r="H3163" s="5" t="s">
        <v>21</v>
      </c>
      <c r="I3163" s="5" t="s">
        <v>7724</v>
      </c>
      <c r="J3163" s="12" t="str">
        <f>HYPERLINK("https://www.boe.es/gazeta/dias/1800/05/06/pdfs/GMD-1800-36.pdf#page=10","Abrir facsímil")</f>
        <v>Abrir facsímil</v>
      </c>
      <c r="K3163" s="15" t="s">
        <v>23</v>
      </c>
    </row>
    <row r="3164" spans="1:11" ht="42" customHeight="1">
      <c r="A3164" s="4" t="s">
        <v>7719</v>
      </c>
      <c r="B3164" s="5" t="s">
        <v>7720</v>
      </c>
      <c r="C3164" s="5" t="s">
        <v>18</v>
      </c>
      <c r="D3164" s="5" t="s">
        <v>19</v>
      </c>
      <c r="E3164" s="5" t="s">
        <v>255</v>
      </c>
      <c r="F3164" s="9">
        <v>75</v>
      </c>
      <c r="G3164" s="9">
        <v>856</v>
      </c>
      <c r="H3164" s="5" t="s">
        <v>21</v>
      </c>
      <c r="I3164" s="5" t="s">
        <v>7725</v>
      </c>
      <c r="J3164" s="12" t="str">
        <f>HYPERLINK("https://www.boe.es/gazeta/dias/1800/09/16/pdfs/GMD-1800-75.pdf#page=10","Abrir facsímil")</f>
        <v>Abrir facsímil</v>
      </c>
      <c r="K3164" s="15" t="s">
        <v>23</v>
      </c>
    </row>
    <row r="3165" spans="1:11" ht="42" customHeight="1">
      <c r="A3165" s="4" t="s">
        <v>7719</v>
      </c>
      <c r="B3165" s="5" t="s">
        <v>7720</v>
      </c>
      <c r="C3165" s="5" t="s">
        <v>18</v>
      </c>
      <c r="D3165" s="5" t="s">
        <v>19</v>
      </c>
      <c r="E3165" s="5" t="s">
        <v>20</v>
      </c>
      <c r="F3165" s="9">
        <v>104</v>
      </c>
      <c r="G3165" s="9">
        <v>1210</v>
      </c>
      <c r="H3165" s="5" t="s">
        <v>21</v>
      </c>
      <c r="I3165" s="5" t="s">
        <v>7726</v>
      </c>
      <c r="J3165" s="12" t="str">
        <f>HYPERLINK("https://www.boe.es/gazeta/dias/1800/12/26/pdfs/GMD-1800-104.pdf#page=10","Abrir facsímil")</f>
        <v>Abrir facsímil</v>
      </c>
      <c r="K3165" s="15" t="s">
        <v>23</v>
      </c>
    </row>
    <row r="3166" spans="1:11" ht="42" customHeight="1">
      <c r="A3166" s="4" t="s">
        <v>7727</v>
      </c>
      <c r="B3166" s="5" t="s">
        <v>7728</v>
      </c>
      <c r="C3166" s="5" t="s">
        <v>25</v>
      </c>
      <c r="D3166" s="5" t="s">
        <v>26</v>
      </c>
      <c r="E3166" s="5" t="s">
        <v>139</v>
      </c>
      <c r="F3166" s="9">
        <v>2</v>
      </c>
      <c r="G3166" s="9">
        <v>19</v>
      </c>
      <c r="H3166" s="5" t="s">
        <v>21</v>
      </c>
      <c r="I3166" s="5" t="s">
        <v>7729</v>
      </c>
      <c r="J3166" s="12" t="str">
        <f>HYPERLINK("https://www.boe.es/gazeta/dias/1800/01/07/pdfs/GMD-1800-2.pdf#page=11","Abrir facsímil")</f>
        <v>Abrir facsímil</v>
      </c>
      <c r="K3166" s="15" t="s">
        <v>23</v>
      </c>
    </row>
    <row r="3167" spans="1:11" ht="42" customHeight="1">
      <c r="A3167" s="4" t="s">
        <v>7730</v>
      </c>
      <c r="B3167" s="5" t="s">
        <v>7731</v>
      </c>
      <c r="C3167" s="5" t="s">
        <v>18</v>
      </c>
      <c r="D3167" s="5" t="s">
        <v>19</v>
      </c>
      <c r="E3167" s="5" t="s">
        <v>534</v>
      </c>
      <c r="F3167" s="9">
        <v>100</v>
      </c>
      <c r="G3167" s="9">
        <v>1160</v>
      </c>
      <c r="H3167" s="5" t="s">
        <v>21</v>
      </c>
      <c r="I3167" s="5" t="s">
        <v>7732</v>
      </c>
      <c r="J3167" s="12" t="str">
        <f>HYPERLINK("https://www.boe.es/gazeta/dias/1800/12/12/pdfs/GMD-1800-100.pdf#page=12","Abrir facsímil")</f>
        <v>Abrir facsímil</v>
      </c>
      <c r="K3167" s="15" t="s">
        <v>23</v>
      </c>
    </row>
    <row r="3168" spans="1:11" ht="42" customHeight="1">
      <c r="A3168" s="4" t="s">
        <v>7733</v>
      </c>
      <c r="B3168" s="5" t="s">
        <v>7734</v>
      </c>
      <c r="C3168" s="5" t="s">
        <v>18</v>
      </c>
      <c r="D3168" s="5" t="s">
        <v>19</v>
      </c>
      <c r="E3168" s="5" t="s">
        <v>583</v>
      </c>
      <c r="F3168" s="9">
        <v>77</v>
      </c>
      <c r="G3168" s="9">
        <v>879</v>
      </c>
      <c r="H3168" s="5" t="s">
        <v>21</v>
      </c>
      <c r="I3168" s="5" t="s">
        <v>7735</v>
      </c>
      <c r="J3168" s="12" t="str">
        <f>HYPERLINK("https://www.boe.es/gazeta/dias/1800/09/23/pdfs/GMD-1800-77.pdf#page=9","Abrir facsímil")</f>
        <v>Abrir facsímil</v>
      </c>
      <c r="K3168" s="15" t="s">
        <v>23</v>
      </c>
    </row>
    <row r="3169" spans="1:11" ht="42" customHeight="1">
      <c r="A3169" s="4" t="s">
        <v>7733</v>
      </c>
      <c r="B3169" s="5" t="s">
        <v>7734</v>
      </c>
      <c r="C3169" s="5" t="s">
        <v>18</v>
      </c>
      <c r="D3169" s="5" t="s">
        <v>19</v>
      </c>
      <c r="E3169" s="5" t="s">
        <v>196</v>
      </c>
      <c r="F3169" s="9">
        <v>97</v>
      </c>
      <c r="G3169" s="9">
        <v>1117</v>
      </c>
      <c r="H3169" s="5" t="s">
        <v>21</v>
      </c>
      <c r="I3169" s="5" t="s">
        <v>7736</v>
      </c>
      <c r="J3169" s="12" t="str">
        <f>HYPERLINK("https://www.boe.es/gazeta/dias/1800/12/02/pdfs/GMD-1800-97.pdf#page=9","Abrir facsímil")</f>
        <v>Abrir facsímil</v>
      </c>
      <c r="K3169" s="15" t="s">
        <v>23</v>
      </c>
    </row>
    <row r="3170" spans="1:11" ht="42" customHeight="1">
      <c r="A3170" s="4" t="s">
        <v>7737</v>
      </c>
      <c r="B3170" s="5" t="s">
        <v>7738</v>
      </c>
      <c r="C3170" s="5" t="s">
        <v>171</v>
      </c>
      <c r="D3170" s="5" t="s">
        <v>172</v>
      </c>
      <c r="E3170" s="5" t="s">
        <v>214</v>
      </c>
      <c r="F3170" s="9">
        <v>41</v>
      </c>
      <c r="G3170" s="9">
        <v>428</v>
      </c>
      <c r="H3170" s="5" t="s">
        <v>21</v>
      </c>
      <c r="I3170" s="5" t="s">
        <v>7739</v>
      </c>
      <c r="J3170" s="12" t="str">
        <f>HYPERLINK("https://www.boe.es/gazeta/dias/1800/05/23/pdfs/GMD-C-1800-41.pdf#page=4","Abrir facsímil")</f>
        <v>Abrir facsímil</v>
      </c>
      <c r="K3170" s="15" t="s">
        <v>23</v>
      </c>
    </row>
    <row r="3171" spans="1:11" ht="42" customHeight="1">
      <c r="A3171" s="4" t="s">
        <v>7737</v>
      </c>
      <c r="B3171" s="5" t="s">
        <v>7738</v>
      </c>
      <c r="C3171" s="5" t="s">
        <v>25</v>
      </c>
      <c r="D3171" s="5" t="s">
        <v>26</v>
      </c>
      <c r="E3171" s="5" t="s">
        <v>90</v>
      </c>
      <c r="F3171" s="9">
        <v>58</v>
      </c>
      <c r="G3171" s="9">
        <v>663</v>
      </c>
      <c r="H3171" s="5" t="s">
        <v>21</v>
      </c>
      <c r="I3171" s="5" t="s">
        <v>7740</v>
      </c>
      <c r="J3171" s="12" t="str">
        <f>HYPERLINK("https://www.boe.es/gazeta/dias/1800/07/22/pdfs/GMD-1800-58.pdf#page=11","Abrir facsímil")</f>
        <v>Abrir facsímil</v>
      </c>
      <c r="K3171" s="15" t="s">
        <v>23</v>
      </c>
    </row>
    <row r="3172" spans="1:11" ht="42" customHeight="1">
      <c r="A3172" s="4" t="s">
        <v>7741</v>
      </c>
      <c r="B3172" s="5" t="s">
        <v>7742</v>
      </c>
      <c r="C3172" s="5" t="s">
        <v>18</v>
      </c>
      <c r="D3172" s="5" t="s">
        <v>19</v>
      </c>
      <c r="E3172" s="5" t="s">
        <v>56</v>
      </c>
      <c r="F3172" s="9">
        <v>90</v>
      </c>
      <c r="G3172" s="9">
        <v>1055</v>
      </c>
      <c r="H3172" s="5" t="s">
        <v>21</v>
      </c>
      <c r="I3172" s="5" t="s">
        <v>7743</v>
      </c>
      <c r="J3172" s="12" t="str">
        <f>HYPERLINK("https://www.boe.es/gazeta/dias/1800/11/07/pdfs/GMD-1800-90.pdf#page=9","Abrir facsímil")</f>
        <v>Abrir facsímil</v>
      </c>
      <c r="K3172" s="15" t="s">
        <v>23</v>
      </c>
    </row>
    <row r="3173" spans="1:11" ht="42" customHeight="1">
      <c r="A3173" s="4" t="s">
        <v>7744</v>
      </c>
      <c r="B3173" s="5" t="s">
        <v>7745</v>
      </c>
      <c r="C3173" s="5" t="s">
        <v>18</v>
      </c>
      <c r="D3173" s="5" t="s">
        <v>19</v>
      </c>
      <c r="E3173" s="5" t="s">
        <v>583</v>
      </c>
      <c r="F3173" s="9">
        <v>77</v>
      </c>
      <c r="G3173" s="9">
        <v>878</v>
      </c>
      <c r="H3173" s="5" t="s">
        <v>21</v>
      </c>
      <c r="I3173" s="5" t="s">
        <v>7746</v>
      </c>
      <c r="J3173" s="12" t="str">
        <f>HYPERLINK("https://www.boe.es/gazeta/dias/1800/09/23/pdfs/GMD-1800-77.pdf#page=8","Abrir facsímil")</f>
        <v>Abrir facsímil</v>
      </c>
      <c r="K3173" s="15" t="s">
        <v>23</v>
      </c>
    </row>
    <row r="3174" spans="1:11" ht="42" customHeight="1">
      <c r="A3174" s="4" t="s">
        <v>7744</v>
      </c>
      <c r="B3174" s="5" t="s">
        <v>7745</v>
      </c>
      <c r="C3174" s="5" t="s">
        <v>18</v>
      </c>
      <c r="D3174" s="5" t="s">
        <v>19</v>
      </c>
      <c r="E3174" s="5" t="s">
        <v>279</v>
      </c>
      <c r="F3174" s="9">
        <v>103</v>
      </c>
      <c r="G3174" s="9">
        <v>1197</v>
      </c>
      <c r="H3174" s="5" t="s">
        <v>21</v>
      </c>
      <c r="I3174" s="5" t="s">
        <v>7747</v>
      </c>
      <c r="J3174" s="12" t="str">
        <f>HYPERLINK("https://www.boe.es/gazeta/dias/1800/12/23/pdfs/GMD-1800-103.pdf#page=9","Abrir facsímil")</f>
        <v>Abrir facsímil</v>
      </c>
      <c r="K3174" s="15" t="s">
        <v>23</v>
      </c>
    </row>
    <row r="3175" spans="1:11" ht="42" customHeight="1">
      <c r="A3175" s="4" t="s">
        <v>7748</v>
      </c>
      <c r="B3175" s="5" t="s">
        <v>7749</v>
      </c>
      <c r="C3175" s="5" t="s">
        <v>18</v>
      </c>
      <c r="D3175" s="5" t="s">
        <v>19</v>
      </c>
      <c r="E3175" s="5" t="s">
        <v>135</v>
      </c>
      <c r="F3175" s="9">
        <v>73</v>
      </c>
      <c r="G3175" s="9">
        <v>815</v>
      </c>
      <c r="H3175" s="5" t="s">
        <v>21</v>
      </c>
      <c r="I3175" s="5" t="s">
        <v>7750</v>
      </c>
      <c r="J3175" s="12" t="str">
        <f>HYPERLINK("https://www.boe.es/gazeta/dias/1800/09/09/pdfs/GMD-1800-73.pdf#page=9","Abrir facsímil")</f>
        <v>Abrir facsímil</v>
      </c>
      <c r="K3175" s="15" t="s">
        <v>23</v>
      </c>
    </row>
    <row r="3176" spans="1:11" ht="42" customHeight="1">
      <c r="A3176" s="4" t="s">
        <v>7751</v>
      </c>
      <c r="B3176" s="5" t="s">
        <v>7752</v>
      </c>
      <c r="C3176" s="5" t="s">
        <v>18</v>
      </c>
      <c r="D3176" s="5" t="s">
        <v>19</v>
      </c>
      <c r="E3176" s="5" t="s">
        <v>190</v>
      </c>
      <c r="F3176" s="9">
        <v>93</v>
      </c>
      <c r="G3176" s="9">
        <v>1067</v>
      </c>
      <c r="H3176" s="5" t="s">
        <v>21</v>
      </c>
      <c r="I3176" s="5" t="s">
        <v>7753</v>
      </c>
      <c r="J3176" s="12" t="str">
        <f>HYPERLINK("https://www.boe.es/gazeta/dias/1800/11/18/pdfs/GMD-1800-93.pdf#page=13","Abrir facsímil")</f>
        <v>Abrir facsímil</v>
      </c>
      <c r="K3176" s="15" t="s">
        <v>23</v>
      </c>
    </row>
    <row r="3177" spans="1:11" ht="42" customHeight="1">
      <c r="A3177" s="4" t="s">
        <v>7754</v>
      </c>
      <c r="B3177" s="5" t="s">
        <v>7754</v>
      </c>
      <c r="C3177" s="5" t="s">
        <v>41</v>
      </c>
      <c r="D3177" s="5" t="s">
        <v>42</v>
      </c>
      <c r="E3177" s="5" t="s">
        <v>310</v>
      </c>
      <c r="F3177" s="9">
        <v>56</v>
      </c>
      <c r="G3177" s="9">
        <v>630</v>
      </c>
      <c r="H3177" s="5" t="s">
        <v>21</v>
      </c>
      <c r="I3177" s="5" t="s">
        <v>7755</v>
      </c>
      <c r="J3177" s="12" t="str">
        <f>HYPERLINK("https://www.boe.es/gazeta/dias/1800/07/15/pdfs/GMD-1800-56.pdf#page=6","Abrir facsímil")</f>
        <v>Abrir facsímil</v>
      </c>
      <c r="K3177" s="15" t="s">
        <v>23</v>
      </c>
    </row>
    <row r="3178" spans="1:11" ht="42" customHeight="1">
      <c r="A3178" s="4" t="s">
        <v>7756</v>
      </c>
      <c r="B3178" s="5" t="s">
        <v>7757</v>
      </c>
      <c r="C3178" s="5" t="s">
        <v>41</v>
      </c>
      <c r="D3178" s="5" t="s">
        <v>42</v>
      </c>
      <c r="E3178" s="5" t="s">
        <v>88</v>
      </c>
      <c r="F3178" s="9">
        <v>23</v>
      </c>
      <c r="G3178" s="9">
        <v>230</v>
      </c>
      <c r="H3178" s="5" t="s">
        <v>21</v>
      </c>
      <c r="I3178" s="5" t="s">
        <v>7758</v>
      </c>
      <c r="J3178" s="12" t="str">
        <f>HYPERLINK("https://www.boe.es/gazeta/dias/1800/03/21/pdfs/GMD-1800-23.pdf#page=6","Abrir facsímil")</f>
        <v>Abrir facsímil</v>
      </c>
      <c r="K3178" s="15" t="s">
        <v>23</v>
      </c>
    </row>
    <row r="3179" spans="1:11" ht="42" customHeight="1">
      <c r="A3179" s="4" t="s">
        <v>7756</v>
      </c>
      <c r="B3179" s="5" t="s">
        <v>7757</v>
      </c>
      <c r="C3179" s="5" t="s">
        <v>41</v>
      </c>
      <c r="D3179" s="5" t="s">
        <v>42</v>
      </c>
      <c r="E3179" s="5" t="s">
        <v>346</v>
      </c>
      <c r="F3179" s="9">
        <v>24</v>
      </c>
      <c r="G3179" s="9">
        <v>242</v>
      </c>
      <c r="H3179" s="5" t="s">
        <v>21</v>
      </c>
      <c r="I3179" s="5" t="s">
        <v>7759</v>
      </c>
      <c r="J3179" s="12" t="str">
        <f>HYPERLINK("https://www.boe.es/gazeta/dias/1800/03/25/pdfs/GMD-1800-24.pdf#page=6","Abrir facsímil")</f>
        <v>Abrir facsímil</v>
      </c>
      <c r="K3179" s="15" t="s">
        <v>23</v>
      </c>
    </row>
    <row r="3180" spans="1:11" ht="42" customHeight="1">
      <c r="A3180" s="4" t="s">
        <v>7756</v>
      </c>
      <c r="B3180" s="5" t="s">
        <v>7757</v>
      </c>
      <c r="C3180" s="5" t="s">
        <v>41</v>
      </c>
      <c r="D3180" s="5" t="s">
        <v>42</v>
      </c>
      <c r="E3180" s="5" t="s">
        <v>248</v>
      </c>
      <c r="F3180" s="9">
        <v>33</v>
      </c>
      <c r="G3180" s="9">
        <v>331</v>
      </c>
      <c r="H3180" s="5" t="s">
        <v>21</v>
      </c>
      <c r="I3180" s="5" t="s">
        <v>7760</v>
      </c>
      <c r="J3180" s="12" t="str">
        <f>HYPERLINK("https://www.boe.es/gazeta/dias/1800/04/25/pdfs/GMD-1800-33.pdf#page=7","Abrir facsímil")</f>
        <v>Abrir facsímil</v>
      </c>
      <c r="K3180" s="15" t="s">
        <v>23</v>
      </c>
    </row>
    <row r="3181" spans="1:11" ht="42" customHeight="1">
      <c r="A3181" s="4" t="s">
        <v>7756</v>
      </c>
      <c r="B3181" s="5" t="s">
        <v>7757</v>
      </c>
      <c r="C3181" s="5" t="s">
        <v>41</v>
      </c>
      <c r="D3181" s="5" t="s">
        <v>42</v>
      </c>
      <c r="E3181" s="5" t="s">
        <v>1287</v>
      </c>
      <c r="F3181" s="9">
        <v>57</v>
      </c>
      <c r="G3181" s="9">
        <v>642</v>
      </c>
      <c r="H3181" s="5" t="s">
        <v>21</v>
      </c>
      <c r="I3181" s="5" t="s">
        <v>7761</v>
      </c>
      <c r="J3181" s="12" t="str">
        <f>HYPERLINK("https://www.boe.es/gazeta/dias/1800/07/18/pdfs/GMD-1800-57.pdf#page=6","Abrir facsímil")</f>
        <v>Abrir facsímil</v>
      </c>
      <c r="K3181" s="15" t="s">
        <v>23</v>
      </c>
    </row>
    <row r="3182" spans="1:11" ht="42" customHeight="1">
      <c r="A3182" s="4" t="s">
        <v>7762</v>
      </c>
      <c r="B3182" s="5" t="s">
        <v>7762</v>
      </c>
      <c r="C3182" s="5" t="s">
        <v>41</v>
      </c>
      <c r="D3182" s="5" t="s">
        <v>42</v>
      </c>
      <c r="E3182" s="5" t="s">
        <v>88</v>
      </c>
      <c r="F3182" s="9">
        <v>23</v>
      </c>
      <c r="G3182" s="9">
        <v>228</v>
      </c>
      <c r="H3182" s="5" t="s">
        <v>21</v>
      </c>
      <c r="I3182" s="5" t="s">
        <v>7763</v>
      </c>
      <c r="J3182" s="12" t="str">
        <f>HYPERLINK("https://www.boe.es/gazeta/dias/1800/03/21/pdfs/GMD-1800-23.pdf#page=4","Abrir facsímil")</f>
        <v>Abrir facsímil</v>
      </c>
      <c r="K3182" s="15" t="s">
        <v>23</v>
      </c>
    </row>
    <row r="3183" spans="1:11" ht="42" customHeight="1">
      <c r="A3183" s="4" t="s">
        <v>7762</v>
      </c>
      <c r="B3183" s="5" t="s">
        <v>7762</v>
      </c>
      <c r="C3183" s="5" t="s">
        <v>41</v>
      </c>
      <c r="D3183" s="5" t="s">
        <v>42</v>
      </c>
      <c r="E3183" s="5" t="s">
        <v>39</v>
      </c>
      <c r="F3183" s="9">
        <v>43</v>
      </c>
      <c r="G3183" s="9">
        <v>444</v>
      </c>
      <c r="H3183" s="5" t="s">
        <v>21</v>
      </c>
      <c r="I3183" s="5" t="s">
        <v>7764</v>
      </c>
      <c r="J3183" s="12" t="str">
        <f>HYPERLINK("https://www.boe.es/gazeta/dias/1800/05/30/pdfs/GMD-1800-43.pdf#page=4","Abrir facsímil")</f>
        <v>Abrir facsímil</v>
      </c>
      <c r="K3183" s="15" t="s">
        <v>23</v>
      </c>
    </row>
    <row r="3184" spans="1:11" ht="42" customHeight="1">
      <c r="A3184" s="4" t="s">
        <v>7765</v>
      </c>
      <c r="B3184" s="5" t="s">
        <v>7766</v>
      </c>
      <c r="C3184" s="5" t="s">
        <v>41</v>
      </c>
      <c r="D3184" s="5" t="s">
        <v>42</v>
      </c>
      <c r="E3184" s="5" t="s">
        <v>503</v>
      </c>
      <c r="F3184" s="9">
        <v>13</v>
      </c>
      <c r="G3184" s="9">
        <v>120</v>
      </c>
      <c r="H3184" s="5" t="s">
        <v>21</v>
      </c>
      <c r="I3184" s="5" t="s">
        <v>7767</v>
      </c>
      <c r="J3184" s="12" t="str">
        <f>HYPERLINK("https://www.boe.es/gazeta/dias/1800/02/14/pdfs/GMD-1800-13.pdf#page=4","Abrir facsímil")</f>
        <v>Abrir facsímil</v>
      </c>
      <c r="K3184" s="15" t="s">
        <v>23</v>
      </c>
    </row>
    <row r="3185" spans="1:11" ht="42" customHeight="1">
      <c r="A3185" s="4" t="s">
        <v>7765</v>
      </c>
      <c r="B3185" s="5" t="s">
        <v>7766</v>
      </c>
      <c r="C3185" s="5" t="s">
        <v>41</v>
      </c>
      <c r="D3185" s="5" t="s">
        <v>42</v>
      </c>
      <c r="E3185" s="5" t="s">
        <v>545</v>
      </c>
      <c r="F3185" s="9">
        <v>14</v>
      </c>
      <c r="G3185" s="9">
        <v>131</v>
      </c>
      <c r="H3185" s="5" t="s">
        <v>21</v>
      </c>
      <c r="I3185" s="5" t="s">
        <v>7768</v>
      </c>
      <c r="J3185" s="12" t="str">
        <f>HYPERLINK("https://www.boe.es/gazeta/dias/1800/02/18/pdfs/GMD-1800-14.pdf#page=3","Abrir facsímil")</f>
        <v>Abrir facsímil</v>
      </c>
      <c r="K3185" s="15" t="s">
        <v>23</v>
      </c>
    </row>
    <row r="3186" spans="1:11" ht="42" customHeight="1">
      <c r="A3186" s="4" t="s">
        <v>7765</v>
      </c>
      <c r="B3186" s="5" t="s">
        <v>7766</v>
      </c>
      <c r="C3186" s="5" t="s">
        <v>41</v>
      </c>
      <c r="D3186" s="5" t="s">
        <v>42</v>
      </c>
      <c r="E3186" s="5" t="s">
        <v>491</v>
      </c>
      <c r="F3186" s="9">
        <v>29</v>
      </c>
      <c r="G3186" s="9">
        <v>295</v>
      </c>
      <c r="H3186" s="5" t="s">
        <v>21</v>
      </c>
      <c r="I3186" s="5" t="s">
        <v>7769</v>
      </c>
      <c r="J3186" s="12" t="str">
        <f>HYPERLINK("https://www.boe.es/gazeta/dias/1800/04/11/pdfs/GMD-1800-29.pdf#page=3","Abrir facsímil")</f>
        <v>Abrir facsímil</v>
      </c>
      <c r="K3186" s="15" t="s">
        <v>23</v>
      </c>
    </row>
    <row r="3187" spans="1:11" ht="42" customHeight="1">
      <c r="A3187" s="4" t="s">
        <v>7765</v>
      </c>
      <c r="B3187" s="5" t="s">
        <v>7766</v>
      </c>
      <c r="C3187" s="5" t="s">
        <v>41</v>
      </c>
      <c r="D3187" s="5" t="s">
        <v>42</v>
      </c>
      <c r="E3187" s="5" t="s">
        <v>598</v>
      </c>
      <c r="F3187" s="9">
        <v>32</v>
      </c>
      <c r="G3187" s="9">
        <v>320</v>
      </c>
      <c r="H3187" s="5" t="s">
        <v>21</v>
      </c>
      <c r="I3187" s="5" t="s">
        <v>7770</v>
      </c>
      <c r="J3187" s="12" t="str">
        <f>HYPERLINK("https://www.boe.es/gazeta/dias/1800/04/22/pdfs/GMD-1800-32.pdf#page=4","Abrir facsímil")</f>
        <v>Abrir facsímil</v>
      </c>
      <c r="K3187" s="15" t="s">
        <v>23</v>
      </c>
    </row>
    <row r="3188" spans="1:11" ht="42" customHeight="1">
      <c r="A3188" s="4" t="s">
        <v>7765</v>
      </c>
      <c r="B3188" s="5" t="s">
        <v>7766</v>
      </c>
      <c r="C3188" s="5" t="s">
        <v>18</v>
      </c>
      <c r="D3188" s="5" t="s">
        <v>19</v>
      </c>
      <c r="E3188" s="5" t="s">
        <v>299</v>
      </c>
      <c r="F3188" s="9">
        <v>40</v>
      </c>
      <c r="G3188" s="9">
        <v>408</v>
      </c>
      <c r="H3188" s="5" t="s">
        <v>21</v>
      </c>
      <c r="I3188" s="5" t="s">
        <v>7771</v>
      </c>
      <c r="J3188" s="12" t="str">
        <f>HYPERLINK("https://www.boe.es/gazeta/dias/1800/05/20/pdfs/GMD-1800-40.pdf#page=4","Abrir facsímil")</f>
        <v>Abrir facsímil</v>
      </c>
      <c r="K3188" s="15" t="s">
        <v>23</v>
      </c>
    </row>
    <row r="3189" spans="1:11" ht="42" customHeight="1">
      <c r="A3189" s="4" t="s">
        <v>7765</v>
      </c>
      <c r="B3189" s="5" t="s">
        <v>7766</v>
      </c>
      <c r="C3189" s="5" t="s">
        <v>41</v>
      </c>
      <c r="D3189" s="5" t="s">
        <v>42</v>
      </c>
      <c r="E3189" s="5" t="s">
        <v>465</v>
      </c>
      <c r="F3189" s="9">
        <v>49</v>
      </c>
      <c r="G3189" s="9">
        <v>527</v>
      </c>
      <c r="H3189" s="5" t="s">
        <v>21</v>
      </c>
      <c r="I3189" s="5" t="s">
        <v>7772</v>
      </c>
      <c r="J3189" s="12" t="str">
        <f>HYPERLINK("https://www.boe.es/gazeta/dias/1800/06/20/pdfs/GMD-1800-49.pdf#page=3","Abrir facsímil")</f>
        <v>Abrir facsímil</v>
      </c>
      <c r="K3189" s="15" t="s">
        <v>23</v>
      </c>
    </row>
    <row r="3190" spans="1:11" ht="42" customHeight="1">
      <c r="A3190" s="4" t="s">
        <v>7773</v>
      </c>
      <c r="B3190" s="5" t="s">
        <v>7774</v>
      </c>
      <c r="C3190" s="5" t="s">
        <v>41</v>
      </c>
      <c r="D3190" s="5" t="s">
        <v>42</v>
      </c>
      <c r="E3190" s="5" t="s">
        <v>828</v>
      </c>
      <c r="F3190" s="9">
        <v>53</v>
      </c>
      <c r="G3190" s="9">
        <v>587</v>
      </c>
      <c r="H3190" s="5" t="s">
        <v>21</v>
      </c>
      <c r="I3190" s="5" t="s">
        <v>7775</v>
      </c>
      <c r="J3190" s="12" t="str">
        <f>HYPERLINK("https://www.boe.es/gazeta/dias/1800/07/04/pdfs/GMD-1800-53.pdf#page=7","Abrir facsímil")</f>
        <v>Abrir facsímil</v>
      </c>
      <c r="K3190" s="15" t="s">
        <v>23</v>
      </c>
    </row>
    <row r="3191" spans="1:11" ht="42" customHeight="1">
      <c r="A3191" s="4" t="s">
        <v>7776</v>
      </c>
      <c r="B3191" s="5" t="s">
        <v>7777</v>
      </c>
      <c r="C3191" s="5" t="s">
        <v>18</v>
      </c>
      <c r="D3191" s="5" t="s">
        <v>19</v>
      </c>
      <c r="E3191" s="5" t="s">
        <v>52</v>
      </c>
      <c r="F3191" s="9">
        <v>83</v>
      </c>
      <c r="G3191" s="9">
        <v>963</v>
      </c>
      <c r="H3191" s="5" t="s">
        <v>21</v>
      </c>
      <c r="I3191" s="5" t="s">
        <v>7778</v>
      </c>
      <c r="J3191" s="12" t="str">
        <f>HYPERLINK("https://www.boe.es/gazeta/dias/1800/10/14/pdfs/GMD-1800-83.pdf#page=9","Abrir facsímil")</f>
        <v>Abrir facsímil</v>
      </c>
      <c r="K3191" s="15" t="s">
        <v>23</v>
      </c>
    </row>
    <row r="3192" spans="1:11" ht="42" customHeight="1">
      <c r="A3192" s="4" t="s">
        <v>7779</v>
      </c>
      <c r="B3192" s="5" t="s">
        <v>7780</v>
      </c>
      <c r="C3192" s="5" t="s">
        <v>207</v>
      </c>
      <c r="D3192" s="5" t="s">
        <v>55</v>
      </c>
      <c r="E3192" s="5" t="s">
        <v>180</v>
      </c>
      <c r="F3192" s="9">
        <v>102</v>
      </c>
      <c r="G3192" s="9">
        <v>1186</v>
      </c>
      <c r="H3192" s="5" t="s">
        <v>21</v>
      </c>
      <c r="I3192" s="5" t="s">
        <v>7781</v>
      </c>
      <c r="J3192" s="12" t="str">
        <f>HYPERLINK("https://www.boe.es/gazeta/dias/1800/12/19/pdfs/GMD-1800-102.pdf#page=10","Abrir facsímil")</f>
        <v>Abrir facsímil</v>
      </c>
      <c r="K3192" s="15" t="s">
        <v>23</v>
      </c>
    </row>
    <row r="3193" spans="1:11" ht="42" customHeight="1">
      <c r="A3193" s="4" t="s">
        <v>7782</v>
      </c>
      <c r="B3193" s="5" t="s">
        <v>7782</v>
      </c>
      <c r="C3193" s="5" t="s">
        <v>18</v>
      </c>
      <c r="D3193" s="5" t="s">
        <v>19</v>
      </c>
      <c r="E3193" s="5" t="s">
        <v>31</v>
      </c>
      <c r="F3193" s="9">
        <v>20</v>
      </c>
      <c r="G3193" s="9">
        <v>192</v>
      </c>
      <c r="H3193" s="5" t="s">
        <v>21</v>
      </c>
      <c r="I3193" s="5" t="s">
        <v>7783</v>
      </c>
      <c r="J3193" s="12" t="str">
        <f>HYPERLINK("https://www.boe.es/gazeta/dias/1800/03/11/pdfs/GMD-1800-20.pdf#page=8","Abrir facsímil")</f>
        <v>Abrir facsímil</v>
      </c>
      <c r="K3193" s="15" t="s">
        <v>23</v>
      </c>
    </row>
    <row r="3194" spans="1:11" ht="42" customHeight="1">
      <c r="A3194" s="4" t="s">
        <v>7784</v>
      </c>
      <c r="B3194" s="5" t="s">
        <v>7784</v>
      </c>
      <c r="C3194" s="5" t="s">
        <v>18</v>
      </c>
      <c r="D3194" s="5" t="s">
        <v>19</v>
      </c>
      <c r="E3194" s="5" t="s">
        <v>567</v>
      </c>
      <c r="F3194" s="9">
        <v>3</v>
      </c>
      <c r="G3194" s="9">
        <v>27</v>
      </c>
      <c r="H3194" s="5" t="s">
        <v>21</v>
      </c>
      <c r="I3194" s="5" t="s">
        <v>7785</v>
      </c>
      <c r="J3194" s="12" t="str">
        <f>HYPERLINK("https://www.boe.es/gazeta/dias/1800/01/10/pdfs/GMD-1800-3.pdf#page=7","Abrir facsímil")</f>
        <v>Abrir facsímil</v>
      </c>
      <c r="K3194" s="15" t="s">
        <v>23</v>
      </c>
    </row>
    <row r="3195" spans="1:11" ht="42" customHeight="1">
      <c r="A3195" s="4" t="s">
        <v>7786</v>
      </c>
      <c r="B3195" s="5" t="s">
        <v>7787</v>
      </c>
      <c r="C3195" s="5" t="s">
        <v>18</v>
      </c>
      <c r="D3195" s="5" t="s">
        <v>19</v>
      </c>
      <c r="E3195" s="5" t="s">
        <v>190</v>
      </c>
      <c r="F3195" s="9">
        <v>93</v>
      </c>
      <c r="G3195" s="9">
        <v>1063</v>
      </c>
      <c r="H3195" s="5" t="s">
        <v>21</v>
      </c>
      <c r="I3195" s="5" t="s">
        <v>7788</v>
      </c>
      <c r="J3195" s="12" t="str">
        <f>HYPERLINK("https://www.boe.es/gazeta/dias/1800/11/18/pdfs/GMD-1800-93.pdf#page=9","Abrir facsímil")</f>
        <v>Abrir facsímil</v>
      </c>
      <c r="K3195" s="15" t="s">
        <v>23</v>
      </c>
    </row>
    <row r="3196" spans="1:11" ht="42" customHeight="1">
      <c r="A3196" s="4" t="s">
        <v>7789</v>
      </c>
      <c r="B3196" s="5" t="s">
        <v>7790</v>
      </c>
      <c r="C3196" s="5" t="s">
        <v>41</v>
      </c>
      <c r="D3196" s="5" t="s">
        <v>42</v>
      </c>
      <c r="E3196" s="5" t="s">
        <v>64</v>
      </c>
      <c r="F3196" s="9">
        <v>54</v>
      </c>
      <c r="G3196" s="9">
        <v>604</v>
      </c>
      <c r="H3196" s="5" t="s">
        <v>21</v>
      </c>
      <c r="I3196" s="5" t="s">
        <v>7791</v>
      </c>
      <c r="J3196" s="12" t="str">
        <f>HYPERLINK("https://www.boe.es/gazeta/dias/1800/07/08/pdfs/GMD-1800-54.pdf#page=8","Abrir facsímil")</f>
        <v>Abrir facsímil</v>
      </c>
      <c r="K3196" s="15" t="s">
        <v>23</v>
      </c>
    </row>
    <row r="3197" spans="1:11" ht="42" customHeight="1">
      <c r="A3197" s="4" t="s">
        <v>7789</v>
      </c>
      <c r="B3197" s="5" t="s">
        <v>7790</v>
      </c>
      <c r="C3197" s="5" t="s">
        <v>84</v>
      </c>
      <c r="D3197" s="5" t="s">
        <v>85</v>
      </c>
      <c r="E3197" s="5" t="s">
        <v>530</v>
      </c>
      <c r="F3197" s="9">
        <v>55</v>
      </c>
      <c r="G3197" s="9">
        <v>621</v>
      </c>
      <c r="H3197" s="5" t="s">
        <v>21</v>
      </c>
      <c r="I3197" s="5" t="s">
        <v>7792</v>
      </c>
      <c r="J3197" s="12" t="str">
        <f>HYPERLINK("https://www.boe.es/gazeta/dias/1800/07/11/pdfs/GMD-1800-55.pdf#page=9","Abrir facsímil")</f>
        <v>Abrir facsímil</v>
      </c>
      <c r="K3197" s="15" t="s">
        <v>23</v>
      </c>
    </row>
    <row r="3198" spans="1:11" ht="42" customHeight="1">
      <c r="A3198" s="4" t="s">
        <v>7793</v>
      </c>
      <c r="B3198" s="5" t="s">
        <v>7794</v>
      </c>
      <c r="C3198" s="5" t="s">
        <v>25</v>
      </c>
      <c r="D3198" s="5" t="s">
        <v>26</v>
      </c>
      <c r="E3198" s="5" t="s">
        <v>618</v>
      </c>
      <c r="F3198" s="9">
        <v>1</v>
      </c>
      <c r="G3198" s="9">
        <v>6</v>
      </c>
      <c r="H3198" s="5" t="s">
        <v>21</v>
      </c>
      <c r="I3198" s="5" t="s">
        <v>7795</v>
      </c>
      <c r="J3198" s="12" t="str">
        <f>HYPERLINK("https://www.boe.es/gazeta/dias/1800/01/03/pdfs/GMD-1800-1.pdf#page=6","Abrir facsímil")</f>
        <v>Abrir facsímil</v>
      </c>
      <c r="K3198" s="15" t="s">
        <v>23</v>
      </c>
    </row>
    <row r="3199" spans="1:11" ht="42" customHeight="1">
      <c r="A3199" s="4" t="s">
        <v>7796</v>
      </c>
      <c r="B3199" s="5" t="s">
        <v>7797</v>
      </c>
      <c r="C3199" s="5" t="s">
        <v>41</v>
      </c>
      <c r="D3199" s="5" t="s">
        <v>42</v>
      </c>
      <c r="E3199" s="5" t="s">
        <v>240</v>
      </c>
      <c r="F3199" s="9">
        <v>26</v>
      </c>
      <c r="G3199" s="9">
        <v>266</v>
      </c>
      <c r="H3199" s="5" t="s">
        <v>21</v>
      </c>
      <c r="I3199" s="5" t="s">
        <v>7798</v>
      </c>
      <c r="J3199" s="12" t="str">
        <f>HYPERLINK("https://www.boe.es/gazeta/dias/1800/04/01/pdfs/GMD-1800-26.pdf#page=6","Abrir facsímil")</f>
        <v>Abrir facsímil</v>
      </c>
      <c r="K3199" s="15" t="s">
        <v>23</v>
      </c>
    </row>
    <row r="3200" spans="1:11" ht="42" customHeight="1">
      <c r="A3200" s="4" t="s">
        <v>7799</v>
      </c>
      <c r="B3200" s="5" t="s">
        <v>7800</v>
      </c>
      <c r="C3200" s="5" t="s">
        <v>18</v>
      </c>
      <c r="D3200" s="5" t="s">
        <v>19</v>
      </c>
      <c r="E3200" s="5" t="s">
        <v>618</v>
      </c>
      <c r="F3200" s="9">
        <v>1</v>
      </c>
      <c r="G3200" s="9">
        <v>7</v>
      </c>
      <c r="H3200" s="5" t="s">
        <v>21</v>
      </c>
      <c r="I3200" s="5" t="s">
        <v>7801</v>
      </c>
      <c r="J3200" s="12" t="str">
        <f>HYPERLINK("https://www.boe.es/gazeta/dias/1800/01/03/pdfs/GMD-1800-1.pdf#page=7","Abrir facsímil")</f>
        <v>Abrir facsímil</v>
      </c>
      <c r="K3200" s="15" t="s">
        <v>23</v>
      </c>
    </row>
    <row r="3201" spans="1:11" ht="42" customHeight="1">
      <c r="A3201" s="4" t="s">
        <v>7802</v>
      </c>
      <c r="B3201" s="5" t="s">
        <v>7803</v>
      </c>
      <c r="C3201" s="5" t="s">
        <v>18</v>
      </c>
      <c r="D3201" s="5" t="s">
        <v>19</v>
      </c>
      <c r="E3201" s="5" t="s">
        <v>346</v>
      </c>
      <c r="F3201" s="9">
        <v>24</v>
      </c>
      <c r="G3201" s="9">
        <v>244</v>
      </c>
      <c r="H3201" s="5" t="s">
        <v>21</v>
      </c>
      <c r="I3201" s="5" t="s">
        <v>7804</v>
      </c>
      <c r="J3201" s="12" t="str">
        <f>HYPERLINK("https://www.boe.es/gazeta/dias/1800/03/25/pdfs/GMD-1800-24.pdf#page=8","Abrir facsímil")</f>
        <v>Abrir facsímil</v>
      </c>
      <c r="K3201" s="15" t="s">
        <v>23</v>
      </c>
    </row>
    <row r="3202" spans="1:11" ht="42" customHeight="1">
      <c r="A3202" s="4" t="s">
        <v>7805</v>
      </c>
      <c r="B3202" s="5" t="s">
        <v>7806</v>
      </c>
      <c r="C3202" s="5" t="s">
        <v>18</v>
      </c>
      <c r="D3202" s="5" t="s">
        <v>19</v>
      </c>
      <c r="E3202" s="5" t="s">
        <v>43</v>
      </c>
      <c r="F3202" s="9">
        <v>46</v>
      </c>
      <c r="G3202" s="9">
        <v>487</v>
      </c>
      <c r="H3202" s="5" t="s">
        <v>21</v>
      </c>
      <c r="I3202" s="5" t="s">
        <v>7807</v>
      </c>
      <c r="J3202" s="12" t="str">
        <f>HYPERLINK("https://www.boe.es/gazeta/dias/1800/06/10/pdfs/GMD-1800-46.pdf#page=11","Abrir facsímil")</f>
        <v>Abrir facsímil</v>
      </c>
      <c r="K3202" s="15" t="s">
        <v>23</v>
      </c>
    </row>
    <row r="3203" spans="1:11" ht="42" customHeight="1">
      <c r="A3203" s="4" t="s">
        <v>7808</v>
      </c>
      <c r="B3203" s="5" t="s">
        <v>7809</v>
      </c>
      <c r="C3203" s="5" t="s">
        <v>25</v>
      </c>
      <c r="D3203" s="5" t="s">
        <v>26</v>
      </c>
      <c r="E3203" s="5" t="s">
        <v>58</v>
      </c>
      <c r="F3203" s="9">
        <v>92</v>
      </c>
      <c r="G3203" s="9">
        <v>1052</v>
      </c>
      <c r="H3203" s="5" t="s">
        <v>21</v>
      </c>
      <c r="I3203" s="5" t="s">
        <v>7810</v>
      </c>
      <c r="J3203" s="12" t="str">
        <f>HYPERLINK("https://www.boe.es/gazeta/dias/1800/11/14/pdfs/GMD-1800-92.pdf#page=6","Abrir facsímil")</f>
        <v>Abrir facsímil</v>
      </c>
      <c r="K3203" s="15" t="s">
        <v>23</v>
      </c>
    </row>
    <row r="3204" spans="1:11" ht="42" customHeight="1">
      <c r="A3204" s="4" t="s">
        <v>7811</v>
      </c>
      <c r="B3204" s="5" t="s">
        <v>7812</v>
      </c>
      <c r="C3204" s="5" t="s">
        <v>18</v>
      </c>
      <c r="D3204" s="5" t="s">
        <v>19</v>
      </c>
      <c r="E3204" s="5" t="s">
        <v>56</v>
      </c>
      <c r="F3204" s="9">
        <v>90</v>
      </c>
      <c r="G3204" s="9">
        <v>1056</v>
      </c>
      <c r="H3204" s="5" t="s">
        <v>21</v>
      </c>
      <c r="I3204" s="5" t="s">
        <v>7813</v>
      </c>
      <c r="J3204" s="12" t="str">
        <f>HYPERLINK("https://www.boe.es/gazeta/dias/1800/11/07/pdfs/GMD-1800-90.pdf#page=10","Abrir facsímil")</f>
        <v>Abrir facsímil</v>
      </c>
      <c r="K3204" s="15" t="s">
        <v>23</v>
      </c>
    </row>
    <row r="3205" spans="1:11" ht="42" customHeight="1">
      <c r="A3205" s="4" t="s">
        <v>7811</v>
      </c>
      <c r="B3205" s="5" t="s">
        <v>7812</v>
      </c>
      <c r="C3205" s="5" t="s">
        <v>18</v>
      </c>
      <c r="D3205" s="5" t="s">
        <v>19</v>
      </c>
      <c r="E3205" s="5" t="s">
        <v>180</v>
      </c>
      <c r="F3205" s="9">
        <v>102</v>
      </c>
      <c r="G3205" s="9">
        <v>1185</v>
      </c>
      <c r="H3205" s="5" t="s">
        <v>21</v>
      </c>
      <c r="I3205" s="5" t="s">
        <v>7814</v>
      </c>
      <c r="J3205" s="12" t="str">
        <f>HYPERLINK("https://www.boe.es/gazeta/dias/1800/12/19/pdfs/GMD-1800-102.pdf#page=9","Abrir facsímil")</f>
        <v>Abrir facsímil</v>
      </c>
      <c r="K3205" s="15" t="s">
        <v>23</v>
      </c>
    </row>
    <row r="3206" spans="1:11" ht="42" customHeight="1">
      <c r="A3206" s="4" t="s">
        <v>7815</v>
      </c>
      <c r="B3206" s="5" t="s">
        <v>7816</v>
      </c>
      <c r="C3206" s="5" t="s">
        <v>18</v>
      </c>
      <c r="D3206" s="5" t="s">
        <v>19</v>
      </c>
      <c r="E3206" s="5" t="s">
        <v>248</v>
      </c>
      <c r="F3206" s="9">
        <v>33</v>
      </c>
      <c r="G3206" s="9">
        <v>334</v>
      </c>
      <c r="H3206" s="5" t="s">
        <v>21</v>
      </c>
      <c r="I3206" s="5" t="s">
        <v>7817</v>
      </c>
      <c r="J3206" s="12" t="str">
        <f>HYPERLINK("https://www.boe.es/gazeta/dias/1800/04/25/pdfs/GMD-1800-33.pdf#page=10","Abrir facsímil")</f>
        <v>Abrir facsímil</v>
      </c>
      <c r="K3206" s="15" t="s">
        <v>23</v>
      </c>
    </row>
    <row r="3207" spans="1:11" ht="42" customHeight="1">
      <c r="A3207" s="4" t="s">
        <v>7818</v>
      </c>
      <c r="B3207" s="5" t="s">
        <v>7819</v>
      </c>
      <c r="C3207" s="5" t="s">
        <v>114</v>
      </c>
      <c r="D3207" s="5" t="s">
        <v>115</v>
      </c>
      <c r="E3207" s="5" t="s">
        <v>116</v>
      </c>
      <c r="F3207" s="9">
        <v>86</v>
      </c>
      <c r="G3207" s="9" t="s">
        <v>725</v>
      </c>
      <c r="H3207" s="5" t="s">
        <v>21</v>
      </c>
      <c r="I3207" s="5" t="s">
        <v>7820</v>
      </c>
      <c r="J3207" s="12" t="str">
        <f>HYPERLINK("https://www.boe.es/gazeta/dias/1800/10/24/pdfs/GMD-D-1800-86.pdf#page=1","Abrir facsímil")</f>
        <v>Abrir facsímil</v>
      </c>
      <c r="K3207" s="15" t="s">
        <v>23</v>
      </c>
    </row>
    <row r="3208" spans="1:11" ht="42" customHeight="1">
      <c r="A3208" s="4" t="s">
        <v>7821</v>
      </c>
      <c r="B3208" s="5" t="s">
        <v>7822</v>
      </c>
      <c r="C3208" s="5" t="s">
        <v>18</v>
      </c>
      <c r="D3208" s="5" t="s">
        <v>19</v>
      </c>
      <c r="E3208" s="5" t="s">
        <v>576</v>
      </c>
      <c r="F3208" s="9">
        <v>91</v>
      </c>
      <c r="G3208" s="9">
        <v>1067</v>
      </c>
      <c r="H3208" s="5" t="s">
        <v>21</v>
      </c>
      <c r="I3208" s="5" t="s">
        <v>7823</v>
      </c>
      <c r="J3208" s="12" t="str">
        <f>HYPERLINK("https://www.boe.es/gazeta/dias/1800/11/11/pdfs/GMD-1800-91.pdf#page=9","Abrir facsímil")</f>
        <v>Abrir facsímil</v>
      </c>
      <c r="K3208" s="15" t="s">
        <v>23</v>
      </c>
    </row>
    <row r="3209" spans="1:11" ht="42" customHeight="1">
      <c r="A3209" s="4" t="s">
        <v>7824</v>
      </c>
      <c r="B3209" s="5" t="s">
        <v>7825</v>
      </c>
      <c r="C3209" s="5" t="s">
        <v>18</v>
      </c>
      <c r="D3209" s="5" t="s">
        <v>19</v>
      </c>
      <c r="E3209" s="5" t="s">
        <v>314</v>
      </c>
      <c r="F3209" s="9">
        <v>74</v>
      </c>
      <c r="G3209" s="9">
        <v>831</v>
      </c>
      <c r="H3209" s="5" t="s">
        <v>21</v>
      </c>
      <c r="I3209" s="5" t="s">
        <v>7826</v>
      </c>
      <c r="J3209" s="12" t="str">
        <f>HYPERLINK("https://www.boe.es/gazeta/dias/1800/09/12/pdfs/GMD-1800-74.pdf#page=9","Abrir facsímil")</f>
        <v>Abrir facsímil</v>
      </c>
      <c r="K3209" s="15" t="s">
        <v>23</v>
      </c>
    </row>
    <row r="3210" spans="1:11" ht="42" customHeight="1">
      <c r="A3210" s="4" t="s">
        <v>7827</v>
      </c>
      <c r="B3210" s="5" t="s">
        <v>7828</v>
      </c>
      <c r="C3210" s="5" t="s">
        <v>84</v>
      </c>
      <c r="D3210" s="5" t="s">
        <v>85</v>
      </c>
      <c r="E3210" s="5" t="s">
        <v>45</v>
      </c>
      <c r="F3210" s="9">
        <v>47</v>
      </c>
      <c r="G3210" s="9">
        <v>504</v>
      </c>
      <c r="H3210" s="5" t="s">
        <v>21</v>
      </c>
      <c r="I3210" s="5" t="s">
        <v>7829</v>
      </c>
      <c r="J3210" s="12" t="str">
        <f>HYPERLINK("https://www.boe.es/gazeta/dias/1800/06/13/pdfs/GMD-1800-47.pdf#page=12","Abrir facsímil")</f>
        <v>Abrir facsímil</v>
      </c>
      <c r="K3210" s="15" t="s">
        <v>23</v>
      </c>
    </row>
    <row r="3211" spans="1:11" ht="42" customHeight="1">
      <c r="A3211" s="4" t="s">
        <v>7830</v>
      </c>
      <c r="B3211" s="5" t="s">
        <v>7831</v>
      </c>
      <c r="C3211" s="5" t="s">
        <v>207</v>
      </c>
      <c r="D3211" s="5" t="s">
        <v>55</v>
      </c>
      <c r="E3211" s="5" t="s">
        <v>184</v>
      </c>
      <c r="F3211" s="9">
        <v>82</v>
      </c>
      <c r="G3211" s="9">
        <v>951</v>
      </c>
      <c r="H3211" s="5" t="s">
        <v>21</v>
      </c>
      <c r="I3211" s="5" t="s">
        <v>7832</v>
      </c>
      <c r="J3211" s="12" t="str">
        <f>HYPERLINK("https://www.boe.es/gazeta/dias/1800/10/10/pdfs/GMD-1800-82.pdf#page=9","Abrir facsímil")</f>
        <v>Abrir facsímil</v>
      </c>
      <c r="K3211" s="15" t="s">
        <v>23</v>
      </c>
    </row>
    <row r="3212" spans="1:11" ht="42" customHeight="1">
      <c r="A3212" s="4" t="s">
        <v>7833</v>
      </c>
      <c r="B3212" s="5" t="s">
        <v>7833</v>
      </c>
      <c r="C3212" s="5" t="s">
        <v>41</v>
      </c>
      <c r="D3212" s="5" t="s">
        <v>42</v>
      </c>
      <c r="E3212" s="5" t="s">
        <v>319</v>
      </c>
      <c r="F3212" s="9">
        <v>62</v>
      </c>
      <c r="G3212" s="9">
        <v>704</v>
      </c>
      <c r="H3212" s="5" t="s">
        <v>21</v>
      </c>
      <c r="I3212" s="5" t="s">
        <v>7834</v>
      </c>
      <c r="J3212" s="12" t="str">
        <f>HYPERLINK("https://www.boe.es/gazeta/dias/1800/08/05/pdfs/GMD-1800-62.pdf#page=4","Abrir facsímil")</f>
        <v>Abrir facsímil</v>
      </c>
      <c r="K3212" s="15" t="s">
        <v>23</v>
      </c>
    </row>
    <row r="3213" spans="1:11" ht="42" customHeight="1">
      <c r="A3213" s="4" t="s">
        <v>7835</v>
      </c>
      <c r="B3213" s="5" t="s">
        <v>7836</v>
      </c>
      <c r="C3213" s="5" t="s">
        <v>41</v>
      </c>
      <c r="D3213" s="5" t="s">
        <v>42</v>
      </c>
      <c r="E3213" s="5" t="s">
        <v>319</v>
      </c>
      <c r="F3213" s="9">
        <v>62</v>
      </c>
      <c r="G3213" s="9">
        <v>704</v>
      </c>
      <c r="H3213" s="5" t="s">
        <v>21</v>
      </c>
      <c r="I3213" s="5" t="s">
        <v>7837</v>
      </c>
      <c r="J3213" s="12" t="str">
        <f>HYPERLINK("https://www.boe.es/gazeta/dias/1800/08/05/pdfs/GMD-1800-62.pdf#page=4","Abrir facsímil")</f>
        <v>Abrir facsímil</v>
      </c>
      <c r="K3213" s="15" t="s">
        <v>23</v>
      </c>
    </row>
    <row r="3214" spans="1:11" ht="42" customHeight="1">
      <c r="A3214" s="4" t="s">
        <v>7838</v>
      </c>
      <c r="B3214" s="5" t="s">
        <v>7839</v>
      </c>
      <c r="C3214" s="5" t="s">
        <v>18</v>
      </c>
      <c r="D3214" s="5" t="s">
        <v>19</v>
      </c>
      <c r="E3214" s="5" t="s">
        <v>90</v>
      </c>
      <c r="F3214" s="9">
        <v>58</v>
      </c>
      <c r="G3214" s="9">
        <v>656</v>
      </c>
      <c r="H3214" s="5" t="s">
        <v>21</v>
      </c>
      <c r="I3214" s="5" t="s">
        <v>7840</v>
      </c>
      <c r="J3214" s="12" t="str">
        <f>HYPERLINK("https://www.boe.es/gazeta/dias/1800/07/22/pdfs/GMD-1800-58.pdf#page=4","Abrir facsímil")</f>
        <v>Abrir facsímil</v>
      </c>
      <c r="K3214" s="15" t="s">
        <v>23</v>
      </c>
    </row>
    <row r="3215" spans="1:11" ht="42" customHeight="1">
      <c r="A3215" s="4" t="s">
        <v>7841</v>
      </c>
      <c r="B3215" s="5" t="s">
        <v>7842</v>
      </c>
      <c r="C3215" s="5" t="s">
        <v>18</v>
      </c>
      <c r="D3215" s="5" t="s">
        <v>19</v>
      </c>
      <c r="E3215" s="5" t="s">
        <v>135</v>
      </c>
      <c r="F3215" s="9">
        <v>73</v>
      </c>
      <c r="G3215" s="9">
        <v>816</v>
      </c>
      <c r="H3215" s="5" t="s">
        <v>21</v>
      </c>
      <c r="I3215" s="5" t="s">
        <v>7843</v>
      </c>
      <c r="J3215" s="12" t="str">
        <f>HYPERLINK("https://www.boe.es/gazeta/dias/1800/09/09/pdfs/GMD-1800-73.pdf#page=10","Abrir facsímil")</f>
        <v>Abrir facsímil</v>
      </c>
      <c r="K3215" s="15" t="s">
        <v>23</v>
      </c>
    </row>
    <row r="3216" spans="1:11" ht="42" customHeight="1">
      <c r="A3216" s="4" t="s">
        <v>7844</v>
      </c>
      <c r="B3216" s="5" t="s">
        <v>7845</v>
      </c>
      <c r="C3216" s="5" t="s">
        <v>207</v>
      </c>
      <c r="D3216" s="5" t="s">
        <v>55</v>
      </c>
      <c r="E3216" s="5" t="s">
        <v>190</v>
      </c>
      <c r="F3216" s="9">
        <v>93</v>
      </c>
      <c r="G3216" s="9">
        <v>1066</v>
      </c>
      <c r="H3216" s="5" t="s">
        <v>21</v>
      </c>
      <c r="I3216" s="5" t="s">
        <v>7846</v>
      </c>
      <c r="J3216" s="12" t="str">
        <f>HYPERLINK("https://www.boe.es/gazeta/dias/1800/11/18/pdfs/GMD-1800-93.pdf#page=12","Abrir facsímil")</f>
        <v>Abrir facsímil</v>
      </c>
      <c r="K3216" s="15" t="s">
        <v>23</v>
      </c>
    </row>
    <row r="3217" spans="1:11" ht="42" customHeight="1">
      <c r="A3217" s="4" t="s">
        <v>7847</v>
      </c>
      <c r="B3217" s="5" t="s">
        <v>7848</v>
      </c>
      <c r="C3217" s="5" t="s">
        <v>25</v>
      </c>
      <c r="D3217" s="5" t="s">
        <v>26</v>
      </c>
      <c r="E3217" s="5" t="s">
        <v>248</v>
      </c>
      <c r="F3217" s="9">
        <v>33</v>
      </c>
      <c r="G3217" s="9">
        <v>334</v>
      </c>
      <c r="H3217" s="5" t="s">
        <v>21</v>
      </c>
      <c r="I3217" s="5" t="s">
        <v>7849</v>
      </c>
      <c r="J3217" s="12" t="str">
        <f>HYPERLINK("https://www.boe.es/gazeta/dias/1800/04/25/pdfs/GMD-1800-33.pdf#page=10","Abrir facsímil")</f>
        <v>Abrir facsímil</v>
      </c>
      <c r="K3217" s="15" t="s">
        <v>23</v>
      </c>
    </row>
    <row r="3218" spans="1:11" ht="42" customHeight="1">
      <c r="A3218" s="4" t="s">
        <v>7850</v>
      </c>
      <c r="B3218" s="5" t="s">
        <v>7850</v>
      </c>
      <c r="C3218" s="5" t="s">
        <v>25</v>
      </c>
      <c r="D3218" s="5" t="s">
        <v>26</v>
      </c>
      <c r="E3218" s="5" t="s">
        <v>356</v>
      </c>
      <c r="F3218" s="9">
        <v>31</v>
      </c>
      <c r="G3218" s="9">
        <v>314</v>
      </c>
      <c r="H3218" s="5" t="s">
        <v>21</v>
      </c>
      <c r="I3218" s="5" t="s">
        <v>7851</v>
      </c>
      <c r="J3218" s="12" t="str">
        <f>HYPERLINK("https://www.boe.es/gazeta/dias/1800/04/18/pdfs/GMD-1800-31.pdf#page=6","Abrir facsímil")</f>
        <v>Abrir facsímil</v>
      </c>
      <c r="K3218" s="15" t="s">
        <v>23</v>
      </c>
    </row>
    <row r="3219" spans="1:11" ht="42" customHeight="1">
      <c r="A3219" s="4" t="s">
        <v>7852</v>
      </c>
      <c r="B3219" s="5" t="s">
        <v>7852</v>
      </c>
      <c r="C3219" s="5" t="s">
        <v>18</v>
      </c>
      <c r="D3219" s="5" t="s">
        <v>19</v>
      </c>
      <c r="E3219" s="5" t="s">
        <v>56</v>
      </c>
      <c r="F3219" s="9">
        <v>90</v>
      </c>
      <c r="G3219" s="9">
        <v>1056</v>
      </c>
      <c r="H3219" s="5" t="s">
        <v>21</v>
      </c>
      <c r="I3219" s="5" t="s">
        <v>7853</v>
      </c>
      <c r="J3219" s="12" t="str">
        <f>HYPERLINK("https://www.boe.es/gazeta/dias/1800/11/07/pdfs/GMD-1800-90.pdf#page=10","Abrir facsímil")</f>
        <v>Abrir facsímil</v>
      </c>
      <c r="K3219" s="15" t="s">
        <v>23</v>
      </c>
    </row>
    <row r="3220" spans="1:11" ht="42" customHeight="1">
      <c r="A3220" s="4" t="s">
        <v>7852</v>
      </c>
      <c r="B3220" s="5" t="s">
        <v>7852</v>
      </c>
      <c r="C3220" s="5" t="s">
        <v>18</v>
      </c>
      <c r="D3220" s="5" t="s">
        <v>19</v>
      </c>
      <c r="E3220" s="5" t="s">
        <v>180</v>
      </c>
      <c r="F3220" s="9">
        <v>102</v>
      </c>
      <c r="G3220" s="9">
        <v>1185</v>
      </c>
      <c r="H3220" s="5" t="s">
        <v>21</v>
      </c>
      <c r="I3220" s="5" t="s">
        <v>7854</v>
      </c>
      <c r="J3220" s="12" t="str">
        <f>HYPERLINK("https://www.boe.es/gazeta/dias/1800/12/19/pdfs/GMD-1800-102.pdf#page=9","Abrir facsímil")</f>
        <v>Abrir facsímil</v>
      </c>
      <c r="K3220" s="15" t="s">
        <v>23</v>
      </c>
    </row>
    <row r="3221" spans="1:11" ht="42" customHeight="1">
      <c r="A3221" s="4" t="s">
        <v>7855</v>
      </c>
      <c r="B3221" s="5" t="s">
        <v>7856</v>
      </c>
      <c r="C3221" s="5" t="s">
        <v>18</v>
      </c>
      <c r="D3221" s="5" t="s">
        <v>19</v>
      </c>
      <c r="E3221" s="5" t="s">
        <v>314</v>
      </c>
      <c r="F3221" s="9">
        <v>74</v>
      </c>
      <c r="G3221" s="9">
        <v>833</v>
      </c>
      <c r="H3221" s="5" t="s">
        <v>21</v>
      </c>
      <c r="I3221" s="5" t="s">
        <v>7857</v>
      </c>
      <c r="J3221" s="12" t="str">
        <f>HYPERLINK("https://www.boe.es/gazeta/dias/1800/09/12/pdfs/GMD-1800-74.pdf#page=11","Abrir facsímil")</f>
        <v>Abrir facsímil</v>
      </c>
      <c r="K3221" s="15" t="s">
        <v>23</v>
      </c>
    </row>
    <row r="3222" spans="1:11" ht="42" customHeight="1">
      <c r="A3222" s="4" t="s">
        <v>7858</v>
      </c>
      <c r="B3222" s="5" t="s">
        <v>7859</v>
      </c>
      <c r="C3222" s="5" t="s">
        <v>54</v>
      </c>
      <c r="D3222" s="5" t="s">
        <v>55</v>
      </c>
      <c r="E3222" s="5" t="s">
        <v>306</v>
      </c>
      <c r="F3222" s="9">
        <v>79</v>
      </c>
      <c r="G3222" s="9">
        <v>900</v>
      </c>
      <c r="H3222" s="5" t="s">
        <v>21</v>
      </c>
      <c r="I3222" s="5" t="s">
        <v>7860</v>
      </c>
      <c r="J3222" s="12" t="str">
        <f>HYPERLINK("https://www.boe.es/gazeta/dias/1800/09/30/pdfs/GMD-1800-79.pdf#page=10","Abrir facsímil")</f>
        <v>Abrir facsímil</v>
      </c>
      <c r="K3222" s="15" t="s">
        <v>23</v>
      </c>
    </row>
    <row r="3223" spans="1:11" ht="42" customHeight="1">
      <c r="A3223" s="4" t="s">
        <v>7861</v>
      </c>
      <c r="B3223" s="5" t="s">
        <v>7862</v>
      </c>
      <c r="C3223" s="5" t="s">
        <v>18</v>
      </c>
      <c r="D3223" s="5" t="s">
        <v>19</v>
      </c>
      <c r="E3223" s="5" t="s">
        <v>279</v>
      </c>
      <c r="F3223" s="9">
        <v>103</v>
      </c>
      <c r="G3223" s="9">
        <v>1197</v>
      </c>
      <c r="H3223" s="5" t="s">
        <v>21</v>
      </c>
      <c r="I3223" s="5" t="s">
        <v>7863</v>
      </c>
      <c r="J3223" s="12" t="str">
        <f>HYPERLINK("https://www.boe.es/gazeta/dias/1800/12/23/pdfs/GMD-1800-103.pdf#page=9","Abrir facsímil")</f>
        <v>Abrir facsímil</v>
      </c>
      <c r="K3223" s="15" t="s">
        <v>23</v>
      </c>
    </row>
    <row r="3224" spans="1:11" ht="42" customHeight="1">
      <c r="A3224" s="4" t="s">
        <v>7864</v>
      </c>
      <c r="B3224" s="5" t="s">
        <v>7865</v>
      </c>
      <c r="C3224" s="5" t="s">
        <v>25</v>
      </c>
      <c r="D3224" s="5" t="s">
        <v>26</v>
      </c>
      <c r="E3224" s="5" t="s">
        <v>101</v>
      </c>
      <c r="F3224" s="9">
        <v>37</v>
      </c>
      <c r="G3224" s="9">
        <v>377</v>
      </c>
      <c r="H3224" s="5" t="s">
        <v>21</v>
      </c>
      <c r="I3224" s="5" t="s">
        <v>7866</v>
      </c>
      <c r="J3224" s="12" t="str">
        <f>HYPERLINK("https://www.boe.es/gazeta/dias/1800/05/09/pdfs/GMD-1800-37.pdf#page=9","Abrir facsímil")</f>
        <v>Abrir facsímil</v>
      </c>
      <c r="K3224" s="15" t="s">
        <v>23</v>
      </c>
    </row>
    <row r="3225" spans="1:11" ht="42" customHeight="1">
      <c r="A3225" s="4" t="s">
        <v>7867</v>
      </c>
      <c r="B3225" s="5" t="s">
        <v>7868</v>
      </c>
      <c r="C3225" s="5" t="s">
        <v>25</v>
      </c>
      <c r="D3225" s="5" t="s">
        <v>26</v>
      </c>
      <c r="E3225" s="5" t="s">
        <v>618</v>
      </c>
      <c r="F3225" s="9">
        <v>1</v>
      </c>
      <c r="G3225" s="9">
        <v>6</v>
      </c>
      <c r="H3225" s="5" t="s">
        <v>21</v>
      </c>
      <c r="I3225" s="5" t="s">
        <v>7869</v>
      </c>
      <c r="J3225" s="12" t="str">
        <f>HYPERLINK("https://www.boe.es/gazeta/dias/1800/01/03/pdfs/GMD-1800-1.pdf#page=6","Abrir facsímil")</f>
        <v>Abrir facsímil</v>
      </c>
      <c r="K3225" s="15" t="s">
        <v>23</v>
      </c>
    </row>
    <row r="3226" spans="1:11" ht="42" customHeight="1">
      <c r="A3226" s="4" t="s">
        <v>7870</v>
      </c>
      <c r="B3226" s="5" t="s">
        <v>7871</v>
      </c>
      <c r="C3226" s="5" t="s">
        <v>207</v>
      </c>
      <c r="D3226" s="5" t="s">
        <v>55</v>
      </c>
      <c r="E3226" s="5" t="s">
        <v>346</v>
      </c>
      <c r="F3226" s="9">
        <v>24</v>
      </c>
      <c r="G3226" s="9">
        <v>247</v>
      </c>
      <c r="H3226" s="5" t="s">
        <v>21</v>
      </c>
      <c r="I3226" s="5" t="s">
        <v>7872</v>
      </c>
      <c r="J3226" s="12" t="str">
        <f>HYPERLINK("https://www.boe.es/gazeta/dias/1800/03/25/pdfs/GMD-1800-24.pdf#page=11","Abrir facsímil")</f>
        <v>Abrir facsímil</v>
      </c>
      <c r="K3226" s="15" t="s">
        <v>23</v>
      </c>
    </row>
    <row r="3227" spans="1:11" ht="42" customHeight="1">
      <c r="A3227" s="4" t="s">
        <v>7873</v>
      </c>
      <c r="B3227" s="5" t="s">
        <v>7874</v>
      </c>
      <c r="C3227" s="5" t="s">
        <v>41</v>
      </c>
      <c r="D3227" s="5" t="s">
        <v>42</v>
      </c>
      <c r="E3227" s="5" t="s">
        <v>310</v>
      </c>
      <c r="F3227" s="9">
        <v>56</v>
      </c>
      <c r="G3227" s="9">
        <v>631</v>
      </c>
      <c r="H3227" s="5" t="s">
        <v>21</v>
      </c>
      <c r="I3227" s="5" t="s">
        <v>7875</v>
      </c>
      <c r="J3227" s="12" t="str">
        <f>HYPERLINK("https://www.boe.es/gazeta/dias/1800/07/15/pdfs/GMD-1800-56.pdf#page=7","Abrir facsímil")</f>
        <v>Abrir facsímil</v>
      </c>
      <c r="K3227" s="15" t="s">
        <v>23</v>
      </c>
    </row>
    <row r="3228" spans="1:11" ht="42" customHeight="1">
      <c r="A3228" s="4" t="s">
        <v>7876</v>
      </c>
      <c r="B3228" s="5" t="s">
        <v>7876</v>
      </c>
      <c r="C3228" s="5" t="s">
        <v>54</v>
      </c>
      <c r="D3228" s="5" t="s">
        <v>55</v>
      </c>
      <c r="E3228" s="5" t="s">
        <v>45</v>
      </c>
      <c r="F3228" s="9">
        <v>47</v>
      </c>
      <c r="G3228" s="9">
        <v>502</v>
      </c>
      <c r="H3228" s="5" t="s">
        <v>21</v>
      </c>
      <c r="I3228" s="5" t="s">
        <v>7877</v>
      </c>
      <c r="J3228" s="12" t="str">
        <f>HYPERLINK("https://www.boe.es/gazeta/dias/1800/06/13/pdfs/GMD-1800-47.pdf#page=10","Abrir facsímil")</f>
        <v>Abrir facsímil</v>
      </c>
      <c r="K3228" s="15" t="s">
        <v>23</v>
      </c>
    </row>
    <row r="3229" spans="1:11" ht="42" customHeight="1">
      <c r="A3229" s="4" t="s">
        <v>7878</v>
      </c>
      <c r="B3229" s="5" t="s">
        <v>7878</v>
      </c>
      <c r="C3229" s="5" t="s">
        <v>207</v>
      </c>
      <c r="D3229" s="5" t="s">
        <v>55</v>
      </c>
      <c r="E3229" s="5" t="s">
        <v>306</v>
      </c>
      <c r="F3229" s="9">
        <v>79</v>
      </c>
      <c r="G3229" s="9">
        <v>899</v>
      </c>
      <c r="H3229" s="5" t="s">
        <v>21</v>
      </c>
      <c r="I3229" s="5" t="s">
        <v>7879</v>
      </c>
      <c r="J3229" s="12" t="str">
        <f>HYPERLINK("https://www.boe.es/gazeta/dias/1800/09/30/pdfs/GMD-1800-79.pdf#page=9","Abrir facsímil")</f>
        <v>Abrir facsímil</v>
      </c>
      <c r="K3229" s="15" t="s">
        <v>23</v>
      </c>
    </row>
    <row r="3230" spans="1:11" ht="42" customHeight="1">
      <c r="A3230" s="4" t="s">
        <v>7880</v>
      </c>
      <c r="B3230" s="5" t="s">
        <v>7880</v>
      </c>
      <c r="C3230" s="5" t="s">
        <v>25</v>
      </c>
      <c r="D3230" s="5" t="s">
        <v>26</v>
      </c>
      <c r="E3230" s="5" t="s">
        <v>90</v>
      </c>
      <c r="F3230" s="9">
        <v>58</v>
      </c>
      <c r="G3230" s="9">
        <v>663</v>
      </c>
      <c r="H3230" s="5" t="s">
        <v>21</v>
      </c>
      <c r="I3230" s="5" t="s">
        <v>7881</v>
      </c>
      <c r="J3230" s="12" t="str">
        <f>HYPERLINK("https://www.boe.es/gazeta/dias/1800/07/22/pdfs/GMD-1800-58.pdf#page=11","Abrir facsímil")</f>
        <v>Abrir facsímil</v>
      </c>
      <c r="K3230" s="15" t="s">
        <v>23</v>
      </c>
    </row>
    <row r="3231" spans="1:11" ht="42" customHeight="1">
      <c r="A3231" s="4" t="s">
        <v>7882</v>
      </c>
      <c r="B3231" s="5" t="s">
        <v>7883</v>
      </c>
      <c r="C3231" s="5" t="s">
        <v>41</v>
      </c>
      <c r="D3231" s="5" t="s">
        <v>42</v>
      </c>
      <c r="E3231" s="5" t="s">
        <v>825</v>
      </c>
      <c r="F3231" s="9">
        <v>51</v>
      </c>
      <c r="G3231" s="9">
        <v>557</v>
      </c>
      <c r="H3231" s="5" t="s">
        <v>21</v>
      </c>
      <c r="I3231" s="5" t="s">
        <v>7884</v>
      </c>
      <c r="J3231" s="12" t="str">
        <f>HYPERLINK("https://www.boe.es/gazeta/dias/1800/06/27/pdfs/GMD-1800-51.pdf#page=9","Abrir facsímil")</f>
        <v>Abrir facsímil</v>
      </c>
      <c r="K3231" s="15" t="s">
        <v>23</v>
      </c>
    </row>
    <row r="3232" spans="1:11" ht="42" customHeight="1">
      <c r="A3232" s="4" t="s">
        <v>7885</v>
      </c>
      <c r="B3232" s="5" t="s">
        <v>7886</v>
      </c>
      <c r="C3232" s="5" t="s">
        <v>18</v>
      </c>
      <c r="D3232" s="5" t="s">
        <v>19</v>
      </c>
      <c r="E3232" s="5" t="s">
        <v>20</v>
      </c>
      <c r="F3232" s="9">
        <v>104</v>
      </c>
      <c r="G3232" s="9">
        <v>1205</v>
      </c>
      <c r="H3232" s="5" t="s">
        <v>21</v>
      </c>
      <c r="I3232" s="5" t="s">
        <v>7887</v>
      </c>
      <c r="J3232" s="12" t="str">
        <f>HYPERLINK("https://www.boe.es/gazeta/dias/1800/12/26/pdfs/GMD-1800-104.pdf#page=5","Abrir facsímil")</f>
        <v>Abrir facsímil</v>
      </c>
      <c r="K3232" s="15" t="s">
        <v>23</v>
      </c>
    </row>
    <row r="3233" spans="1:11" ht="42" customHeight="1">
      <c r="A3233" s="4" t="s">
        <v>7888</v>
      </c>
      <c r="B3233" s="5" t="s">
        <v>7889</v>
      </c>
      <c r="C3233" s="5" t="s">
        <v>18</v>
      </c>
      <c r="D3233" s="5" t="s">
        <v>19</v>
      </c>
      <c r="E3233" s="5" t="s">
        <v>615</v>
      </c>
      <c r="F3233" s="9">
        <v>95</v>
      </c>
      <c r="G3233" s="9">
        <v>1084</v>
      </c>
      <c r="H3233" s="5" t="s">
        <v>21</v>
      </c>
      <c r="I3233" s="5" t="s">
        <v>7890</v>
      </c>
      <c r="J3233" s="12" t="str">
        <f>HYPERLINK("https://www.boe.es/gazeta/dias/1800/11/25/pdfs/GMD-1800-95.pdf#page=2","Abrir facsímil")</f>
        <v>Abrir facsímil</v>
      </c>
      <c r="K3233" s="15" t="s">
        <v>23</v>
      </c>
    </row>
    <row r="3234" spans="1:11" ht="42" customHeight="1">
      <c r="A3234" s="4" t="s">
        <v>7891</v>
      </c>
      <c r="B3234" s="5" t="s">
        <v>7892</v>
      </c>
      <c r="C3234" s="5" t="s">
        <v>41</v>
      </c>
      <c r="D3234" s="5" t="s">
        <v>42</v>
      </c>
      <c r="E3234" s="5" t="s">
        <v>576</v>
      </c>
      <c r="F3234" s="9">
        <v>91</v>
      </c>
      <c r="G3234" s="9">
        <v>1062</v>
      </c>
      <c r="H3234" s="5" t="s">
        <v>21</v>
      </c>
      <c r="I3234" s="5" t="s">
        <v>7893</v>
      </c>
      <c r="J3234" s="12" t="str">
        <f>HYPERLINK("https://www.boe.es/gazeta/dias/1800/11/11/pdfs/GMD-1800-91.pdf#page=4","Abrir facsímil")</f>
        <v>Abrir facsímil</v>
      </c>
      <c r="K3234" s="15" t="s">
        <v>23</v>
      </c>
    </row>
    <row r="3235" spans="1:11" ht="42" customHeight="1">
      <c r="A3235" s="4" t="s">
        <v>7894</v>
      </c>
      <c r="B3235" s="5" t="s">
        <v>7894</v>
      </c>
      <c r="C3235" s="5" t="s">
        <v>84</v>
      </c>
      <c r="D3235" s="5" t="s">
        <v>85</v>
      </c>
      <c r="E3235" s="5" t="s">
        <v>86</v>
      </c>
      <c r="F3235" s="9">
        <v>17</v>
      </c>
      <c r="G3235" s="9">
        <v>164</v>
      </c>
      <c r="H3235" s="5" t="s">
        <v>21</v>
      </c>
      <c r="I3235" s="5" t="s">
        <v>7895</v>
      </c>
      <c r="J3235" s="12" t="str">
        <f>HYPERLINK("https://www.boe.es/gazeta/dias/1800/02/28/pdfs/GMD-1800-17.pdf#page=12","Abrir facsímil")</f>
        <v>Abrir facsímil</v>
      </c>
      <c r="K3235" s="15" t="s">
        <v>23</v>
      </c>
    </row>
    <row r="3236" spans="1:11" ht="42" customHeight="1">
      <c r="A3236" s="4" t="s">
        <v>7896</v>
      </c>
      <c r="B3236" s="5" t="s">
        <v>7897</v>
      </c>
      <c r="C3236" s="5" t="s">
        <v>18</v>
      </c>
      <c r="D3236" s="5" t="s">
        <v>19</v>
      </c>
      <c r="E3236" s="5" t="s">
        <v>184</v>
      </c>
      <c r="F3236" s="9">
        <v>82</v>
      </c>
      <c r="G3236" s="9">
        <v>950</v>
      </c>
      <c r="H3236" s="5" t="s">
        <v>21</v>
      </c>
      <c r="I3236" s="5" t="s">
        <v>7898</v>
      </c>
      <c r="J3236" s="12" t="str">
        <f>HYPERLINK("https://www.boe.es/gazeta/dias/1800/10/10/pdfs/GMD-1800-82.pdf#page=8","Abrir facsímil")</f>
        <v>Abrir facsímil</v>
      </c>
      <c r="K3236" s="15" t="s">
        <v>23</v>
      </c>
    </row>
    <row r="3237" spans="1:11" ht="42" customHeight="1">
      <c r="A3237" s="4" t="s">
        <v>7899</v>
      </c>
      <c r="B3237" s="5" t="s">
        <v>7899</v>
      </c>
      <c r="C3237" s="5" t="s">
        <v>41</v>
      </c>
      <c r="D3237" s="5" t="s">
        <v>42</v>
      </c>
      <c r="E3237" s="5" t="s">
        <v>461</v>
      </c>
      <c r="F3237" s="9">
        <v>18</v>
      </c>
      <c r="G3237" s="9">
        <v>167</v>
      </c>
      <c r="H3237" s="5" t="s">
        <v>21</v>
      </c>
      <c r="I3237" s="5" t="s">
        <v>7900</v>
      </c>
      <c r="J3237" s="12" t="str">
        <f>HYPERLINK("https://www.boe.es/datos/pdfs/BOE//1800/018/C00173-00176.pdf#page=3","Abrir facsímil")</f>
        <v>Abrir facsímil</v>
      </c>
      <c r="K3237" s="15" t="s">
        <v>23</v>
      </c>
    </row>
    <row r="3238" spans="1:11" ht="42" customHeight="1">
      <c r="A3238" s="4" t="s">
        <v>7899</v>
      </c>
      <c r="B3238" s="5" t="s">
        <v>7899</v>
      </c>
      <c r="C3238" s="5" t="s">
        <v>41</v>
      </c>
      <c r="D3238" s="5" t="s">
        <v>42</v>
      </c>
      <c r="E3238" s="5" t="s">
        <v>143</v>
      </c>
      <c r="F3238" s="9">
        <v>22</v>
      </c>
      <c r="G3238" s="9">
        <v>216</v>
      </c>
      <c r="H3238" s="5" t="s">
        <v>21</v>
      </c>
      <c r="I3238" s="5" t="s">
        <v>7901</v>
      </c>
      <c r="J3238" s="12" t="str">
        <f>HYPERLINK("https://www.boe.es/gazeta/dias/1800/03/18/pdfs/GMD-1800-22.pdf#page=8","Abrir facsímil")</f>
        <v>Abrir facsímil</v>
      </c>
      <c r="K3238" s="15" t="s">
        <v>23</v>
      </c>
    </row>
    <row r="3239" spans="1:11" ht="42" customHeight="1">
      <c r="A3239" s="4" t="s">
        <v>7899</v>
      </c>
      <c r="B3239" s="5" t="s">
        <v>7899</v>
      </c>
      <c r="C3239" s="5" t="s">
        <v>41</v>
      </c>
      <c r="D3239" s="5" t="s">
        <v>42</v>
      </c>
      <c r="E3239" s="5" t="s">
        <v>828</v>
      </c>
      <c r="F3239" s="9">
        <v>53</v>
      </c>
      <c r="G3239" s="9">
        <v>586</v>
      </c>
      <c r="H3239" s="5" t="s">
        <v>21</v>
      </c>
      <c r="I3239" s="5" t="s">
        <v>7902</v>
      </c>
      <c r="J3239" s="12" t="str">
        <f>HYPERLINK("https://www.boe.es/gazeta/dias/1800/07/04/pdfs/GMD-1800-53.pdf#page=6","Abrir facsímil")</f>
        <v>Abrir facsímil</v>
      </c>
      <c r="K3239" s="15" t="s">
        <v>23</v>
      </c>
    </row>
    <row r="3240" spans="1:11" ht="42" customHeight="1">
      <c r="A3240" s="4" t="s">
        <v>7903</v>
      </c>
      <c r="B3240" s="5" t="s">
        <v>7904</v>
      </c>
      <c r="C3240" s="5" t="s">
        <v>84</v>
      </c>
      <c r="D3240" s="5" t="s">
        <v>85</v>
      </c>
      <c r="E3240" s="5" t="s">
        <v>478</v>
      </c>
      <c r="F3240" s="9">
        <v>34</v>
      </c>
      <c r="G3240" s="9">
        <v>347</v>
      </c>
      <c r="H3240" s="5" t="s">
        <v>21</v>
      </c>
      <c r="I3240" s="5" t="s">
        <v>7905</v>
      </c>
      <c r="J3240" s="12" t="str">
        <f>HYPERLINK("https://www.boe.es/gazeta/dias/1800/04/29/pdfs/GMD-1800-34.pdf#page=11","Abrir facsímil")</f>
        <v>Abrir facsímil</v>
      </c>
      <c r="K3240" s="15" t="s">
        <v>23</v>
      </c>
    </row>
    <row r="3241" spans="1:11" ht="42" customHeight="1">
      <c r="A3241" s="4" t="s">
        <v>7906</v>
      </c>
      <c r="B3241" s="5" t="s">
        <v>7906</v>
      </c>
      <c r="C3241" s="5" t="s">
        <v>18</v>
      </c>
      <c r="D3241" s="5" t="s">
        <v>19</v>
      </c>
      <c r="E3241" s="5" t="s">
        <v>534</v>
      </c>
      <c r="F3241" s="9">
        <v>100</v>
      </c>
      <c r="G3241" s="9">
        <v>1160</v>
      </c>
      <c r="H3241" s="5" t="s">
        <v>21</v>
      </c>
      <c r="I3241" s="5" t="s">
        <v>7907</v>
      </c>
      <c r="J3241" s="12" t="str">
        <f>HYPERLINK("https://www.boe.es/gazeta/dias/1800/12/12/pdfs/GMD-1800-100.pdf#page=12","Abrir facsímil")</f>
        <v>Abrir facsímil</v>
      </c>
      <c r="K3241" s="15" t="s">
        <v>23</v>
      </c>
    </row>
    <row r="3242" spans="1:11" ht="42" customHeight="1">
      <c r="A3242" s="4" t="s">
        <v>7908</v>
      </c>
      <c r="B3242" s="5" t="s">
        <v>7908</v>
      </c>
      <c r="C3242" s="5" t="s">
        <v>18</v>
      </c>
      <c r="D3242" s="5" t="s">
        <v>19</v>
      </c>
      <c r="E3242" s="5" t="s">
        <v>45</v>
      </c>
      <c r="F3242" s="9">
        <v>47</v>
      </c>
      <c r="G3242" s="9">
        <v>503</v>
      </c>
      <c r="H3242" s="5" t="s">
        <v>21</v>
      </c>
      <c r="I3242" s="5" t="s">
        <v>7909</v>
      </c>
      <c r="J3242" s="12" t="str">
        <f>HYPERLINK("https://www.boe.es/gazeta/dias/1800/06/13/pdfs/GMD-1800-47.pdf#page=11","Abrir facsímil")</f>
        <v>Abrir facsímil</v>
      </c>
      <c r="K3242" s="15" t="s">
        <v>23</v>
      </c>
    </row>
    <row r="3243" spans="1:11" ht="42" customHeight="1">
      <c r="A3243" s="4" t="s">
        <v>7910</v>
      </c>
      <c r="B3243" s="5" t="s">
        <v>7911</v>
      </c>
      <c r="C3243" s="5" t="s">
        <v>18</v>
      </c>
      <c r="D3243" s="5" t="s">
        <v>19</v>
      </c>
      <c r="E3243" s="5" t="s">
        <v>194</v>
      </c>
      <c r="F3243" s="9">
        <v>48</v>
      </c>
      <c r="G3243" s="9">
        <v>518</v>
      </c>
      <c r="H3243" s="5" t="s">
        <v>21</v>
      </c>
      <c r="I3243" s="5" t="s">
        <v>7912</v>
      </c>
      <c r="J3243" s="12" t="str">
        <f>HYPERLINK("https://www.boe.es/gazeta/dias/1800/06/17/pdfs/GMD-1800-48.pdf#page=10","Abrir facsímil")</f>
        <v>Abrir facsímil</v>
      </c>
      <c r="K3243" s="15" t="s">
        <v>23</v>
      </c>
    </row>
    <row r="3244" spans="1:11" ht="42" customHeight="1">
      <c r="A3244" s="4" t="s">
        <v>7913</v>
      </c>
      <c r="B3244" s="5" t="s">
        <v>7914</v>
      </c>
      <c r="C3244" s="5" t="s">
        <v>54</v>
      </c>
      <c r="D3244" s="5" t="s">
        <v>55</v>
      </c>
      <c r="E3244" s="5" t="s">
        <v>82</v>
      </c>
      <c r="F3244" s="9">
        <v>10</v>
      </c>
      <c r="G3244" s="9">
        <v>95</v>
      </c>
      <c r="H3244" s="5" t="s">
        <v>21</v>
      </c>
      <c r="I3244" s="5" t="s">
        <v>7915</v>
      </c>
      <c r="J3244" s="12" t="str">
        <f>HYPERLINK("https://www.boe.es/gazeta/dias/1800/02/04/pdfs/GMD-1800-10.pdf#page=7","Abrir facsímil")</f>
        <v>Abrir facsímil</v>
      </c>
      <c r="K3244" s="15" t="s">
        <v>23</v>
      </c>
    </row>
    <row r="3245" spans="1:11" ht="42" customHeight="1">
      <c r="A3245" s="4" t="s">
        <v>7916</v>
      </c>
      <c r="B3245" s="5" t="s">
        <v>7916</v>
      </c>
      <c r="C3245" s="5" t="s">
        <v>18</v>
      </c>
      <c r="D3245" s="5" t="s">
        <v>19</v>
      </c>
      <c r="E3245" s="5" t="s">
        <v>572</v>
      </c>
      <c r="F3245" s="9">
        <v>76</v>
      </c>
      <c r="G3245" s="9">
        <v>868</v>
      </c>
      <c r="H3245" s="5" t="s">
        <v>21</v>
      </c>
      <c r="I3245" s="5" t="s">
        <v>7917</v>
      </c>
      <c r="J3245" s="12" t="str">
        <f>HYPERLINK("https://www.boe.es/gazeta/dias/1800/09/19/pdfs/GMD-1800-76.pdf#page=10","Abrir facsímil")</f>
        <v>Abrir facsímil</v>
      </c>
      <c r="K3245" s="15" t="s">
        <v>23</v>
      </c>
    </row>
    <row r="3246" spans="1:11" ht="42" customHeight="1">
      <c r="A3246" s="4" t="s">
        <v>7918</v>
      </c>
      <c r="B3246" s="5" t="s">
        <v>7918</v>
      </c>
      <c r="C3246" s="5" t="s">
        <v>54</v>
      </c>
      <c r="D3246" s="5" t="s">
        <v>55</v>
      </c>
      <c r="E3246" s="5" t="s">
        <v>454</v>
      </c>
      <c r="F3246" s="9">
        <v>63</v>
      </c>
      <c r="G3246" s="9">
        <v>723</v>
      </c>
      <c r="H3246" s="5" t="s">
        <v>21</v>
      </c>
      <c r="I3246" s="5" t="s">
        <v>7919</v>
      </c>
      <c r="J3246" s="12" t="str">
        <f>HYPERLINK("https://www.boe.es/gazeta/dias/1800/08/08/pdfs/GMD-1800-63.pdf#page=11","Abrir facsímil")</f>
        <v>Abrir facsímil</v>
      </c>
      <c r="K3246" s="15" t="s">
        <v>23</v>
      </c>
    </row>
    <row r="3247" spans="1:11" ht="42" customHeight="1">
      <c r="A3247" s="4" t="s">
        <v>7918</v>
      </c>
      <c r="B3247" s="5" t="s">
        <v>7918</v>
      </c>
      <c r="C3247" s="5" t="s">
        <v>171</v>
      </c>
      <c r="D3247" s="5" t="s">
        <v>172</v>
      </c>
      <c r="E3247" s="5" t="s">
        <v>595</v>
      </c>
      <c r="F3247" s="9">
        <v>72</v>
      </c>
      <c r="G3247" s="9">
        <v>799</v>
      </c>
      <c r="H3247" s="5" t="s">
        <v>21</v>
      </c>
      <c r="I3247" s="5" t="s">
        <v>7920</v>
      </c>
      <c r="J3247" s="12" t="str">
        <f>HYPERLINK("https://www.boe.es/gazeta/dias/1800/09/05/pdfs/GMD-C-1800-72.pdf#page=1","Abrir facsímil")</f>
        <v>Abrir facsímil</v>
      </c>
      <c r="K3247" s="15" t="s">
        <v>23</v>
      </c>
    </row>
    <row r="3248" spans="1:11" ht="42" customHeight="1">
      <c r="A3248" s="4" t="s">
        <v>7921</v>
      </c>
      <c r="B3248" s="5" t="s">
        <v>7921</v>
      </c>
      <c r="C3248" s="5" t="s">
        <v>18</v>
      </c>
      <c r="D3248" s="5" t="s">
        <v>19</v>
      </c>
      <c r="E3248" s="5" t="s">
        <v>583</v>
      </c>
      <c r="F3248" s="9">
        <v>77</v>
      </c>
      <c r="G3248" s="9">
        <v>880</v>
      </c>
      <c r="H3248" s="5" t="s">
        <v>21</v>
      </c>
      <c r="I3248" s="5" t="s">
        <v>7922</v>
      </c>
      <c r="J3248" s="12" t="str">
        <f>HYPERLINK("https://www.boe.es/gazeta/dias/1800/09/23/pdfs/GMD-1800-77.pdf#page=10","Abrir facsímil")</f>
        <v>Abrir facsímil</v>
      </c>
      <c r="K3248" s="15" t="s">
        <v>23</v>
      </c>
    </row>
    <row r="3249" spans="1:11" ht="42" customHeight="1">
      <c r="A3249" s="4" t="s">
        <v>7923</v>
      </c>
      <c r="B3249" s="5" t="s">
        <v>7923</v>
      </c>
      <c r="C3249" s="5" t="s">
        <v>171</v>
      </c>
      <c r="D3249" s="5" t="s">
        <v>172</v>
      </c>
      <c r="E3249" s="5" t="s">
        <v>2338</v>
      </c>
      <c r="F3249" s="9">
        <v>42</v>
      </c>
      <c r="G3249" s="9">
        <v>437</v>
      </c>
      <c r="H3249" s="5" t="s">
        <v>21</v>
      </c>
      <c r="I3249" s="5" t="s">
        <v>7924</v>
      </c>
      <c r="J3249" s="12" t="str">
        <f>HYPERLINK("https://www.boe.es/gazeta/dias/1800/05/27/pdfs/GMD-C-1800-42.pdf#page=1","Abrir facsímil")</f>
        <v>Abrir facsímil</v>
      </c>
      <c r="K3249" s="15" t="s">
        <v>23</v>
      </c>
    </row>
    <row r="3250" spans="1:11" ht="42" customHeight="1">
      <c r="A3250" s="4" t="s">
        <v>7923</v>
      </c>
      <c r="B3250" s="5" t="s">
        <v>7923</v>
      </c>
      <c r="C3250" s="5" t="s">
        <v>171</v>
      </c>
      <c r="D3250" s="5" t="s">
        <v>172</v>
      </c>
      <c r="E3250" s="5" t="s">
        <v>45</v>
      </c>
      <c r="F3250" s="9">
        <v>47</v>
      </c>
      <c r="G3250" s="9">
        <v>505</v>
      </c>
      <c r="H3250" s="5" t="s">
        <v>21</v>
      </c>
      <c r="I3250" s="5" t="s">
        <v>7925</v>
      </c>
      <c r="J3250" s="12" t="str">
        <f>HYPERLINK("https://www.boe.es/gazeta/dias/1800/06/13/pdfs/GMD-C-1800-47.pdf#page=1","Abrir facsímil")</f>
        <v>Abrir facsímil</v>
      </c>
      <c r="K3250" s="15" t="s">
        <v>23</v>
      </c>
    </row>
    <row r="3251" spans="1:11" ht="42" customHeight="1">
      <c r="A3251" s="4" t="s">
        <v>7923</v>
      </c>
      <c r="B3251" s="5" t="s">
        <v>7923</v>
      </c>
      <c r="C3251" s="5" t="s">
        <v>25</v>
      </c>
      <c r="D3251" s="5" t="s">
        <v>26</v>
      </c>
      <c r="E3251" s="5" t="s">
        <v>825</v>
      </c>
      <c r="F3251" s="9">
        <v>51</v>
      </c>
      <c r="G3251" s="9">
        <v>562</v>
      </c>
      <c r="H3251" s="5" t="s">
        <v>21</v>
      </c>
      <c r="I3251" s="5" t="s">
        <v>7926</v>
      </c>
      <c r="J3251" s="12" t="str">
        <f>HYPERLINK("https://www.boe.es/gazeta/dias/1800/06/27/pdfs/GMD-1800-51.pdf#page=14","Abrir facsímil")</f>
        <v>Abrir facsímil</v>
      </c>
      <c r="K3251" s="15" t="s">
        <v>23</v>
      </c>
    </row>
    <row r="3252" spans="1:11" ht="42" customHeight="1">
      <c r="A3252" s="4" t="s">
        <v>7923</v>
      </c>
      <c r="B3252" s="5" t="s">
        <v>7923</v>
      </c>
      <c r="C3252" s="5" t="s">
        <v>171</v>
      </c>
      <c r="D3252" s="5" t="s">
        <v>172</v>
      </c>
      <c r="E3252" s="5" t="s">
        <v>120</v>
      </c>
      <c r="F3252" s="9">
        <v>52</v>
      </c>
      <c r="G3252" s="9">
        <v>577</v>
      </c>
      <c r="H3252" s="5" t="s">
        <v>21</v>
      </c>
      <c r="I3252" s="5" t="s">
        <v>7927</v>
      </c>
      <c r="J3252" s="12" t="str">
        <f>HYPERLINK("https://www.boe.es/gazeta/dias/1800/07/01/pdfs/GMD-C-1800-52.pdf#page=1","Abrir facsímil")</f>
        <v>Abrir facsímil</v>
      </c>
      <c r="K3252" s="15" t="s">
        <v>23</v>
      </c>
    </row>
    <row r="3253" spans="1:11" ht="42" customHeight="1">
      <c r="A3253" s="4" t="s">
        <v>7923</v>
      </c>
      <c r="B3253" s="5" t="s">
        <v>7923</v>
      </c>
      <c r="C3253" s="5" t="s">
        <v>171</v>
      </c>
      <c r="D3253" s="5" t="s">
        <v>172</v>
      </c>
      <c r="E3253" s="5" t="s">
        <v>828</v>
      </c>
      <c r="F3253" s="9">
        <v>53</v>
      </c>
      <c r="G3253" s="9">
        <v>593</v>
      </c>
      <c r="H3253" s="5" t="s">
        <v>21</v>
      </c>
      <c r="I3253" s="5" t="s">
        <v>7928</v>
      </c>
      <c r="J3253" s="12" t="str">
        <f>HYPERLINK("https://www.boe.es/gazeta/dias/1800/07/04/pdfs/GMD-C-1800-53.pdf#page=1","Abrir facsímil")</f>
        <v>Abrir facsímil</v>
      </c>
      <c r="K3253" s="15" t="s">
        <v>23</v>
      </c>
    </row>
    <row r="3254" spans="1:11" ht="42" customHeight="1">
      <c r="A3254" s="4" t="s">
        <v>7923</v>
      </c>
      <c r="B3254" s="5" t="s">
        <v>7923</v>
      </c>
      <c r="C3254" s="5" t="s">
        <v>84</v>
      </c>
      <c r="D3254" s="5" t="s">
        <v>85</v>
      </c>
      <c r="E3254" s="5" t="s">
        <v>1287</v>
      </c>
      <c r="F3254" s="9">
        <v>57</v>
      </c>
      <c r="G3254" s="9">
        <v>649</v>
      </c>
      <c r="H3254" s="5" t="s">
        <v>21</v>
      </c>
      <c r="I3254" s="5" t="s">
        <v>7929</v>
      </c>
      <c r="J3254" s="12" t="str">
        <f>HYPERLINK("https://www.boe.es/gazeta/dias/1800/07/18/pdfs/GMD-1800-57.pdf#page=13","Abrir facsímil")</f>
        <v>Abrir facsímil</v>
      </c>
      <c r="K3254" s="15" t="s">
        <v>23</v>
      </c>
    </row>
    <row r="3255" spans="1:11" ht="42" customHeight="1">
      <c r="A3255" s="4" t="s">
        <v>7923</v>
      </c>
      <c r="B3255" s="5" t="s">
        <v>7923</v>
      </c>
      <c r="C3255" s="5" t="s">
        <v>171</v>
      </c>
      <c r="D3255" s="5" t="s">
        <v>172</v>
      </c>
      <c r="E3255" s="5" t="s">
        <v>90</v>
      </c>
      <c r="F3255" s="9">
        <v>58</v>
      </c>
      <c r="G3255" s="9">
        <v>665</v>
      </c>
      <c r="H3255" s="5" t="s">
        <v>21</v>
      </c>
      <c r="I3255" s="5" t="s">
        <v>7930</v>
      </c>
      <c r="J3255" s="12" t="str">
        <f>HYPERLINK("https://www.boe.es/gazeta/dias/1800/07/22/pdfs/GMD-C-1800-58.pdf#page=1","Abrir facsímil")</f>
        <v>Abrir facsímil</v>
      </c>
      <c r="K3255" s="15" t="s">
        <v>23</v>
      </c>
    </row>
    <row r="3256" spans="1:11" ht="42" customHeight="1">
      <c r="A3256" s="4" t="s">
        <v>7923</v>
      </c>
      <c r="B3256" s="5" t="s">
        <v>7923</v>
      </c>
      <c r="C3256" s="5" t="s">
        <v>18</v>
      </c>
      <c r="D3256" s="5" t="s">
        <v>19</v>
      </c>
      <c r="E3256" s="5" t="s">
        <v>1294</v>
      </c>
      <c r="F3256" s="9">
        <v>59</v>
      </c>
      <c r="G3256" s="9">
        <v>679</v>
      </c>
      <c r="H3256" s="5" t="s">
        <v>21</v>
      </c>
      <c r="I3256" s="5" t="s">
        <v>7931</v>
      </c>
      <c r="J3256" s="12" t="str">
        <f>HYPERLINK("https://www.boe.es/gazeta/dias/1800/07/25/pdfs/GMD-1800-59.pdf#page=11","Abrir facsímil")</f>
        <v>Abrir facsímil</v>
      </c>
      <c r="K3256" s="15" t="s">
        <v>23</v>
      </c>
    </row>
    <row r="3257" spans="1:11" ht="42" customHeight="1">
      <c r="A3257" s="4" t="s">
        <v>7923</v>
      </c>
      <c r="B3257" s="5" t="s">
        <v>7923</v>
      </c>
      <c r="C3257" s="5" t="s">
        <v>171</v>
      </c>
      <c r="D3257" s="5" t="s">
        <v>172</v>
      </c>
      <c r="E3257" s="5" t="s">
        <v>595</v>
      </c>
      <c r="F3257" s="9">
        <v>72</v>
      </c>
      <c r="G3257" s="9">
        <v>799</v>
      </c>
      <c r="H3257" s="5" t="s">
        <v>21</v>
      </c>
      <c r="I3257" s="5" t="s">
        <v>7932</v>
      </c>
      <c r="J3257" s="12" t="str">
        <f>HYPERLINK("https://www.boe.es/gazeta/dias/1800/09/05/pdfs/GMD-C-1800-72.pdf#page=1","Abrir facsímil")</f>
        <v>Abrir facsímil</v>
      </c>
      <c r="K3257" s="15" t="s">
        <v>23</v>
      </c>
    </row>
    <row r="3258" spans="1:11" ht="42" customHeight="1">
      <c r="A3258" s="4" t="s">
        <v>7923</v>
      </c>
      <c r="B3258" s="5" t="s">
        <v>7923</v>
      </c>
      <c r="C3258" s="5" t="s">
        <v>54</v>
      </c>
      <c r="D3258" s="5" t="s">
        <v>55</v>
      </c>
      <c r="E3258" s="5" t="s">
        <v>135</v>
      </c>
      <c r="F3258" s="9">
        <v>73</v>
      </c>
      <c r="G3258" s="9">
        <v>817</v>
      </c>
      <c r="H3258" s="5" t="s">
        <v>21</v>
      </c>
      <c r="I3258" s="5" t="s">
        <v>7933</v>
      </c>
      <c r="J3258" s="12" t="str">
        <f>HYPERLINK("https://www.boe.es/gazeta/dias/1800/09/09/pdfs/GMD-1800-73.pdf#page=11","Abrir facsímil")</f>
        <v>Abrir facsímil</v>
      </c>
      <c r="K3258" s="15" t="s">
        <v>23</v>
      </c>
    </row>
    <row r="3259" spans="1:11" ht="42" customHeight="1">
      <c r="A3259" s="4" t="s">
        <v>7923</v>
      </c>
      <c r="B3259" s="5" t="s">
        <v>7923</v>
      </c>
      <c r="C3259" s="5" t="s">
        <v>171</v>
      </c>
      <c r="D3259" s="5" t="s">
        <v>172</v>
      </c>
      <c r="E3259" s="5" t="s">
        <v>135</v>
      </c>
      <c r="F3259" s="9">
        <v>73</v>
      </c>
      <c r="G3259" s="9">
        <v>819</v>
      </c>
      <c r="H3259" s="5" t="s">
        <v>21</v>
      </c>
      <c r="I3259" s="5" t="s">
        <v>7934</v>
      </c>
      <c r="J3259" s="12" t="str">
        <f>HYPERLINK("https://www.boe.es/gazeta/dias/1800/09/09/pdfs/GMD-C-1800-73.pdf#page=1","Abrir facsímil")</f>
        <v>Abrir facsímil</v>
      </c>
      <c r="K3259" s="15" t="s">
        <v>23</v>
      </c>
    </row>
    <row r="3260" spans="1:11" ht="42" customHeight="1">
      <c r="A3260" s="4" t="s">
        <v>7923</v>
      </c>
      <c r="B3260" s="5" t="s">
        <v>7923</v>
      </c>
      <c r="C3260" s="5" t="s">
        <v>18</v>
      </c>
      <c r="D3260" s="5" t="s">
        <v>19</v>
      </c>
      <c r="E3260" s="5" t="s">
        <v>583</v>
      </c>
      <c r="F3260" s="9">
        <v>77</v>
      </c>
      <c r="G3260" s="9">
        <v>880</v>
      </c>
      <c r="H3260" s="5" t="s">
        <v>21</v>
      </c>
      <c r="I3260" s="5" t="s">
        <v>7935</v>
      </c>
      <c r="J3260" s="12" t="str">
        <f>HYPERLINK("https://www.boe.es/gazeta/dias/1800/09/23/pdfs/GMD-1800-77.pdf#page=10","Abrir facsímil")</f>
        <v>Abrir facsímil</v>
      </c>
      <c r="K3260" s="15" t="s">
        <v>23</v>
      </c>
    </row>
    <row r="3261" spans="1:11" ht="42" customHeight="1">
      <c r="A3261" s="4" t="s">
        <v>7923</v>
      </c>
      <c r="B3261" s="5" t="s">
        <v>7923</v>
      </c>
      <c r="C3261" s="5" t="s">
        <v>18</v>
      </c>
      <c r="D3261" s="5" t="s">
        <v>19</v>
      </c>
      <c r="E3261" s="5" t="s">
        <v>843</v>
      </c>
      <c r="F3261" s="9">
        <v>78</v>
      </c>
      <c r="G3261" s="9">
        <v>889</v>
      </c>
      <c r="H3261" s="5" t="s">
        <v>21</v>
      </c>
      <c r="I3261" s="5" t="s">
        <v>7936</v>
      </c>
      <c r="J3261" s="12" t="str">
        <f>HYPERLINK("https://www.boe.es/gazeta/dias/1800/09/26/pdfs/GMD-1800-78.pdf#page=7","Abrir facsímil")</f>
        <v>Abrir facsímil</v>
      </c>
      <c r="K3261" s="15" t="s">
        <v>23</v>
      </c>
    </row>
    <row r="3262" spans="1:11" ht="42" customHeight="1">
      <c r="A3262" s="4" t="s">
        <v>7923</v>
      </c>
      <c r="B3262" s="5" t="s">
        <v>7923</v>
      </c>
      <c r="C3262" s="5" t="s">
        <v>54</v>
      </c>
      <c r="D3262" s="5" t="s">
        <v>55</v>
      </c>
      <c r="E3262" s="5" t="s">
        <v>673</v>
      </c>
      <c r="F3262" s="9">
        <v>89</v>
      </c>
      <c r="G3262" s="9">
        <v>1045</v>
      </c>
      <c r="H3262" s="5" t="s">
        <v>21</v>
      </c>
      <c r="I3262" s="5" t="s">
        <v>7937</v>
      </c>
      <c r="J3262" s="12" t="str">
        <f>HYPERLINK("https://www.boe.es/gazeta/dias/1800/11/04/pdfs/GMD-1800-89.pdf#page=11","Abrir facsímil")</f>
        <v>Abrir facsímil</v>
      </c>
      <c r="K3262" s="15" t="s">
        <v>23</v>
      </c>
    </row>
    <row r="3263" spans="1:11" ht="42" customHeight="1">
      <c r="A3263" s="4" t="s">
        <v>7923</v>
      </c>
      <c r="B3263" s="5" t="s">
        <v>7923</v>
      </c>
      <c r="C3263" s="5" t="s">
        <v>18</v>
      </c>
      <c r="D3263" s="5" t="s">
        <v>19</v>
      </c>
      <c r="E3263" s="5" t="s">
        <v>203</v>
      </c>
      <c r="F3263" s="9">
        <v>94</v>
      </c>
      <c r="G3263" s="9">
        <v>1081</v>
      </c>
      <c r="H3263" s="5" t="s">
        <v>21</v>
      </c>
      <c r="I3263" s="5" t="s">
        <v>7938</v>
      </c>
      <c r="J3263" s="12" t="str">
        <f>HYPERLINK("https://www.boe.es/gazeta/dias/1800/11/21/pdfs/GMD-1800-94.pdf#page=11","Abrir facsímil")</f>
        <v>Abrir facsímil</v>
      </c>
      <c r="K3263" s="15" t="s">
        <v>23</v>
      </c>
    </row>
    <row r="3264" spans="1:11" ht="42" customHeight="1">
      <c r="A3264" s="4" t="s">
        <v>7939</v>
      </c>
      <c r="B3264" s="5" t="s">
        <v>7939</v>
      </c>
      <c r="C3264" s="5" t="s">
        <v>54</v>
      </c>
      <c r="D3264" s="5" t="s">
        <v>55</v>
      </c>
      <c r="E3264" s="5" t="s">
        <v>1287</v>
      </c>
      <c r="F3264" s="9">
        <v>57</v>
      </c>
      <c r="G3264" s="9">
        <v>649</v>
      </c>
      <c r="H3264" s="5" t="s">
        <v>21</v>
      </c>
      <c r="I3264" s="5" t="s">
        <v>7940</v>
      </c>
      <c r="J3264" s="12" t="str">
        <f>HYPERLINK("https://www.boe.es/gazeta/dias/1800/07/18/pdfs/GMD-1800-57.pdf#page=13","Abrir facsímil")</f>
        <v>Abrir facsímil</v>
      </c>
      <c r="K3264" s="15" t="s">
        <v>23</v>
      </c>
    </row>
    <row r="3265" spans="1:11" ht="42" customHeight="1">
      <c r="A3265" s="4" t="s">
        <v>7941</v>
      </c>
      <c r="B3265" s="5" t="s">
        <v>7941</v>
      </c>
      <c r="C3265" s="5" t="s">
        <v>18</v>
      </c>
      <c r="D3265" s="5" t="s">
        <v>19</v>
      </c>
      <c r="E3265" s="5" t="s">
        <v>20</v>
      </c>
      <c r="F3265" s="9">
        <v>104</v>
      </c>
      <c r="G3265" s="9">
        <v>1210</v>
      </c>
      <c r="H3265" s="5" t="s">
        <v>21</v>
      </c>
      <c r="I3265" s="5" t="s">
        <v>7942</v>
      </c>
      <c r="J3265" s="12" t="str">
        <f>HYPERLINK("https://www.boe.es/gazeta/dias/1800/12/26/pdfs/GMD-1800-104.pdf#page=10","Abrir facsímil")</f>
        <v>Abrir facsímil</v>
      </c>
      <c r="K3265" s="15" t="s">
        <v>23</v>
      </c>
    </row>
    <row r="3266" spans="1:11" ht="42" customHeight="1">
      <c r="A3266" s="4" t="s">
        <v>7943</v>
      </c>
      <c r="B3266" s="5" t="s">
        <v>7944</v>
      </c>
      <c r="C3266" s="5" t="s">
        <v>207</v>
      </c>
      <c r="D3266" s="5" t="s">
        <v>55</v>
      </c>
      <c r="E3266" s="5" t="s">
        <v>306</v>
      </c>
      <c r="F3266" s="9">
        <v>79</v>
      </c>
      <c r="G3266" s="9">
        <v>899</v>
      </c>
      <c r="H3266" s="5" t="s">
        <v>21</v>
      </c>
      <c r="I3266" s="5" t="s">
        <v>7945</v>
      </c>
      <c r="J3266" s="12" t="str">
        <f>HYPERLINK("https://www.boe.es/gazeta/dias/1800/09/30/pdfs/GMD-1800-79.pdf#page=9","Abrir facsímil")</f>
        <v>Abrir facsímil</v>
      </c>
      <c r="K3266" s="15" t="s">
        <v>23</v>
      </c>
    </row>
    <row r="3267" spans="1:11" ht="42" customHeight="1">
      <c r="A3267" s="4" t="s">
        <v>7946</v>
      </c>
      <c r="B3267" s="5" t="s">
        <v>7946</v>
      </c>
      <c r="C3267" s="5" t="s">
        <v>84</v>
      </c>
      <c r="D3267" s="5" t="s">
        <v>85</v>
      </c>
      <c r="E3267" s="5" t="s">
        <v>843</v>
      </c>
      <c r="F3267" s="9">
        <v>78</v>
      </c>
      <c r="G3267" s="9">
        <v>890</v>
      </c>
      <c r="H3267" s="5" t="s">
        <v>21</v>
      </c>
      <c r="I3267" s="5" t="s">
        <v>7947</v>
      </c>
      <c r="J3267" s="12" t="str">
        <f>HYPERLINK("https://www.boe.es/gazeta/dias/1800/09/26/pdfs/GMD-1800-78.pdf#page=8","Abrir facsímil")</f>
        <v>Abrir facsímil</v>
      </c>
      <c r="K3267" s="15" t="s">
        <v>23</v>
      </c>
    </row>
    <row r="3268" spans="1:11" ht="42" customHeight="1">
      <c r="A3268" s="4" t="s">
        <v>7948</v>
      </c>
      <c r="B3268" s="5" t="s">
        <v>7949</v>
      </c>
      <c r="C3268" s="5" t="s">
        <v>18</v>
      </c>
      <c r="D3268" s="5" t="s">
        <v>19</v>
      </c>
      <c r="E3268" s="5" t="s">
        <v>255</v>
      </c>
      <c r="F3268" s="9">
        <v>75</v>
      </c>
      <c r="G3268" s="9">
        <v>855</v>
      </c>
      <c r="H3268" s="5" t="s">
        <v>21</v>
      </c>
      <c r="I3268" s="5" t="s">
        <v>7950</v>
      </c>
      <c r="J3268" s="12" t="str">
        <f>HYPERLINK("https://www.boe.es/gazeta/dias/1800/09/16/pdfs/GMD-1800-75.pdf#page=9","Abrir facsímil")</f>
        <v>Abrir facsímil</v>
      </c>
      <c r="K3268" s="15" t="s">
        <v>23</v>
      </c>
    </row>
    <row r="3269" spans="1:11" ht="42" customHeight="1">
      <c r="A3269" s="4" t="s">
        <v>7951</v>
      </c>
      <c r="B3269" s="5" t="s">
        <v>7952</v>
      </c>
      <c r="C3269" s="5" t="s">
        <v>18</v>
      </c>
      <c r="D3269" s="5" t="s">
        <v>19</v>
      </c>
      <c r="E3269" s="5" t="s">
        <v>595</v>
      </c>
      <c r="F3269" s="9">
        <v>72</v>
      </c>
      <c r="G3269" s="9">
        <v>797</v>
      </c>
      <c r="H3269" s="5" t="s">
        <v>21</v>
      </c>
      <c r="I3269" s="5" t="s">
        <v>7953</v>
      </c>
      <c r="J3269" s="12" t="str">
        <f>HYPERLINK("https://www.boe.es/gazeta/dias/1800/09/05/pdfs/GMD-1800-72.pdf#page=7","Abrir facsímil")</f>
        <v>Abrir facsímil</v>
      </c>
      <c r="K3269" s="15" t="s">
        <v>23</v>
      </c>
    </row>
    <row r="3270" spans="1:11" ht="42" customHeight="1">
      <c r="A3270" s="4" t="s">
        <v>7954</v>
      </c>
      <c r="B3270" s="5" t="s">
        <v>7955</v>
      </c>
      <c r="C3270" s="5" t="s">
        <v>207</v>
      </c>
      <c r="D3270" s="5" t="s">
        <v>55</v>
      </c>
      <c r="E3270" s="5" t="s">
        <v>162</v>
      </c>
      <c r="F3270" s="9">
        <v>15</v>
      </c>
      <c r="G3270" s="9">
        <v>140</v>
      </c>
      <c r="H3270" s="5" t="s">
        <v>21</v>
      </c>
      <c r="I3270" s="5" t="s">
        <v>7956</v>
      </c>
      <c r="J3270" s="12" t="str">
        <f>HYPERLINK("https://www.boe.es/gazeta/dias/1800/02/21/pdfs/GMD-1800-15.pdf#page=4","Abrir facsímil")</f>
        <v>Abrir facsímil</v>
      </c>
      <c r="K3270" s="15" t="s">
        <v>23</v>
      </c>
    </row>
    <row r="3271" spans="1:11" ht="42" customHeight="1">
      <c r="A3271" s="4" t="s">
        <v>7957</v>
      </c>
      <c r="B3271" s="5" t="s">
        <v>7958</v>
      </c>
      <c r="C3271" s="5" t="s">
        <v>18</v>
      </c>
      <c r="D3271" s="5" t="s">
        <v>19</v>
      </c>
      <c r="E3271" s="5" t="s">
        <v>203</v>
      </c>
      <c r="F3271" s="9">
        <v>94</v>
      </c>
      <c r="G3271" s="9">
        <v>1078</v>
      </c>
      <c r="H3271" s="5" t="s">
        <v>21</v>
      </c>
      <c r="I3271" s="5" t="s">
        <v>7959</v>
      </c>
      <c r="J3271" s="12" t="str">
        <f>HYPERLINK("https://www.boe.es/gazeta/dias/1800/11/21/pdfs/GMD-1800-94.pdf#page=8","Abrir facsímil")</f>
        <v>Abrir facsímil</v>
      </c>
      <c r="K3271" s="15" t="s">
        <v>23</v>
      </c>
    </row>
    <row r="3272" spans="1:11" ht="42" customHeight="1">
      <c r="A3272" s="4" t="s">
        <v>7960</v>
      </c>
      <c r="B3272" s="5" t="s">
        <v>7961</v>
      </c>
      <c r="C3272" s="5" t="s">
        <v>54</v>
      </c>
      <c r="D3272" s="5" t="s">
        <v>55</v>
      </c>
      <c r="E3272" s="5" t="s">
        <v>45</v>
      </c>
      <c r="F3272" s="9">
        <v>47</v>
      </c>
      <c r="G3272" s="9">
        <v>502</v>
      </c>
      <c r="H3272" s="5" t="s">
        <v>21</v>
      </c>
      <c r="I3272" s="5" t="s">
        <v>7962</v>
      </c>
      <c r="J3272" s="12" t="str">
        <f>HYPERLINK("https://www.boe.es/gazeta/dias/1800/06/13/pdfs/GMD-1800-47.pdf#page=10","Abrir facsímil")</f>
        <v>Abrir facsímil</v>
      </c>
      <c r="K3272" s="15" t="s">
        <v>23</v>
      </c>
    </row>
    <row r="3273" spans="1:11" ht="42" customHeight="1">
      <c r="A3273" s="4" t="s">
        <v>7963</v>
      </c>
      <c r="B3273" s="5" t="s">
        <v>7964</v>
      </c>
      <c r="C3273" s="5" t="s">
        <v>18</v>
      </c>
      <c r="D3273" s="5" t="s">
        <v>19</v>
      </c>
      <c r="E3273" s="5" t="s">
        <v>314</v>
      </c>
      <c r="F3273" s="9">
        <v>74</v>
      </c>
      <c r="G3273" s="9">
        <v>832</v>
      </c>
      <c r="H3273" s="5" t="s">
        <v>21</v>
      </c>
      <c r="I3273" s="5" t="s">
        <v>7965</v>
      </c>
      <c r="J3273" s="12" t="str">
        <f>HYPERLINK("https://www.boe.es/gazeta/dias/1800/09/12/pdfs/GMD-1800-74.pdf#page=10","Abrir facsímil")</f>
        <v>Abrir facsímil</v>
      </c>
      <c r="K3273" s="15" t="s">
        <v>23</v>
      </c>
    </row>
    <row r="3274" spans="1:11" ht="42" customHeight="1">
      <c r="A3274" s="4" t="s">
        <v>7966</v>
      </c>
      <c r="B3274" s="5" t="s">
        <v>7967</v>
      </c>
      <c r="C3274" s="5" t="s">
        <v>18</v>
      </c>
      <c r="D3274" s="5" t="s">
        <v>19</v>
      </c>
      <c r="E3274" s="5" t="s">
        <v>196</v>
      </c>
      <c r="F3274" s="9">
        <v>97</v>
      </c>
      <c r="G3274" s="9">
        <v>1117</v>
      </c>
      <c r="H3274" s="5" t="s">
        <v>21</v>
      </c>
      <c r="I3274" s="5" t="s">
        <v>7968</v>
      </c>
      <c r="J3274" s="12" t="str">
        <f>HYPERLINK("https://www.boe.es/gazeta/dias/1800/12/02/pdfs/GMD-1800-97.pdf#page=9","Abrir facsímil")</f>
        <v>Abrir facsímil</v>
      </c>
      <c r="K3274" s="15" t="s">
        <v>23</v>
      </c>
    </row>
    <row r="3275" spans="1:11" ht="42" customHeight="1">
      <c r="A3275" s="4" t="s">
        <v>7969</v>
      </c>
      <c r="B3275" s="5" t="s">
        <v>7970</v>
      </c>
      <c r="C3275" s="5" t="s">
        <v>84</v>
      </c>
      <c r="D3275" s="5" t="s">
        <v>85</v>
      </c>
      <c r="E3275" s="5" t="s">
        <v>314</v>
      </c>
      <c r="F3275" s="9">
        <v>74</v>
      </c>
      <c r="G3275" s="9">
        <v>830</v>
      </c>
      <c r="H3275" s="5" t="s">
        <v>21</v>
      </c>
      <c r="I3275" s="5" t="s">
        <v>7971</v>
      </c>
      <c r="J3275" s="12" t="str">
        <f>HYPERLINK("https://www.boe.es/gazeta/dias/1800/09/12/pdfs/GMD-1800-74.pdf#page=8","Abrir facsímil")</f>
        <v>Abrir facsímil</v>
      </c>
      <c r="K3275" s="15" t="s">
        <v>23</v>
      </c>
    </row>
    <row r="3276" spans="1:11" ht="42" customHeight="1">
      <c r="A3276" s="4" t="s">
        <v>7972</v>
      </c>
      <c r="B3276" s="5" t="s">
        <v>7973</v>
      </c>
      <c r="C3276" s="5" t="s">
        <v>84</v>
      </c>
      <c r="D3276" s="5" t="s">
        <v>85</v>
      </c>
      <c r="E3276" s="5" t="s">
        <v>299</v>
      </c>
      <c r="F3276" s="9">
        <v>40</v>
      </c>
      <c r="G3276" s="9">
        <v>413</v>
      </c>
      <c r="H3276" s="5" t="s">
        <v>21</v>
      </c>
      <c r="I3276" s="5" t="s">
        <v>7974</v>
      </c>
      <c r="J3276" s="12" t="str">
        <f>HYPERLINK("https://www.boe.es/gazeta/dias/1800/05/20/pdfs/GMD-1800-40.pdf#page=9","Abrir facsímil")</f>
        <v>Abrir facsímil</v>
      </c>
      <c r="K3276" s="15" t="s">
        <v>23</v>
      </c>
    </row>
    <row r="3277" spans="1:11" ht="42" customHeight="1">
      <c r="A3277" s="4" t="s">
        <v>7975</v>
      </c>
      <c r="B3277" s="5" t="s">
        <v>7976</v>
      </c>
      <c r="C3277" s="5" t="s">
        <v>25</v>
      </c>
      <c r="D3277" s="5" t="s">
        <v>26</v>
      </c>
      <c r="E3277" s="5" t="s">
        <v>190</v>
      </c>
      <c r="F3277" s="9">
        <v>93</v>
      </c>
      <c r="G3277" s="9">
        <v>1068</v>
      </c>
      <c r="H3277" s="5" t="s">
        <v>21</v>
      </c>
      <c r="I3277" s="5" t="s">
        <v>7977</v>
      </c>
      <c r="J3277" s="12" t="str">
        <f>HYPERLINK("https://www.boe.es/gazeta/dias/1800/11/18/pdfs/GMD-1800-93.pdf#page=14","Abrir facsímil")</f>
        <v>Abrir facsímil</v>
      </c>
      <c r="K3277" s="15" t="s">
        <v>23</v>
      </c>
    </row>
    <row r="3278" spans="1:11" ht="42" customHeight="1">
      <c r="A3278" s="4" t="s">
        <v>7975</v>
      </c>
      <c r="B3278" s="5" t="s">
        <v>7976</v>
      </c>
      <c r="C3278" s="5" t="s">
        <v>25</v>
      </c>
      <c r="D3278" s="5" t="s">
        <v>26</v>
      </c>
      <c r="E3278" s="5" t="s">
        <v>203</v>
      </c>
      <c r="F3278" s="9">
        <v>94</v>
      </c>
      <c r="G3278" s="9">
        <v>1080</v>
      </c>
      <c r="H3278" s="5" t="s">
        <v>21</v>
      </c>
      <c r="I3278" s="5" t="s">
        <v>7978</v>
      </c>
      <c r="J3278" s="12" t="str">
        <f>HYPERLINK("https://www.boe.es/gazeta/dias/1800/11/21/pdfs/GMD-1800-94.pdf#page=10","Abrir facsímil")</f>
        <v>Abrir facsímil</v>
      </c>
      <c r="K3278" s="15" t="s">
        <v>23</v>
      </c>
    </row>
    <row r="3279" spans="1:11" ht="42" customHeight="1">
      <c r="A3279" s="4" t="s">
        <v>7979</v>
      </c>
      <c r="B3279" s="5" t="s">
        <v>7980</v>
      </c>
      <c r="C3279" s="5" t="s">
        <v>2123</v>
      </c>
      <c r="D3279" s="5" t="s">
        <v>2124</v>
      </c>
      <c r="E3279" s="5" t="s">
        <v>58</v>
      </c>
      <c r="F3279" s="9">
        <v>92</v>
      </c>
      <c r="G3279" s="9">
        <v>1056</v>
      </c>
      <c r="H3279" s="5" t="s">
        <v>21</v>
      </c>
      <c r="I3279" s="5" t="s">
        <v>7981</v>
      </c>
      <c r="J3279" s="12" t="str">
        <f>HYPERLINK("https://www.boe.es/gazeta/dias/1800/11/14/pdfs/GMD-C-1800-92.pdf#page=2","Abrir facsímil")</f>
        <v>Abrir facsímil</v>
      </c>
      <c r="K3279" s="15" t="s">
        <v>23</v>
      </c>
    </row>
    <row r="3280" spans="1:11" ht="42" customHeight="1">
      <c r="A3280" s="4" t="s">
        <v>7982</v>
      </c>
      <c r="B3280" s="5" t="s">
        <v>7982</v>
      </c>
      <c r="C3280" s="5" t="s">
        <v>25</v>
      </c>
      <c r="D3280" s="5" t="s">
        <v>26</v>
      </c>
      <c r="E3280" s="5" t="s">
        <v>105</v>
      </c>
      <c r="F3280" s="9">
        <v>28</v>
      </c>
      <c r="G3280" s="9">
        <v>292</v>
      </c>
      <c r="H3280" s="5" t="s">
        <v>21</v>
      </c>
      <c r="I3280" s="5" t="s">
        <v>7983</v>
      </c>
      <c r="J3280" s="12" t="str">
        <f>HYPERLINK("https://www.boe.es/gazeta/dias/1800/04/08/pdfs/GMD-1800-28.pdf#page=8","Abrir facsímil")</f>
        <v>Abrir facsímil</v>
      </c>
      <c r="K3280" s="15" t="s">
        <v>23</v>
      </c>
    </row>
    <row r="3281" spans="1:11" ht="42" customHeight="1">
      <c r="A3281" s="4" t="s">
        <v>7982</v>
      </c>
      <c r="B3281" s="5" t="s">
        <v>7982</v>
      </c>
      <c r="C3281" s="5" t="s">
        <v>18</v>
      </c>
      <c r="D3281" s="5" t="s">
        <v>19</v>
      </c>
      <c r="E3281" s="5" t="s">
        <v>116</v>
      </c>
      <c r="F3281" s="9">
        <v>86</v>
      </c>
      <c r="G3281" s="9">
        <v>997</v>
      </c>
      <c r="H3281" s="5" t="s">
        <v>21</v>
      </c>
      <c r="I3281" s="5" t="s">
        <v>7984</v>
      </c>
      <c r="J3281" s="12" t="str">
        <f>HYPERLINK("https://www.boe.es/gazeta/dias/1800/10/24/pdfs/GMD-1800-86.pdf#page=7","Abrir facsímil")</f>
        <v>Abrir facsímil</v>
      </c>
      <c r="K3281" s="15" t="s">
        <v>23</v>
      </c>
    </row>
    <row r="3282" spans="1:11" ht="42" customHeight="1">
      <c r="A3282" s="4" t="s">
        <v>7985</v>
      </c>
      <c r="B3282" s="5" t="s">
        <v>7985</v>
      </c>
      <c r="C3282" s="5" t="s">
        <v>18</v>
      </c>
      <c r="D3282" s="5" t="s">
        <v>19</v>
      </c>
      <c r="E3282" s="5" t="s">
        <v>196</v>
      </c>
      <c r="F3282" s="9">
        <v>97</v>
      </c>
      <c r="G3282" s="9">
        <v>1117</v>
      </c>
      <c r="H3282" s="5" t="s">
        <v>21</v>
      </c>
      <c r="I3282" s="5" t="s">
        <v>7986</v>
      </c>
      <c r="J3282" s="12" t="str">
        <f>HYPERLINK("https://www.boe.es/gazeta/dias/1800/12/02/pdfs/GMD-1800-97.pdf#page=9","Abrir facsímil")</f>
        <v>Abrir facsímil</v>
      </c>
      <c r="K3282" s="15" t="s">
        <v>23</v>
      </c>
    </row>
    <row r="3283" spans="1:11" ht="42" customHeight="1">
      <c r="A3283" s="4" t="s">
        <v>7987</v>
      </c>
      <c r="B3283" s="5" t="s">
        <v>7988</v>
      </c>
      <c r="C3283" s="5" t="s">
        <v>84</v>
      </c>
      <c r="D3283" s="5" t="s">
        <v>85</v>
      </c>
      <c r="E3283" s="5" t="s">
        <v>180</v>
      </c>
      <c r="F3283" s="9">
        <v>102</v>
      </c>
      <c r="G3283" s="9">
        <v>1186</v>
      </c>
      <c r="H3283" s="5" t="s">
        <v>21</v>
      </c>
      <c r="I3283" s="5" t="s">
        <v>7989</v>
      </c>
      <c r="J3283" s="12" t="str">
        <f>HYPERLINK("https://www.boe.es/gazeta/dias/1800/12/19/pdfs/GMD-1800-102.pdf#page=10","Abrir facsímil")</f>
        <v>Abrir facsímil</v>
      </c>
      <c r="K3283" s="15" t="s">
        <v>23</v>
      </c>
    </row>
    <row r="3284" spans="1:11" ht="42" customHeight="1">
      <c r="A3284" s="4" t="s">
        <v>7990</v>
      </c>
      <c r="B3284" s="5" t="s">
        <v>7990</v>
      </c>
      <c r="C3284" s="5" t="s">
        <v>207</v>
      </c>
      <c r="D3284" s="5" t="s">
        <v>55</v>
      </c>
      <c r="E3284" s="5" t="s">
        <v>306</v>
      </c>
      <c r="F3284" s="9">
        <v>79</v>
      </c>
      <c r="G3284" s="9">
        <v>899</v>
      </c>
      <c r="H3284" s="5" t="s">
        <v>21</v>
      </c>
      <c r="I3284" s="5" t="s">
        <v>7991</v>
      </c>
      <c r="J3284" s="12" t="str">
        <f>HYPERLINK("https://www.boe.es/gazeta/dias/1800/09/30/pdfs/GMD-1800-79.pdf#page=9","Abrir facsímil")</f>
        <v>Abrir facsímil</v>
      </c>
      <c r="K3284" s="15" t="s">
        <v>23</v>
      </c>
    </row>
    <row r="3285" spans="1:11" ht="42" customHeight="1">
      <c r="A3285" s="4" t="s">
        <v>7992</v>
      </c>
      <c r="B3285" s="5" t="s">
        <v>7993</v>
      </c>
      <c r="C3285" s="5" t="s">
        <v>18</v>
      </c>
      <c r="D3285" s="5" t="s">
        <v>19</v>
      </c>
      <c r="E3285" s="5" t="s">
        <v>116</v>
      </c>
      <c r="F3285" s="9">
        <v>86</v>
      </c>
      <c r="G3285" s="9">
        <v>997</v>
      </c>
      <c r="H3285" s="5" t="s">
        <v>21</v>
      </c>
      <c r="I3285" s="5" t="s">
        <v>7994</v>
      </c>
      <c r="J3285" s="12" t="str">
        <f>HYPERLINK("https://www.boe.es/gazeta/dias/1800/10/24/pdfs/GMD-1800-86.pdf#page=7","Abrir facsímil")</f>
        <v>Abrir facsímil</v>
      </c>
      <c r="K3285" s="15" t="s">
        <v>23</v>
      </c>
    </row>
    <row r="3286" spans="1:11" ht="42" customHeight="1">
      <c r="A3286" s="4" t="s">
        <v>7992</v>
      </c>
      <c r="B3286" s="5" t="s">
        <v>7993</v>
      </c>
      <c r="C3286" s="5" t="s">
        <v>25</v>
      </c>
      <c r="D3286" s="5" t="s">
        <v>26</v>
      </c>
      <c r="E3286" s="5" t="s">
        <v>673</v>
      </c>
      <c r="F3286" s="9">
        <v>89</v>
      </c>
      <c r="G3286" s="9">
        <v>1045</v>
      </c>
      <c r="H3286" s="5" t="s">
        <v>21</v>
      </c>
      <c r="I3286" s="5" t="s">
        <v>7995</v>
      </c>
      <c r="J3286" s="12" t="str">
        <f>HYPERLINK("https://www.boe.es/gazeta/dias/1800/11/04/pdfs/GMD-1800-89.pdf#page=11","Abrir facsímil")</f>
        <v>Abrir facsímil</v>
      </c>
      <c r="K3286" s="15" t="s">
        <v>23</v>
      </c>
    </row>
    <row r="3287" spans="1:11" ht="42" customHeight="1">
      <c r="A3287" s="4" t="s">
        <v>7996</v>
      </c>
      <c r="B3287" s="5" t="s">
        <v>7997</v>
      </c>
      <c r="C3287" s="5" t="s">
        <v>18</v>
      </c>
      <c r="D3287" s="5" t="s">
        <v>19</v>
      </c>
      <c r="E3287" s="5" t="s">
        <v>190</v>
      </c>
      <c r="F3287" s="9">
        <v>93</v>
      </c>
      <c r="G3287" s="9">
        <v>1067</v>
      </c>
      <c r="H3287" s="5" t="s">
        <v>21</v>
      </c>
      <c r="I3287" s="5" t="s">
        <v>7998</v>
      </c>
      <c r="J3287" s="12" t="str">
        <f>HYPERLINK("https://www.boe.es/gazeta/dias/1800/11/18/pdfs/GMD-1800-93.pdf#page=13","Abrir facsímil")</f>
        <v>Abrir facsímil</v>
      </c>
      <c r="K3287" s="15" t="s">
        <v>23</v>
      </c>
    </row>
    <row r="3288" spans="1:11" ht="42" customHeight="1">
      <c r="A3288" s="4" t="s">
        <v>7999</v>
      </c>
      <c r="B3288" s="5" t="s">
        <v>8000</v>
      </c>
      <c r="C3288" s="5" t="s">
        <v>25</v>
      </c>
      <c r="D3288" s="5" t="s">
        <v>26</v>
      </c>
      <c r="E3288" s="5" t="s">
        <v>299</v>
      </c>
      <c r="F3288" s="9">
        <v>40</v>
      </c>
      <c r="G3288" s="9">
        <v>414</v>
      </c>
      <c r="H3288" s="5" t="s">
        <v>21</v>
      </c>
      <c r="I3288" s="5" t="s">
        <v>8001</v>
      </c>
      <c r="J3288" s="12" t="str">
        <f>HYPERLINK("https://www.boe.es/gazeta/dias/1800/05/20/pdfs/GMD-1800-40.pdf#page=10","Abrir facsímil")</f>
        <v>Abrir facsímil</v>
      </c>
      <c r="K3288" s="15" t="s">
        <v>23</v>
      </c>
    </row>
    <row r="3289" spans="1:11" ht="42" customHeight="1">
      <c r="A3289" s="4" t="s">
        <v>8002</v>
      </c>
      <c r="B3289" s="5" t="s">
        <v>8003</v>
      </c>
      <c r="C3289" s="5" t="s">
        <v>54</v>
      </c>
      <c r="D3289" s="5" t="s">
        <v>55</v>
      </c>
      <c r="E3289" s="5" t="s">
        <v>176</v>
      </c>
      <c r="F3289" s="9">
        <v>88</v>
      </c>
      <c r="G3289" s="9">
        <v>1024</v>
      </c>
      <c r="H3289" s="5" t="s">
        <v>21</v>
      </c>
      <c r="I3289" s="5" t="s">
        <v>8004</v>
      </c>
      <c r="J3289" s="12" t="str">
        <f>HYPERLINK("https://www.boe.es/gazeta/dias/1800/10/31/pdfs/GMD-1800-88.pdf#page=6","Abrir facsímil")</f>
        <v>Abrir facsímil</v>
      </c>
      <c r="K3289" s="15" t="s">
        <v>23</v>
      </c>
    </row>
    <row r="3290" spans="1:11" ht="42" customHeight="1">
      <c r="A3290" s="4" t="s">
        <v>8005</v>
      </c>
      <c r="B3290" s="5" t="s">
        <v>8005</v>
      </c>
      <c r="C3290" s="5" t="s">
        <v>18</v>
      </c>
      <c r="D3290" s="5" t="s">
        <v>19</v>
      </c>
      <c r="E3290" s="5" t="s">
        <v>534</v>
      </c>
      <c r="F3290" s="9">
        <v>100</v>
      </c>
      <c r="G3290" s="9">
        <v>1160</v>
      </c>
      <c r="H3290" s="5" t="s">
        <v>21</v>
      </c>
      <c r="I3290" s="5" t="s">
        <v>8006</v>
      </c>
      <c r="J3290" s="12" t="str">
        <f>HYPERLINK("https://www.boe.es/gazeta/dias/1800/12/12/pdfs/GMD-1800-100.pdf#page=12","Abrir facsímil")</f>
        <v>Abrir facsímil</v>
      </c>
      <c r="K3290" s="15" t="s">
        <v>23</v>
      </c>
    </row>
    <row r="3291" spans="1:11" ht="42" customHeight="1">
      <c r="A3291" s="4" t="s">
        <v>8007</v>
      </c>
      <c r="B3291" s="5" t="s">
        <v>8007</v>
      </c>
      <c r="C3291" s="5" t="s">
        <v>25</v>
      </c>
      <c r="D3291" s="5" t="s">
        <v>26</v>
      </c>
      <c r="E3291" s="5" t="s">
        <v>598</v>
      </c>
      <c r="F3291" s="9">
        <v>32</v>
      </c>
      <c r="G3291" s="9">
        <v>323</v>
      </c>
      <c r="H3291" s="5" t="s">
        <v>21</v>
      </c>
      <c r="I3291" s="5" t="s">
        <v>8008</v>
      </c>
      <c r="J3291" s="12" t="str">
        <f>HYPERLINK("https://www.boe.es/gazeta/dias/1800/04/22/pdfs/GMD-1800-32.pdf#page=7","Abrir facsímil")</f>
        <v>Abrir facsímil</v>
      </c>
      <c r="K3291" s="15" t="s">
        <v>23</v>
      </c>
    </row>
    <row r="3292" spans="1:11" ht="42" customHeight="1">
      <c r="A3292" s="4" t="s">
        <v>8009</v>
      </c>
      <c r="B3292" s="5" t="s">
        <v>8010</v>
      </c>
      <c r="C3292" s="5" t="s">
        <v>41</v>
      </c>
      <c r="D3292" s="5" t="s">
        <v>42</v>
      </c>
      <c r="E3292" s="5" t="s">
        <v>101</v>
      </c>
      <c r="F3292" s="9">
        <v>37</v>
      </c>
      <c r="G3292" s="9">
        <v>376</v>
      </c>
      <c r="H3292" s="5" t="s">
        <v>21</v>
      </c>
      <c r="I3292" s="5" t="s">
        <v>8011</v>
      </c>
      <c r="J3292" s="12" t="str">
        <f>HYPERLINK("https://www.boe.es/gazeta/dias/1800/05/09/pdfs/GMD-1800-37.pdf#page=8","Abrir facsímil")</f>
        <v>Abrir facsímil</v>
      </c>
      <c r="K3292" s="15" t="s">
        <v>23</v>
      </c>
    </row>
    <row r="3293" spans="1:11" ht="42" customHeight="1">
      <c r="A3293" s="4" t="s">
        <v>8009</v>
      </c>
      <c r="B3293" s="5" t="s">
        <v>8010</v>
      </c>
      <c r="C3293" s="5" t="s">
        <v>25</v>
      </c>
      <c r="D3293" s="5" t="s">
        <v>26</v>
      </c>
      <c r="E3293" s="5" t="s">
        <v>101</v>
      </c>
      <c r="F3293" s="9">
        <v>37</v>
      </c>
      <c r="G3293" s="9">
        <v>377</v>
      </c>
      <c r="H3293" s="5" t="s">
        <v>21</v>
      </c>
      <c r="I3293" s="5" t="s">
        <v>8012</v>
      </c>
      <c r="J3293" s="12" t="str">
        <f>HYPERLINK("https://www.boe.es/gazeta/dias/1800/05/09/pdfs/GMD-1800-37.pdf#page=9","Abrir facsímil")</f>
        <v>Abrir facsímil</v>
      </c>
      <c r="K3293" s="15" t="s">
        <v>23</v>
      </c>
    </row>
    <row r="3294" spans="1:11" ht="42" customHeight="1">
      <c r="A3294" s="4" t="s">
        <v>8013</v>
      </c>
      <c r="B3294" s="5" t="s">
        <v>8013</v>
      </c>
      <c r="C3294" s="5" t="s">
        <v>207</v>
      </c>
      <c r="D3294" s="5" t="s">
        <v>55</v>
      </c>
      <c r="E3294" s="5" t="s">
        <v>180</v>
      </c>
      <c r="F3294" s="9">
        <v>102</v>
      </c>
      <c r="G3294" s="9">
        <v>1187</v>
      </c>
      <c r="H3294" s="5" t="s">
        <v>21</v>
      </c>
      <c r="I3294" s="5" t="s">
        <v>8014</v>
      </c>
      <c r="J3294" s="12" t="str">
        <f>HYPERLINK("https://www.boe.es/gazeta/dias/1800/12/19/pdfs/GMD-1800-102.pdf#page=11","Abrir facsímil")</f>
        <v>Abrir facsímil</v>
      </c>
      <c r="K3294" s="15" t="s">
        <v>23</v>
      </c>
    </row>
    <row r="3295" spans="1:11" ht="42" customHeight="1">
      <c r="A3295" s="4" t="s">
        <v>8015</v>
      </c>
      <c r="B3295" s="5" t="s">
        <v>8015</v>
      </c>
      <c r="C3295" s="5" t="s">
        <v>18</v>
      </c>
      <c r="D3295" s="5" t="s">
        <v>19</v>
      </c>
      <c r="E3295" s="5" t="s">
        <v>56</v>
      </c>
      <c r="F3295" s="9">
        <v>90</v>
      </c>
      <c r="G3295" s="9">
        <v>1055</v>
      </c>
      <c r="H3295" s="5" t="s">
        <v>21</v>
      </c>
      <c r="I3295" s="5" t="s">
        <v>8016</v>
      </c>
      <c r="J3295" s="12" t="str">
        <f>HYPERLINK("https://www.boe.es/gazeta/dias/1800/11/07/pdfs/GMD-1800-90.pdf#page=9","Abrir facsímil")</f>
        <v>Abrir facsímil</v>
      </c>
      <c r="K3295" s="15" t="s">
        <v>23</v>
      </c>
    </row>
    <row r="3296" spans="1:11" ht="42" customHeight="1">
      <c r="A3296" s="4" t="s">
        <v>8017</v>
      </c>
      <c r="B3296" s="5" t="s">
        <v>8018</v>
      </c>
      <c r="C3296" s="5" t="s">
        <v>84</v>
      </c>
      <c r="D3296" s="5" t="s">
        <v>85</v>
      </c>
      <c r="E3296" s="5" t="s">
        <v>240</v>
      </c>
      <c r="F3296" s="9">
        <v>26</v>
      </c>
      <c r="G3296" s="9">
        <v>272</v>
      </c>
      <c r="H3296" s="5" t="s">
        <v>21</v>
      </c>
      <c r="I3296" s="5" t="s">
        <v>8019</v>
      </c>
      <c r="J3296" s="12" t="str">
        <f>HYPERLINK("https://www.boe.es/gazeta/dias/1800/04/01/pdfs/GMD-1800-26.pdf#page=12","Abrir facsímil")</f>
        <v>Abrir facsímil</v>
      </c>
      <c r="K3296" s="15" t="s">
        <v>23</v>
      </c>
    </row>
    <row r="3297" spans="1:11" ht="42" customHeight="1">
      <c r="A3297" s="4" t="s">
        <v>8020</v>
      </c>
      <c r="B3297" s="5" t="s">
        <v>8021</v>
      </c>
      <c r="C3297" s="5" t="s">
        <v>207</v>
      </c>
      <c r="D3297" s="5" t="s">
        <v>55</v>
      </c>
      <c r="E3297" s="5" t="s">
        <v>2338</v>
      </c>
      <c r="F3297" s="9">
        <v>42</v>
      </c>
      <c r="G3297" s="9">
        <v>434</v>
      </c>
      <c r="H3297" s="5" t="s">
        <v>21</v>
      </c>
      <c r="I3297" s="5" t="s">
        <v>8022</v>
      </c>
      <c r="J3297" s="12" t="str">
        <f>HYPERLINK("https://www.boe.es/gazeta/dias/1800/05/27/pdfs/GMD-1800-42.pdf#page=6","Abrir facsímil")</f>
        <v>Abrir facsímil</v>
      </c>
      <c r="K3297" s="15" t="s">
        <v>23</v>
      </c>
    </row>
    <row r="3298" spans="1:11" ht="42" customHeight="1">
      <c r="A3298" s="4" t="s">
        <v>8023</v>
      </c>
      <c r="B3298" s="5" t="s">
        <v>8023</v>
      </c>
      <c r="C3298" s="5" t="s">
        <v>41</v>
      </c>
      <c r="D3298" s="5" t="s">
        <v>42</v>
      </c>
      <c r="E3298" s="5" t="s">
        <v>545</v>
      </c>
      <c r="F3298" s="9">
        <v>14</v>
      </c>
      <c r="G3298" s="9">
        <v>133</v>
      </c>
      <c r="H3298" s="5" t="s">
        <v>21</v>
      </c>
      <c r="I3298" s="5" t="s">
        <v>8024</v>
      </c>
      <c r="J3298" s="12" t="str">
        <f>HYPERLINK("https://www.boe.es/gazeta/dias/1800/02/18/pdfs/GMD-1800-14.pdf#page=5","Abrir facsímil")</f>
        <v>Abrir facsímil</v>
      </c>
      <c r="K3298" s="15" t="s">
        <v>23</v>
      </c>
    </row>
    <row r="3299" spans="1:11" ht="42" customHeight="1">
      <c r="A3299" s="4" t="s">
        <v>8025</v>
      </c>
      <c r="B3299" s="5" t="s">
        <v>8026</v>
      </c>
      <c r="C3299" s="5" t="s">
        <v>41</v>
      </c>
      <c r="D3299" s="5" t="s">
        <v>42</v>
      </c>
      <c r="E3299" s="5" t="s">
        <v>620</v>
      </c>
      <c r="F3299" s="9">
        <v>19</v>
      </c>
      <c r="G3299" s="9">
        <v>181</v>
      </c>
      <c r="H3299" s="5" t="s">
        <v>21</v>
      </c>
      <c r="I3299" s="5" t="s">
        <v>8027</v>
      </c>
      <c r="J3299" s="12" t="str">
        <f>HYPERLINK("https://www.boe.es/gazeta/dias/1800/03/07/pdfs/GMD-1800-19.pdf#page=5","Abrir facsímil")</f>
        <v>Abrir facsímil</v>
      </c>
      <c r="K3299" s="15" t="s">
        <v>23</v>
      </c>
    </row>
    <row r="3300" spans="1:11" ht="42" customHeight="1">
      <c r="A3300" s="4" t="s">
        <v>8028</v>
      </c>
      <c r="B3300" s="5" t="s">
        <v>8029</v>
      </c>
      <c r="C3300" s="5" t="s">
        <v>41</v>
      </c>
      <c r="D3300" s="5" t="s">
        <v>42</v>
      </c>
      <c r="E3300" s="5" t="s">
        <v>162</v>
      </c>
      <c r="F3300" s="9">
        <v>15</v>
      </c>
      <c r="G3300" s="9">
        <v>138</v>
      </c>
      <c r="H3300" s="5" t="s">
        <v>21</v>
      </c>
      <c r="I3300" s="5" t="s">
        <v>8030</v>
      </c>
      <c r="J3300" s="12" t="str">
        <f>HYPERLINK("https://www.boe.es/gazeta/dias/1800/02/21/pdfs/GMD-1800-15.pdf#page=2","Abrir facsímil")</f>
        <v>Abrir facsímil</v>
      </c>
      <c r="K3300" s="15" t="s">
        <v>23</v>
      </c>
    </row>
    <row r="3301" spans="1:11" ht="42" customHeight="1">
      <c r="A3301" s="4" t="s">
        <v>8031</v>
      </c>
      <c r="B3301" s="5" t="s">
        <v>8031</v>
      </c>
      <c r="C3301" s="5" t="s">
        <v>41</v>
      </c>
      <c r="D3301" s="5" t="s">
        <v>42</v>
      </c>
      <c r="E3301" s="5" t="s">
        <v>56</v>
      </c>
      <c r="F3301" s="9">
        <v>90</v>
      </c>
      <c r="G3301" s="9">
        <v>1052</v>
      </c>
      <c r="H3301" s="5" t="s">
        <v>21</v>
      </c>
      <c r="I3301" s="5" t="s">
        <v>3320</v>
      </c>
      <c r="J3301" s="12" t="str">
        <f>HYPERLINK("https://www.boe.es/gazeta/dias/1800/11/07/pdfs/GMD-1800-90.pdf#page=6","Abrir facsímil")</f>
        <v>Abrir facsímil</v>
      </c>
      <c r="K3301" s="15" t="s">
        <v>23</v>
      </c>
    </row>
    <row r="3302" spans="1:11" ht="42" customHeight="1">
      <c r="A3302" s="4" t="s">
        <v>8032</v>
      </c>
      <c r="B3302" s="5" t="s">
        <v>8032</v>
      </c>
      <c r="C3302" s="5" t="s">
        <v>18</v>
      </c>
      <c r="D3302" s="5" t="s">
        <v>19</v>
      </c>
      <c r="E3302" s="5" t="s">
        <v>176</v>
      </c>
      <c r="F3302" s="9">
        <v>88</v>
      </c>
      <c r="G3302" s="9">
        <v>1029</v>
      </c>
      <c r="H3302" s="5" t="s">
        <v>21</v>
      </c>
      <c r="I3302" s="5" t="s">
        <v>8033</v>
      </c>
      <c r="J3302" s="12" t="str">
        <f>HYPERLINK("https://www.boe.es/gazeta/dias/1800/10/31/pdfs/GMD-1800-88.pdf#page=11","Abrir facsímil")</f>
        <v>Abrir facsímil</v>
      </c>
      <c r="K3302" s="15" t="s">
        <v>23</v>
      </c>
    </row>
    <row r="3303" spans="1:11" ht="42" customHeight="1">
      <c r="A3303" s="4" t="s">
        <v>8032</v>
      </c>
      <c r="B3303" s="5" t="s">
        <v>8032</v>
      </c>
      <c r="C3303" s="5" t="s">
        <v>41</v>
      </c>
      <c r="D3303" s="5" t="s">
        <v>42</v>
      </c>
      <c r="E3303" s="5" t="s">
        <v>58</v>
      </c>
      <c r="F3303" s="9">
        <v>92</v>
      </c>
      <c r="G3303" s="9">
        <v>1049</v>
      </c>
      <c r="H3303" s="5" t="s">
        <v>21</v>
      </c>
      <c r="I3303" s="5" t="s">
        <v>8034</v>
      </c>
      <c r="J3303" s="12" t="str">
        <f>HYPERLINK("https://www.boe.es/gazeta/dias/1800/11/14/pdfs/GMD-1800-92.pdf#page=3","Abrir facsímil")</f>
        <v>Abrir facsímil</v>
      </c>
      <c r="K3303" s="15" t="s">
        <v>23</v>
      </c>
    </row>
    <row r="3304" spans="1:11" ht="42" customHeight="1">
      <c r="A3304" s="4" t="s">
        <v>8032</v>
      </c>
      <c r="B3304" s="5" t="s">
        <v>8032</v>
      </c>
      <c r="C3304" s="5" t="s">
        <v>18</v>
      </c>
      <c r="D3304" s="5" t="s">
        <v>19</v>
      </c>
      <c r="E3304" s="5" t="s">
        <v>60</v>
      </c>
      <c r="F3304" s="9">
        <v>105</v>
      </c>
      <c r="G3304" s="9">
        <v>1222</v>
      </c>
      <c r="H3304" s="5" t="s">
        <v>21</v>
      </c>
      <c r="I3304" s="5" t="s">
        <v>8035</v>
      </c>
      <c r="J3304" s="12" t="str">
        <f>HYPERLINK("https://www.boe.es/gazeta/dias/1800/12/30/pdfs/GMD-1800-105.pdf#page=6","Abrir facsímil")</f>
        <v>Abrir facsímil</v>
      </c>
      <c r="K3304" s="15" t="s">
        <v>23</v>
      </c>
    </row>
    <row r="3305" spans="1:11" ht="42" customHeight="1">
      <c r="A3305" s="4" t="s">
        <v>8036</v>
      </c>
      <c r="B3305" s="5" t="s">
        <v>8036</v>
      </c>
      <c r="C3305" s="5" t="s">
        <v>18</v>
      </c>
      <c r="D3305" s="5" t="s">
        <v>19</v>
      </c>
      <c r="E3305" s="5" t="s">
        <v>545</v>
      </c>
      <c r="F3305" s="9">
        <v>14</v>
      </c>
      <c r="G3305" s="9">
        <v>132</v>
      </c>
      <c r="H3305" s="5" t="s">
        <v>21</v>
      </c>
      <c r="I3305" s="5" t="s">
        <v>8037</v>
      </c>
      <c r="J3305" s="12" t="str">
        <f>HYPERLINK("https://www.boe.es/gazeta/dias/1800/02/18/pdfs/GMD-1800-14.pdf#page=4","Abrir facsímil")</f>
        <v>Abrir facsímil</v>
      </c>
      <c r="K3305" s="15" t="s">
        <v>23</v>
      </c>
    </row>
    <row r="3306" spans="1:11" ht="42" customHeight="1">
      <c r="A3306" s="4" t="s">
        <v>8038</v>
      </c>
      <c r="B3306" s="5" t="s">
        <v>8038</v>
      </c>
      <c r="C3306" s="5" t="s">
        <v>41</v>
      </c>
      <c r="D3306" s="5" t="s">
        <v>42</v>
      </c>
      <c r="E3306" s="5" t="s">
        <v>823</v>
      </c>
      <c r="F3306" s="9">
        <v>50</v>
      </c>
      <c r="G3306" s="9">
        <v>537</v>
      </c>
      <c r="H3306" s="5" t="s">
        <v>21</v>
      </c>
      <c r="I3306" s="5" t="s">
        <v>8039</v>
      </c>
      <c r="J3306" s="12" t="str">
        <f>HYPERLINK("https://www.boe.es/gazeta/dias/1800/06/24/pdfs/GMD-1800-50.pdf#page=1","Abrir facsímil")</f>
        <v>Abrir facsímil</v>
      </c>
      <c r="K3306" s="15" t="s">
        <v>23</v>
      </c>
    </row>
    <row r="3307" spans="1:11" ht="42" customHeight="1">
      <c r="A3307" s="4" t="s">
        <v>8040</v>
      </c>
      <c r="B3307" s="5" t="s">
        <v>8040</v>
      </c>
      <c r="C3307" s="5" t="s">
        <v>25</v>
      </c>
      <c r="D3307" s="5" t="s">
        <v>26</v>
      </c>
      <c r="E3307" s="5" t="s">
        <v>52</v>
      </c>
      <c r="F3307" s="9">
        <v>83</v>
      </c>
      <c r="G3307" s="9">
        <v>964</v>
      </c>
      <c r="H3307" s="5" t="s">
        <v>21</v>
      </c>
      <c r="I3307" s="5" t="s">
        <v>8041</v>
      </c>
      <c r="J3307" s="12" t="str">
        <f>HYPERLINK("https://www.boe.es/gazeta/dias/1800/10/14/pdfs/GMD-1800-83.pdf#page=10","Abrir facsímil")</f>
        <v>Abrir facsímil</v>
      </c>
      <c r="K3307" s="15" t="s">
        <v>23</v>
      </c>
    </row>
    <row r="3308" spans="1:11" ht="42" customHeight="1">
      <c r="A3308" s="4" t="s">
        <v>8042</v>
      </c>
      <c r="B3308" s="5" t="s">
        <v>8042</v>
      </c>
      <c r="C3308" s="5" t="s">
        <v>18</v>
      </c>
      <c r="D3308" s="5" t="s">
        <v>19</v>
      </c>
      <c r="E3308" s="5" t="s">
        <v>534</v>
      </c>
      <c r="F3308" s="9">
        <v>100</v>
      </c>
      <c r="G3308" s="9">
        <v>1161</v>
      </c>
      <c r="H3308" s="5" t="s">
        <v>21</v>
      </c>
      <c r="I3308" s="5" t="s">
        <v>8043</v>
      </c>
      <c r="J3308" s="12" t="str">
        <f>HYPERLINK("https://www.boe.es/gazeta/dias/1800/12/12/pdfs/GMD-1800-100.pdf#page=13","Abrir facsímil")</f>
        <v>Abrir facsímil</v>
      </c>
      <c r="K3308" s="15" t="s">
        <v>23</v>
      </c>
    </row>
    <row r="3309" spans="1:11" ht="42" customHeight="1">
      <c r="A3309" s="4" t="s">
        <v>8044</v>
      </c>
      <c r="B3309" s="5" t="s">
        <v>8045</v>
      </c>
      <c r="C3309" s="5" t="s">
        <v>41</v>
      </c>
      <c r="D3309" s="5" t="s">
        <v>42</v>
      </c>
      <c r="E3309" s="5" t="s">
        <v>111</v>
      </c>
      <c r="F3309" s="9">
        <v>98</v>
      </c>
      <c r="G3309" s="9">
        <v>1125</v>
      </c>
      <c r="H3309" s="5" t="s">
        <v>21</v>
      </c>
      <c r="I3309" s="5" t="s">
        <v>8046</v>
      </c>
      <c r="J3309" s="12" t="str">
        <f>HYPERLINK("https://www.boe.es/gazeta/dias/1800/12/05/pdfs/GMD-1800-98.pdf#page=5","Abrir facsímil")</f>
        <v>Abrir facsímil</v>
      </c>
      <c r="K3309" s="15" t="s">
        <v>23</v>
      </c>
    </row>
    <row r="3310" spans="1:11" ht="42" customHeight="1">
      <c r="A3310" s="4" t="s">
        <v>8047</v>
      </c>
      <c r="B3310" s="5" t="s">
        <v>8048</v>
      </c>
      <c r="C3310" s="5" t="s">
        <v>41</v>
      </c>
      <c r="D3310" s="5" t="s">
        <v>42</v>
      </c>
      <c r="E3310" s="5" t="s">
        <v>534</v>
      </c>
      <c r="F3310" s="9">
        <v>100</v>
      </c>
      <c r="G3310" s="9">
        <v>1155</v>
      </c>
      <c r="H3310" s="5" t="s">
        <v>21</v>
      </c>
      <c r="I3310" s="5" t="s">
        <v>8049</v>
      </c>
      <c r="J3310" s="12" t="str">
        <f>HYPERLINK("https://www.boe.es/gazeta/dias/1800/12/12/pdfs/GMD-1800-100.pdf#page=7","Abrir facsímil")</f>
        <v>Abrir facsímil</v>
      </c>
      <c r="K3310" s="15" t="s">
        <v>23</v>
      </c>
    </row>
    <row r="3311" spans="1:11" ht="42" customHeight="1">
      <c r="A3311" s="4" t="s">
        <v>8050</v>
      </c>
      <c r="B3311" s="5" t="s">
        <v>8051</v>
      </c>
      <c r="C3311" s="5" t="s">
        <v>18</v>
      </c>
      <c r="D3311" s="5" t="s">
        <v>19</v>
      </c>
      <c r="E3311" s="5" t="s">
        <v>279</v>
      </c>
      <c r="F3311" s="9">
        <v>103</v>
      </c>
      <c r="G3311" s="9">
        <v>1194</v>
      </c>
      <c r="H3311" s="5" t="s">
        <v>21</v>
      </c>
      <c r="I3311" s="5" t="s">
        <v>8052</v>
      </c>
      <c r="J3311" s="12" t="str">
        <f>HYPERLINK("https://www.boe.es/gazeta/dias/1800/12/23/pdfs/GMD-1800-103.pdf#page=6","Abrir facsímil")</f>
        <v>Abrir facsímil</v>
      </c>
      <c r="K3311" s="15" t="s">
        <v>23</v>
      </c>
    </row>
    <row r="3312" spans="1:11" ht="42" customHeight="1">
      <c r="A3312" s="4" t="s">
        <v>8053</v>
      </c>
      <c r="B3312" s="5" t="s">
        <v>8054</v>
      </c>
      <c r="C3312" s="5" t="s">
        <v>18</v>
      </c>
      <c r="D3312" s="5" t="s">
        <v>19</v>
      </c>
      <c r="E3312" s="5" t="s">
        <v>56</v>
      </c>
      <c r="F3312" s="9">
        <v>90</v>
      </c>
      <c r="G3312" s="9">
        <v>1056</v>
      </c>
      <c r="H3312" s="5" t="s">
        <v>21</v>
      </c>
      <c r="I3312" s="5" t="s">
        <v>8055</v>
      </c>
      <c r="J3312" s="12" t="str">
        <f>HYPERLINK("https://www.boe.es/gazeta/dias/1800/11/07/pdfs/GMD-1800-90.pdf#page=10","Abrir facsímil")</f>
        <v>Abrir facsímil</v>
      </c>
      <c r="K3312" s="15" t="s">
        <v>23</v>
      </c>
    </row>
    <row r="3313" spans="1:11" ht="42" customHeight="1">
      <c r="A3313" s="4" t="s">
        <v>8056</v>
      </c>
      <c r="B3313" s="5" t="s">
        <v>8056</v>
      </c>
      <c r="C3313" s="5" t="s">
        <v>25</v>
      </c>
      <c r="D3313" s="5" t="s">
        <v>26</v>
      </c>
      <c r="E3313" s="5" t="s">
        <v>184</v>
      </c>
      <c r="F3313" s="9">
        <v>82</v>
      </c>
      <c r="G3313" s="9">
        <v>953</v>
      </c>
      <c r="H3313" s="5" t="s">
        <v>21</v>
      </c>
      <c r="I3313" s="5" t="s">
        <v>8057</v>
      </c>
      <c r="J3313" s="12" t="str">
        <f>HYPERLINK("https://www.boe.es/gazeta/dias/1800/10/10/pdfs/GMD-1800-82.pdf#page=11","Abrir facsímil")</f>
        <v>Abrir facsímil</v>
      </c>
      <c r="K3313" s="15" t="s">
        <v>23</v>
      </c>
    </row>
    <row r="3314" spans="1:11" ht="42" customHeight="1">
      <c r="A3314" s="4" t="s">
        <v>8058</v>
      </c>
      <c r="B3314" s="5" t="s">
        <v>8059</v>
      </c>
      <c r="C3314" s="5" t="s">
        <v>84</v>
      </c>
      <c r="D3314" s="5" t="s">
        <v>85</v>
      </c>
      <c r="E3314" s="5" t="s">
        <v>56</v>
      </c>
      <c r="F3314" s="9">
        <v>90</v>
      </c>
      <c r="G3314" s="9">
        <v>1058</v>
      </c>
      <c r="H3314" s="5" t="s">
        <v>21</v>
      </c>
      <c r="I3314" s="5" t="s">
        <v>8060</v>
      </c>
      <c r="J3314" s="12" t="str">
        <f>HYPERLINK("https://www.boe.es/gazeta/dias/1800/11/07/pdfs/GMD-1800-90.pdf#page=12","Abrir facsímil")</f>
        <v>Abrir facsímil</v>
      </c>
      <c r="K3314" s="15" t="s">
        <v>23</v>
      </c>
    </row>
    <row r="3315" spans="1:11" ht="42" customHeight="1">
      <c r="A3315" s="4" t="s">
        <v>8061</v>
      </c>
      <c r="B3315" s="5" t="s">
        <v>8062</v>
      </c>
      <c r="C3315" s="5" t="s">
        <v>18</v>
      </c>
      <c r="D3315" s="5" t="s">
        <v>19</v>
      </c>
      <c r="E3315" s="5" t="s">
        <v>5375</v>
      </c>
      <c r="F3315" s="9">
        <v>70</v>
      </c>
      <c r="G3315" s="9">
        <v>781</v>
      </c>
      <c r="H3315" s="5" t="s">
        <v>21</v>
      </c>
      <c r="I3315" s="5" t="s">
        <v>8063</v>
      </c>
      <c r="J3315" s="12" t="str">
        <f>HYPERLINK("https://www.boe.es/gazeta/dias/1800/08/31/pdfs/GMD-1800-70E.pdf#page=5","Abrir facsímil")</f>
        <v>Abrir facsímil</v>
      </c>
      <c r="K3315" s="15" t="s">
        <v>23</v>
      </c>
    </row>
    <row r="3316" spans="1:11" ht="42" customHeight="1">
      <c r="A3316" s="4" t="s">
        <v>8061</v>
      </c>
      <c r="B3316" s="5" t="s">
        <v>8062</v>
      </c>
      <c r="C3316" s="5" t="s">
        <v>1179</v>
      </c>
      <c r="D3316" s="5" t="s">
        <v>1180</v>
      </c>
      <c r="E3316" s="5" t="s">
        <v>314</v>
      </c>
      <c r="F3316" s="9">
        <v>74</v>
      </c>
      <c r="G3316" s="9">
        <v>844</v>
      </c>
      <c r="H3316" s="5" t="s">
        <v>21</v>
      </c>
      <c r="I3316" s="5" t="s">
        <v>8064</v>
      </c>
      <c r="J3316" s="12" t="str">
        <f>HYPERLINK("https://www.boe.es/gazeta/dias/1800/09/12/pdfs/GMD-C-1800-74.pdf#page=6","Abrir facsímil")</f>
        <v>Abrir facsímil</v>
      </c>
      <c r="K3316" s="15" t="s">
        <v>23</v>
      </c>
    </row>
    <row r="3317" spans="1:11" ht="42" customHeight="1">
      <c r="A3317" s="4" t="s">
        <v>8065</v>
      </c>
      <c r="B3317" s="5" t="s">
        <v>8066</v>
      </c>
      <c r="C3317" s="5" t="s">
        <v>18</v>
      </c>
      <c r="D3317" s="5" t="s">
        <v>19</v>
      </c>
      <c r="E3317" s="5" t="s">
        <v>184</v>
      </c>
      <c r="F3317" s="9">
        <v>82</v>
      </c>
      <c r="G3317" s="9">
        <v>950</v>
      </c>
      <c r="H3317" s="5" t="s">
        <v>21</v>
      </c>
      <c r="I3317" s="5" t="s">
        <v>8067</v>
      </c>
      <c r="J3317" s="12" t="str">
        <f>HYPERLINK("https://www.boe.es/gazeta/dias/1800/10/10/pdfs/GMD-1800-82.pdf#page=8","Abrir facsímil")</f>
        <v>Abrir facsímil</v>
      </c>
      <c r="K3317" s="15" t="s">
        <v>23</v>
      </c>
    </row>
    <row r="3318" spans="1:11" ht="42" customHeight="1">
      <c r="A3318" s="4" t="s">
        <v>8068</v>
      </c>
      <c r="B3318" s="5" t="s">
        <v>8068</v>
      </c>
      <c r="C3318" s="5" t="s">
        <v>54</v>
      </c>
      <c r="D3318" s="5" t="s">
        <v>55</v>
      </c>
      <c r="E3318" s="5" t="s">
        <v>52</v>
      </c>
      <c r="F3318" s="9">
        <v>83</v>
      </c>
      <c r="G3318" s="9">
        <v>955</v>
      </c>
      <c r="H3318" s="5" t="s">
        <v>21</v>
      </c>
      <c r="I3318" s="5" t="s">
        <v>8069</v>
      </c>
      <c r="J3318" s="12" t="str">
        <f>HYPERLINK("https://www.boe.es/gazeta/dias/1800/10/14/pdfs/GMD-1800-83.pdf#page=1","Abrir facsímil")</f>
        <v>Abrir facsímil</v>
      </c>
      <c r="K3318" s="15" t="s">
        <v>23</v>
      </c>
    </row>
    <row r="3319" spans="1:11" ht="42" customHeight="1">
      <c r="A3319" s="4" t="s">
        <v>8070</v>
      </c>
      <c r="B3319" s="5" t="s">
        <v>8071</v>
      </c>
      <c r="C3319" s="5" t="s">
        <v>18</v>
      </c>
      <c r="D3319" s="5" t="s">
        <v>19</v>
      </c>
      <c r="E3319" s="5" t="s">
        <v>184</v>
      </c>
      <c r="F3319" s="9">
        <v>82</v>
      </c>
      <c r="G3319" s="9">
        <v>951</v>
      </c>
      <c r="H3319" s="5" t="s">
        <v>21</v>
      </c>
      <c r="I3319" s="5" t="s">
        <v>8072</v>
      </c>
      <c r="J3319" s="12" t="str">
        <f>HYPERLINK("https://www.boe.es/gazeta/dias/1800/10/10/pdfs/GMD-1800-82.pdf#page=9","Abrir facsímil")</f>
        <v>Abrir facsímil</v>
      </c>
      <c r="K3319" s="15" t="s">
        <v>23</v>
      </c>
    </row>
    <row r="3320" spans="1:11" ht="42" customHeight="1">
      <c r="A3320" s="4" t="s">
        <v>8073</v>
      </c>
      <c r="B3320" s="5" t="s">
        <v>8074</v>
      </c>
      <c r="C3320" s="5" t="s">
        <v>54</v>
      </c>
      <c r="D3320" s="5" t="s">
        <v>55</v>
      </c>
      <c r="E3320" s="5" t="s">
        <v>27</v>
      </c>
      <c r="F3320" s="9">
        <v>65</v>
      </c>
      <c r="G3320" s="9">
        <v>733</v>
      </c>
      <c r="H3320" s="5" t="s">
        <v>21</v>
      </c>
      <c r="I3320" s="5" t="s">
        <v>8075</v>
      </c>
      <c r="J3320" s="12" t="str">
        <f>HYPERLINK("https://www.boe.es/gazeta/dias/1800/08/15/pdfs/GMD-1800-65.pdf#page=9","Abrir facsímil")</f>
        <v>Abrir facsímil</v>
      </c>
      <c r="K3320" s="15" t="s">
        <v>23</v>
      </c>
    </row>
    <row r="3321" spans="1:11" ht="42" customHeight="1">
      <c r="A3321" s="4" t="s">
        <v>8076</v>
      </c>
      <c r="B3321" s="5" t="s">
        <v>8077</v>
      </c>
      <c r="C3321" s="5" t="s">
        <v>18</v>
      </c>
      <c r="D3321" s="5" t="s">
        <v>19</v>
      </c>
      <c r="E3321" s="5" t="s">
        <v>75</v>
      </c>
      <c r="F3321" s="9">
        <v>64</v>
      </c>
      <c r="G3321" s="9">
        <v>733</v>
      </c>
      <c r="H3321" s="5" t="s">
        <v>21</v>
      </c>
      <c r="I3321" s="5" t="s">
        <v>8078</v>
      </c>
      <c r="J3321" s="12" t="str">
        <f>HYPERLINK("https://www.boe.es/gazeta/dias/1800/08/12/pdfs/GMD-1800-64.pdf#page=9","Abrir facsímil")</f>
        <v>Abrir facsímil</v>
      </c>
      <c r="K3321" s="15" t="s">
        <v>23</v>
      </c>
    </row>
    <row r="3322" spans="1:11" ht="42" customHeight="1">
      <c r="A3322" s="4" t="s">
        <v>8079</v>
      </c>
      <c r="B3322" s="5" t="s">
        <v>8080</v>
      </c>
      <c r="C3322" s="5" t="s">
        <v>18</v>
      </c>
      <c r="D3322" s="5" t="s">
        <v>19</v>
      </c>
      <c r="E3322" s="5" t="s">
        <v>420</v>
      </c>
      <c r="F3322" s="9">
        <v>38</v>
      </c>
      <c r="G3322" s="9">
        <v>388</v>
      </c>
      <c r="H3322" s="5" t="s">
        <v>21</v>
      </c>
      <c r="I3322" s="5" t="s">
        <v>8081</v>
      </c>
      <c r="J3322" s="12" t="str">
        <f>HYPERLINK("https://www.boe.es/gazeta/dias/1800/05/13/pdfs/GMD-1800-38.pdf#page=8","Abrir facsímil")</f>
        <v>Abrir facsímil</v>
      </c>
      <c r="K3322" s="15" t="s">
        <v>23</v>
      </c>
    </row>
    <row r="3323" spans="1:11" ht="42" customHeight="1">
      <c r="A3323" s="4" t="s">
        <v>8082</v>
      </c>
      <c r="B3323" s="5" t="s">
        <v>8083</v>
      </c>
      <c r="C3323" s="5" t="s">
        <v>18</v>
      </c>
      <c r="D3323" s="5" t="s">
        <v>19</v>
      </c>
      <c r="E3323" s="5" t="s">
        <v>262</v>
      </c>
      <c r="F3323" s="9">
        <v>39</v>
      </c>
      <c r="G3323" s="9">
        <v>400</v>
      </c>
      <c r="H3323" s="5" t="s">
        <v>21</v>
      </c>
      <c r="I3323" s="5" t="s">
        <v>8084</v>
      </c>
      <c r="J3323" s="12" t="str">
        <f>HYPERLINK("https://www.boe.es/gazeta/dias/1800/05/16/pdfs/GMD-1800-39.pdf#page=8","Abrir facsímil")</f>
        <v>Abrir facsímil</v>
      </c>
      <c r="K3323" s="15" t="s">
        <v>23</v>
      </c>
    </row>
    <row r="3324" spans="1:11" ht="42" customHeight="1">
      <c r="A3324" s="4" t="s">
        <v>8085</v>
      </c>
      <c r="B3324" s="5" t="s">
        <v>8086</v>
      </c>
      <c r="C3324" s="5" t="s">
        <v>54</v>
      </c>
      <c r="D3324" s="5" t="s">
        <v>55</v>
      </c>
      <c r="E3324" s="5" t="s">
        <v>111</v>
      </c>
      <c r="F3324" s="9">
        <v>98</v>
      </c>
      <c r="G3324" s="9">
        <v>1131</v>
      </c>
      <c r="H3324" s="5" t="s">
        <v>21</v>
      </c>
      <c r="I3324" s="5" t="s">
        <v>8087</v>
      </c>
      <c r="J3324" s="12" t="str">
        <f>HYPERLINK("https://www.boe.es/gazeta/dias/1800/12/05/pdfs/GMD-1800-98.pdf#page=11","Abrir facsímil")</f>
        <v>Abrir facsímil</v>
      </c>
      <c r="K3324" s="15" t="s">
        <v>23</v>
      </c>
    </row>
    <row r="3325" spans="1:11" ht="42" customHeight="1">
      <c r="A3325" s="4" t="s">
        <v>8088</v>
      </c>
      <c r="B3325" s="5" t="s">
        <v>8089</v>
      </c>
      <c r="C3325" s="5" t="s">
        <v>18</v>
      </c>
      <c r="D3325" s="5" t="s">
        <v>19</v>
      </c>
      <c r="E3325" s="5" t="s">
        <v>595</v>
      </c>
      <c r="F3325" s="9">
        <v>72</v>
      </c>
      <c r="G3325" s="9">
        <v>797</v>
      </c>
      <c r="H3325" s="5" t="s">
        <v>21</v>
      </c>
      <c r="I3325" s="5" t="s">
        <v>8090</v>
      </c>
      <c r="J3325" s="12" t="str">
        <f>HYPERLINK("https://www.boe.es/gazeta/dias/1800/09/05/pdfs/GMD-1800-72.pdf#page=7","Abrir facsímil")</f>
        <v>Abrir facsímil</v>
      </c>
      <c r="K3325" s="15" t="s">
        <v>23</v>
      </c>
    </row>
    <row r="3326" spans="1:11" ht="42" customHeight="1">
      <c r="A3326" s="4" t="s">
        <v>8091</v>
      </c>
      <c r="B3326" s="5" t="s">
        <v>8092</v>
      </c>
      <c r="C3326" s="5" t="s">
        <v>207</v>
      </c>
      <c r="D3326" s="5" t="s">
        <v>55</v>
      </c>
      <c r="E3326" s="5" t="s">
        <v>283</v>
      </c>
      <c r="F3326" s="9">
        <v>68</v>
      </c>
      <c r="G3326" s="9">
        <v>764</v>
      </c>
      <c r="H3326" s="5" t="s">
        <v>21</v>
      </c>
      <c r="I3326" s="5" t="s">
        <v>8093</v>
      </c>
      <c r="J3326" s="12" t="str">
        <f>HYPERLINK("https://www.boe.es/gazeta/dias/1800/08/26/pdfs/GMD-1800-68.pdf#page=8","Abrir facsímil")</f>
        <v>Abrir facsímil</v>
      </c>
      <c r="K3326" s="15" t="s">
        <v>23</v>
      </c>
    </row>
    <row r="3327" spans="1:11" ht="42" customHeight="1">
      <c r="A3327" s="4" t="s">
        <v>8094</v>
      </c>
      <c r="B3327" s="5" t="s">
        <v>8095</v>
      </c>
      <c r="C3327" s="5" t="s">
        <v>25</v>
      </c>
      <c r="D3327" s="5" t="s">
        <v>26</v>
      </c>
      <c r="E3327" s="5" t="s">
        <v>346</v>
      </c>
      <c r="F3327" s="9">
        <v>24</v>
      </c>
      <c r="G3327" s="9">
        <v>244</v>
      </c>
      <c r="H3327" s="5" t="s">
        <v>21</v>
      </c>
      <c r="I3327" s="5" t="s">
        <v>8096</v>
      </c>
      <c r="J3327" s="12" t="str">
        <f>HYPERLINK("https://www.boe.es/gazeta/dias/1800/03/25/pdfs/GMD-1800-24.pdf#page=8","Abrir facsímil")</f>
        <v>Abrir facsímil</v>
      </c>
      <c r="K3327" s="15" t="s">
        <v>23</v>
      </c>
    </row>
    <row r="3328" spans="1:11" ht="42" customHeight="1">
      <c r="A3328" s="4" t="s">
        <v>8097</v>
      </c>
      <c r="B3328" s="5" t="s">
        <v>8098</v>
      </c>
      <c r="C3328" s="5" t="s">
        <v>18</v>
      </c>
      <c r="D3328" s="5" t="s">
        <v>19</v>
      </c>
      <c r="E3328" s="5" t="s">
        <v>35</v>
      </c>
      <c r="F3328" s="9">
        <v>21</v>
      </c>
      <c r="G3328" s="9">
        <v>206</v>
      </c>
      <c r="H3328" s="5" t="s">
        <v>21</v>
      </c>
      <c r="I3328" s="5" t="s">
        <v>8099</v>
      </c>
      <c r="J3328" s="12" t="str">
        <f>HYPERLINK("https://www.boe.es/gazeta/dias/1800/03/14/pdfs/GMD-1800-21.pdf#page=10","Abrir facsímil")</f>
        <v>Abrir facsímil</v>
      </c>
      <c r="K3328" s="15" t="s">
        <v>23</v>
      </c>
    </row>
    <row r="3329" spans="1:11" ht="42" customHeight="1">
      <c r="A3329" s="4" t="s">
        <v>8100</v>
      </c>
      <c r="B3329" s="5" t="s">
        <v>8101</v>
      </c>
      <c r="C3329" s="5" t="s">
        <v>18</v>
      </c>
      <c r="D3329" s="5" t="s">
        <v>19</v>
      </c>
      <c r="E3329" s="5" t="s">
        <v>139</v>
      </c>
      <c r="F3329" s="9">
        <v>2</v>
      </c>
      <c r="G3329" s="9">
        <v>17</v>
      </c>
      <c r="H3329" s="5" t="s">
        <v>21</v>
      </c>
      <c r="I3329" s="5" t="s">
        <v>8102</v>
      </c>
      <c r="J3329" s="12" t="str">
        <f>HYPERLINK("https://www.boe.es/gazeta/dias/1800/01/07/pdfs/GMD-1800-2.pdf#page=9","Abrir facsímil")</f>
        <v>Abrir facsímil</v>
      </c>
      <c r="K3329" s="15" t="s">
        <v>23</v>
      </c>
    </row>
    <row r="3330" spans="1:11" ht="42" customHeight="1">
      <c r="A3330" s="4" t="s">
        <v>8103</v>
      </c>
      <c r="B3330" s="5" t="s">
        <v>8104</v>
      </c>
      <c r="C3330" s="5" t="s">
        <v>18</v>
      </c>
      <c r="D3330" s="5" t="s">
        <v>19</v>
      </c>
      <c r="E3330" s="5" t="s">
        <v>194</v>
      </c>
      <c r="F3330" s="9">
        <v>48</v>
      </c>
      <c r="G3330" s="9">
        <v>518</v>
      </c>
      <c r="H3330" s="5" t="s">
        <v>21</v>
      </c>
      <c r="I3330" s="5" t="s">
        <v>8105</v>
      </c>
      <c r="J3330" s="12" t="str">
        <f>HYPERLINK("https://www.boe.es/gazeta/dias/1800/06/17/pdfs/GMD-1800-48.pdf#page=10","Abrir facsímil")</f>
        <v>Abrir facsímil</v>
      </c>
      <c r="K3330" s="15" t="s">
        <v>23</v>
      </c>
    </row>
    <row r="3331" spans="1:11" ht="42" customHeight="1">
      <c r="A3331" s="4" t="s">
        <v>8106</v>
      </c>
      <c r="B3331" s="5" t="s">
        <v>8107</v>
      </c>
      <c r="C3331" s="5" t="s">
        <v>54</v>
      </c>
      <c r="D3331" s="5" t="s">
        <v>55</v>
      </c>
      <c r="E3331" s="5" t="s">
        <v>1433</v>
      </c>
      <c r="F3331" s="9">
        <v>12</v>
      </c>
      <c r="G3331" s="9">
        <v>115</v>
      </c>
      <c r="H3331" s="5" t="s">
        <v>21</v>
      </c>
      <c r="I3331" s="5" t="s">
        <v>8108</v>
      </c>
      <c r="J3331" s="12" t="str">
        <f>HYPERLINK("https://www.boe.es/gazeta/dias/1800/02/11/pdfs/GMD-1800-12.pdf#page=7","Abrir facsímil")</f>
        <v>Abrir facsímil</v>
      </c>
      <c r="K3331" s="15" t="s">
        <v>23</v>
      </c>
    </row>
    <row r="3332" spans="1:11" ht="42" customHeight="1">
      <c r="A3332" s="4" t="s">
        <v>8109</v>
      </c>
      <c r="B3332" s="5" t="s">
        <v>8110</v>
      </c>
      <c r="C3332" s="5" t="s">
        <v>84</v>
      </c>
      <c r="D3332" s="5" t="s">
        <v>85</v>
      </c>
      <c r="E3332" s="5" t="s">
        <v>1213</v>
      </c>
      <c r="F3332" s="9">
        <v>4</v>
      </c>
      <c r="G3332" s="9">
        <v>38</v>
      </c>
      <c r="H3332" s="5" t="s">
        <v>21</v>
      </c>
      <c r="I3332" s="5" t="s">
        <v>8111</v>
      </c>
      <c r="J3332" s="12" t="str">
        <f>HYPERLINK("https://www.boe.es/gazeta/dias/1800/01/14/pdfs/GMD-1800-4.pdf#page=10","Abrir facsímil")</f>
        <v>Abrir facsímil</v>
      </c>
      <c r="K3332" s="15" t="s">
        <v>23</v>
      </c>
    </row>
    <row r="3333" spans="1:11" ht="42" customHeight="1">
      <c r="A3333" s="4" t="s">
        <v>8112</v>
      </c>
      <c r="B3333" s="5" t="s">
        <v>8113</v>
      </c>
      <c r="C3333" s="5" t="s">
        <v>41</v>
      </c>
      <c r="D3333" s="5" t="s">
        <v>42</v>
      </c>
      <c r="E3333" s="5" t="s">
        <v>194</v>
      </c>
      <c r="F3333" s="9">
        <v>48</v>
      </c>
      <c r="G3333" s="9">
        <v>516</v>
      </c>
      <c r="H3333" s="5" t="s">
        <v>21</v>
      </c>
      <c r="I3333" s="5" t="s">
        <v>8114</v>
      </c>
      <c r="J3333" s="12" t="str">
        <f>HYPERLINK("https://www.boe.es/gazeta/dias/1800/06/17/pdfs/GMD-1800-48.pdf#page=8","Abrir facsímil")</f>
        <v>Abrir facsímil</v>
      </c>
      <c r="K3333" s="15" t="s">
        <v>23</v>
      </c>
    </row>
    <row r="3334" spans="1:11" ht="42" customHeight="1">
      <c r="A3334" s="4" t="s">
        <v>8112</v>
      </c>
      <c r="B3334" s="5" t="s">
        <v>8113</v>
      </c>
      <c r="C3334" s="5" t="s">
        <v>54</v>
      </c>
      <c r="D3334" s="5" t="s">
        <v>55</v>
      </c>
      <c r="E3334" s="5" t="s">
        <v>20</v>
      </c>
      <c r="F3334" s="9">
        <v>104</v>
      </c>
      <c r="G3334" s="9">
        <v>1209</v>
      </c>
      <c r="H3334" s="5" t="s">
        <v>21</v>
      </c>
      <c r="I3334" s="5" t="s">
        <v>8115</v>
      </c>
      <c r="J3334" s="12" t="str">
        <f>HYPERLINK("https://www.boe.es/gazeta/dias/1800/12/26/pdfs/GMD-1800-104.pdf#page=9","Abrir facsímil")</f>
        <v>Abrir facsímil</v>
      </c>
      <c r="K3334" s="15" t="s">
        <v>23</v>
      </c>
    </row>
    <row r="3335" spans="1:11" ht="42" customHeight="1">
      <c r="A3335" s="4" t="s">
        <v>8116</v>
      </c>
      <c r="B3335" s="5" t="s">
        <v>8117</v>
      </c>
      <c r="C3335" s="5" t="s">
        <v>54</v>
      </c>
      <c r="D3335" s="5" t="s">
        <v>55</v>
      </c>
      <c r="E3335" s="5" t="s">
        <v>75</v>
      </c>
      <c r="F3335" s="9">
        <v>64</v>
      </c>
      <c r="G3335" s="9">
        <v>734</v>
      </c>
      <c r="H3335" s="5" t="s">
        <v>21</v>
      </c>
      <c r="I3335" s="5" t="s">
        <v>8118</v>
      </c>
      <c r="J3335" s="12" t="str">
        <f>HYPERLINK("https://www.boe.es/gazeta/dias/1800/08/12/pdfs/GMD-1800-64.pdf#page=10","Abrir facsímil")</f>
        <v>Abrir facsímil</v>
      </c>
      <c r="K3335" s="15" t="s">
        <v>23</v>
      </c>
    </row>
    <row r="3336" spans="1:11" ht="42" customHeight="1">
      <c r="A3336" s="4" t="s">
        <v>8116</v>
      </c>
      <c r="B3336" s="5" t="s">
        <v>8117</v>
      </c>
      <c r="C3336" s="5" t="s">
        <v>54</v>
      </c>
      <c r="D3336" s="5" t="s">
        <v>55</v>
      </c>
      <c r="E3336" s="5" t="s">
        <v>190</v>
      </c>
      <c r="F3336" s="9">
        <v>93</v>
      </c>
      <c r="G3336" s="9">
        <v>1068</v>
      </c>
      <c r="H3336" s="5" t="s">
        <v>21</v>
      </c>
      <c r="I3336" s="5" t="s">
        <v>8119</v>
      </c>
      <c r="J3336" s="12" t="str">
        <f>HYPERLINK("https://www.boe.es/gazeta/dias/1800/11/18/pdfs/GMD-1800-93.pdf#page=14","Abrir facsímil")</f>
        <v>Abrir facsímil</v>
      </c>
      <c r="K3336" s="15" t="s">
        <v>23</v>
      </c>
    </row>
    <row r="3337" spans="1:11" ht="42" customHeight="1">
      <c r="A3337" s="4" t="s">
        <v>8116</v>
      </c>
      <c r="B3337" s="5" t="s">
        <v>8117</v>
      </c>
      <c r="C3337" s="5" t="s">
        <v>54</v>
      </c>
      <c r="D3337" s="5" t="s">
        <v>55</v>
      </c>
      <c r="E3337" s="5" t="s">
        <v>203</v>
      </c>
      <c r="F3337" s="9">
        <v>94</v>
      </c>
      <c r="G3337" s="9">
        <v>1080</v>
      </c>
      <c r="H3337" s="5" t="s">
        <v>21</v>
      </c>
      <c r="I3337" s="5" t="s">
        <v>8120</v>
      </c>
      <c r="J3337" s="12" t="str">
        <f>HYPERLINK("https://www.boe.es/gazeta/dias/1800/11/21/pdfs/GMD-1800-94.pdf#page=10","Abrir facsímil")</f>
        <v>Abrir facsímil</v>
      </c>
      <c r="K3337" s="15" t="s">
        <v>23</v>
      </c>
    </row>
    <row r="3338" spans="1:11" ht="42" customHeight="1">
      <c r="A3338" s="4" t="s">
        <v>8121</v>
      </c>
      <c r="B3338" s="5" t="s">
        <v>8122</v>
      </c>
      <c r="C3338" s="5" t="s">
        <v>18</v>
      </c>
      <c r="D3338" s="5" t="s">
        <v>19</v>
      </c>
      <c r="E3338" s="5" t="s">
        <v>1213</v>
      </c>
      <c r="F3338" s="9">
        <v>4</v>
      </c>
      <c r="G3338" s="9">
        <v>36</v>
      </c>
      <c r="H3338" s="5" t="s">
        <v>21</v>
      </c>
      <c r="I3338" s="5" t="s">
        <v>8123</v>
      </c>
      <c r="J3338" s="12" t="str">
        <f>HYPERLINK("https://www.boe.es/gazeta/dias/1800/01/14/pdfs/GMD-1800-4.pdf#page=8","Abrir facsímil")</f>
        <v>Abrir facsímil</v>
      </c>
      <c r="K3338" s="15" t="s">
        <v>23</v>
      </c>
    </row>
    <row r="3339" spans="1:11" ht="42" customHeight="1">
      <c r="A3339" s="4" t="s">
        <v>8121</v>
      </c>
      <c r="B3339" s="5" t="s">
        <v>8122</v>
      </c>
      <c r="C3339" s="5" t="s">
        <v>171</v>
      </c>
      <c r="D3339" s="5" t="s">
        <v>172</v>
      </c>
      <c r="E3339" s="5" t="s">
        <v>45</v>
      </c>
      <c r="F3339" s="9">
        <v>47</v>
      </c>
      <c r="G3339" s="9">
        <v>506</v>
      </c>
      <c r="H3339" s="5" t="s">
        <v>21</v>
      </c>
      <c r="I3339" s="5" t="s">
        <v>8124</v>
      </c>
      <c r="J3339" s="12" t="str">
        <f>HYPERLINK("https://www.boe.es/gazeta/dias/1800/06/13/pdfs/GMD-C-1800-47.pdf#page=2","Abrir facsímil")</f>
        <v>Abrir facsímil</v>
      </c>
      <c r="K3339" s="15" t="s">
        <v>23</v>
      </c>
    </row>
    <row r="3340" spans="1:11" ht="42" customHeight="1">
      <c r="A3340" s="4" t="s">
        <v>8121</v>
      </c>
      <c r="B3340" s="5" t="s">
        <v>8122</v>
      </c>
      <c r="C3340" s="5" t="s">
        <v>18</v>
      </c>
      <c r="D3340" s="5" t="s">
        <v>19</v>
      </c>
      <c r="E3340" s="5" t="s">
        <v>75</v>
      </c>
      <c r="F3340" s="9">
        <v>64</v>
      </c>
      <c r="G3340" s="9">
        <v>733</v>
      </c>
      <c r="H3340" s="5" t="s">
        <v>21</v>
      </c>
      <c r="I3340" s="5" t="s">
        <v>8125</v>
      </c>
      <c r="J3340" s="12" t="str">
        <f>HYPERLINK("https://www.boe.es/gazeta/dias/1800/08/12/pdfs/GMD-1800-64.pdf#page=9","Abrir facsímil")</f>
        <v>Abrir facsímil</v>
      </c>
      <c r="K3340" s="15" t="s">
        <v>23</v>
      </c>
    </row>
    <row r="3341" spans="1:11" ht="42" customHeight="1">
      <c r="A3341" s="4" t="s">
        <v>8126</v>
      </c>
      <c r="B3341" s="5" t="s">
        <v>8127</v>
      </c>
      <c r="C3341" s="5" t="s">
        <v>25</v>
      </c>
      <c r="D3341" s="5" t="s">
        <v>26</v>
      </c>
      <c r="E3341" s="5" t="s">
        <v>60</v>
      </c>
      <c r="F3341" s="9">
        <v>105</v>
      </c>
      <c r="G3341" s="9">
        <v>1226</v>
      </c>
      <c r="H3341" s="5" t="s">
        <v>21</v>
      </c>
      <c r="I3341" s="5" t="s">
        <v>8128</v>
      </c>
      <c r="J3341" s="12" t="str">
        <f>HYPERLINK("https://www.boe.es/gazeta/dias/1800/12/30/pdfs/GMD-1800-105.pdf#page=10","Abrir facsímil")</f>
        <v>Abrir facsímil</v>
      </c>
      <c r="K3341" s="15" t="s">
        <v>23</v>
      </c>
    </row>
    <row r="3342" spans="1:11" ht="42" customHeight="1">
      <c r="A3342" s="4" t="s">
        <v>8129</v>
      </c>
      <c r="B3342" s="5" t="s">
        <v>8130</v>
      </c>
      <c r="C3342" s="5" t="s">
        <v>18</v>
      </c>
      <c r="D3342" s="5" t="s">
        <v>19</v>
      </c>
      <c r="E3342" s="5" t="s">
        <v>567</v>
      </c>
      <c r="F3342" s="9">
        <v>3</v>
      </c>
      <c r="G3342" s="9">
        <v>27</v>
      </c>
      <c r="H3342" s="5" t="s">
        <v>21</v>
      </c>
      <c r="I3342" s="5" t="s">
        <v>8131</v>
      </c>
      <c r="J3342" s="12" t="str">
        <f>HYPERLINK("https://www.boe.es/gazeta/dias/1800/01/10/pdfs/GMD-1800-3.pdf#page=7","Abrir facsímil")</f>
        <v>Abrir facsímil</v>
      </c>
      <c r="K3342" s="15" t="s">
        <v>23</v>
      </c>
    </row>
    <row r="3343" spans="1:11" ht="42" customHeight="1">
      <c r="A3343" s="4" t="s">
        <v>8132</v>
      </c>
      <c r="B3343" s="5" t="s">
        <v>8133</v>
      </c>
      <c r="C3343" s="5" t="s">
        <v>18</v>
      </c>
      <c r="D3343" s="5" t="s">
        <v>19</v>
      </c>
      <c r="E3343" s="5" t="s">
        <v>184</v>
      </c>
      <c r="F3343" s="9">
        <v>82</v>
      </c>
      <c r="G3343" s="9">
        <v>953</v>
      </c>
      <c r="H3343" s="5" t="s">
        <v>21</v>
      </c>
      <c r="I3343" s="5" t="s">
        <v>8134</v>
      </c>
      <c r="J3343" s="12" t="str">
        <f>HYPERLINK("https://www.boe.es/gazeta/dias/1800/10/10/pdfs/GMD-1800-82.pdf#page=11","Abrir facsímil")</f>
        <v>Abrir facsímil</v>
      </c>
      <c r="K3343" s="15" t="s">
        <v>23</v>
      </c>
    </row>
    <row r="3344" spans="1:11" ht="42" customHeight="1">
      <c r="A3344" s="4" t="s">
        <v>8135</v>
      </c>
      <c r="B3344" s="5" t="s">
        <v>8136</v>
      </c>
      <c r="C3344" s="5" t="s">
        <v>25</v>
      </c>
      <c r="D3344" s="5" t="s">
        <v>26</v>
      </c>
      <c r="E3344" s="5" t="s">
        <v>45</v>
      </c>
      <c r="F3344" s="9">
        <v>47</v>
      </c>
      <c r="G3344" s="9">
        <v>502</v>
      </c>
      <c r="H3344" s="5" t="s">
        <v>21</v>
      </c>
      <c r="I3344" s="5" t="s">
        <v>8137</v>
      </c>
      <c r="J3344" s="12" t="str">
        <f>HYPERLINK("https://www.boe.es/gazeta/dias/1800/06/13/pdfs/GMD-1800-47.pdf#page=10","Abrir facsímil")</f>
        <v>Abrir facsímil</v>
      </c>
      <c r="K3344" s="15" t="s">
        <v>23</v>
      </c>
    </row>
    <row r="3345" spans="1:11" ht="42" customHeight="1">
      <c r="A3345" s="4" t="s">
        <v>8138</v>
      </c>
      <c r="B3345" s="5" t="s">
        <v>8139</v>
      </c>
      <c r="C3345" s="5" t="s">
        <v>25</v>
      </c>
      <c r="D3345" s="5" t="s">
        <v>26</v>
      </c>
      <c r="E3345" s="5" t="s">
        <v>279</v>
      </c>
      <c r="F3345" s="9">
        <v>103</v>
      </c>
      <c r="G3345" s="9">
        <v>1196</v>
      </c>
      <c r="H3345" s="5" t="s">
        <v>21</v>
      </c>
      <c r="I3345" s="5" t="s">
        <v>8140</v>
      </c>
      <c r="J3345" s="12" t="str">
        <f>HYPERLINK("https://www.boe.es/gazeta/dias/1800/12/23/pdfs/GMD-1800-103.pdf#page=8","Abrir facsímil")</f>
        <v>Abrir facsímil</v>
      </c>
      <c r="K3345" s="15" t="s">
        <v>23</v>
      </c>
    </row>
    <row r="3346" spans="1:11" ht="42" customHeight="1">
      <c r="A3346" s="4" t="s">
        <v>8141</v>
      </c>
      <c r="B3346" s="5" t="s">
        <v>8142</v>
      </c>
      <c r="C3346" s="5" t="s">
        <v>54</v>
      </c>
      <c r="D3346" s="5" t="s">
        <v>55</v>
      </c>
      <c r="E3346" s="5" t="s">
        <v>600</v>
      </c>
      <c r="F3346" s="9">
        <v>45</v>
      </c>
      <c r="G3346" s="9">
        <v>473</v>
      </c>
      <c r="H3346" s="5" t="s">
        <v>21</v>
      </c>
      <c r="I3346" s="5" t="s">
        <v>8143</v>
      </c>
      <c r="J3346" s="12" t="str">
        <f>HYPERLINK("https://www.boe.es/gazeta/dias/1800/06/06/pdfs/GMD-1800-45.pdf#page=9","Abrir facsímil")</f>
        <v>Abrir facsímil</v>
      </c>
      <c r="K3346" s="15" t="s">
        <v>23</v>
      </c>
    </row>
    <row r="3347" spans="1:11" ht="42" customHeight="1">
      <c r="A3347" s="4" t="s">
        <v>8144</v>
      </c>
      <c r="B3347" s="5" t="s">
        <v>8144</v>
      </c>
      <c r="C3347" s="5" t="s">
        <v>18</v>
      </c>
      <c r="D3347" s="5" t="s">
        <v>19</v>
      </c>
      <c r="E3347" s="5" t="s">
        <v>1213</v>
      </c>
      <c r="F3347" s="9">
        <v>4</v>
      </c>
      <c r="G3347" s="9">
        <v>40</v>
      </c>
      <c r="H3347" s="5" t="s">
        <v>21</v>
      </c>
      <c r="I3347" s="5" t="s">
        <v>8145</v>
      </c>
      <c r="J3347" s="12" t="str">
        <f>HYPERLINK("https://www.boe.es/gazeta/dias/1800/01/14/pdfs/GMD-1800-4.pdf#page=12","Abrir facsímil")</f>
        <v>Abrir facsímil</v>
      </c>
      <c r="K3347" s="15" t="s">
        <v>23</v>
      </c>
    </row>
    <row r="3348" spans="1:11" ht="42" customHeight="1">
      <c r="A3348" s="4" t="s">
        <v>8144</v>
      </c>
      <c r="B3348" s="5" t="s">
        <v>8144</v>
      </c>
      <c r="C3348" s="5" t="s">
        <v>18</v>
      </c>
      <c r="D3348" s="5" t="s">
        <v>19</v>
      </c>
      <c r="E3348" s="5" t="s">
        <v>190</v>
      </c>
      <c r="F3348" s="9">
        <v>93</v>
      </c>
      <c r="G3348" s="9">
        <v>1069</v>
      </c>
      <c r="H3348" s="5" t="s">
        <v>21</v>
      </c>
      <c r="I3348" s="5" t="s">
        <v>8146</v>
      </c>
      <c r="J3348" s="12" t="str">
        <f>HYPERLINK("https://www.boe.es/gazeta/dias/1800/11/18/pdfs/GMD-1800-93.pdf#page=15","Abrir facsímil")</f>
        <v>Abrir facsímil</v>
      </c>
      <c r="K3348" s="15" t="s">
        <v>23</v>
      </c>
    </row>
    <row r="3349" spans="1:11" ht="42" customHeight="1">
      <c r="A3349" s="4" t="s">
        <v>8147</v>
      </c>
      <c r="B3349" s="5" t="s">
        <v>8148</v>
      </c>
      <c r="C3349" s="5" t="s">
        <v>18</v>
      </c>
      <c r="D3349" s="5" t="s">
        <v>19</v>
      </c>
      <c r="E3349" s="5" t="s">
        <v>843</v>
      </c>
      <c r="F3349" s="9">
        <v>78</v>
      </c>
      <c r="G3349" s="9">
        <v>890</v>
      </c>
      <c r="H3349" s="5" t="s">
        <v>21</v>
      </c>
      <c r="I3349" s="5" t="s">
        <v>8149</v>
      </c>
      <c r="J3349" s="12" t="str">
        <f>HYPERLINK("https://www.boe.es/gazeta/dias/1800/09/26/pdfs/GMD-1800-78.pdf#page=8","Abrir facsímil")</f>
        <v>Abrir facsímil</v>
      </c>
      <c r="K3349" s="15" t="s">
        <v>23</v>
      </c>
    </row>
    <row r="3350" spans="1:11" ht="42" customHeight="1">
      <c r="A3350" s="4" t="s">
        <v>8150</v>
      </c>
      <c r="B3350" s="5" t="s">
        <v>8151</v>
      </c>
      <c r="C3350" s="5" t="s">
        <v>18</v>
      </c>
      <c r="D3350" s="5" t="s">
        <v>19</v>
      </c>
      <c r="E3350" s="5" t="s">
        <v>787</v>
      </c>
      <c r="F3350" s="9">
        <v>6</v>
      </c>
      <c r="G3350" s="9">
        <v>59</v>
      </c>
      <c r="H3350" s="5" t="s">
        <v>21</v>
      </c>
      <c r="I3350" s="5" t="s">
        <v>8152</v>
      </c>
      <c r="J3350" s="12" t="str">
        <f>HYPERLINK("https://www.boe.es/gazeta/dias/1800/01/21/pdfs/GMD-1800-6.pdf#page=11","Abrir facsímil")</f>
        <v>Abrir facsímil</v>
      </c>
      <c r="K3350" s="15" t="s">
        <v>23</v>
      </c>
    </row>
    <row r="3351" spans="1:11" ht="42" customHeight="1">
      <c r="A3351" s="4" t="s">
        <v>8150</v>
      </c>
      <c r="B3351" s="5" t="s">
        <v>8151</v>
      </c>
      <c r="C3351" s="5" t="s">
        <v>18</v>
      </c>
      <c r="D3351" s="5" t="s">
        <v>19</v>
      </c>
      <c r="E3351" s="5" t="s">
        <v>82</v>
      </c>
      <c r="F3351" s="9">
        <v>10</v>
      </c>
      <c r="G3351" s="9">
        <v>98</v>
      </c>
      <c r="H3351" s="5" t="s">
        <v>21</v>
      </c>
      <c r="I3351" s="5" t="s">
        <v>8153</v>
      </c>
      <c r="J3351" s="12" t="str">
        <f>HYPERLINK("https://www.boe.es/gazeta/dias/1800/02/04/pdfs/GMD-1800-10.pdf#page=10","Abrir facsímil")</f>
        <v>Abrir facsímil</v>
      </c>
      <c r="K3351" s="15" t="s">
        <v>23</v>
      </c>
    </row>
    <row r="3352" spans="1:11" ht="42" customHeight="1">
      <c r="A3352" s="4" t="s">
        <v>8150</v>
      </c>
      <c r="B3352" s="5" t="s">
        <v>8151</v>
      </c>
      <c r="C3352" s="5" t="s">
        <v>18</v>
      </c>
      <c r="D3352" s="5" t="s">
        <v>19</v>
      </c>
      <c r="E3352" s="5" t="s">
        <v>1127</v>
      </c>
      <c r="F3352" s="9">
        <v>11</v>
      </c>
      <c r="G3352" s="9">
        <v>107</v>
      </c>
      <c r="H3352" s="5" t="s">
        <v>21</v>
      </c>
      <c r="I3352" s="5" t="s">
        <v>8154</v>
      </c>
      <c r="J3352" s="12" t="str">
        <f>HYPERLINK("https://www.boe.es/gazeta/dias/1800/02/07/pdfs/GMD-1800-11.pdf#page=7","Abrir facsímil")</f>
        <v>Abrir facsímil</v>
      </c>
      <c r="K3352" s="15" t="s">
        <v>23</v>
      </c>
    </row>
    <row r="3353" spans="1:11" ht="42" customHeight="1">
      <c r="A3353" s="4" t="s">
        <v>8150</v>
      </c>
      <c r="B3353" s="5" t="s">
        <v>8151</v>
      </c>
      <c r="C3353" s="5" t="s">
        <v>18</v>
      </c>
      <c r="D3353" s="5" t="s">
        <v>19</v>
      </c>
      <c r="E3353" s="5" t="s">
        <v>124</v>
      </c>
      <c r="F3353" s="9">
        <v>16</v>
      </c>
      <c r="G3353" s="9">
        <v>152</v>
      </c>
      <c r="H3353" s="5" t="s">
        <v>21</v>
      </c>
      <c r="I3353" s="5" t="s">
        <v>8155</v>
      </c>
      <c r="J3353" s="12" t="str">
        <f>HYPERLINK("https://www.boe.es/gazeta/dias/1800/02/25/pdfs/GMD-1800-16.pdf#page=8","Abrir facsímil")</f>
        <v>Abrir facsímil</v>
      </c>
      <c r="K3353" s="15" t="s">
        <v>23</v>
      </c>
    </row>
    <row r="3354" spans="1:11" ht="42" customHeight="1">
      <c r="A3354" s="4" t="s">
        <v>8150</v>
      </c>
      <c r="B3354" s="5" t="s">
        <v>8151</v>
      </c>
      <c r="C3354" s="5" t="s">
        <v>18</v>
      </c>
      <c r="D3354" s="5" t="s">
        <v>19</v>
      </c>
      <c r="E3354" s="5" t="s">
        <v>31</v>
      </c>
      <c r="F3354" s="9">
        <v>20</v>
      </c>
      <c r="G3354" s="9">
        <v>195</v>
      </c>
      <c r="H3354" s="5" t="s">
        <v>21</v>
      </c>
      <c r="I3354" s="5" t="s">
        <v>8156</v>
      </c>
      <c r="J3354" s="12" t="str">
        <f>HYPERLINK("https://www.boe.es/gazeta/dias/1800/03/11/pdfs/GMD-1800-20.pdf#page=11","Abrir facsímil")</f>
        <v>Abrir facsímil</v>
      </c>
      <c r="K3354" s="15" t="s">
        <v>23</v>
      </c>
    </row>
    <row r="3355" spans="1:11" ht="42" customHeight="1">
      <c r="A3355" s="4" t="s">
        <v>8150</v>
      </c>
      <c r="B3355" s="5" t="s">
        <v>8151</v>
      </c>
      <c r="C3355" s="5" t="s">
        <v>18</v>
      </c>
      <c r="D3355" s="5" t="s">
        <v>19</v>
      </c>
      <c r="E3355" s="5" t="s">
        <v>143</v>
      </c>
      <c r="F3355" s="9">
        <v>22</v>
      </c>
      <c r="G3355" s="9">
        <v>222</v>
      </c>
      <c r="H3355" s="5" t="s">
        <v>21</v>
      </c>
      <c r="I3355" s="5" t="s">
        <v>8157</v>
      </c>
      <c r="J3355" s="12" t="str">
        <f>HYPERLINK("https://www.boe.es/gazeta/dias/1800/03/18/pdfs/GMD-1800-22.pdf#page=14","Abrir facsímil")</f>
        <v>Abrir facsímil</v>
      </c>
      <c r="K3355" s="15" t="s">
        <v>23</v>
      </c>
    </row>
    <row r="3356" spans="1:11" ht="42" customHeight="1">
      <c r="A3356" s="4" t="s">
        <v>8150</v>
      </c>
      <c r="B3356" s="5" t="s">
        <v>8151</v>
      </c>
      <c r="C3356" s="5" t="s">
        <v>18</v>
      </c>
      <c r="D3356" s="5" t="s">
        <v>19</v>
      </c>
      <c r="E3356" s="5" t="s">
        <v>346</v>
      </c>
      <c r="F3356" s="9">
        <v>24</v>
      </c>
      <c r="G3356" s="9">
        <v>247</v>
      </c>
      <c r="H3356" s="5" t="s">
        <v>21</v>
      </c>
      <c r="I3356" s="5" t="s">
        <v>8158</v>
      </c>
      <c r="J3356" s="12" t="str">
        <f>HYPERLINK("https://www.boe.es/gazeta/dias/1800/03/25/pdfs/GMD-1800-24.pdf#page=11","Abrir facsímil")</f>
        <v>Abrir facsímil</v>
      </c>
      <c r="K3356" s="15" t="s">
        <v>23</v>
      </c>
    </row>
    <row r="3357" spans="1:11" ht="42" customHeight="1">
      <c r="A3357" s="4" t="s">
        <v>8150</v>
      </c>
      <c r="B3357" s="5" t="s">
        <v>8151</v>
      </c>
      <c r="C3357" s="5" t="s">
        <v>18</v>
      </c>
      <c r="D3357" s="5" t="s">
        <v>19</v>
      </c>
      <c r="E3357" s="5" t="s">
        <v>226</v>
      </c>
      <c r="F3357" s="9">
        <v>27</v>
      </c>
      <c r="G3357" s="9">
        <v>283</v>
      </c>
      <c r="H3357" s="5" t="s">
        <v>21</v>
      </c>
      <c r="I3357" s="5" t="s">
        <v>8159</v>
      </c>
      <c r="J3357" s="12" t="str">
        <f>HYPERLINK("https://www.boe.es/gazeta/dias/1800/04/04/pdfs/GMD-1800-27.pdf#page=11","Abrir facsímil")</f>
        <v>Abrir facsímil</v>
      </c>
      <c r="K3357" s="15" t="s">
        <v>23</v>
      </c>
    </row>
    <row r="3358" spans="1:11" ht="42" customHeight="1">
      <c r="A3358" s="4" t="s">
        <v>8150</v>
      </c>
      <c r="B3358" s="5" t="s">
        <v>8151</v>
      </c>
      <c r="C3358" s="5" t="s">
        <v>18</v>
      </c>
      <c r="D3358" s="5" t="s">
        <v>19</v>
      </c>
      <c r="E3358" s="5" t="s">
        <v>105</v>
      </c>
      <c r="F3358" s="9">
        <v>28</v>
      </c>
      <c r="G3358" s="9">
        <v>291</v>
      </c>
      <c r="H3358" s="5" t="s">
        <v>21</v>
      </c>
      <c r="I3358" s="5" t="s">
        <v>8160</v>
      </c>
      <c r="J3358" s="12" t="str">
        <f>HYPERLINK("https://www.boe.es/gazeta/dias/1800/04/08/pdfs/GMD-1800-28.pdf#page=7","Abrir facsímil")</f>
        <v>Abrir facsímil</v>
      </c>
      <c r="K3358" s="15" t="s">
        <v>23</v>
      </c>
    </row>
    <row r="3359" spans="1:11" ht="42" customHeight="1">
      <c r="A3359" s="4" t="s">
        <v>8150</v>
      </c>
      <c r="B3359" s="5" t="s">
        <v>8151</v>
      </c>
      <c r="C3359" s="5" t="s">
        <v>18</v>
      </c>
      <c r="D3359" s="5" t="s">
        <v>19</v>
      </c>
      <c r="E3359" s="5" t="s">
        <v>105</v>
      </c>
      <c r="F3359" s="9">
        <v>28</v>
      </c>
      <c r="G3359" s="9">
        <v>292</v>
      </c>
      <c r="H3359" s="5" t="s">
        <v>21</v>
      </c>
      <c r="I3359" s="5" t="s">
        <v>8161</v>
      </c>
      <c r="J3359" s="12" t="str">
        <f>HYPERLINK("https://www.boe.es/gazeta/dias/1800/04/08/pdfs/GMD-1800-28.pdf#page=8","Abrir facsímil")</f>
        <v>Abrir facsímil</v>
      </c>
      <c r="K3359" s="15" t="s">
        <v>23</v>
      </c>
    </row>
    <row r="3360" spans="1:11" ht="42" customHeight="1">
      <c r="A3360" s="4" t="s">
        <v>8150</v>
      </c>
      <c r="B3360" s="5" t="s">
        <v>8151</v>
      </c>
      <c r="C3360" s="5" t="s">
        <v>54</v>
      </c>
      <c r="D3360" s="5" t="s">
        <v>55</v>
      </c>
      <c r="E3360" s="5" t="s">
        <v>1108</v>
      </c>
      <c r="F3360" s="9">
        <v>30</v>
      </c>
      <c r="G3360" s="9">
        <v>307</v>
      </c>
      <c r="H3360" s="5" t="s">
        <v>21</v>
      </c>
      <c r="I3360" s="5" t="s">
        <v>8162</v>
      </c>
      <c r="J3360" s="12" t="str">
        <f>HYPERLINK("https://www.boe.es/gazeta/dias/1800/04/15/pdfs/GMD-1800-30.pdf#page=7","Abrir facsímil")</f>
        <v>Abrir facsímil</v>
      </c>
      <c r="K3360" s="15" t="s">
        <v>23</v>
      </c>
    </row>
    <row r="3361" spans="1:11" ht="42" customHeight="1">
      <c r="A3361" s="4" t="s">
        <v>8150</v>
      </c>
      <c r="B3361" s="5" t="s">
        <v>8151</v>
      </c>
      <c r="C3361" s="5" t="s">
        <v>18</v>
      </c>
      <c r="D3361" s="5" t="s">
        <v>19</v>
      </c>
      <c r="E3361" s="5" t="s">
        <v>598</v>
      </c>
      <c r="F3361" s="9">
        <v>32</v>
      </c>
      <c r="G3361" s="9">
        <v>323</v>
      </c>
      <c r="H3361" s="5" t="s">
        <v>21</v>
      </c>
      <c r="I3361" s="5" t="s">
        <v>8163</v>
      </c>
      <c r="J3361" s="12" t="str">
        <f>HYPERLINK("https://www.boe.es/gazeta/dias/1800/04/22/pdfs/GMD-1800-32.pdf#page=7","Abrir facsímil")</f>
        <v>Abrir facsímil</v>
      </c>
      <c r="K3361" s="15" t="s">
        <v>23</v>
      </c>
    </row>
    <row r="3362" spans="1:11" ht="42" customHeight="1">
      <c r="A3362" s="4" t="s">
        <v>8150</v>
      </c>
      <c r="B3362" s="5" t="s">
        <v>8151</v>
      </c>
      <c r="C3362" s="5" t="s">
        <v>18</v>
      </c>
      <c r="D3362" s="5" t="s">
        <v>19</v>
      </c>
      <c r="E3362" s="5" t="s">
        <v>248</v>
      </c>
      <c r="F3362" s="9">
        <v>33</v>
      </c>
      <c r="G3362" s="9">
        <v>335</v>
      </c>
      <c r="H3362" s="5" t="s">
        <v>21</v>
      </c>
      <c r="I3362" s="5" t="s">
        <v>8164</v>
      </c>
      <c r="J3362" s="12" t="str">
        <f>HYPERLINK("https://www.boe.es/gazeta/dias/1800/04/25/pdfs/GMD-1800-33.pdf#page=11","Abrir facsímil")</f>
        <v>Abrir facsímil</v>
      </c>
      <c r="K3362" s="15" t="s">
        <v>23</v>
      </c>
    </row>
    <row r="3363" spans="1:11" ht="42" customHeight="1">
      <c r="A3363" s="4" t="s">
        <v>8150</v>
      </c>
      <c r="B3363" s="5" t="s">
        <v>8151</v>
      </c>
      <c r="C3363" s="5" t="s">
        <v>18</v>
      </c>
      <c r="D3363" s="5" t="s">
        <v>19</v>
      </c>
      <c r="E3363" s="5" t="s">
        <v>478</v>
      </c>
      <c r="F3363" s="9">
        <v>34</v>
      </c>
      <c r="G3363" s="9">
        <v>347</v>
      </c>
      <c r="H3363" s="5" t="s">
        <v>21</v>
      </c>
      <c r="I3363" s="5" t="s">
        <v>8165</v>
      </c>
      <c r="J3363" s="12" t="str">
        <f>HYPERLINK("https://www.boe.es/gazeta/dias/1800/04/29/pdfs/GMD-1800-34.pdf#page=11","Abrir facsímil")</f>
        <v>Abrir facsímil</v>
      </c>
      <c r="K3363" s="15" t="s">
        <v>23</v>
      </c>
    </row>
    <row r="3364" spans="1:11" ht="42" customHeight="1">
      <c r="A3364" s="4" t="s">
        <v>8150</v>
      </c>
      <c r="B3364" s="5" t="s">
        <v>8151</v>
      </c>
      <c r="C3364" s="5" t="s">
        <v>18</v>
      </c>
      <c r="D3364" s="5" t="s">
        <v>19</v>
      </c>
      <c r="E3364" s="5" t="s">
        <v>230</v>
      </c>
      <c r="F3364" s="9">
        <v>35</v>
      </c>
      <c r="G3364" s="9">
        <v>355</v>
      </c>
      <c r="H3364" s="5" t="s">
        <v>21</v>
      </c>
      <c r="I3364" s="5" t="s">
        <v>8166</v>
      </c>
      <c r="J3364" s="12" t="str">
        <f>HYPERLINK("https://www.boe.es/gazeta/dias/1800/05/02/pdfs/GMD-1800-35.pdf#page=7","Abrir facsímil")</f>
        <v>Abrir facsímil</v>
      </c>
      <c r="K3364" s="15" t="s">
        <v>23</v>
      </c>
    </row>
    <row r="3365" spans="1:11" ht="42" customHeight="1">
      <c r="A3365" s="4" t="s">
        <v>8150</v>
      </c>
      <c r="B3365" s="5" t="s">
        <v>8151</v>
      </c>
      <c r="C3365" s="5" t="s">
        <v>18</v>
      </c>
      <c r="D3365" s="5" t="s">
        <v>19</v>
      </c>
      <c r="E3365" s="5" t="s">
        <v>420</v>
      </c>
      <c r="F3365" s="9">
        <v>38</v>
      </c>
      <c r="G3365" s="9">
        <v>390</v>
      </c>
      <c r="H3365" s="5" t="s">
        <v>21</v>
      </c>
      <c r="I3365" s="5" t="s">
        <v>8167</v>
      </c>
      <c r="J3365" s="12" t="str">
        <f>HYPERLINK("https://www.boe.es/gazeta/dias/1800/05/13/pdfs/GMD-1800-38.pdf#page=10","Abrir facsímil")</f>
        <v>Abrir facsímil</v>
      </c>
      <c r="K3365" s="15" t="s">
        <v>23</v>
      </c>
    </row>
    <row r="3366" spans="1:11" ht="42" customHeight="1">
      <c r="A3366" s="4" t="s">
        <v>8150</v>
      </c>
      <c r="B3366" s="5" t="s">
        <v>8151</v>
      </c>
      <c r="C3366" s="5" t="s">
        <v>54</v>
      </c>
      <c r="D3366" s="5" t="s">
        <v>55</v>
      </c>
      <c r="E3366" s="5" t="s">
        <v>299</v>
      </c>
      <c r="F3366" s="9">
        <v>40</v>
      </c>
      <c r="G3366" s="9">
        <v>416</v>
      </c>
      <c r="H3366" s="5" t="s">
        <v>21</v>
      </c>
      <c r="I3366" s="5" t="s">
        <v>8168</v>
      </c>
      <c r="J3366" s="12" t="str">
        <f>HYPERLINK("https://www.boe.es/gazeta/dias/1800/05/20/pdfs/GMD-1800-40.pdf#page=12","Abrir facsímil")</f>
        <v>Abrir facsímil</v>
      </c>
      <c r="K3366" s="15" t="s">
        <v>23</v>
      </c>
    </row>
    <row r="3367" spans="1:11" ht="42" customHeight="1">
      <c r="A3367" s="4" t="s">
        <v>8150</v>
      </c>
      <c r="B3367" s="5" t="s">
        <v>8151</v>
      </c>
      <c r="C3367" s="5" t="s">
        <v>171</v>
      </c>
      <c r="D3367" s="5" t="s">
        <v>172</v>
      </c>
      <c r="E3367" s="5" t="s">
        <v>2338</v>
      </c>
      <c r="F3367" s="9">
        <v>42</v>
      </c>
      <c r="G3367" s="9">
        <v>437</v>
      </c>
      <c r="H3367" s="5" t="s">
        <v>21</v>
      </c>
      <c r="I3367" s="5" t="s">
        <v>8169</v>
      </c>
      <c r="J3367" s="12" t="str">
        <f>HYPERLINK("https://www.boe.es/gazeta/dias/1800/05/27/pdfs/GMD-C-1800-42.pdf#page=1","Abrir facsímil")</f>
        <v>Abrir facsímil</v>
      </c>
      <c r="K3367" s="15" t="s">
        <v>23</v>
      </c>
    </row>
    <row r="3368" spans="1:11" ht="42" customHeight="1">
      <c r="A3368" s="4" t="s">
        <v>8150</v>
      </c>
      <c r="B3368" s="5" t="s">
        <v>8151</v>
      </c>
      <c r="C3368" s="5" t="s">
        <v>18</v>
      </c>
      <c r="D3368" s="5" t="s">
        <v>19</v>
      </c>
      <c r="E3368" s="5" t="s">
        <v>39</v>
      </c>
      <c r="F3368" s="9">
        <v>43</v>
      </c>
      <c r="G3368" s="9">
        <v>451</v>
      </c>
      <c r="H3368" s="5" t="s">
        <v>21</v>
      </c>
      <c r="I3368" s="5" t="s">
        <v>8170</v>
      </c>
      <c r="J3368" s="12" t="str">
        <f>HYPERLINK("https://www.boe.es/gazeta/dias/1800/05/30/pdfs/GMD-1800-43.pdf#page=11","Abrir facsímil")</f>
        <v>Abrir facsímil</v>
      </c>
      <c r="K3368" s="15" t="s">
        <v>23</v>
      </c>
    </row>
    <row r="3369" spans="1:11" ht="42" customHeight="1">
      <c r="A3369" s="4" t="s">
        <v>8150</v>
      </c>
      <c r="B3369" s="5" t="s">
        <v>8151</v>
      </c>
      <c r="C3369" s="5" t="s">
        <v>84</v>
      </c>
      <c r="D3369" s="5" t="s">
        <v>85</v>
      </c>
      <c r="E3369" s="5" t="s">
        <v>406</v>
      </c>
      <c r="F3369" s="9">
        <v>44</v>
      </c>
      <c r="G3369" s="9">
        <v>462</v>
      </c>
      <c r="H3369" s="5" t="s">
        <v>21</v>
      </c>
      <c r="I3369" s="5" t="s">
        <v>8171</v>
      </c>
      <c r="J3369" s="12" t="str">
        <f>HYPERLINK("https://www.boe.es/gazeta/dias/1800/06/03/pdfs/GMD-1800-44.pdf#page=10","Abrir facsímil")</f>
        <v>Abrir facsímil</v>
      </c>
      <c r="K3369" s="15" t="s">
        <v>23</v>
      </c>
    </row>
    <row r="3370" spans="1:11" ht="42" customHeight="1">
      <c r="A3370" s="4" t="s">
        <v>8150</v>
      </c>
      <c r="B3370" s="5" t="s">
        <v>8151</v>
      </c>
      <c r="C3370" s="5" t="s">
        <v>54</v>
      </c>
      <c r="D3370" s="5" t="s">
        <v>55</v>
      </c>
      <c r="E3370" s="5" t="s">
        <v>600</v>
      </c>
      <c r="F3370" s="9">
        <v>45</v>
      </c>
      <c r="G3370" s="9">
        <v>472</v>
      </c>
      <c r="H3370" s="5" t="s">
        <v>21</v>
      </c>
      <c r="I3370" s="5" t="s">
        <v>8172</v>
      </c>
      <c r="J3370" s="12" t="str">
        <f>HYPERLINK("https://www.boe.es/gazeta/dias/1800/06/06/pdfs/GMD-1800-45.pdf#page=8","Abrir facsímil")</f>
        <v>Abrir facsímil</v>
      </c>
      <c r="K3370" s="15" t="s">
        <v>23</v>
      </c>
    </row>
    <row r="3371" spans="1:11" ht="42" customHeight="1">
      <c r="A3371" s="4" t="s">
        <v>8150</v>
      </c>
      <c r="B3371" s="5" t="s">
        <v>8151</v>
      </c>
      <c r="C3371" s="5" t="s">
        <v>84</v>
      </c>
      <c r="D3371" s="5" t="s">
        <v>85</v>
      </c>
      <c r="E3371" s="5" t="s">
        <v>823</v>
      </c>
      <c r="F3371" s="9">
        <v>50</v>
      </c>
      <c r="G3371" s="9">
        <v>546</v>
      </c>
      <c r="H3371" s="5" t="s">
        <v>21</v>
      </c>
      <c r="I3371" s="5" t="s">
        <v>8173</v>
      </c>
      <c r="J3371" s="12" t="str">
        <f>HYPERLINK("https://www.boe.es/gazeta/dias/1800/06/24/pdfs/GMD-1800-50.pdf#page=10","Abrir facsímil")</f>
        <v>Abrir facsímil</v>
      </c>
      <c r="K3371" s="15" t="s">
        <v>23</v>
      </c>
    </row>
    <row r="3372" spans="1:11" ht="42" customHeight="1">
      <c r="A3372" s="4" t="s">
        <v>8150</v>
      </c>
      <c r="B3372" s="5" t="s">
        <v>8151</v>
      </c>
      <c r="C3372" s="5" t="s">
        <v>54</v>
      </c>
      <c r="D3372" s="5" t="s">
        <v>55</v>
      </c>
      <c r="E3372" s="5" t="s">
        <v>825</v>
      </c>
      <c r="F3372" s="9">
        <v>51</v>
      </c>
      <c r="G3372" s="9">
        <v>563</v>
      </c>
      <c r="H3372" s="5" t="s">
        <v>21</v>
      </c>
      <c r="I3372" s="5" t="s">
        <v>8174</v>
      </c>
      <c r="J3372" s="12" t="str">
        <f>HYPERLINK("https://www.boe.es/gazeta/dias/1800/06/27/pdfs/GMD-1800-51.pdf#page=15","Abrir facsímil")</f>
        <v>Abrir facsímil</v>
      </c>
      <c r="K3372" s="15" t="s">
        <v>23</v>
      </c>
    </row>
    <row r="3373" spans="1:11" ht="42" customHeight="1">
      <c r="A3373" s="4" t="s">
        <v>8150</v>
      </c>
      <c r="B3373" s="5" t="s">
        <v>8151</v>
      </c>
      <c r="C3373" s="5" t="s">
        <v>171</v>
      </c>
      <c r="D3373" s="5" t="s">
        <v>172</v>
      </c>
      <c r="E3373" s="5" t="s">
        <v>120</v>
      </c>
      <c r="F3373" s="9">
        <v>52</v>
      </c>
      <c r="G3373" s="9">
        <v>577</v>
      </c>
      <c r="H3373" s="5" t="s">
        <v>21</v>
      </c>
      <c r="I3373" s="5" t="s">
        <v>8175</v>
      </c>
      <c r="J3373" s="12" t="str">
        <f>HYPERLINK("https://www.boe.es/gazeta/dias/1800/07/01/pdfs/GMD-C-1800-52.pdf#page=1","Abrir facsímil")</f>
        <v>Abrir facsímil</v>
      </c>
      <c r="K3373" s="15" t="s">
        <v>23</v>
      </c>
    </row>
    <row r="3374" spans="1:11" ht="42" customHeight="1">
      <c r="A3374" s="4" t="s">
        <v>8150</v>
      </c>
      <c r="B3374" s="5" t="s">
        <v>8151</v>
      </c>
      <c r="C3374" s="5" t="s">
        <v>171</v>
      </c>
      <c r="D3374" s="5" t="s">
        <v>172</v>
      </c>
      <c r="E3374" s="5" t="s">
        <v>828</v>
      </c>
      <c r="F3374" s="9">
        <v>53</v>
      </c>
      <c r="G3374" s="9">
        <v>593</v>
      </c>
      <c r="H3374" s="5" t="s">
        <v>21</v>
      </c>
      <c r="I3374" s="5" t="s">
        <v>8176</v>
      </c>
      <c r="J3374" s="12" t="str">
        <f>HYPERLINK("https://www.boe.es/gazeta/dias/1800/07/04/pdfs/GMD-C-1800-53.pdf#page=1","Abrir facsímil")</f>
        <v>Abrir facsímil</v>
      </c>
      <c r="K3374" s="15" t="s">
        <v>23</v>
      </c>
    </row>
    <row r="3375" spans="1:11" ht="42" customHeight="1">
      <c r="A3375" s="4" t="s">
        <v>8150</v>
      </c>
      <c r="B3375" s="5" t="s">
        <v>8151</v>
      </c>
      <c r="C3375" s="5" t="s">
        <v>18</v>
      </c>
      <c r="D3375" s="5" t="s">
        <v>19</v>
      </c>
      <c r="E3375" s="5" t="s">
        <v>530</v>
      </c>
      <c r="F3375" s="9">
        <v>55</v>
      </c>
      <c r="G3375" s="9">
        <v>623</v>
      </c>
      <c r="H3375" s="5" t="s">
        <v>21</v>
      </c>
      <c r="I3375" s="5" t="s">
        <v>8177</v>
      </c>
      <c r="J3375" s="12" t="str">
        <f>HYPERLINK("https://www.boe.es/gazeta/dias/1800/07/11/pdfs/GMD-1800-55.pdf#page=11","Abrir facsímil")</f>
        <v>Abrir facsímil</v>
      </c>
      <c r="K3375" s="15" t="s">
        <v>23</v>
      </c>
    </row>
    <row r="3376" spans="1:11" ht="42" customHeight="1">
      <c r="A3376" s="4" t="s">
        <v>8150</v>
      </c>
      <c r="B3376" s="5" t="s">
        <v>8151</v>
      </c>
      <c r="C3376" s="5" t="s">
        <v>18</v>
      </c>
      <c r="D3376" s="5" t="s">
        <v>19</v>
      </c>
      <c r="E3376" s="5" t="s">
        <v>310</v>
      </c>
      <c r="F3376" s="9">
        <v>56</v>
      </c>
      <c r="G3376" s="9">
        <v>635</v>
      </c>
      <c r="H3376" s="5" t="s">
        <v>21</v>
      </c>
      <c r="I3376" s="5" t="s">
        <v>8178</v>
      </c>
      <c r="J3376" s="12" t="str">
        <f>HYPERLINK("https://www.boe.es/gazeta/dias/1800/07/15/pdfs/GMD-1800-56.pdf#page=11","Abrir facsímil")</f>
        <v>Abrir facsímil</v>
      </c>
      <c r="K3376" s="15" t="s">
        <v>23</v>
      </c>
    </row>
    <row r="3377" spans="1:11" ht="42" customHeight="1">
      <c r="A3377" s="4" t="s">
        <v>8150</v>
      </c>
      <c r="B3377" s="5" t="s">
        <v>8151</v>
      </c>
      <c r="C3377" s="5" t="s">
        <v>18</v>
      </c>
      <c r="D3377" s="5" t="s">
        <v>19</v>
      </c>
      <c r="E3377" s="5" t="s">
        <v>1287</v>
      </c>
      <c r="F3377" s="9">
        <v>57</v>
      </c>
      <c r="G3377" s="9">
        <v>648</v>
      </c>
      <c r="H3377" s="5" t="s">
        <v>21</v>
      </c>
      <c r="I3377" s="5" t="s">
        <v>8179</v>
      </c>
      <c r="J3377" s="12" t="str">
        <f>HYPERLINK("https://www.boe.es/gazeta/dias/1800/07/18/pdfs/GMD-1800-57.pdf#page=12","Abrir facsímil")</f>
        <v>Abrir facsímil</v>
      </c>
      <c r="K3377" s="15" t="s">
        <v>23</v>
      </c>
    </row>
    <row r="3378" spans="1:11" ht="42" customHeight="1">
      <c r="A3378" s="4" t="s">
        <v>8150</v>
      </c>
      <c r="B3378" s="5" t="s">
        <v>8151</v>
      </c>
      <c r="C3378" s="5" t="s">
        <v>54</v>
      </c>
      <c r="D3378" s="5" t="s">
        <v>55</v>
      </c>
      <c r="E3378" s="5" t="s">
        <v>1287</v>
      </c>
      <c r="F3378" s="9">
        <v>57</v>
      </c>
      <c r="G3378" s="9">
        <v>649</v>
      </c>
      <c r="H3378" s="5" t="s">
        <v>21</v>
      </c>
      <c r="I3378" s="5" t="s">
        <v>8180</v>
      </c>
      <c r="J3378" s="12" t="str">
        <f>HYPERLINK("https://www.boe.es/gazeta/dias/1800/07/18/pdfs/GMD-1800-57.pdf#page=13","Abrir facsímil")</f>
        <v>Abrir facsímil</v>
      </c>
      <c r="K3378" s="15" t="s">
        <v>23</v>
      </c>
    </row>
    <row r="3379" spans="1:11" ht="42" customHeight="1">
      <c r="A3379" s="4" t="s">
        <v>8150</v>
      </c>
      <c r="B3379" s="5" t="s">
        <v>8151</v>
      </c>
      <c r="C3379" s="5" t="s">
        <v>171</v>
      </c>
      <c r="D3379" s="5" t="s">
        <v>172</v>
      </c>
      <c r="E3379" s="5" t="s">
        <v>90</v>
      </c>
      <c r="F3379" s="9">
        <v>58</v>
      </c>
      <c r="G3379" s="9">
        <v>665</v>
      </c>
      <c r="H3379" s="5" t="s">
        <v>21</v>
      </c>
      <c r="I3379" s="5" t="s">
        <v>8181</v>
      </c>
      <c r="J3379" s="12" t="str">
        <f>HYPERLINK("https://www.boe.es/gazeta/dias/1800/07/22/pdfs/GMD-C-1800-58.pdf#page=1","Abrir facsímil")</f>
        <v>Abrir facsímil</v>
      </c>
      <c r="K3379" s="15" t="s">
        <v>23</v>
      </c>
    </row>
    <row r="3380" spans="1:11" ht="42" customHeight="1">
      <c r="A3380" s="4" t="s">
        <v>8150</v>
      </c>
      <c r="B3380" s="5" t="s">
        <v>8151</v>
      </c>
      <c r="C3380" s="5" t="s">
        <v>18</v>
      </c>
      <c r="D3380" s="5" t="s">
        <v>19</v>
      </c>
      <c r="E3380" s="5" t="s">
        <v>1294</v>
      </c>
      <c r="F3380" s="9">
        <v>59</v>
      </c>
      <c r="G3380" s="9">
        <v>679</v>
      </c>
      <c r="H3380" s="5" t="s">
        <v>21</v>
      </c>
      <c r="I3380" s="5" t="s">
        <v>8182</v>
      </c>
      <c r="J3380" s="12" t="str">
        <f>HYPERLINK("https://www.boe.es/gazeta/dias/1800/07/25/pdfs/GMD-1800-59.pdf#page=11","Abrir facsímil")</f>
        <v>Abrir facsímil</v>
      </c>
      <c r="K3380" s="15" t="s">
        <v>23</v>
      </c>
    </row>
    <row r="3381" spans="1:11" ht="42" customHeight="1">
      <c r="A3381" s="4" t="s">
        <v>8150</v>
      </c>
      <c r="B3381" s="5" t="s">
        <v>8151</v>
      </c>
      <c r="C3381" s="5" t="s">
        <v>18</v>
      </c>
      <c r="D3381" s="5" t="s">
        <v>19</v>
      </c>
      <c r="E3381" s="5" t="s">
        <v>154</v>
      </c>
      <c r="F3381" s="9">
        <v>61</v>
      </c>
      <c r="G3381" s="9">
        <v>699</v>
      </c>
      <c r="H3381" s="5" t="s">
        <v>21</v>
      </c>
      <c r="I3381" s="5" t="s">
        <v>8183</v>
      </c>
      <c r="J3381" s="12" t="str">
        <f>HYPERLINK("https://www.boe.es/gazeta/dias/1800/08/01/pdfs/GMD-1800-61.pdf#page=11","Abrir facsímil")</f>
        <v>Abrir facsímil</v>
      </c>
      <c r="K3381" s="15" t="s">
        <v>23</v>
      </c>
    </row>
    <row r="3382" spans="1:11" ht="42" customHeight="1">
      <c r="A3382" s="4" t="s">
        <v>8150</v>
      </c>
      <c r="B3382" s="5" t="s">
        <v>8151</v>
      </c>
      <c r="C3382" s="5" t="s">
        <v>18</v>
      </c>
      <c r="D3382" s="5" t="s">
        <v>19</v>
      </c>
      <c r="E3382" s="5" t="s">
        <v>454</v>
      </c>
      <c r="F3382" s="9">
        <v>63</v>
      </c>
      <c r="G3382" s="9">
        <v>723</v>
      </c>
      <c r="H3382" s="5" t="s">
        <v>21</v>
      </c>
      <c r="I3382" s="5" t="s">
        <v>8184</v>
      </c>
      <c r="J3382" s="12" t="str">
        <f>HYPERLINK("https://www.boe.es/gazeta/dias/1800/08/08/pdfs/GMD-1800-63.pdf#page=11","Abrir facsímil")</f>
        <v>Abrir facsímil</v>
      </c>
      <c r="K3382" s="15" t="s">
        <v>23</v>
      </c>
    </row>
    <row r="3383" spans="1:11" ht="42" customHeight="1">
      <c r="A3383" s="4" t="s">
        <v>8150</v>
      </c>
      <c r="B3383" s="5" t="s">
        <v>8151</v>
      </c>
      <c r="C3383" s="5" t="s">
        <v>18</v>
      </c>
      <c r="D3383" s="5" t="s">
        <v>19</v>
      </c>
      <c r="E3383" s="5" t="s">
        <v>75</v>
      </c>
      <c r="F3383" s="9">
        <v>64</v>
      </c>
      <c r="G3383" s="9">
        <v>735</v>
      </c>
      <c r="H3383" s="5" t="s">
        <v>21</v>
      </c>
      <c r="I3383" s="5" t="s">
        <v>8185</v>
      </c>
      <c r="J3383" s="12" t="str">
        <f>HYPERLINK("https://www.boe.es/gazeta/dias/1800/08/12/pdfs/GMD-1800-64.pdf#page=11","Abrir facsímil")</f>
        <v>Abrir facsímil</v>
      </c>
      <c r="K3383" s="15" t="s">
        <v>23</v>
      </c>
    </row>
    <row r="3384" spans="1:11" ht="42" customHeight="1">
      <c r="A3384" s="4" t="s">
        <v>8150</v>
      </c>
      <c r="B3384" s="5" t="s">
        <v>8151</v>
      </c>
      <c r="C3384" s="5" t="s">
        <v>171</v>
      </c>
      <c r="D3384" s="5" t="s">
        <v>172</v>
      </c>
      <c r="E3384" s="5" t="s">
        <v>595</v>
      </c>
      <c r="F3384" s="9">
        <v>72</v>
      </c>
      <c r="G3384" s="9">
        <v>799</v>
      </c>
      <c r="H3384" s="5" t="s">
        <v>21</v>
      </c>
      <c r="I3384" s="5" t="s">
        <v>8186</v>
      </c>
      <c r="J3384" s="12" t="str">
        <f>HYPERLINK("https://www.boe.es/gazeta/dias/1800/09/05/pdfs/GMD-C-1800-72.pdf#page=1","Abrir facsímil")</f>
        <v>Abrir facsímil</v>
      </c>
      <c r="K3384" s="15" t="s">
        <v>23</v>
      </c>
    </row>
    <row r="3385" spans="1:11" ht="42" customHeight="1">
      <c r="A3385" s="4" t="s">
        <v>8150</v>
      </c>
      <c r="B3385" s="5" t="s">
        <v>8151</v>
      </c>
      <c r="C3385" s="5" t="s">
        <v>171</v>
      </c>
      <c r="D3385" s="5" t="s">
        <v>172</v>
      </c>
      <c r="E3385" s="5" t="s">
        <v>135</v>
      </c>
      <c r="F3385" s="9">
        <v>73</v>
      </c>
      <c r="G3385" s="9">
        <v>819</v>
      </c>
      <c r="H3385" s="5" t="s">
        <v>21</v>
      </c>
      <c r="I3385" s="5" t="s">
        <v>8187</v>
      </c>
      <c r="J3385" s="12" t="str">
        <f>HYPERLINK("https://www.boe.es/gazeta/dias/1800/09/09/pdfs/GMD-C-1800-73.pdf#page=1","Abrir facsímil")</f>
        <v>Abrir facsímil</v>
      </c>
      <c r="K3385" s="15" t="s">
        <v>23</v>
      </c>
    </row>
    <row r="3386" spans="1:11" ht="42" customHeight="1">
      <c r="A3386" s="4" t="s">
        <v>8150</v>
      </c>
      <c r="B3386" s="5" t="s">
        <v>8151</v>
      </c>
      <c r="C3386" s="5" t="s">
        <v>18</v>
      </c>
      <c r="D3386" s="5" t="s">
        <v>19</v>
      </c>
      <c r="E3386" s="5" t="s">
        <v>572</v>
      </c>
      <c r="F3386" s="9">
        <v>76</v>
      </c>
      <c r="G3386" s="9">
        <v>868</v>
      </c>
      <c r="H3386" s="5" t="s">
        <v>21</v>
      </c>
      <c r="I3386" s="5" t="s">
        <v>8188</v>
      </c>
      <c r="J3386" s="12" t="str">
        <f>HYPERLINK("https://www.boe.es/gazeta/dias/1800/09/19/pdfs/GMD-1800-76.pdf#page=10","Abrir facsímil")</f>
        <v>Abrir facsímil</v>
      </c>
      <c r="K3386" s="15" t="s">
        <v>23</v>
      </c>
    </row>
    <row r="3387" spans="1:11" ht="42" customHeight="1">
      <c r="A3387" s="4" t="s">
        <v>8150</v>
      </c>
      <c r="B3387" s="5" t="s">
        <v>8151</v>
      </c>
      <c r="C3387" s="5" t="s">
        <v>18</v>
      </c>
      <c r="D3387" s="5" t="s">
        <v>19</v>
      </c>
      <c r="E3387" s="5" t="s">
        <v>583</v>
      </c>
      <c r="F3387" s="9">
        <v>77</v>
      </c>
      <c r="G3387" s="9">
        <v>880</v>
      </c>
      <c r="H3387" s="5" t="s">
        <v>21</v>
      </c>
      <c r="I3387" s="5" t="s">
        <v>8189</v>
      </c>
      <c r="J3387" s="12" t="str">
        <f>HYPERLINK("https://www.boe.es/gazeta/dias/1800/09/23/pdfs/GMD-1800-77.pdf#page=10","Abrir facsímil")</f>
        <v>Abrir facsímil</v>
      </c>
      <c r="K3387" s="15" t="s">
        <v>23</v>
      </c>
    </row>
    <row r="3388" spans="1:11" ht="42" customHeight="1">
      <c r="A3388" s="4" t="s">
        <v>8150</v>
      </c>
      <c r="B3388" s="5" t="s">
        <v>8151</v>
      </c>
      <c r="C3388" s="5" t="s">
        <v>54</v>
      </c>
      <c r="D3388" s="5" t="s">
        <v>55</v>
      </c>
      <c r="E3388" s="5" t="s">
        <v>410</v>
      </c>
      <c r="F3388" s="9">
        <v>87</v>
      </c>
      <c r="G3388" s="9">
        <v>1010</v>
      </c>
      <c r="H3388" s="5" t="s">
        <v>21</v>
      </c>
      <c r="I3388" s="5" t="s">
        <v>8190</v>
      </c>
      <c r="J3388" s="12" t="str">
        <f>HYPERLINK("https://www.boe.es/gazeta/dias/1800/10/28/pdfs/GMD-1800-87.pdf#page=8","Abrir facsímil")</f>
        <v>Abrir facsímil</v>
      </c>
      <c r="K3388" s="15" t="s">
        <v>23</v>
      </c>
    </row>
    <row r="3389" spans="1:11" ht="42" customHeight="1">
      <c r="A3389" s="4" t="s">
        <v>8150</v>
      </c>
      <c r="B3389" s="5" t="s">
        <v>8151</v>
      </c>
      <c r="C3389" s="5" t="s">
        <v>18</v>
      </c>
      <c r="D3389" s="5" t="s">
        <v>19</v>
      </c>
      <c r="E3389" s="5" t="s">
        <v>673</v>
      </c>
      <c r="F3389" s="9">
        <v>89</v>
      </c>
      <c r="G3389" s="9">
        <v>1045</v>
      </c>
      <c r="H3389" s="5" t="s">
        <v>21</v>
      </c>
      <c r="I3389" s="5" t="s">
        <v>8191</v>
      </c>
      <c r="J3389" s="12" t="str">
        <f>HYPERLINK("https://www.boe.es/gazeta/dias/1800/11/04/pdfs/GMD-1800-89.pdf#page=11","Abrir facsímil")</f>
        <v>Abrir facsímil</v>
      </c>
      <c r="K3389" s="15" t="s">
        <v>23</v>
      </c>
    </row>
    <row r="3390" spans="1:11" ht="42" customHeight="1">
      <c r="A3390" s="4" t="s">
        <v>8150</v>
      </c>
      <c r="B3390" s="5" t="s">
        <v>8151</v>
      </c>
      <c r="C3390" s="5" t="s">
        <v>18</v>
      </c>
      <c r="D3390" s="5" t="s">
        <v>19</v>
      </c>
      <c r="E3390" s="5" t="s">
        <v>56</v>
      </c>
      <c r="F3390" s="9">
        <v>90</v>
      </c>
      <c r="G3390" s="9">
        <v>1057</v>
      </c>
      <c r="H3390" s="5" t="s">
        <v>21</v>
      </c>
      <c r="I3390" s="5" t="s">
        <v>8192</v>
      </c>
      <c r="J3390" s="12" t="str">
        <f>HYPERLINK("https://www.boe.es/gazeta/dias/1800/11/07/pdfs/GMD-1800-90.pdf#page=11","Abrir facsímil")</f>
        <v>Abrir facsímil</v>
      </c>
      <c r="K3390" s="15" t="s">
        <v>23</v>
      </c>
    </row>
    <row r="3391" spans="1:11" ht="42" customHeight="1">
      <c r="A3391" s="4" t="s">
        <v>8150</v>
      </c>
      <c r="B3391" s="5" t="s">
        <v>8151</v>
      </c>
      <c r="C3391" s="5" t="s">
        <v>18</v>
      </c>
      <c r="D3391" s="5" t="s">
        <v>19</v>
      </c>
      <c r="E3391" s="5" t="s">
        <v>576</v>
      </c>
      <c r="F3391" s="9">
        <v>91</v>
      </c>
      <c r="G3391" s="9">
        <v>1069</v>
      </c>
      <c r="H3391" s="5" t="s">
        <v>21</v>
      </c>
      <c r="I3391" s="5" t="s">
        <v>8193</v>
      </c>
      <c r="J3391" s="12" t="str">
        <f>HYPERLINK("https://www.boe.es/gazeta/dias/1800/11/11/pdfs/GMD-1800-91.pdf#page=11","Abrir facsímil")</f>
        <v>Abrir facsímil</v>
      </c>
      <c r="K3391" s="15" t="s">
        <v>23</v>
      </c>
    </row>
    <row r="3392" spans="1:11" ht="42" customHeight="1">
      <c r="A3392" s="4" t="s">
        <v>8150</v>
      </c>
      <c r="B3392" s="5" t="s">
        <v>8151</v>
      </c>
      <c r="C3392" s="5" t="s">
        <v>18</v>
      </c>
      <c r="D3392" s="5" t="s">
        <v>19</v>
      </c>
      <c r="E3392" s="5" t="s">
        <v>203</v>
      </c>
      <c r="F3392" s="9">
        <v>94</v>
      </c>
      <c r="G3392" s="9">
        <v>1081</v>
      </c>
      <c r="H3392" s="5" t="s">
        <v>21</v>
      </c>
      <c r="I3392" s="5" t="s">
        <v>8194</v>
      </c>
      <c r="J3392" s="12" t="str">
        <f>HYPERLINK("https://www.boe.es/gazeta/dias/1800/11/21/pdfs/GMD-1800-94.pdf#page=11","Abrir facsímil")</f>
        <v>Abrir facsímil</v>
      </c>
      <c r="K3392" s="15" t="s">
        <v>23</v>
      </c>
    </row>
    <row r="3393" spans="1:11" ht="42" customHeight="1">
      <c r="A3393" s="4" t="s">
        <v>8150</v>
      </c>
      <c r="B3393" s="5" t="s">
        <v>8151</v>
      </c>
      <c r="C3393" s="5" t="s">
        <v>54</v>
      </c>
      <c r="D3393" s="5" t="s">
        <v>55</v>
      </c>
      <c r="E3393" s="5" t="s">
        <v>329</v>
      </c>
      <c r="F3393" s="9">
        <v>99</v>
      </c>
      <c r="G3393" s="9">
        <v>1140</v>
      </c>
      <c r="H3393" s="5" t="s">
        <v>21</v>
      </c>
      <c r="I3393" s="5" t="s">
        <v>8195</v>
      </c>
      <c r="J3393" s="12" t="str">
        <f>HYPERLINK("https://www.boe.es/gazeta/dias/1800/12/09/pdfs/GMD-1800-99.pdf#page=8","Abrir facsímil")</f>
        <v>Abrir facsímil</v>
      </c>
      <c r="K3393" s="15" t="s">
        <v>23</v>
      </c>
    </row>
    <row r="3394" spans="1:11" ht="42" customHeight="1">
      <c r="A3394" s="4" t="s">
        <v>8150</v>
      </c>
      <c r="B3394" s="5" t="s">
        <v>8151</v>
      </c>
      <c r="C3394" s="5" t="s">
        <v>18</v>
      </c>
      <c r="D3394" s="5" t="s">
        <v>19</v>
      </c>
      <c r="E3394" s="5" t="s">
        <v>180</v>
      </c>
      <c r="F3394" s="9">
        <v>102</v>
      </c>
      <c r="G3394" s="9">
        <v>1187</v>
      </c>
      <c r="H3394" s="5" t="s">
        <v>21</v>
      </c>
      <c r="I3394" s="5" t="s">
        <v>8196</v>
      </c>
      <c r="J3394" s="12" t="str">
        <f>HYPERLINK("https://www.boe.es/gazeta/dias/1800/12/19/pdfs/GMD-1800-102.pdf#page=11","Abrir facsímil")</f>
        <v>Abrir facsímil</v>
      </c>
      <c r="K3394" s="15" t="s">
        <v>23</v>
      </c>
    </row>
    <row r="3395" spans="1:11" ht="42" customHeight="1">
      <c r="A3395" s="4" t="s">
        <v>8150</v>
      </c>
      <c r="B3395" s="5" t="s">
        <v>8151</v>
      </c>
      <c r="C3395" s="5" t="s">
        <v>18</v>
      </c>
      <c r="D3395" s="5" t="s">
        <v>19</v>
      </c>
      <c r="E3395" s="5" t="s">
        <v>279</v>
      </c>
      <c r="F3395" s="9">
        <v>103</v>
      </c>
      <c r="G3395" s="9">
        <v>1198</v>
      </c>
      <c r="H3395" s="5" t="s">
        <v>21</v>
      </c>
      <c r="I3395" s="5" t="s">
        <v>8197</v>
      </c>
      <c r="J3395" s="12" t="str">
        <f>HYPERLINK("https://www.boe.es/gazeta/dias/1800/12/23/pdfs/GMD-1800-103.pdf#page=10","Abrir facsímil")</f>
        <v>Abrir facsímil</v>
      </c>
      <c r="K3395" s="15" t="s">
        <v>23</v>
      </c>
    </row>
    <row r="3396" spans="1:11" ht="42" customHeight="1">
      <c r="A3396" s="4" t="s">
        <v>8150</v>
      </c>
      <c r="B3396" s="5" t="s">
        <v>8151</v>
      </c>
      <c r="C3396" s="5" t="s">
        <v>18</v>
      </c>
      <c r="D3396" s="5" t="s">
        <v>19</v>
      </c>
      <c r="E3396" s="5" t="s">
        <v>60</v>
      </c>
      <c r="F3396" s="9">
        <v>105</v>
      </c>
      <c r="G3396" s="9">
        <v>1227</v>
      </c>
      <c r="H3396" s="5" t="s">
        <v>21</v>
      </c>
      <c r="I3396" s="5" t="s">
        <v>8198</v>
      </c>
      <c r="J3396" s="12" t="str">
        <f>HYPERLINK("https://www.boe.es/gazeta/dias/1800/12/30/pdfs/GMD-1800-105.pdf#page=11","Abrir facsímil")</f>
        <v>Abrir facsímil</v>
      </c>
      <c r="K3396" s="15" t="s">
        <v>23</v>
      </c>
    </row>
    <row r="3397" spans="1:11" ht="42" customHeight="1">
      <c r="A3397" s="4" t="s">
        <v>8199</v>
      </c>
      <c r="B3397" s="5" t="s">
        <v>8200</v>
      </c>
      <c r="C3397" s="5" t="s">
        <v>54</v>
      </c>
      <c r="D3397" s="5" t="s">
        <v>55</v>
      </c>
      <c r="E3397" s="5" t="s">
        <v>154</v>
      </c>
      <c r="F3397" s="9">
        <v>61</v>
      </c>
      <c r="G3397" s="9">
        <v>697</v>
      </c>
      <c r="H3397" s="5" t="s">
        <v>21</v>
      </c>
      <c r="I3397" s="5" t="s">
        <v>8201</v>
      </c>
      <c r="J3397" s="12" t="str">
        <f>HYPERLINK("https://www.boe.es/gazeta/dias/1800/08/01/pdfs/GMD-1800-61.pdf#page=9","Abrir facsímil")</f>
        <v>Abrir facsímil</v>
      </c>
      <c r="K3397" s="15" t="s">
        <v>23</v>
      </c>
    </row>
    <row r="3398" spans="1:11" ht="42" customHeight="1">
      <c r="A3398" s="4" t="s">
        <v>8202</v>
      </c>
      <c r="B3398" s="5" t="s">
        <v>8203</v>
      </c>
      <c r="C3398" s="5" t="s">
        <v>25</v>
      </c>
      <c r="D3398" s="5" t="s">
        <v>26</v>
      </c>
      <c r="E3398" s="5" t="s">
        <v>244</v>
      </c>
      <c r="F3398" s="9">
        <v>9</v>
      </c>
      <c r="G3398" s="9">
        <v>87</v>
      </c>
      <c r="H3398" s="5" t="s">
        <v>21</v>
      </c>
      <c r="I3398" s="5" t="s">
        <v>8204</v>
      </c>
      <c r="J3398" s="12" t="str">
        <f>HYPERLINK("https://www.boe.es/gazeta/dias/1800/01/31/pdfs/GMD-1800-9.pdf#page=11","Abrir facsímil")</f>
        <v>Abrir facsímil</v>
      </c>
      <c r="K3398" s="15" t="s">
        <v>23</v>
      </c>
    </row>
    <row r="3399" spans="1:11" ht="42" customHeight="1">
      <c r="A3399" s="4" t="s">
        <v>8205</v>
      </c>
      <c r="B3399" s="5" t="s">
        <v>8206</v>
      </c>
      <c r="C3399" s="5" t="s">
        <v>18</v>
      </c>
      <c r="D3399" s="5" t="s">
        <v>19</v>
      </c>
      <c r="E3399" s="5" t="s">
        <v>56</v>
      </c>
      <c r="F3399" s="9">
        <v>90</v>
      </c>
      <c r="G3399" s="9">
        <v>1055</v>
      </c>
      <c r="H3399" s="5" t="s">
        <v>21</v>
      </c>
      <c r="I3399" s="5" t="s">
        <v>8207</v>
      </c>
      <c r="J3399" s="12" t="str">
        <f>HYPERLINK("https://www.boe.es/gazeta/dias/1800/11/07/pdfs/GMD-1800-90.pdf#page=9","Abrir facsímil")</f>
        <v>Abrir facsímil</v>
      </c>
      <c r="K3399" s="15" t="s">
        <v>23</v>
      </c>
    </row>
    <row r="3400" spans="1:11" ht="42" customHeight="1">
      <c r="A3400" s="4" t="s">
        <v>8208</v>
      </c>
      <c r="B3400" s="5" t="s">
        <v>8209</v>
      </c>
      <c r="C3400" s="5" t="s">
        <v>54</v>
      </c>
      <c r="D3400" s="5" t="s">
        <v>55</v>
      </c>
      <c r="E3400" s="5" t="s">
        <v>58</v>
      </c>
      <c r="F3400" s="9">
        <v>92</v>
      </c>
      <c r="G3400" s="9">
        <v>1054</v>
      </c>
      <c r="H3400" s="5" t="s">
        <v>21</v>
      </c>
      <c r="I3400" s="5" t="s">
        <v>8210</v>
      </c>
      <c r="J3400" s="12" t="str">
        <f>HYPERLINK("https://www.boe.es/gazeta/dias/1800/11/14/pdfs/GMD-1800-92.pdf#page=8","Abrir facsímil")</f>
        <v>Abrir facsímil</v>
      </c>
      <c r="K3400" s="15" t="s">
        <v>23</v>
      </c>
    </row>
    <row r="3401" spans="1:11" ht="42" customHeight="1">
      <c r="A3401" s="4" t="s">
        <v>8211</v>
      </c>
      <c r="B3401" s="5" t="s">
        <v>8212</v>
      </c>
      <c r="C3401" s="5" t="s">
        <v>171</v>
      </c>
      <c r="D3401" s="5" t="s">
        <v>172</v>
      </c>
      <c r="E3401" s="5" t="s">
        <v>90</v>
      </c>
      <c r="F3401" s="9">
        <v>58</v>
      </c>
      <c r="G3401" s="9">
        <v>668</v>
      </c>
      <c r="H3401" s="5" t="s">
        <v>21</v>
      </c>
      <c r="I3401" s="5" t="s">
        <v>8213</v>
      </c>
      <c r="J3401" s="12" t="str">
        <f>HYPERLINK("https://www.boe.es/gazeta/dias/1800/07/22/pdfs/GMD-C-1800-58.pdf#page=4","Abrir facsímil")</f>
        <v>Abrir facsímil</v>
      </c>
      <c r="K3401" s="15" t="s">
        <v>23</v>
      </c>
    </row>
    <row r="3402" spans="1:11" ht="42" customHeight="1">
      <c r="A3402" s="4" t="s">
        <v>8214</v>
      </c>
      <c r="B3402" s="5" t="s">
        <v>8215</v>
      </c>
      <c r="C3402" s="5" t="s">
        <v>18</v>
      </c>
      <c r="D3402" s="5" t="s">
        <v>19</v>
      </c>
      <c r="E3402" s="5" t="s">
        <v>82</v>
      </c>
      <c r="F3402" s="9">
        <v>10</v>
      </c>
      <c r="G3402" s="9">
        <v>98</v>
      </c>
      <c r="H3402" s="5" t="s">
        <v>21</v>
      </c>
      <c r="I3402" s="5" t="s">
        <v>8216</v>
      </c>
      <c r="J3402" s="12" t="str">
        <f>HYPERLINK("https://www.boe.es/gazeta/dias/1800/02/04/pdfs/GMD-1800-10.pdf#page=10","Abrir facsímil")</f>
        <v>Abrir facsímil</v>
      </c>
      <c r="K3402" s="15" t="s">
        <v>23</v>
      </c>
    </row>
    <row r="3403" spans="1:11" ht="42" customHeight="1">
      <c r="A3403" s="4" t="s">
        <v>8214</v>
      </c>
      <c r="B3403" s="5" t="s">
        <v>8215</v>
      </c>
      <c r="C3403" s="5" t="s">
        <v>84</v>
      </c>
      <c r="D3403" s="5" t="s">
        <v>85</v>
      </c>
      <c r="E3403" s="5" t="s">
        <v>162</v>
      </c>
      <c r="F3403" s="9">
        <v>15</v>
      </c>
      <c r="G3403" s="9">
        <v>143</v>
      </c>
      <c r="H3403" s="5" t="s">
        <v>21</v>
      </c>
      <c r="I3403" s="5" t="s">
        <v>8217</v>
      </c>
      <c r="J3403" s="12" t="str">
        <f>HYPERLINK("https://www.boe.es/gazeta/dias/1800/02/21/pdfs/GMD-1800-15.pdf#page=7","Abrir facsímil")</f>
        <v>Abrir facsímil</v>
      </c>
      <c r="K3403" s="15" t="s">
        <v>23</v>
      </c>
    </row>
    <row r="3404" spans="1:11" ht="42" customHeight="1">
      <c r="A3404" s="4" t="s">
        <v>8214</v>
      </c>
      <c r="B3404" s="5" t="s">
        <v>8215</v>
      </c>
      <c r="C3404" s="5" t="s">
        <v>54</v>
      </c>
      <c r="D3404" s="5" t="s">
        <v>55</v>
      </c>
      <c r="E3404" s="5" t="s">
        <v>31</v>
      </c>
      <c r="F3404" s="9">
        <v>20</v>
      </c>
      <c r="G3404" s="9">
        <v>195</v>
      </c>
      <c r="H3404" s="5" t="s">
        <v>21</v>
      </c>
      <c r="I3404" s="5" t="s">
        <v>8218</v>
      </c>
      <c r="J3404" s="12" t="str">
        <f>HYPERLINK("https://www.boe.es/gazeta/dias/1800/03/11/pdfs/GMD-1800-20.pdf#page=11","Abrir facsímil")</f>
        <v>Abrir facsímil</v>
      </c>
      <c r="K3404" s="15" t="s">
        <v>23</v>
      </c>
    </row>
    <row r="3405" spans="1:11" ht="42" customHeight="1">
      <c r="A3405" s="4" t="s">
        <v>8214</v>
      </c>
      <c r="B3405" s="5" t="s">
        <v>8215</v>
      </c>
      <c r="C3405" s="5" t="s">
        <v>18</v>
      </c>
      <c r="D3405" s="5" t="s">
        <v>19</v>
      </c>
      <c r="E3405" s="5" t="s">
        <v>491</v>
      </c>
      <c r="F3405" s="9">
        <v>29</v>
      </c>
      <c r="G3405" s="9">
        <v>299</v>
      </c>
      <c r="H3405" s="5" t="s">
        <v>21</v>
      </c>
      <c r="I3405" s="5" t="s">
        <v>8219</v>
      </c>
      <c r="J3405" s="12" t="str">
        <f>HYPERLINK("https://www.boe.es/gazeta/dias/1800/04/11/pdfs/GMD-1800-29.pdf#page=7","Abrir facsímil")</f>
        <v>Abrir facsímil</v>
      </c>
      <c r="K3405" s="15" t="s">
        <v>23</v>
      </c>
    </row>
    <row r="3406" spans="1:11" ht="42" customHeight="1">
      <c r="A3406" s="4" t="s">
        <v>8214</v>
      </c>
      <c r="B3406" s="5" t="s">
        <v>8215</v>
      </c>
      <c r="C3406" s="5" t="s">
        <v>18</v>
      </c>
      <c r="D3406" s="5" t="s">
        <v>19</v>
      </c>
      <c r="E3406" s="5" t="s">
        <v>248</v>
      </c>
      <c r="F3406" s="9">
        <v>33</v>
      </c>
      <c r="G3406" s="9">
        <v>334</v>
      </c>
      <c r="H3406" s="5" t="s">
        <v>21</v>
      </c>
      <c r="I3406" s="5" t="s">
        <v>8220</v>
      </c>
      <c r="J3406" s="12" t="str">
        <f>HYPERLINK("https://www.boe.es/gazeta/dias/1800/04/25/pdfs/GMD-1800-33.pdf#page=10","Abrir facsímil")</f>
        <v>Abrir facsímil</v>
      </c>
      <c r="K3406" s="15" t="s">
        <v>23</v>
      </c>
    </row>
    <row r="3407" spans="1:11" ht="42" customHeight="1">
      <c r="A3407" s="4" t="s">
        <v>8214</v>
      </c>
      <c r="B3407" s="5" t="s">
        <v>8215</v>
      </c>
      <c r="C3407" s="5" t="s">
        <v>84</v>
      </c>
      <c r="D3407" s="5" t="s">
        <v>85</v>
      </c>
      <c r="E3407" s="5" t="s">
        <v>101</v>
      </c>
      <c r="F3407" s="9">
        <v>37</v>
      </c>
      <c r="G3407" s="9">
        <v>379</v>
      </c>
      <c r="H3407" s="5" t="s">
        <v>21</v>
      </c>
      <c r="I3407" s="5" t="s">
        <v>8221</v>
      </c>
      <c r="J3407" s="12" t="str">
        <f>HYPERLINK("https://www.boe.es/gazeta/dias/1800/05/09/pdfs/GMD-1800-37.pdf#page=11","Abrir facsímil")</f>
        <v>Abrir facsímil</v>
      </c>
      <c r="K3407" s="15" t="s">
        <v>23</v>
      </c>
    </row>
    <row r="3408" spans="1:11" ht="42" customHeight="1">
      <c r="A3408" s="4" t="s">
        <v>8214</v>
      </c>
      <c r="B3408" s="5" t="s">
        <v>8215</v>
      </c>
      <c r="C3408" s="5" t="s">
        <v>84</v>
      </c>
      <c r="D3408" s="5" t="s">
        <v>85</v>
      </c>
      <c r="E3408" s="5" t="s">
        <v>214</v>
      </c>
      <c r="F3408" s="9">
        <v>41</v>
      </c>
      <c r="G3408" s="9">
        <v>424</v>
      </c>
      <c r="H3408" s="5" t="s">
        <v>21</v>
      </c>
      <c r="I3408" s="5" t="s">
        <v>8222</v>
      </c>
      <c r="J3408" s="12" t="str">
        <f>HYPERLINK("https://www.boe.es/gazeta/dias/1800/05/23/pdfs/GMD-1800-41.pdf#page=8","Abrir facsímil")</f>
        <v>Abrir facsímil</v>
      </c>
      <c r="K3408" s="15" t="s">
        <v>23</v>
      </c>
    </row>
    <row r="3409" spans="1:11" ht="42" customHeight="1">
      <c r="A3409" s="4" t="s">
        <v>8214</v>
      </c>
      <c r="B3409" s="5" t="s">
        <v>8215</v>
      </c>
      <c r="C3409" s="5" t="s">
        <v>171</v>
      </c>
      <c r="D3409" s="5" t="s">
        <v>172</v>
      </c>
      <c r="E3409" s="5" t="s">
        <v>45</v>
      </c>
      <c r="F3409" s="9">
        <v>47</v>
      </c>
      <c r="G3409" s="9">
        <v>508</v>
      </c>
      <c r="H3409" s="5" t="s">
        <v>21</v>
      </c>
      <c r="I3409" s="5" t="s">
        <v>8223</v>
      </c>
      <c r="J3409" s="12" t="str">
        <f>HYPERLINK("https://www.boe.es/gazeta/dias/1800/06/13/pdfs/GMD-C-1800-47.pdf#page=4","Abrir facsímil")</f>
        <v>Abrir facsímil</v>
      </c>
      <c r="K3409" s="15" t="s">
        <v>23</v>
      </c>
    </row>
    <row r="3410" spans="1:11" ht="42" customHeight="1">
      <c r="A3410" s="4" t="s">
        <v>8214</v>
      </c>
      <c r="B3410" s="5" t="s">
        <v>8215</v>
      </c>
      <c r="C3410" s="5" t="s">
        <v>171</v>
      </c>
      <c r="D3410" s="5" t="s">
        <v>172</v>
      </c>
      <c r="E3410" s="5" t="s">
        <v>828</v>
      </c>
      <c r="F3410" s="9">
        <v>53</v>
      </c>
      <c r="G3410" s="9">
        <v>593</v>
      </c>
      <c r="H3410" s="5" t="s">
        <v>21</v>
      </c>
      <c r="I3410" s="5" t="s">
        <v>8224</v>
      </c>
      <c r="J3410" s="12" t="str">
        <f>HYPERLINK("https://www.boe.es/gazeta/dias/1800/07/04/pdfs/GMD-C-1800-53.pdf#page=1","Abrir facsímil")</f>
        <v>Abrir facsímil</v>
      </c>
      <c r="K3410" s="15" t="s">
        <v>23</v>
      </c>
    </row>
    <row r="3411" spans="1:11" ht="42" customHeight="1">
      <c r="A3411" s="4" t="s">
        <v>8214</v>
      </c>
      <c r="B3411" s="5" t="s">
        <v>8215</v>
      </c>
      <c r="C3411" s="5" t="s">
        <v>171</v>
      </c>
      <c r="D3411" s="5" t="s">
        <v>172</v>
      </c>
      <c r="E3411" s="5" t="s">
        <v>64</v>
      </c>
      <c r="F3411" s="9">
        <v>54</v>
      </c>
      <c r="G3411" s="9">
        <v>611</v>
      </c>
      <c r="H3411" s="5" t="s">
        <v>21</v>
      </c>
      <c r="I3411" s="5" t="s">
        <v>8225</v>
      </c>
      <c r="J3411" s="12" t="str">
        <f>HYPERLINK("https://www.boe.es/gazeta/dias/1800/07/08/pdfs/GMD-C-1800-54.pdf#page=3","Abrir facsímil")</f>
        <v>Abrir facsímil</v>
      </c>
      <c r="K3411" s="15" t="s">
        <v>23</v>
      </c>
    </row>
    <row r="3412" spans="1:11" ht="42" customHeight="1">
      <c r="A3412" s="4" t="s">
        <v>8214</v>
      </c>
      <c r="B3412" s="5" t="s">
        <v>8215</v>
      </c>
      <c r="C3412" s="5" t="s">
        <v>171</v>
      </c>
      <c r="D3412" s="5" t="s">
        <v>172</v>
      </c>
      <c r="E3412" s="5" t="s">
        <v>90</v>
      </c>
      <c r="F3412" s="9">
        <v>58</v>
      </c>
      <c r="G3412" s="9">
        <v>666</v>
      </c>
      <c r="H3412" s="5" t="s">
        <v>21</v>
      </c>
      <c r="I3412" s="5" t="s">
        <v>8226</v>
      </c>
      <c r="J3412" s="12" t="str">
        <f>HYPERLINK("https://www.boe.es/gazeta/dias/1800/07/22/pdfs/GMD-C-1800-58.pdf#page=2","Abrir facsímil")</f>
        <v>Abrir facsímil</v>
      </c>
      <c r="K3412" s="15" t="s">
        <v>23</v>
      </c>
    </row>
    <row r="3413" spans="1:11" ht="42" customHeight="1">
      <c r="A3413" s="4" t="s">
        <v>8214</v>
      </c>
      <c r="B3413" s="5" t="s">
        <v>8215</v>
      </c>
      <c r="C3413" s="5" t="s">
        <v>25</v>
      </c>
      <c r="D3413" s="5" t="s">
        <v>26</v>
      </c>
      <c r="E3413" s="5" t="s">
        <v>314</v>
      </c>
      <c r="F3413" s="9">
        <v>74</v>
      </c>
      <c r="G3413" s="9">
        <v>837</v>
      </c>
      <c r="H3413" s="5" t="s">
        <v>21</v>
      </c>
      <c r="I3413" s="5" t="s">
        <v>8227</v>
      </c>
      <c r="J3413" s="12" t="str">
        <f>HYPERLINK("https://www.boe.es/gazeta/dias/1800/09/12/pdfs/GMD-1800-74.pdf#page=15","Abrir facsímil")</f>
        <v>Abrir facsímil</v>
      </c>
      <c r="K3413" s="15" t="s">
        <v>23</v>
      </c>
    </row>
    <row r="3414" spans="1:11" ht="42" customHeight="1">
      <c r="A3414" s="4" t="s">
        <v>8214</v>
      </c>
      <c r="B3414" s="5" t="s">
        <v>8215</v>
      </c>
      <c r="C3414" s="5" t="s">
        <v>171</v>
      </c>
      <c r="D3414" s="5" t="s">
        <v>172</v>
      </c>
      <c r="E3414" s="5" t="s">
        <v>422</v>
      </c>
      <c r="F3414" s="9">
        <v>85</v>
      </c>
      <c r="G3414" s="9">
        <v>990</v>
      </c>
      <c r="H3414" s="5" t="s">
        <v>21</v>
      </c>
      <c r="I3414" s="5" t="s">
        <v>8228</v>
      </c>
      <c r="J3414" s="12" t="str">
        <f>HYPERLINK("https://www.boe.es/gazeta/dias/1800/10/21/pdfs/GMD-C-1800-85.pdf#page=4","Abrir facsímil")</f>
        <v>Abrir facsímil</v>
      </c>
      <c r="K3414" s="15" t="s">
        <v>23</v>
      </c>
    </row>
    <row r="3415" spans="1:11" ht="42" customHeight="1">
      <c r="A3415" s="4" t="s">
        <v>8229</v>
      </c>
      <c r="B3415" s="5" t="s">
        <v>8230</v>
      </c>
      <c r="C3415" s="5" t="s">
        <v>54</v>
      </c>
      <c r="D3415" s="5" t="s">
        <v>55</v>
      </c>
      <c r="E3415" s="5" t="s">
        <v>75</v>
      </c>
      <c r="F3415" s="9">
        <v>64</v>
      </c>
      <c r="G3415" s="9">
        <v>734</v>
      </c>
      <c r="H3415" s="5" t="s">
        <v>21</v>
      </c>
      <c r="I3415" s="5" t="s">
        <v>8231</v>
      </c>
      <c r="J3415" s="12" t="str">
        <f>HYPERLINK("https://www.boe.es/gazeta/dias/1800/08/12/pdfs/GMD-1800-64.pdf#page=10","Abrir facsímil")</f>
        <v>Abrir facsímil</v>
      </c>
      <c r="K3415" s="15" t="s">
        <v>23</v>
      </c>
    </row>
    <row r="3416" spans="1:11" ht="42" customHeight="1">
      <c r="A3416" s="4" t="s">
        <v>8229</v>
      </c>
      <c r="B3416" s="5" t="s">
        <v>8230</v>
      </c>
      <c r="C3416" s="5" t="s">
        <v>171</v>
      </c>
      <c r="D3416" s="5" t="s">
        <v>172</v>
      </c>
      <c r="E3416" s="5" t="s">
        <v>135</v>
      </c>
      <c r="F3416" s="9">
        <v>73</v>
      </c>
      <c r="G3416" s="9">
        <v>819</v>
      </c>
      <c r="H3416" s="5" t="s">
        <v>21</v>
      </c>
      <c r="I3416" s="5" t="s">
        <v>8232</v>
      </c>
      <c r="J3416" s="12" t="str">
        <f>HYPERLINK("https://www.boe.es/gazeta/dias/1800/09/09/pdfs/GMD-C-1800-73.pdf#page=1","Abrir facsímil")</f>
        <v>Abrir facsímil</v>
      </c>
      <c r="K3416" s="15" t="s">
        <v>23</v>
      </c>
    </row>
    <row r="3417" spans="1:11" ht="42" customHeight="1">
      <c r="A3417" s="4" t="s">
        <v>8233</v>
      </c>
      <c r="B3417" s="5" t="s">
        <v>8234</v>
      </c>
      <c r="C3417" s="5" t="s">
        <v>18</v>
      </c>
      <c r="D3417" s="5" t="s">
        <v>19</v>
      </c>
      <c r="E3417" s="5" t="s">
        <v>203</v>
      </c>
      <c r="F3417" s="9">
        <v>94</v>
      </c>
      <c r="G3417" s="9">
        <v>1078</v>
      </c>
      <c r="H3417" s="5" t="s">
        <v>21</v>
      </c>
      <c r="I3417" s="5" t="s">
        <v>8235</v>
      </c>
      <c r="J3417" s="12" t="str">
        <f>HYPERLINK("https://www.boe.es/gazeta/dias/1800/11/21/pdfs/GMD-1800-94.pdf#page=8","Abrir facsímil")</f>
        <v>Abrir facsímil</v>
      </c>
      <c r="K3417" s="15" t="s">
        <v>23</v>
      </c>
    </row>
    <row r="3418" spans="1:11" ht="42" customHeight="1">
      <c r="A3418" s="4" t="s">
        <v>8233</v>
      </c>
      <c r="B3418" s="5" t="s">
        <v>8234</v>
      </c>
      <c r="C3418" s="5" t="s">
        <v>54</v>
      </c>
      <c r="D3418" s="5" t="s">
        <v>55</v>
      </c>
      <c r="E3418" s="5" t="s">
        <v>534</v>
      </c>
      <c r="F3418" s="9">
        <v>100</v>
      </c>
      <c r="G3418" s="9">
        <v>1162</v>
      </c>
      <c r="H3418" s="5" t="s">
        <v>21</v>
      </c>
      <c r="I3418" s="5" t="s">
        <v>8236</v>
      </c>
      <c r="J3418" s="12" t="str">
        <f>HYPERLINK("https://www.boe.es/gazeta/dias/1800/12/12/pdfs/GMD-1800-100.pdf#page=14","Abrir facsímil")</f>
        <v>Abrir facsímil</v>
      </c>
      <c r="K3418" s="15" t="s">
        <v>23</v>
      </c>
    </row>
    <row r="3419" spans="1:11" ht="42" customHeight="1">
      <c r="A3419" s="4" t="s">
        <v>8237</v>
      </c>
      <c r="B3419" s="5" t="s">
        <v>8238</v>
      </c>
      <c r="C3419" s="5" t="s">
        <v>25</v>
      </c>
      <c r="D3419" s="5" t="s">
        <v>26</v>
      </c>
      <c r="E3419" s="5" t="s">
        <v>45</v>
      </c>
      <c r="F3419" s="9">
        <v>47</v>
      </c>
      <c r="G3419" s="9">
        <v>502</v>
      </c>
      <c r="H3419" s="5" t="s">
        <v>21</v>
      </c>
      <c r="I3419" s="5" t="s">
        <v>8239</v>
      </c>
      <c r="J3419" s="12" t="str">
        <f>HYPERLINK("https://www.boe.es/gazeta/dias/1800/06/13/pdfs/GMD-1800-47.pdf#page=10","Abrir facsímil")</f>
        <v>Abrir facsímil</v>
      </c>
      <c r="K3419" s="15" t="s">
        <v>23</v>
      </c>
    </row>
    <row r="3420" spans="1:11" ht="42" customHeight="1">
      <c r="A3420" s="4" t="s">
        <v>8240</v>
      </c>
      <c r="B3420" s="5" t="s">
        <v>8241</v>
      </c>
      <c r="C3420" s="5" t="s">
        <v>25</v>
      </c>
      <c r="D3420" s="5" t="s">
        <v>26</v>
      </c>
      <c r="E3420" s="5" t="s">
        <v>45</v>
      </c>
      <c r="F3420" s="9">
        <v>47</v>
      </c>
      <c r="G3420" s="9">
        <v>502</v>
      </c>
      <c r="H3420" s="5" t="s">
        <v>21</v>
      </c>
      <c r="I3420" s="5" t="s">
        <v>8242</v>
      </c>
      <c r="J3420" s="12" t="str">
        <f>HYPERLINK("https://www.boe.es/gazeta/dias/1800/06/13/pdfs/GMD-1800-47.pdf#page=10","Abrir facsímil")</f>
        <v>Abrir facsímil</v>
      </c>
      <c r="K3420" s="15" t="s">
        <v>23</v>
      </c>
    </row>
    <row r="3421" spans="1:11" ht="42" customHeight="1">
      <c r="A3421" s="4" t="s">
        <v>8243</v>
      </c>
      <c r="B3421" s="5" t="s">
        <v>8244</v>
      </c>
      <c r="C3421" s="5" t="s">
        <v>18</v>
      </c>
      <c r="D3421" s="5" t="s">
        <v>19</v>
      </c>
      <c r="E3421" s="5" t="s">
        <v>79</v>
      </c>
      <c r="F3421" s="9">
        <v>7</v>
      </c>
      <c r="G3421" s="9">
        <v>67</v>
      </c>
      <c r="H3421" s="5" t="s">
        <v>21</v>
      </c>
      <c r="I3421" s="5" t="s">
        <v>8245</v>
      </c>
      <c r="J3421" s="12" t="str">
        <f>HYPERLINK("https://www.boe.es/gazeta/dias/1800/01/24/pdfs/GMD-1800-7.pdf#page=7","Abrir facsímil")</f>
        <v>Abrir facsímil</v>
      </c>
      <c r="K3421" s="15" t="s">
        <v>23</v>
      </c>
    </row>
    <row r="3422" spans="1:11" ht="42" customHeight="1">
      <c r="A3422" s="4" t="s">
        <v>8246</v>
      </c>
      <c r="B3422" s="5" t="s">
        <v>8247</v>
      </c>
      <c r="C3422" s="5" t="s">
        <v>25</v>
      </c>
      <c r="D3422" s="5" t="s">
        <v>26</v>
      </c>
      <c r="E3422" s="5" t="s">
        <v>845</v>
      </c>
      <c r="F3422" s="9">
        <v>80</v>
      </c>
      <c r="G3422" s="9">
        <v>910</v>
      </c>
      <c r="H3422" s="5" t="s">
        <v>21</v>
      </c>
      <c r="I3422" s="5" t="s">
        <v>8248</v>
      </c>
      <c r="J3422" s="12" t="str">
        <f>HYPERLINK("https://www.boe.es/gazeta/dias/1800/10/03/pdfs/GMD-1800-80.pdf#page=8","Abrir facsímil")</f>
        <v>Abrir facsímil</v>
      </c>
      <c r="K3422" s="15" t="s">
        <v>23</v>
      </c>
    </row>
    <row r="3423" spans="1:11" ht="42" customHeight="1">
      <c r="A3423" s="4" t="s">
        <v>8249</v>
      </c>
      <c r="B3423" s="5" t="s">
        <v>8250</v>
      </c>
      <c r="C3423" s="5" t="s">
        <v>54</v>
      </c>
      <c r="D3423" s="5" t="s">
        <v>55</v>
      </c>
      <c r="E3423" s="5" t="s">
        <v>461</v>
      </c>
      <c r="F3423" s="9">
        <v>18</v>
      </c>
      <c r="G3423" s="9">
        <v>171</v>
      </c>
      <c r="H3423" s="5" t="s">
        <v>21</v>
      </c>
      <c r="I3423" s="5" t="s">
        <v>8251</v>
      </c>
      <c r="J3423" s="12" t="str">
        <f>HYPERLINK("https://www.boe.es/datos/pdfs/BOE//1800/018/C00173-00176.pdf#page=7","Abrir facsímil")</f>
        <v>Abrir facsímil</v>
      </c>
      <c r="K3423" s="15" t="s">
        <v>23</v>
      </c>
    </row>
    <row r="3424" spans="1:11" ht="42" customHeight="1">
      <c r="A3424" s="4" t="s">
        <v>8252</v>
      </c>
      <c r="B3424" s="5" t="s">
        <v>8253</v>
      </c>
      <c r="C3424" s="5" t="s">
        <v>207</v>
      </c>
      <c r="D3424" s="5" t="s">
        <v>55</v>
      </c>
      <c r="E3424" s="5" t="s">
        <v>31</v>
      </c>
      <c r="F3424" s="9">
        <v>20</v>
      </c>
      <c r="G3424" s="9">
        <v>191</v>
      </c>
      <c r="H3424" s="5" t="s">
        <v>21</v>
      </c>
      <c r="I3424" s="5" t="s">
        <v>8254</v>
      </c>
      <c r="J3424" s="12" t="str">
        <f>HYPERLINK("https://www.boe.es/gazeta/dias/1800/03/11/pdfs/GMD-1800-20.pdf#page=7","Abrir facsímil")</f>
        <v>Abrir facsímil</v>
      </c>
      <c r="K3424" s="15" t="s">
        <v>23</v>
      </c>
    </row>
    <row r="3425" spans="1:11" ht="42" customHeight="1">
      <c r="A3425" s="4" t="s">
        <v>8255</v>
      </c>
      <c r="B3425" s="5" t="s">
        <v>8256</v>
      </c>
      <c r="C3425" s="5" t="s">
        <v>41</v>
      </c>
      <c r="D3425" s="5" t="s">
        <v>42</v>
      </c>
      <c r="E3425" s="5" t="s">
        <v>143</v>
      </c>
      <c r="F3425" s="9">
        <v>22</v>
      </c>
      <c r="G3425" s="9">
        <v>219</v>
      </c>
      <c r="H3425" s="5" t="s">
        <v>21</v>
      </c>
      <c r="I3425" s="5" t="s">
        <v>8257</v>
      </c>
      <c r="J3425" s="12" t="str">
        <f>HYPERLINK("https://www.boe.es/gazeta/dias/1800/03/18/pdfs/GMD-1800-22.pdf#page=11","Abrir facsímil")</f>
        <v>Abrir facsímil</v>
      </c>
      <c r="K3425" s="15" t="s">
        <v>23</v>
      </c>
    </row>
    <row r="3426" spans="1:11" ht="42" customHeight="1">
      <c r="A3426" s="4" t="s">
        <v>8258</v>
      </c>
      <c r="B3426" s="5" t="s">
        <v>8259</v>
      </c>
      <c r="C3426" s="5" t="s">
        <v>18</v>
      </c>
      <c r="D3426" s="5" t="s">
        <v>19</v>
      </c>
      <c r="E3426" s="5" t="s">
        <v>275</v>
      </c>
      <c r="F3426" s="9">
        <v>60</v>
      </c>
      <c r="G3426" s="9">
        <v>688</v>
      </c>
      <c r="H3426" s="5" t="s">
        <v>21</v>
      </c>
      <c r="I3426" s="5" t="s">
        <v>8260</v>
      </c>
      <c r="J3426" s="12" t="str">
        <f>HYPERLINK("https://www.boe.es/gazeta/dias/1800/07/29/pdfs/GMD-1800-60.pdf#page=8","Abrir facsímil")</f>
        <v>Abrir facsímil</v>
      </c>
      <c r="K3426" s="15" t="s">
        <v>23</v>
      </c>
    </row>
    <row r="3427" spans="1:11" ht="42" customHeight="1">
      <c r="A3427" s="4" t="s">
        <v>8261</v>
      </c>
      <c r="B3427" s="5" t="s">
        <v>8262</v>
      </c>
      <c r="C3427" s="5" t="s">
        <v>25</v>
      </c>
      <c r="D3427" s="5" t="s">
        <v>26</v>
      </c>
      <c r="E3427" s="5" t="s">
        <v>244</v>
      </c>
      <c r="F3427" s="9">
        <v>9</v>
      </c>
      <c r="G3427" s="9">
        <v>87</v>
      </c>
      <c r="H3427" s="5" t="s">
        <v>21</v>
      </c>
      <c r="I3427" s="5" t="s">
        <v>8263</v>
      </c>
      <c r="J3427" s="12" t="str">
        <f>HYPERLINK("https://www.boe.es/gazeta/dias/1800/01/31/pdfs/GMD-1800-9.pdf#page=11","Abrir facsímil")</f>
        <v>Abrir facsímil</v>
      </c>
      <c r="K3427" s="15" t="s">
        <v>23</v>
      </c>
    </row>
    <row r="3428" spans="1:11" ht="42" customHeight="1">
      <c r="A3428" s="4" t="s">
        <v>8264</v>
      </c>
      <c r="B3428" s="5" t="s">
        <v>8265</v>
      </c>
      <c r="C3428" s="5" t="s">
        <v>54</v>
      </c>
      <c r="D3428" s="5" t="s">
        <v>55</v>
      </c>
      <c r="E3428" s="5" t="s">
        <v>503</v>
      </c>
      <c r="F3428" s="9">
        <v>13</v>
      </c>
      <c r="G3428" s="9">
        <v>126</v>
      </c>
      <c r="H3428" s="5" t="s">
        <v>21</v>
      </c>
      <c r="I3428" s="5" t="s">
        <v>8266</v>
      </c>
      <c r="J3428" s="12" t="str">
        <f>HYPERLINK("https://www.boe.es/gazeta/dias/1800/02/14/pdfs/GMD-1800-13.pdf#page=10","Abrir facsímil")</f>
        <v>Abrir facsímil</v>
      </c>
      <c r="K3428" s="15" t="s">
        <v>23</v>
      </c>
    </row>
    <row r="3429" spans="1:11" ht="42" customHeight="1">
      <c r="A3429" s="4" t="s">
        <v>8267</v>
      </c>
      <c r="B3429" s="5" t="s">
        <v>8268</v>
      </c>
      <c r="C3429" s="5" t="s">
        <v>25</v>
      </c>
      <c r="D3429" s="5" t="s">
        <v>26</v>
      </c>
      <c r="E3429" s="5" t="s">
        <v>299</v>
      </c>
      <c r="F3429" s="9">
        <v>40</v>
      </c>
      <c r="G3429" s="9">
        <v>413</v>
      </c>
      <c r="H3429" s="5" t="s">
        <v>21</v>
      </c>
      <c r="I3429" s="5" t="s">
        <v>8269</v>
      </c>
      <c r="J3429" s="12" t="str">
        <f>HYPERLINK("https://www.boe.es/gazeta/dias/1800/05/20/pdfs/GMD-1800-40.pdf#page=9","Abrir facsímil")</f>
        <v>Abrir facsímil</v>
      </c>
      <c r="K3429" s="15" t="s">
        <v>23</v>
      </c>
    </row>
    <row r="3430" spans="1:11" ht="42" customHeight="1">
      <c r="A3430" s="4" t="s">
        <v>8270</v>
      </c>
      <c r="B3430" s="5" t="s">
        <v>8271</v>
      </c>
      <c r="C3430" s="5" t="s">
        <v>84</v>
      </c>
      <c r="D3430" s="5" t="s">
        <v>85</v>
      </c>
      <c r="E3430" s="5" t="s">
        <v>356</v>
      </c>
      <c r="F3430" s="9">
        <v>31</v>
      </c>
      <c r="G3430" s="9">
        <v>316</v>
      </c>
      <c r="H3430" s="5" t="s">
        <v>21</v>
      </c>
      <c r="I3430" s="5" t="s">
        <v>8272</v>
      </c>
      <c r="J3430" s="12" t="str">
        <f>HYPERLINK("https://www.boe.es/gazeta/dias/1800/04/18/pdfs/GMD-1800-31.pdf#page=8","Abrir facsímil")</f>
        <v>Abrir facsímil</v>
      </c>
      <c r="K3430" s="15" t="s">
        <v>23</v>
      </c>
    </row>
    <row r="3431" spans="1:11" ht="42" customHeight="1">
      <c r="A3431" s="4" t="s">
        <v>8273</v>
      </c>
      <c r="B3431" s="5" t="s">
        <v>8274</v>
      </c>
      <c r="C3431" s="5" t="s">
        <v>171</v>
      </c>
      <c r="D3431" s="5" t="s">
        <v>172</v>
      </c>
      <c r="E3431" s="5" t="s">
        <v>2338</v>
      </c>
      <c r="F3431" s="9">
        <v>42</v>
      </c>
      <c r="G3431" s="9">
        <v>440</v>
      </c>
      <c r="H3431" s="5" t="s">
        <v>21</v>
      </c>
      <c r="I3431" s="5" t="s">
        <v>8275</v>
      </c>
      <c r="J3431" s="12" t="str">
        <f>HYPERLINK("https://www.boe.es/gazeta/dias/1800/05/27/pdfs/GMD-C-1800-42.pdf#page=4","Abrir facsímil")</f>
        <v>Abrir facsímil</v>
      </c>
      <c r="K3431" s="15" t="s">
        <v>23</v>
      </c>
    </row>
    <row r="3432" spans="1:11" ht="42" customHeight="1">
      <c r="A3432" s="4" t="s">
        <v>8273</v>
      </c>
      <c r="B3432" s="5" t="s">
        <v>8274</v>
      </c>
      <c r="C3432" s="5" t="s">
        <v>25</v>
      </c>
      <c r="D3432" s="5" t="s">
        <v>26</v>
      </c>
      <c r="E3432" s="5" t="s">
        <v>823</v>
      </c>
      <c r="F3432" s="9">
        <v>50</v>
      </c>
      <c r="G3432" s="9">
        <v>547</v>
      </c>
      <c r="H3432" s="5" t="s">
        <v>21</v>
      </c>
      <c r="I3432" s="5" t="s">
        <v>8276</v>
      </c>
      <c r="J3432" s="12" t="str">
        <f>HYPERLINK("https://www.boe.es/gazeta/dias/1800/06/24/pdfs/GMD-1800-50.pdf#page=11","Abrir facsímil")</f>
        <v>Abrir facsímil</v>
      </c>
      <c r="K3432" s="15" t="s">
        <v>23</v>
      </c>
    </row>
    <row r="3433" spans="1:11" ht="42" customHeight="1">
      <c r="A3433" s="4" t="s">
        <v>8277</v>
      </c>
      <c r="B3433" s="5" t="s">
        <v>8278</v>
      </c>
      <c r="C3433" s="5" t="s">
        <v>18</v>
      </c>
      <c r="D3433" s="5" t="s">
        <v>19</v>
      </c>
      <c r="E3433" s="5" t="s">
        <v>20</v>
      </c>
      <c r="F3433" s="9">
        <v>104</v>
      </c>
      <c r="G3433" s="9">
        <v>1210</v>
      </c>
      <c r="H3433" s="5" t="s">
        <v>21</v>
      </c>
      <c r="I3433" s="5" t="s">
        <v>8279</v>
      </c>
      <c r="J3433" s="12" t="str">
        <f>HYPERLINK("https://www.boe.es/gazeta/dias/1800/12/26/pdfs/GMD-1800-104.pdf#page=10","Abrir facsímil")</f>
        <v>Abrir facsímil</v>
      </c>
      <c r="K3433" s="15" t="s">
        <v>23</v>
      </c>
    </row>
    <row r="3434" spans="1:11" ht="42" customHeight="1">
      <c r="A3434" s="4" t="s">
        <v>8280</v>
      </c>
      <c r="B3434" s="5" t="s">
        <v>8281</v>
      </c>
      <c r="C3434" s="5" t="s">
        <v>18</v>
      </c>
      <c r="D3434" s="5" t="s">
        <v>19</v>
      </c>
      <c r="E3434" s="5" t="s">
        <v>31</v>
      </c>
      <c r="F3434" s="9">
        <v>20</v>
      </c>
      <c r="G3434" s="9">
        <v>192</v>
      </c>
      <c r="H3434" s="5" t="s">
        <v>21</v>
      </c>
      <c r="I3434" s="5" t="s">
        <v>8282</v>
      </c>
      <c r="J3434" s="12" t="str">
        <f>HYPERLINK("https://www.boe.es/gazeta/dias/1800/03/11/pdfs/GMD-1800-20.pdf#page=8","Abrir facsímil")</f>
        <v>Abrir facsímil</v>
      </c>
      <c r="K3434" s="15" t="s">
        <v>23</v>
      </c>
    </row>
    <row r="3435" spans="1:11" ht="42" customHeight="1">
      <c r="A3435" s="4" t="s">
        <v>8283</v>
      </c>
      <c r="B3435" s="5" t="s">
        <v>8284</v>
      </c>
      <c r="C3435" s="5" t="s">
        <v>18</v>
      </c>
      <c r="D3435" s="5" t="s">
        <v>19</v>
      </c>
      <c r="E3435" s="5" t="s">
        <v>255</v>
      </c>
      <c r="F3435" s="9">
        <v>75</v>
      </c>
      <c r="G3435" s="9">
        <v>855</v>
      </c>
      <c r="H3435" s="5" t="s">
        <v>21</v>
      </c>
      <c r="I3435" s="5" t="s">
        <v>8285</v>
      </c>
      <c r="J3435" s="12" t="str">
        <f>HYPERLINK("https://www.boe.es/gazeta/dias/1800/09/16/pdfs/GMD-1800-75.pdf#page=9","Abrir facsímil")</f>
        <v>Abrir facsímil</v>
      </c>
      <c r="K3435" s="15" t="s">
        <v>23</v>
      </c>
    </row>
    <row r="3436" spans="1:11" ht="42" customHeight="1">
      <c r="A3436" s="4" t="s">
        <v>8286</v>
      </c>
      <c r="B3436" s="5" t="s">
        <v>8287</v>
      </c>
      <c r="C3436" s="5" t="s">
        <v>18</v>
      </c>
      <c r="D3436" s="5" t="s">
        <v>19</v>
      </c>
      <c r="E3436" s="5" t="s">
        <v>503</v>
      </c>
      <c r="F3436" s="9">
        <v>13</v>
      </c>
      <c r="G3436" s="9">
        <v>126</v>
      </c>
      <c r="H3436" s="5" t="s">
        <v>21</v>
      </c>
      <c r="I3436" s="5" t="s">
        <v>8288</v>
      </c>
      <c r="J3436" s="12" t="str">
        <f>HYPERLINK("https://www.boe.es/gazeta/dias/1800/02/14/pdfs/GMD-1800-13.pdf#page=10","Abrir facsímil")</f>
        <v>Abrir facsímil</v>
      </c>
      <c r="K3436" s="15" t="s">
        <v>23</v>
      </c>
    </row>
    <row r="3437" spans="1:11" ht="42" customHeight="1">
      <c r="A3437" s="4" t="s">
        <v>8289</v>
      </c>
      <c r="B3437" s="5" t="s">
        <v>8290</v>
      </c>
      <c r="C3437" s="5" t="s">
        <v>18</v>
      </c>
      <c r="D3437" s="5" t="s">
        <v>19</v>
      </c>
      <c r="E3437" s="5" t="s">
        <v>52</v>
      </c>
      <c r="F3437" s="9">
        <v>83</v>
      </c>
      <c r="G3437" s="9">
        <v>963</v>
      </c>
      <c r="H3437" s="5" t="s">
        <v>21</v>
      </c>
      <c r="I3437" s="5" t="s">
        <v>8291</v>
      </c>
      <c r="J3437" s="12" t="str">
        <f>HYPERLINK("https://www.boe.es/gazeta/dias/1800/10/14/pdfs/GMD-1800-83.pdf#page=9","Abrir facsímil")</f>
        <v>Abrir facsímil</v>
      </c>
      <c r="K3437" s="15" t="s">
        <v>23</v>
      </c>
    </row>
    <row r="3438" spans="1:11" ht="42" customHeight="1">
      <c r="A3438" s="4" t="s">
        <v>8292</v>
      </c>
      <c r="B3438" s="5" t="s">
        <v>8293</v>
      </c>
      <c r="C3438" s="5" t="s">
        <v>18</v>
      </c>
      <c r="D3438" s="5" t="s">
        <v>19</v>
      </c>
      <c r="E3438" s="5" t="s">
        <v>534</v>
      </c>
      <c r="F3438" s="9">
        <v>100</v>
      </c>
      <c r="G3438" s="9">
        <v>1162</v>
      </c>
      <c r="H3438" s="5" t="s">
        <v>21</v>
      </c>
      <c r="I3438" s="5" t="s">
        <v>8294</v>
      </c>
      <c r="J3438" s="12" t="str">
        <f>HYPERLINK("https://www.boe.es/gazeta/dias/1800/12/12/pdfs/GMD-1800-100.pdf#page=14","Abrir facsímil")</f>
        <v>Abrir facsímil</v>
      </c>
      <c r="K3438" s="15" t="s">
        <v>23</v>
      </c>
    </row>
    <row r="3439" spans="1:11" ht="42" customHeight="1">
      <c r="A3439" s="4" t="s">
        <v>8295</v>
      </c>
      <c r="B3439" s="5" t="s">
        <v>8296</v>
      </c>
      <c r="C3439" s="5" t="s">
        <v>18</v>
      </c>
      <c r="D3439" s="5" t="s">
        <v>19</v>
      </c>
      <c r="E3439" s="5" t="s">
        <v>615</v>
      </c>
      <c r="F3439" s="9">
        <v>95</v>
      </c>
      <c r="G3439" s="9">
        <v>1090</v>
      </c>
      <c r="H3439" s="5" t="s">
        <v>21</v>
      </c>
      <c r="I3439" s="5" t="s">
        <v>8297</v>
      </c>
      <c r="J3439" s="12" t="str">
        <f>HYPERLINK("https://www.boe.es/gazeta/dias/1800/11/25/pdfs/GMD-1800-95.pdf#page=8","Abrir facsímil")</f>
        <v>Abrir facsímil</v>
      </c>
      <c r="K3439" s="15" t="s">
        <v>23</v>
      </c>
    </row>
    <row r="3440" spans="1:11" ht="42" customHeight="1">
      <c r="A3440" s="4" t="s">
        <v>8298</v>
      </c>
      <c r="B3440" s="5" t="s">
        <v>8299</v>
      </c>
      <c r="C3440" s="5" t="s">
        <v>25</v>
      </c>
      <c r="D3440" s="5" t="s">
        <v>26</v>
      </c>
      <c r="E3440" s="5" t="s">
        <v>60</v>
      </c>
      <c r="F3440" s="9">
        <v>105</v>
      </c>
      <c r="G3440" s="9">
        <v>1226</v>
      </c>
      <c r="H3440" s="5" t="s">
        <v>21</v>
      </c>
      <c r="I3440" s="5" t="s">
        <v>8300</v>
      </c>
      <c r="J3440" s="12" t="str">
        <f>HYPERLINK("https://www.boe.es/gazeta/dias/1800/12/30/pdfs/GMD-1800-105.pdf#page=10","Abrir facsímil")</f>
        <v>Abrir facsímil</v>
      </c>
      <c r="K3440" s="15" t="s">
        <v>23</v>
      </c>
    </row>
    <row r="3441" spans="1:11" ht="42" customHeight="1">
      <c r="A3441" s="4" t="s">
        <v>8301</v>
      </c>
      <c r="B3441" s="5" t="s">
        <v>8302</v>
      </c>
      <c r="C3441" s="5" t="s">
        <v>54</v>
      </c>
      <c r="D3441" s="5" t="s">
        <v>55</v>
      </c>
      <c r="E3441" s="5" t="s">
        <v>787</v>
      </c>
      <c r="F3441" s="9">
        <v>6</v>
      </c>
      <c r="G3441" s="9">
        <v>59</v>
      </c>
      <c r="H3441" s="5" t="s">
        <v>21</v>
      </c>
      <c r="I3441" s="5" t="s">
        <v>8303</v>
      </c>
      <c r="J3441" s="12" t="str">
        <f>HYPERLINK("https://www.boe.es/gazeta/dias/1800/01/21/pdfs/GMD-1800-6.pdf#page=11","Abrir facsímil")</f>
        <v>Abrir facsímil</v>
      </c>
      <c r="K3441" s="15" t="s">
        <v>23</v>
      </c>
    </row>
    <row r="3442" spans="1:11" ht="42" customHeight="1">
      <c r="A3442" s="4" t="s">
        <v>8301</v>
      </c>
      <c r="B3442" s="5" t="s">
        <v>8302</v>
      </c>
      <c r="C3442" s="5" t="s">
        <v>54</v>
      </c>
      <c r="D3442" s="5" t="s">
        <v>55</v>
      </c>
      <c r="E3442" s="5" t="s">
        <v>82</v>
      </c>
      <c r="F3442" s="9">
        <v>10</v>
      </c>
      <c r="G3442" s="9">
        <v>98</v>
      </c>
      <c r="H3442" s="5" t="s">
        <v>21</v>
      </c>
      <c r="I3442" s="5" t="s">
        <v>8304</v>
      </c>
      <c r="J3442" s="12" t="str">
        <f>HYPERLINK("https://www.boe.es/gazeta/dias/1800/02/04/pdfs/GMD-1800-10.pdf#page=10","Abrir facsímil")</f>
        <v>Abrir facsímil</v>
      </c>
      <c r="K3442" s="15" t="s">
        <v>23</v>
      </c>
    </row>
    <row r="3443" spans="1:11" ht="42" customHeight="1">
      <c r="A3443" s="4" t="s">
        <v>8301</v>
      </c>
      <c r="B3443" s="5" t="s">
        <v>8302</v>
      </c>
      <c r="C3443" s="5" t="s">
        <v>18</v>
      </c>
      <c r="D3443" s="5" t="s">
        <v>19</v>
      </c>
      <c r="E3443" s="5" t="s">
        <v>1433</v>
      </c>
      <c r="F3443" s="9">
        <v>12</v>
      </c>
      <c r="G3443" s="9">
        <v>116</v>
      </c>
      <c r="H3443" s="5" t="s">
        <v>21</v>
      </c>
      <c r="I3443" s="5" t="s">
        <v>8305</v>
      </c>
      <c r="J3443" s="12" t="str">
        <f>HYPERLINK("https://www.boe.es/gazeta/dias/1800/02/11/pdfs/GMD-1800-12.pdf#page=8","Abrir facsímil")</f>
        <v>Abrir facsímil</v>
      </c>
      <c r="K3443" s="15" t="s">
        <v>23</v>
      </c>
    </row>
    <row r="3444" spans="1:11" ht="42" customHeight="1">
      <c r="A3444" s="4" t="s">
        <v>8301</v>
      </c>
      <c r="B3444" s="5" t="s">
        <v>8302</v>
      </c>
      <c r="C3444" s="5" t="s">
        <v>18</v>
      </c>
      <c r="D3444" s="5" t="s">
        <v>19</v>
      </c>
      <c r="E3444" s="5" t="s">
        <v>503</v>
      </c>
      <c r="F3444" s="9">
        <v>13</v>
      </c>
      <c r="G3444" s="9">
        <v>126</v>
      </c>
      <c r="H3444" s="5" t="s">
        <v>21</v>
      </c>
      <c r="I3444" s="5" t="s">
        <v>8306</v>
      </c>
      <c r="J3444" s="12" t="str">
        <f>HYPERLINK("https://www.boe.es/gazeta/dias/1800/02/14/pdfs/GMD-1800-13.pdf#page=10","Abrir facsímil")</f>
        <v>Abrir facsímil</v>
      </c>
      <c r="K3444" s="15" t="s">
        <v>23</v>
      </c>
    </row>
    <row r="3445" spans="1:11" ht="42" customHeight="1">
      <c r="A3445" s="4" t="s">
        <v>8301</v>
      </c>
      <c r="B3445" s="5" t="s">
        <v>8302</v>
      </c>
      <c r="C3445" s="5" t="s">
        <v>54</v>
      </c>
      <c r="D3445" s="5" t="s">
        <v>55</v>
      </c>
      <c r="E3445" s="5" t="s">
        <v>31</v>
      </c>
      <c r="F3445" s="9">
        <v>20</v>
      </c>
      <c r="G3445" s="9">
        <v>194</v>
      </c>
      <c r="H3445" s="5" t="s">
        <v>21</v>
      </c>
      <c r="I3445" s="5" t="s">
        <v>8307</v>
      </c>
      <c r="J3445" s="12" t="str">
        <f>HYPERLINK("https://www.boe.es/gazeta/dias/1800/03/11/pdfs/GMD-1800-20.pdf#page=10","Abrir facsímil")</f>
        <v>Abrir facsímil</v>
      </c>
      <c r="K3445" s="15" t="s">
        <v>23</v>
      </c>
    </row>
    <row r="3446" spans="1:11" ht="42" customHeight="1">
      <c r="A3446" s="4" t="s">
        <v>8301</v>
      </c>
      <c r="B3446" s="5" t="s">
        <v>8302</v>
      </c>
      <c r="C3446" s="5" t="s">
        <v>18</v>
      </c>
      <c r="D3446" s="5" t="s">
        <v>19</v>
      </c>
      <c r="E3446" s="5" t="s">
        <v>420</v>
      </c>
      <c r="F3446" s="9">
        <v>38</v>
      </c>
      <c r="G3446" s="9">
        <v>390</v>
      </c>
      <c r="H3446" s="5" t="s">
        <v>21</v>
      </c>
      <c r="I3446" s="5" t="s">
        <v>8308</v>
      </c>
      <c r="J3446" s="12" t="str">
        <f>HYPERLINK("https://www.boe.es/gazeta/dias/1800/05/13/pdfs/GMD-1800-38.pdf#page=10","Abrir facsímil")</f>
        <v>Abrir facsímil</v>
      </c>
      <c r="K3446" s="15" t="s">
        <v>23</v>
      </c>
    </row>
    <row r="3447" spans="1:11" ht="42" customHeight="1">
      <c r="A3447" s="4" t="s">
        <v>8301</v>
      </c>
      <c r="B3447" s="5" t="s">
        <v>8302</v>
      </c>
      <c r="C3447" s="5" t="s">
        <v>171</v>
      </c>
      <c r="D3447" s="5" t="s">
        <v>172</v>
      </c>
      <c r="E3447" s="5" t="s">
        <v>194</v>
      </c>
      <c r="F3447" s="9">
        <v>48</v>
      </c>
      <c r="G3447" s="9">
        <v>524</v>
      </c>
      <c r="H3447" s="5" t="s">
        <v>21</v>
      </c>
      <c r="I3447" s="5" t="s">
        <v>8309</v>
      </c>
      <c r="J3447" s="12" t="str">
        <f>HYPERLINK("https://www.boe.es/gazeta/dias/1800/06/17/pdfs/GMD-C-1800-48.pdf#page=4","Abrir facsímil")</f>
        <v>Abrir facsímil</v>
      </c>
      <c r="K3447" s="15" t="s">
        <v>23</v>
      </c>
    </row>
    <row r="3448" spans="1:11" ht="42" customHeight="1">
      <c r="A3448" s="4" t="s">
        <v>8301</v>
      </c>
      <c r="B3448" s="5" t="s">
        <v>8302</v>
      </c>
      <c r="C3448" s="5" t="s">
        <v>54</v>
      </c>
      <c r="D3448" s="5" t="s">
        <v>55</v>
      </c>
      <c r="E3448" s="5" t="s">
        <v>828</v>
      </c>
      <c r="F3448" s="9">
        <v>53</v>
      </c>
      <c r="G3448" s="9">
        <v>591</v>
      </c>
      <c r="H3448" s="5" t="s">
        <v>21</v>
      </c>
      <c r="I3448" s="5" t="s">
        <v>8310</v>
      </c>
      <c r="J3448" s="12" t="str">
        <f>HYPERLINK("https://www.boe.es/gazeta/dias/1800/07/04/pdfs/GMD-1800-53.pdf#page=11","Abrir facsímil")</f>
        <v>Abrir facsímil</v>
      </c>
      <c r="K3448" s="15" t="s">
        <v>23</v>
      </c>
    </row>
    <row r="3449" spans="1:11" ht="42" customHeight="1">
      <c r="A3449" s="4" t="s">
        <v>8301</v>
      </c>
      <c r="B3449" s="5" t="s">
        <v>8302</v>
      </c>
      <c r="C3449" s="5" t="s">
        <v>171</v>
      </c>
      <c r="D3449" s="5" t="s">
        <v>172</v>
      </c>
      <c r="E3449" s="5" t="s">
        <v>828</v>
      </c>
      <c r="F3449" s="9">
        <v>53</v>
      </c>
      <c r="G3449" s="9">
        <v>596</v>
      </c>
      <c r="H3449" s="5" t="s">
        <v>21</v>
      </c>
      <c r="I3449" s="5" t="s">
        <v>8311</v>
      </c>
      <c r="J3449" s="12" t="str">
        <f>HYPERLINK("https://www.boe.es/gazeta/dias/1800/07/04/pdfs/GMD-C-1800-53.pdf#page=4","Abrir facsímil")</f>
        <v>Abrir facsímil</v>
      </c>
      <c r="K3449" s="15" t="s">
        <v>23</v>
      </c>
    </row>
    <row r="3450" spans="1:11" ht="42" customHeight="1">
      <c r="A3450" s="4" t="s">
        <v>8301</v>
      </c>
      <c r="B3450" s="5" t="s">
        <v>8302</v>
      </c>
      <c r="C3450" s="5" t="s">
        <v>171</v>
      </c>
      <c r="D3450" s="5" t="s">
        <v>172</v>
      </c>
      <c r="E3450" s="5" t="s">
        <v>90</v>
      </c>
      <c r="F3450" s="9">
        <v>58</v>
      </c>
      <c r="G3450" s="9">
        <v>666</v>
      </c>
      <c r="H3450" s="5" t="s">
        <v>21</v>
      </c>
      <c r="I3450" s="5" t="s">
        <v>8312</v>
      </c>
      <c r="J3450" s="12" t="str">
        <f>HYPERLINK("https://www.boe.es/gazeta/dias/1800/07/22/pdfs/GMD-C-1800-58.pdf#page=2","Abrir facsímil")</f>
        <v>Abrir facsímil</v>
      </c>
      <c r="K3450" s="15" t="s">
        <v>23</v>
      </c>
    </row>
    <row r="3451" spans="1:11" ht="42" customHeight="1">
      <c r="A3451" s="4" t="s">
        <v>8301</v>
      </c>
      <c r="B3451" s="5" t="s">
        <v>8302</v>
      </c>
      <c r="C3451" s="5" t="s">
        <v>171</v>
      </c>
      <c r="D3451" s="5" t="s">
        <v>172</v>
      </c>
      <c r="E3451" s="5" t="s">
        <v>135</v>
      </c>
      <c r="F3451" s="9">
        <v>73</v>
      </c>
      <c r="G3451" s="9">
        <v>820</v>
      </c>
      <c r="H3451" s="5" t="s">
        <v>21</v>
      </c>
      <c r="I3451" s="5" t="s">
        <v>8313</v>
      </c>
      <c r="J3451" s="12" t="str">
        <f>HYPERLINK("https://www.boe.es/gazeta/dias/1800/09/09/pdfs/GMD-C-1800-73.pdf#page=2","Abrir facsímil")</f>
        <v>Abrir facsímil</v>
      </c>
      <c r="K3451" s="15" t="s">
        <v>23</v>
      </c>
    </row>
    <row r="3452" spans="1:11" ht="42" customHeight="1">
      <c r="A3452" s="4" t="s">
        <v>8301</v>
      </c>
      <c r="B3452" s="5" t="s">
        <v>8302</v>
      </c>
      <c r="C3452" s="5" t="s">
        <v>171</v>
      </c>
      <c r="D3452" s="5" t="s">
        <v>172</v>
      </c>
      <c r="E3452" s="5" t="s">
        <v>135</v>
      </c>
      <c r="F3452" s="9">
        <v>73</v>
      </c>
      <c r="G3452" s="9">
        <v>822</v>
      </c>
      <c r="H3452" s="5" t="s">
        <v>21</v>
      </c>
      <c r="I3452" s="5" t="s">
        <v>8314</v>
      </c>
      <c r="J3452" s="12" t="str">
        <f>HYPERLINK("https://www.boe.es/gazeta/dias/1800/09/09/pdfs/GMD-C-1800-73.pdf#page=4","Abrir facsímil")</f>
        <v>Abrir facsímil</v>
      </c>
      <c r="K3452" s="15" t="s">
        <v>23</v>
      </c>
    </row>
    <row r="3453" spans="1:11" ht="42" customHeight="1">
      <c r="A3453" s="4" t="s">
        <v>8301</v>
      </c>
      <c r="B3453" s="5" t="s">
        <v>8302</v>
      </c>
      <c r="C3453" s="5" t="s">
        <v>171</v>
      </c>
      <c r="D3453" s="5" t="s">
        <v>172</v>
      </c>
      <c r="E3453" s="5" t="s">
        <v>116</v>
      </c>
      <c r="F3453" s="9">
        <v>86</v>
      </c>
      <c r="G3453" s="9">
        <v>1002</v>
      </c>
      <c r="H3453" s="5" t="s">
        <v>21</v>
      </c>
      <c r="I3453" s="5" t="s">
        <v>8315</v>
      </c>
      <c r="J3453" s="12" t="str">
        <f>HYPERLINK("https://www.boe.es/gazeta/dias/1800/10/24/pdfs/GMD-C-1800-86.pdf#page=4","Abrir facsímil")</f>
        <v>Abrir facsímil</v>
      </c>
      <c r="K3453" s="15" t="s">
        <v>23</v>
      </c>
    </row>
    <row r="3454" spans="1:11" ht="42" customHeight="1">
      <c r="A3454" s="4" t="s">
        <v>8301</v>
      </c>
      <c r="B3454" s="5" t="s">
        <v>8302</v>
      </c>
      <c r="C3454" s="5" t="s">
        <v>25</v>
      </c>
      <c r="D3454" s="5" t="s">
        <v>26</v>
      </c>
      <c r="E3454" s="5" t="s">
        <v>176</v>
      </c>
      <c r="F3454" s="9">
        <v>88</v>
      </c>
      <c r="G3454" s="9">
        <v>1033</v>
      </c>
      <c r="H3454" s="5" t="s">
        <v>21</v>
      </c>
      <c r="I3454" s="5" t="s">
        <v>8316</v>
      </c>
      <c r="J3454" s="12" t="str">
        <f>HYPERLINK("https://www.boe.es/gazeta/dias/1800/10/31/pdfs/GMD-1800-88.pdf#page=15","Abrir facsímil")</f>
        <v>Abrir facsímil</v>
      </c>
      <c r="K3454" s="15" t="s">
        <v>23</v>
      </c>
    </row>
    <row r="3455" spans="1:11" ht="42" customHeight="1">
      <c r="A3455" s="4" t="s">
        <v>8301</v>
      </c>
      <c r="B3455" s="5" t="s">
        <v>8302</v>
      </c>
      <c r="C3455" s="5" t="s">
        <v>18</v>
      </c>
      <c r="D3455" s="5" t="s">
        <v>19</v>
      </c>
      <c r="E3455" s="5" t="s">
        <v>329</v>
      </c>
      <c r="F3455" s="9">
        <v>99</v>
      </c>
      <c r="G3455" s="9">
        <v>1139</v>
      </c>
      <c r="H3455" s="5" t="s">
        <v>21</v>
      </c>
      <c r="I3455" s="5" t="s">
        <v>8317</v>
      </c>
      <c r="J3455" s="12" t="str">
        <f>HYPERLINK("https://www.boe.es/gazeta/dias/1800/12/09/pdfs/GMD-1800-99.pdf#page=7","Abrir facsímil")</f>
        <v>Abrir facsímil</v>
      </c>
      <c r="K3455" s="15" t="s">
        <v>23</v>
      </c>
    </row>
    <row r="3456" spans="1:11" ht="42" customHeight="1">
      <c r="A3456" s="4" t="s">
        <v>8318</v>
      </c>
      <c r="B3456" s="5" t="s">
        <v>8319</v>
      </c>
      <c r="C3456" s="5" t="s">
        <v>18</v>
      </c>
      <c r="D3456" s="5" t="s">
        <v>19</v>
      </c>
      <c r="E3456" s="5" t="s">
        <v>410</v>
      </c>
      <c r="F3456" s="9">
        <v>87</v>
      </c>
      <c r="G3456" s="9">
        <v>1009</v>
      </c>
      <c r="H3456" s="5" t="s">
        <v>21</v>
      </c>
      <c r="I3456" s="5" t="s">
        <v>8320</v>
      </c>
      <c r="J3456" s="12" t="str">
        <f>HYPERLINK("https://www.boe.es/gazeta/dias/1800/10/28/pdfs/GMD-1800-87.pdf#page=7","Abrir facsímil")</f>
        <v>Abrir facsímil</v>
      </c>
      <c r="K3456" s="15" t="s">
        <v>23</v>
      </c>
    </row>
    <row r="3457" spans="1:11" ht="42" customHeight="1">
      <c r="A3457" s="4" t="s">
        <v>8321</v>
      </c>
      <c r="B3457" s="5" t="s">
        <v>8322</v>
      </c>
      <c r="C3457" s="5" t="s">
        <v>207</v>
      </c>
      <c r="D3457" s="5" t="s">
        <v>55</v>
      </c>
      <c r="E3457" s="5" t="s">
        <v>196</v>
      </c>
      <c r="F3457" s="9">
        <v>97</v>
      </c>
      <c r="G3457" s="9">
        <v>1119</v>
      </c>
      <c r="H3457" s="5" t="s">
        <v>21</v>
      </c>
      <c r="I3457" s="5" t="s">
        <v>8323</v>
      </c>
      <c r="J3457" s="12" t="str">
        <f>HYPERLINK("https://www.boe.es/gazeta/dias/1800/12/02/pdfs/GMD-1800-97.pdf#page=11","Abrir facsímil")</f>
        <v>Abrir facsímil</v>
      </c>
      <c r="K3457" s="15" t="s">
        <v>23</v>
      </c>
    </row>
    <row r="3458" spans="1:11" ht="42" customHeight="1">
      <c r="A3458" s="4" t="s">
        <v>8324</v>
      </c>
      <c r="B3458" s="5" t="s">
        <v>8325</v>
      </c>
      <c r="C3458" s="5" t="s">
        <v>25</v>
      </c>
      <c r="D3458" s="5" t="s">
        <v>26</v>
      </c>
      <c r="E3458" s="5" t="s">
        <v>420</v>
      </c>
      <c r="F3458" s="9">
        <v>38</v>
      </c>
      <c r="G3458" s="9">
        <v>388</v>
      </c>
      <c r="H3458" s="5" t="s">
        <v>21</v>
      </c>
      <c r="I3458" s="5" t="s">
        <v>8326</v>
      </c>
      <c r="J3458" s="12" t="str">
        <f>HYPERLINK("https://www.boe.es/gazeta/dias/1800/05/13/pdfs/GMD-1800-38.pdf#page=8","Abrir facsímil")</f>
        <v>Abrir facsímil</v>
      </c>
      <c r="K3458" s="15" t="s">
        <v>23</v>
      </c>
    </row>
    <row r="3459" spans="1:11" ht="42" customHeight="1">
      <c r="A3459" s="4" t="s">
        <v>8327</v>
      </c>
      <c r="B3459" s="5" t="s">
        <v>8328</v>
      </c>
      <c r="C3459" s="5" t="s">
        <v>207</v>
      </c>
      <c r="D3459" s="5" t="s">
        <v>55</v>
      </c>
      <c r="E3459" s="5" t="s">
        <v>255</v>
      </c>
      <c r="F3459" s="9">
        <v>75</v>
      </c>
      <c r="G3459" s="9">
        <v>854</v>
      </c>
      <c r="H3459" s="5" t="s">
        <v>21</v>
      </c>
      <c r="I3459" s="5" t="s">
        <v>8329</v>
      </c>
      <c r="J3459" s="12" t="str">
        <f>HYPERLINK("https://www.boe.es/gazeta/dias/1800/09/16/pdfs/GMD-1800-75.pdf#page=8","Abrir facsímil")</f>
        <v>Abrir facsímil</v>
      </c>
      <c r="K3459" s="15" t="s">
        <v>23</v>
      </c>
    </row>
    <row r="3460" spans="1:11" ht="42" customHeight="1">
      <c r="A3460" s="4" t="s">
        <v>8330</v>
      </c>
      <c r="B3460" s="5" t="s">
        <v>8331</v>
      </c>
      <c r="C3460" s="5" t="s">
        <v>25</v>
      </c>
      <c r="D3460" s="5" t="s">
        <v>26</v>
      </c>
      <c r="E3460" s="5" t="s">
        <v>1108</v>
      </c>
      <c r="F3460" s="9">
        <v>30</v>
      </c>
      <c r="G3460" s="9">
        <v>307</v>
      </c>
      <c r="H3460" s="5" t="s">
        <v>21</v>
      </c>
      <c r="I3460" s="5" t="s">
        <v>8332</v>
      </c>
      <c r="J3460" s="12" t="str">
        <f>HYPERLINK("https://www.boe.es/gazeta/dias/1800/04/15/pdfs/GMD-1800-30.pdf#page=7","Abrir facsímil")</f>
        <v>Abrir facsímil</v>
      </c>
      <c r="K3460" s="15" t="s">
        <v>23</v>
      </c>
    </row>
    <row r="3461" spans="1:11" ht="42" customHeight="1">
      <c r="A3461" s="4" t="s">
        <v>8333</v>
      </c>
      <c r="B3461" s="5" t="s">
        <v>8334</v>
      </c>
      <c r="C3461" s="5" t="s">
        <v>41</v>
      </c>
      <c r="D3461" s="5" t="s">
        <v>42</v>
      </c>
      <c r="E3461" s="5" t="s">
        <v>143</v>
      </c>
      <c r="F3461" s="9">
        <v>22</v>
      </c>
      <c r="G3461" s="9">
        <v>218</v>
      </c>
      <c r="H3461" s="5" t="s">
        <v>21</v>
      </c>
      <c r="I3461" s="5" t="s">
        <v>8335</v>
      </c>
      <c r="J3461" s="12" t="str">
        <f>HYPERLINK("https://www.boe.es/gazeta/dias/1800/03/18/pdfs/GMD-1800-22.pdf#page=10","Abrir facsímil")</f>
        <v>Abrir facsímil</v>
      </c>
      <c r="K3461" s="15" t="s">
        <v>23</v>
      </c>
    </row>
    <row r="3462" spans="1:11" ht="42" customHeight="1">
      <c r="A3462" s="4" t="s">
        <v>8336</v>
      </c>
      <c r="B3462" s="5" t="s">
        <v>8337</v>
      </c>
      <c r="C3462" s="5" t="s">
        <v>18</v>
      </c>
      <c r="D3462" s="5" t="s">
        <v>19</v>
      </c>
      <c r="E3462" s="5" t="s">
        <v>314</v>
      </c>
      <c r="F3462" s="9">
        <v>74</v>
      </c>
      <c r="G3462" s="9">
        <v>838</v>
      </c>
      <c r="H3462" s="5" t="s">
        <v>21</v>
      </c>
      <c r="I3462" s="5" t="s">
        <v>8338</v>
      </c>
      <c r="J3462" s="12" t="str">
        <f>HYPERLINK("https://www.boe.es/gazeta/dias/1800/09/12/pdfs/GMD-1800-74.pdf#page=16","Abrir facsímil")</f>
        <v>Abrir facsímil</v>
      </c>
      <c r="K3462" s="15" t="s">
        <v>23</v>
      </c>
    </row>
    <row r="3463" spans="1:11" ht="42" customHeight="1">
      <c r="A3463" s="4" t="s">
        <v>8339</v>
      </c>
      <c r="B3463" s="5" t="s">
        <v>8340</v>
      </c>
      <c r="C3463" s="5" t="s">
        <v>25</v>
      </c>
      <c r="D3463" s="5" t="s">
        <v>26</v>
      </c>
      <c r="E3463" s="5" t="s">
        <v>787</v>
      </c>
      <c r="F3463" s="9">
        <v>6</v>
      </c>
      <c r="G3463" s="9">
        <v>58</v>
      </c>
      <c r="H3463" s="5" t="s">
        <v>21</v>
      </c>
      <c r="I3463" s="5" t="s">
        <v>8341</v>
      </c>
      <c r="J3463" s="12" t="str">
        <f>HYPERLINK("https://www.boe.es/gazeta/dias/1800/01/21/pdfs/GMD-1800-6.pdf#page=10","Abrir facsímil")</f>
        <v>Abrir facsímil</v>
      </c>
      <c r="K3463" s="15" t="s">
        <v>23</v>
      </c>
    </row>
    <row r="3464" spans="1:11" ht="42" customHeight="1">
      <c r="A3464" s="4" t="s">
        <v>8339</v>
      </c>
      <c r="B3464" s="5" t="s">
        <v>8340</v>
      </c>
      <c r="C3464" s="5" t="s">
        <v>84</v>
      </c>
      <c r="D3464" s="5" t="s">
        <v>85</v>
      </c>
      <c r="E3464" s="5" t="s">
        <v>79</v>
      </c>
      <c r="F3464" s="9">
        <v>7</v>
      </c>
      <c r="G3464" s="9">
        <v>67</v>
      </c>
      <c r="H3464" s="5" t="s">
        <v>21</v>
      </c>
      <c r="I3464" s="5" t="s">
        <v>8342</v>
      </c>
      <c r="J3464" s="12" t="str">
        <f>HYPERLINK("https://www.boe.es/gazeta/dias/1800/01/24/pdfs/GMD-1800-7.pdf#page=7","Abrir facsímil")</f>
        <v>Abrir facsímil</v>
      </c>
      <c r="K3464" s="15" t="s">
        <v>23</v>
      </c>
    </row>
    <row r="3465" spans="1:11" ht="42" customHeight="1">
      <c r="A3465" s="4" t="s">
        <v>8339</v>
      </c>
      <c r="B3465" s="5" t="s">
        <v>8340</v>
      </c>
      <c r="C3465" s="5" t="s">
        <v>54</v>
      </c>
      <c r="D3465" s="5" t="s">
        <v>55</v>
      </c>
      <c r="E3465" s="5" t="s">
        <v>82</v>
      </c>
      <c r="F3465" s="9">
        <v>10</v>
      </c>
      <c r="G3465" s="9">
        <v>98</v>
      </c>
      <c r="H3465" s="5" t="s">
        <v>21</v>
      </c>
      <c r="I3465" s="5" t="s">
        <v>8343</v>
      </c>
      <c r="J3465" s="12" t="str">
        <f>HYPERLINK("https://www.boe.es/gazeta/dias/1800/02/04/pdfs/GMD-1800-10.pdf#page=10","Abrir facsímil")</f>
        <v>Abrir facsímil</v>
      </c>
      <c r="K3465" s="15" t="s">
        <v>23</v>
      </c>
    </row>
    <row r="3466" spans="1:11" ht="42" customHeight="1">
      <c r="A3466" s="4" t="s">
        <v>8339</v>
      </c>
      <c r="B3466" s="5" t="s">
        <v>8340</v>
      </c>
      <c r="C3466" s="5" t="s">
        <v>54</v>
      </c>
      <c r="D3466" s="5" t="s">
        <v>55</v>
      </c>
      <c r="E3466" s="5" t="s">
        <v>420</v>
      </c>
      <c r="F3466" s="9">
        <v>38</v>
      </c>
      <c r="G3466" s="9">
        <v>390</v>
      </c>
      <c r="H3466" s="5" t="s">
        <v>21</v>
      </c>
      <c r="I3466" s="5" t="s">
        <v>8344</v>
      </c>
      <c r="J3466" s="12" t="str">
        <f>HYPERLINK("https://www.boe.es/gazeta/dias/1800/05/13/pdfs/GMD-1800-38.pdf#page=10","Abrir facsímil")</f>
        <v>Abrir facsímil</v>
      </c>
      <c r="K3466" s="15" t="s">
        <v>23</v>
      </c>
    </row>
    <row r="3467" spans="1:11" ht="42" customHeight="1">
      <c r="A3467" s="4" t="s">
        <v>8339</v>
      </c>
      <c r="B3467" s="5" t="s">
        <v>8340</v>
      </c>
      <c r="C3467" s="5" t="s">
        <v>18</v>
      </c>
      <c r="D3467" s="5" t="s">
        <v>19</v>
      </c>
      <c r="E3467" s="5" t="s">
        <v>329</v>
      </c>
      <c r="F3467" s="9">
        <v>99</v>
      </c>
      <c r="G3467" s="9">
        <v>1139</v>
      </c>
      <c r="H3467" s="5" t="s">
        <v>21</v>
      </c>
      <c r="I3467" s="5" t="s">
        <v>8345</v>
      </c>
      <c r="J3467" s="12" t="str">
        <f>HYPERLINK("https://www.boe.es/gazeta/dias/1800/12/09/pdfs/GMD-1800-99.pdf#page=7","Abrir facsímil")</f>
        <v>Abrir facsímil</v>
      </c>
      <c r="K3467" s="15" t="s">
        <v>23</v>
      </c>
    </row>
    <row r="3468" spans="1:11" ht="42" customHeight="1">
      <c r="A3468" s="4" t="s">
        <v>8346</v>
      </c>
      <c r="B3468" s="5" t="s">
        <v>8347</v>
      </c>
      <c r="C3468" s="5" t="s">
        <v>18</v>
      </c>
      <c r="D3468" s="5" t="s">
        <v>19</v>
      </c>
      <c r="E3468" s="5" t="s">
        <v>196</v>
      </c>
      <c r="F3468" s="9">
        <v>97</v>
      </c>
      <c r="G3468" s="9">
        <v>1117</v>
      </c>
      <c r="H3468" s="5" t="s">
        <v>21</v>
      </c>
      <c r="I3468" s="5" t="s">
        <v>8348</v>
      </c>
      <c r="J3468" s="12" t="str">
        <f>HYPERLINK("https://www.boe.es/gazeta/dias/1800/12/02/pdfs/GMD-1800-97.pdf#page=9","Abrir facsímil")</f>
        <v>Abrir facsímil</v>
      </c>
      <c r="K3468" s="15" t="s">
        <v>23</v>
      </c>
    </row>
    <row r="3469" spans="1:11" ht="42" customHeight="1">
      <c r="A3469" s="4" t="s">
        <v>8349</v>
      </c>
      <c r="B3469" s="5" t="s">
        <v>8350</v>
      </c>
      <c r="C3469" s="5" t="s">
        <v>54</v>
      </c>
      <c r="D3469" s="5" t="s">
        <v>55</v>
      </c>
      <c r="E3469" s="5" t="s">
        <v>218</v>
      </c>
      <c r="F3469" s="9">
        <v>5</v>
      </c>
      <c r="G3469" s="9">
        <v>48</v>
      </c>
      <c r="H3469" s="5" t="s">
        <v>21</v>
      </c>
      <c r="I3469" s="5" t="s">
        <v>8351</v>
      </c>
      <c r="J3469" s="12" t="str">
        <f>HYPERLINK("https://www.boe.es/gazeta/dias/1800/01/17/pdfs/GMD-1800-5.pdf#page=8","Abrir facsímil")</f>
        <v>Abrir facsímil</v>
      </c>
      <c r="K3469" s="15" t="s">
        <v>23</v>
      </c>
    </row>
    <row r="3470" spans="1:11" ht="42" customHeight="1">
      <c r="A3470" s="4" t="s">
        <v>8349</v>
      </c>
      <c r="B3470" s="5" t="s">
        <v>8350</v>
      </c>
      <c r="C3470" s="5" t="s">
        <v>18</v>
      </c>
      <c r="D3470" s="5" t="s">
        <v>19</v>
      </c>
      <c r="E3470" s="5" t="s">
        <v>1127</v>
      </c>
      <c r="F3470" s="9">
        <v>11</v>
      </c>
      <c r="G3470" s="9">
        <v>107</v>
      </c>
      <c r="H3470" s="5" t="s">
        <v>21</v>
      </c>
      <c r="I3470" s="5" t="s">
        <v>8352</v>
      </c>
      <c r="J3470" s="12" t="str">
        <f>HYPERLINK("https://www.boe.es/gazeta/dias/1800/02/07/pdfs/GMD-1800-11.pdf#page=7","Abrir facsímil")</f>
        <v>Abrir facsímil</v>
      </c>
      <c r="K3470" s="15" t="s">
        <v>23</v>
      </c>
    </row>
    <row r="3471" spans="1:11" ht="42" customHeight="1">
      <c r="A3471" s="4" t="s">
        <v>8349</v>
      </c>
      <c r="B3471" s="5" t="s">
        <v>8350</v>
      </c>
      <c r="C3471" s="5" t="s">
        <v>18</v>
      </c>
      <c r="D3471" s="5" t="s">
        <v>19</v>
      </c>
      <c r="E3471" s="5" t="s">
        <v>31</v>
      </c>
      <c r="F3471" s="9">
        <v>20</v>
      </c>
      <c r="G3471" s="9">
        <v>195</v>
      </c>
      <c r="H3471" s="5" t="s">
        <v>21</v>
      </c>
      <c r="I3471" s="5" t="s">
        <v>8353</v>
      </c>
      <c r="J3471" s="12" t="str">
        <f>HYPERLINK("https://www.boe.es/gazeta/dias/1800/03/11/pdfs/GMD-1800-20.pdf#page=11","Abrir facsímil")</f>
        <v>Abrir facsímil</v>
      </c>
      <c r="K3471" s="15" t="s">
        <v>23</v>
      </c>
    </row>
    <row r="3472" spans="1:11" ht="42" customHeight="1">
      <c r="A3472" s="4" t="s">
        <v>8349</v>
      </c>
      <c r="B3472" s="5" t="s">
        <v>8350</v>
      </c>
      <c r="C3472" s="5" t="s">
        <v>18</v>
      </c>
      <c r="D3472" s="5" t="s">
        <v>19</v>
      </c>
      <c r="E3472" s="5" t="s">
        <v>143</v>
      </c>
      <c r="F3472" s="9">
        <v>22</v>
      </c>
      <c r="G3472" s="9">
        <v>222</v>
      </c>
      <c r="H3472" s="5" t="s">
        <v>21</v>
      </c>
      <c r="I3472" s="5" t="s">
        <v>8354</v>
      </c>
      <c r="J3472" s="12" t="str">
        <f>HYPERLINK("https://www.boe.es/gazeta/dias/1800/03/18/pdfs/GMD-1800-22.pdf#page=14","Abrir facsímil")</f>
        <v>Abrir facsímil</v>
      </c>
      <c r="K3472" s="15" t="s">
        <v>23</v>
      </c>
    </row>
    <row r="3473" spans="1:11" ht="42" customHeight="1">
      <c r="A3473" s="4" t="s">
        <v>8349</v>
      </c>
      <c r="B3473" s="5" t="s">
        <v>8350</v>
      </c>
      <c r="C3473" s="5" t="s">
        <v>18</v>
      </c>
      <c r="D3473" s="5" t="s">
        <v>19</v>
      </c>
      <c r="E3473" s="5" t="s">
        <v>226</v>
      </c>
      <c r="F3473" s="9">
        <v>27</v>
      </c>
      <c r="G3473" s="9">
        <v>283</v>
      </c>
      <c r="H3473" s="5" t="s">
        <v>21</v>
      </c>
      <c r="I3473" s="5" t="s">
        <v>8355</v>
      </c>
      <c r="J3473" s="12" t="str">
        <f>HYPERLINK("https://www.boe.es/gazeta/dias/1800/04/04/pdfs/GMD-1800-27.pdf#page=11","Abrir facsímil")</f>
        <v>Abrir facsímil</v>
      </c>
      <c r="K3473" s="15" t="s">
        <v>23</v>
      </c>
    </row>
    <row r="3474" spans="1:11" ht="42" customHeight="1">
      <c r="A3474" s="4" t="s">
        <v>8349</v>
      </c>
      <c r="B3474" s="5" t="s">
        <v>8350</v>
      </c>
      <c r="C3474" s="5" t="s">
        <v>54</v>
      </c>
      <c r="D3474" s="5" t="s">
        <v>55</v>
      </c>
      <c r="E3474" s="5" t="s">
        <v>1108</v>
      </c>
      <c r="F3474" s="9">
        <v>30</v>
      </c>
      <c r="G3474" s="9">
        <v>308</v>
      </c>
      <c r="H3474" s="5" t="s">
        <v>21</v>
      </c>
      <c r="I3474" s="5" t="s">
        <v>8356</v>
      </c>
      <c r="J3474" s="12" t="str">
        <f>HYPERLINK("https://www.boe.es/gazeta/dias/1800/04/15/pdfs/GMD-1800-30.pdf#page=8","Abrir facsímil")</f>
        <v>Abrir facsímil</v>
      </c>
      <c r="K3474" s="15" t="s">
        <v>23</v>
      </c>
    </row>
    <row r="3475" spans="1:11" ht="42" customHeight="1">
      <c r="A3475" s="4" t="s">
        <v>8349</v>
      </c>
      <c r="B3475" s="5" t="s">
        <v>8350</v>
      </c>
      <c r="C3475" s="5" t="s">
        <v>54</v>
      </c>
      <c r="D3475" s="5" t="s">
        <v>55</v>
      </c>
      <c r="E3475" s="5" t="s">
        <v>248</v>
      </c>
      <c r="F3475" s="9">
        <v>33</v>
      </c>
      <c r="G3475" s="9">
        <v>335</v>
      </c>
      <c r="H3475" s="5" t="s">
        <v>21</v>
      </c>
      <c r="I3475" s="5" t="s">
        <v>8357</v>
      </c>
      <c r="J3475" s="12" t="str">
        <f>HYPERLINK("https://www.boe.es/gazeta/dias/1800/04/25/pdfs/GMD-1800-33.pdf#page=11","Abrir facsímil")</f>
        <v>Abrir facsímil</v>
      </c>
      <c r="K3475" s="15" t="s">
        <v>23</v>
      </c>
    </row>
    <row r="3476" spans="1:11" ht="42" customHeight="1">
      <c r="A3476" s="4" t="s">
        <v>8349</v>
      </c>
      <c r="B3476" s="5" t="s">
        <v>8350</v>
      </c>
      <c r="C3476" s="5" t="s">
        <v>54</v>
      </c>
      <c r="D3476" s="5" t="s">
        <v>55</v>
      </c>
      <c r="E3476" s="5" t="s">
        <v>1231</v>
      </c>
      <c r="F3476" s="9">
        <v>36</v>
      </c>
      <c r="G3476" s="9">
        <v>367</v>
      </c>
      <c r="H3476" s="5" t="s">
        <v>21</v>
      </c>
      <c r="I3476" s="5" t="s">
        <v>8358</v>
      </c>
      <c r="J3476" s="12" t="str">
        <f>HYPERLINK("https://www.boe.es/gazeta/dias/1800/05/06/pdfs/GMD-1800-36.pdf#page=11","Abrir facsímil")</f>
        <v>Abrir facsímil</v>
      </c>
      <c r="K3476" s="15" t="s">
        <v>23</v>
      </c>
    </row>
    <row r="3477" spans="1:11" ht="42" customHeight="1">
      <c r="A3477" s="4" t="s">
        <v>8349</v>
      </c>
      <c r="B3477" s="5" t="s">
        <v>8350</v>
      </c>
      <c r="C3477" s="5" t="s">
        <v>18</v>
      </c>
      <c r="D3477" s="5" t="s">
        <v>19</v>
      </c>
      <c r="E3477" s="5" t="s">
        <v>420</v>
      </c>
      <c r="F3477" s="9">
        <v>38</v>
      </c>
      <c r="G3477" s="9">
        <v>390</v>
      </c>
      <c r="H3477" s="5" t="s">
        <v>21</v>
      </c>
      <c r="I3477" s="5" t="s">
        <v>8359</v>
      </c>
      <c r="J3477" s="12" t="str">
        <f>HYPERLINK("https://www.boe.es/gazeta/dias/1800/05/13/pdfs/GMD-1800-38.pdf#page=10","Abrir facsímil")</f>
        <v>Abrir facsímil</v>
      </c>
      <c r="K3477" s="15" t="s">
        <v>23</v>
      </c>
    </row>
    <row r="3478" spans="1:11" ht="42" customHeight="1">
      <c r="A3478" s="4" t="s">
        <v>8349</v>
      </c>
      <c r="B3478" s="5" t="s">
        <v>8350</v>
      </c>
      <c r="C3478" s="5" t="s">
        <v>18</v>
      </c>
      <c r="D3478" s="5" t="s">
        <v>19</v>
      </c>
      <c r="E3478" s="5" t="s">
        <v>310</v>
      </c>
      <c r="F3478" s="9">
        <v>56</v>
      </c>
      <c r="G3478" s="9">
        <v>635</v>
      </c>
      <c r="H3478" s="5" t="s">
        <v>21</v>
      </c>
      <c r="I3478" s="5" t="s">
        <v>8360</v>
      </c>
      <c r="J3478" s="12" t="str">
        <f>HYPERLINK("https://www.boe.es/gazeta/dias/1800/07/15/pdfs/GMD-1800-56.pdf#page=11","Abrir facsímil")</f>
        <v>Abrir facsímil</v>
      </c>
      <c r="K3478" s="15" t="s">
        <v>23</v>
      </c>
    </row>
    <row r="3479" spans="1:11" ht="42" customHeight="1">
      <c r="A3479" s="4" t="s">
        <v>8349</v>
      </c>
      <c r="B3479" s="5" t="s">
        <v>8350</v>
      </c>
      <c r="C3479" s="5" t="s">
        <v>171</v>
      </c>
      <c r="D3479" s="5" t="s">
        <v>172</v>
      </c>
      <c r="E3479" s="5" t="s">
        <v>147</v>
      </c>
      <c r="F3479" s="9">
        <v>84</v>
      </c>
      <c r="G3479" s="9">
        <v>975</v>
      </c>
      <c r="H3479" s="5" t="s">
        <v>21</v>
      </c>
      <c r="I3479" s="5" t="s">
        <v>8361</v>
      </c>
      <c r="J3479" s="12" t="str">
        <f>HYPERLINK("https://www.boe.es/gazeta/dias/1800/10/17/pdfs/GMD-C-1800-84.pdf#page=1","Abrir facsímil")</f>
        <v>Abrir facsímil</v>
      </c>
      <c r="K3479" s="15" t="s">
        <v>23</v>
      </c>
    </row>
    <row r="3480" spans="1:11" ht="42" customHeight="1">
      <c r="A3480" s="4" t="s">
        <v>8349</v>
      </c>
      <c r="B3480" s="5" t="s">
        <v>8350</v>
      </c>
      <c r="C3480" s="5" t="s">
        <v>18</v>
      </c>
      <c r="D3480" s="5" t="s">
        <v>19</v>
      </c>
      <c r="E3480" s="5" t="s">
        <v>56</v>
      </c>
      <c r="F3480" s="9">
        <v>90</v>
      </c>
      <c r="G3480" s="9">
        <v>1057</v>
      </c>
      <c r="H3480" s="5" t="s">
        <v>21</v>
      </c>
      <c r="I3480" s="5" t="s">
        <v>8362</v>
      </c>
      <c r="J3480" s="12" t="str">
        <f>HYPERLINK("https://www.boe.es/gazeta/dias/1800/11/07/pdfs/GMD-1800-90.pdf#page=11","Abrir facsímil")</f>
        <v>Abrir facsímil</v>
      </c>
      <c r="K3480" s="15" t="s">
        <v>23</v>
      </c>
    </row>
    <row r="3481" spans="1:11" ht="42" customHeight="1">
      <c r="A3481" s="4" t="s">
        <v>8363</v>
      </c>
      <c r="B3481" s="5" t="s">
        <v>8364</v>
      </c>
      <c r="C3481" s="5" t="s">
        <v>18</v>
      </c>
      <c r="D3481" s="5" t="s">
        <v>19</v>
      </c>
      <c r="E3481" s="5" t="s">
        <v>180</v>
      </c>
      <c r="F3481" s="9">
        <v>102</v>
      </c>
      <c r="G3481" s="9">
        <v>1185</v>
      </c>
      <c r="H3481" s="5" t="s">
        <v>21</v>
      </c>
      <c r="I3481" s="5" t="s">
        <v>8365</v>
      </c>
      <c r="J3481" s="12" t="str">
        <f>HYPERLINK("https://www.boe.es/gazeta/dias/1800/12/19/pdfs/GMD-1800-102.pdf#page=9","Abrir facsímil")</f>
        <v>Abrir facsímil</v>
      </c>
      <c r="K3481" s="15" t="s">
        <v>23</v>
      </c>
    </row>
    <row r="3482" spans="1:11" ht="42" customHeight="1">
      <c r="A3482" s="4" t="s">
        <v>8366</v>
      </c>
      <c r="B3482" s="5" t="s">
        <v>8367</v>
      </c>
      <c r="C3482" s="5" t="s">
        <v>25</v>
      </c>
      <c r="D3482" s="5" t="s">
        <v>26</v>
      </c>
      <c r="E3482" s="5" t="s">
        <v>139</v>
      </c>
      <c r="F3482" s="9">
        <v>2</v>
      </c>
      <c r="G3482" s="9">
        <v>17</v>
      </c>
      <c r="H3482" s="5" t="s">
        <v>21</v>
      </c>
      <c r="I3482" s="5" t="s">
        <v>8368</v>
      </c>
      <c r="J3482" s="12" t="str">
        <f>HYPERLINK("https://www.boe.es/gazeta/dias/1800/01/07/pdfs/GMD-1800-2.pdf#page=9","Abrir facsímil")</f>
        <v>Abrir facsímil</v>
      </c>
      <c r="K3482" s="15" t="s">
        <v>23</v>
      </c>
    </row>
    <row r="3483" spans="1:11" ht="42" customHeight="1">
      <c r="A3483" s="4" t="s">
        <v>8369</v>
      </c>
      <c r="B3483" s="5" t="s">
        <v>8370</v>
      </c>
      <c r="C3483" s="5" t="s">
        <v>18</v>
      </c>
      <c r="D3483" s="5" t="s">
        <v>19</v>
      </c>
      <c r="E3483" s="5" t="s">
        <v>194</v>
      </c>
      <c r="F3483" s="9">
        <v>48</v>
      </c>
      <c r="G3483" s="9">
        <v>518</v>
      </c>
      <c r="H3483" s="5" t="s">
        <v>21</v>
      </c>
      <c r="I3483" s="5" t="s">
        <v>8371</v>
      </c>
      <c r="J3483" s="12" t="str">
        <f>HYPERLINK("https://www.boe.es/gazeta/dias/1800/06/17/pdfs/GMD-1800-48.pdf#page=10","Abrir facsímil")</f>
        <v>Abrir facsímil</v>
      </c>
      <c r="K3483" s="15" t="s">
        <v>23</v>
      </c>
    </row>
    <row r="3484" spans="1:11" ht="42" customHeight="1">
      <c r="A3484" s="4" t="s">
        <v>8372</v>
      </c>
      <c r="B3484" s="5" t="s">
        <v>8373</v>
      </c>
      <c r="C3484" s="5" t="s">
        <v>18</v>
      </c>
      <c r="D3484" s="5" t="s">
        <v>19</v>
      </c>
      <c r="E3484" s="5" t="s">
        <v>111</v>
      </c>
      <c r="F3484" s="9">
        <v>98</v>
      </c>
      <c r="G3484" s="9">
        <v>1128</v>
      </c>
      <c r="H3484" s="5" t="s">
        <v>21</v>
      </c>
      <c r="I3484" s="5" t="s">
        <v>8374</v>
      </c>
      <c r="J3484" s="12" t="str">
        <f>HYPERLINK("https://www.boe.es/gazeta/dias/1800/12/05/pdfs/GMD-1800-98.pdf#page=8","Abrir facsímil")</f>
        <v>Abrir facsímil</v>
      </c>
      <c r="K3484" s="15" t="s">
        <v>23</v>
      </c>
    </row>
    <row r="3485" spans="1:11" ht="42" customHeight="1">
      <c r="A3485" s="4" t="s">
        <v>8375</v>
      </c>
      <c r="B3485" s="5" t="s">
        <v>8376</v>
      </c>
      <c r="C3485" s="5" t="s">
        <v>25</v>
      </c>
      <c r="D3485" s="5" t="s">
        <v>26</v>
      </c>
      <c r="E3485" s="5" t="s">
        <v>244</v>
      </c>
      <c r="F3485" s="9">
        <v>9</v>
      </c>
      <c r="G3485" s="9">
        <v>87</v>
      </c>
      <c r="H3485" s="5" t="s">
        <v>21</v>
      </c>
      <c r="I3485" s="5" t="s">
        <v>8377</v>
      </c>
      <c r="J3485" s="12" t="str">
        <f>HYPERLINK("https://www.boe.es/gazeta/dias/1800/01/31/pdfs/GMD-1800-9.pdf#page=11","Abrir facsímil")</f>
        <v>Abrir facsímil</v>
      </c>
      <c r="K3485" s="15" t="s">
        <v>23</v>
      </c>
    </row>
    <row r="3486" spans="1:11" ht="42" customHeight="1">
      <c r="A3486" s="4" t="s">
        <v>8378</v>
      </c>
      <c r="B3486" s="5" t="s">
        <v>8379</v>
      </c>
      <c r="C3486" s="5" t="s">
        <v>18</v>
      </c>
      <c r="D3486" s="5" t="s">
        <v>19</v>
      </c>
      <c r="E3486" s="5" t="s">
        <v>135</v>
      </c>
      <c r="F3486" s="9">
        <v>73</v>
      </c>
      <c r="G3486" s="9">
        <v>816</v>
      </c>
      <c r="H3486" s="5" t="s">
        <v>21</v>
      </c>
      <c r="I3486" s="5" t="s">
        <v>8380</v>
      </c>
      <c r="J3486" s="12" t="str">
        <f>HYPERLINK("https://www.boe.es/gazeta/dias/1800/09/09/pdfs/GMD-1800-73.pdf#page=10","Abrir facsímil")</f>
        <v>Abrir facsímil</v>
      </c>
      <c r="K3486" s="15" t="s">
        <v>23</v>
      </c>
    </row>
    <row r="3487" spans="1:11" ht="42" customHeight="1">
      <c r="A3487" s="4" t="s">
        <v>8381</v>
      </c>
      <c r="B3487" s="5" t="s">
        <v>8382</v>
      </c>
      <c r="C3487" s="5" t="s">
        <v>18</v>
      </c>
      <c r="D3487" s="5" t="s">
        <v>19</v>
      </c>
      <c r="E3487" s="5" t="s">
        <v>139</v>
      </c>
      <c r="F3487" s="9">
        <v>2</v>
      </c>
      <c r="G3487" s="9">
        <v>17</v>
      </c>
      <c r="H3487" s="5" t="s">
        <v>21</v>
      </c>
      <c r="I3487" s="5" t="s">
        <v>8383</v>
      </c>
      <c r="J3487" s="12" t="str">
        <f>HYPERLINK("https://www.boe.es/gazeta/dias/1800/01/07/pdfs/GMD-1800-2.pdf#page=9","Abrir facsímil")</f>
        <v>Abrir facsímil</v>
      </c>
      <c r="K3487" s="15" t="s">
        <v>23</v>
      </c>
    </row>
    <row r="3488" spans="1:11" ht="42" customHeight="1">
      <c r="A3488" s="4" t="s">
        <v>8381</v>
      </c>
      <c r="B3488" s="5" t="s">
        <v>8382</v>
      </c>
      <c r="C3488" s="5" t="s">
        <v>18</v>
      </c>
      <c r="D3488" s="5" t="s">
        <v>19</v>
      </c>
      <c r="E3488" s="5" t="s">
        <v>314</v>
      </c>
      <c r="F3488" s="9">
        <v>74</v>
      </c>
      <c r="G3488" s="9">
        <v>830</v>
      </c>
      <c r="H3488" s="5" t="s">
        <v>21</v>
      </c>
      <c r="I3488" s="5" t="s">
        <v>8384</v>
      </c>
      <c r="J3488" s="12" t="str">
        <f>HYPERLINK("https://www.boe.es/gazeta/dias/1800/09/12/pdfs/GMD-1800-74.pdf#page=8","Abrir facsímil")</f>
        <v>Abrir facsímil</v>
      </c>
      <c r="K3488" s="15" t="s">
        <v>23</v>
      </c>
    </row>
    <row r="3489" spans="1:11" ht="42" customHeight="1">
      <c r="A3489" s="4" t="s">
        <v>8381</v>
      </c>
      <c r="B3489" s="5" t="s">
        <v>8382</v>
      </c>
      <c r="C3489" s="5" t="s">
        <v>18</v>
      </c>
      <c r="D3489" s="5" t="s">
        <v>19</v>
      </c>
      <c r="E3489" s="5" t="s">
        <v>255</v>
      </c>
      <c r="F3489" s="9">
        <v>75</v>
      </c>
      <c r="G3489" s="9">
        <v>855</v>
      </c>
      <c r="H3489" s="5" t="s">
        <v>21</v>
      </c>
      <c r="I3489" s="5" t="s">
        <v>8385</v>
      </c>
      <c r="J3489" s="12" t="str">
        <f>HYPERLINK("https://www.boe.es/gazeta/dias/1800/09/16/pdfs/GMD-1800-75.pdf#page=9","Abrir facsímil")</f>
        <v>Abrir facsímil</v>
      </c>
      <c r="K3489" s="15" t="s">
        <v>23</v>
      </c>
    </row>
    <row r="3490" spans="1:11" ht="42" customHeight="1">
      <c r="A3490" s="4" t="s">
        <v>8381</v>
      </c>
      <c r="B3490" s="5" t="s">
        <v>8382</v>
      </c>
      <c r="C3490" s="5" t="s">
        <v>18</v>
      </c>
      <c r="D3490" s="5" t="s">
        <v>19</v>
      </c>
      <c r="E3490" s="5" t="s">
        <v>111</v>
      </c>
      <c r="F3490" s="9">
        <v>98</v>
      </c>
      <c r="G3490" s="9">
        <v>1128</v>
      </c>
      <c r="H3490" s="5" t="s">
        <v>21</v>
      </c>
      <c r="I3490" s="5" t="s">
        <v>8386</v>
      </c>
      <c r="J3490" s="12" t="str">
        <f>HYPERLINK("https://www.boe.es/gazeta/dias/1800/12/05/pdfs/GMD-1800-98.pdf#page=8","Abrir facsímil")</f>
        <v>Abrir facsímil</v>
      </c>
      <c r="K3490" s="15" t="s">
        <v>23</v>
      </c>
    </row>
    <row r="3491" spans="1:11" ht="42" customHeight="1">
      <c r="A3491" s="4" t="s">
        <v>8387</v>
      </c>
      <c r="B3491" s="5" t="s">
        <v>8388</v>
      </c>
      <c r="C3491" s="5" t="s">
        <v>18</v>
      </c>
      <c r="D3491" s="5" t="s">
        <v>19</v>
      </c>
      <c r="E3491" s="5" t="s">
        <v>299</v>
      </c>
      <c r="F3491" s="9">
        <v>40</v>
      </c>
      <c r="G3491" s="9">
        <v>414</v>
      </c>
      <c r="H3491" s="5" t="s">
        <v>21</v>
      </c>
      <c r="I3491" s="5" t="s">
        <v>8389</v>
      </c>
      <c r="J3491" s="12" t="str">
        <f>HYPERLINK("https://www.boe.es/gazeta/dias/1800/05/20/pdfs/GMD-1800-40.pdf#page=10","Abrir facsímil")</f>
        <v>Abrir facsímil</v>
      </c>
      <c r="K3491" s="15" t="s">
        <v>23</v>
      </c>
    </row>
    <row r="3492" spans="1:11" ht="42" customHeight="1">
      <c r="A3492" s="4" t="s">
        <v>8390</v>
      </c>
      <c r="B3492" s="5" t="s">
        <v>8391</v>
      </c>
      <c r="C3492" s="5" t="s">
        <v>25</v>
      </c>
      <c r="D3492" s="5" t="s">
        <v>26</v>
      </c>
      <c r="E3492" s="5" t="s">
        <v>1213</v>
      </c>
      <c r="F3492" s="9">
        <v>4</v>
      </c>
      <c r="G3492" s="9">
        <v>36</v>
      </c>
      <c r="H3492" s="5" t="s">
        <v>21</v>
      </c>
      <c r="I3492" s="5" t="s">
        <v>8392</v>
      </c>
      <c r="J3492" s="12" t="str">
        <f>HYPERLINK("https://www.boe.es/gazeta/dias/1800/01/14/pdfs/GMD-1800-4.pdf#page=8","Abrir facsímil")</f>
        <v>Abrir facsímil</v>
      </c>
      <c r="K3492" s="15" t="s">
        <v>23</v>
      </c>
    </row>
    <row r="3493" spans="1:11" ht="42" customHeight="1">
      <c r="A3493" s="4" t="s">
        <v>8393</v>
      </c>
      <c r="B3493" s="5" t="s">
        <v>8394</v>
      </c>
      <c r="C3493" s="5" t="s">
        <v>54</v>
      </c>
      <c r="D3493" s="5" t="s">
        <v>55</v>
      </c>
      <c r="E3493" s="5" t="s">
        <v>825</v>
      </c>
      <c r="F3493" s="9">
        <v>51</v>
      </c>
      <c r="G3493" s="9">
        <v>563</v>
      </c>
      <c r="H3493" s="5" t="s">
        <v>21</v>
      </c>
      <c r="I3493" s="5" t="s">
        <v>8395</v>
      </c>
      <c r="J3493" s="12" t="str">
        <f>HYPERLINK("https://www.boe.es/gazeta/dias/1800/06/27/pdfs/GMD-1800-51.pdf#page=15","Abrir facsímil")</f>
        <v>Abrir facsímil</v>
      </c>
      <c r="K3493" s="15" t="s">
        <v>23</v>
      </c>
    </row>
    <row r="3494" spans="1:11" ht="42" customHeight="1">
      <c r="A3494" s="4" t="s">
        <v>8393</v>
      </c>
      <c r="B3494" s="5" t="s">
        <v>8394</v>
      </c>
      <c r="C3494" s="5" t="s">
        <v>18</v>
      </c>
      <c r="D3494" s="5" t="s">
        <v>19</v>
      </c>
      <c r="E3494" s="5" t="s">
        <v>196</v>
      </c>
      <c r="F3494" s="9">
        <v>97</v>
      </c>
      <c r="G3494" s="9">
        <v>1119</v>
      </c>
      <c r="H3494" s="5" t="s">
        <v>21</v>
      </c>
      <c r="I3494" s="5" t="s">
        <v>8396</v>
      </c>
      <c r="J3494" s="12" t="str">
        <f>HYPERLINK("https://www.boe.es/gazeta/dias/1800/12/02/pdfs/GMD-1800-97.pdf#page=11","Abrir facsímil")</f>
        <v>Abrir facsímil</v>
      </c>
      <c r="K3494" s="15" t="s">
        <v>23</v>
      </c>
    </row>
    <row r="3495" spans="1:11" ht="42" customHeight="1">
      <c r="A3495" s="4" t="s">
        <v>8397</v>
      </c>
      <c r="B3495" s="5" t="s">
        <v>8398</v>
      </c>
      <c r="C3495" s="5" t="s">
        <v>18</v>
      </c>
      <c r="D3495" s="5" t="s">
        <v>19</v>
      </c>
      <c r="E3495" s="5" t="s">
        <v>255</v>
      </c>
      <c r="F3495" s="9">
        <v>75</v>
      </c>
      <c r="G3495" s="9">
        <v>854</v>
      </c>
      <c r="H3495" s="5" t="s">
        <v>21</v>
      </c>
      <c r="I3495" s="5" t="s">
        <v>8399</v>
      </c>
      <c r="J3495" s="12" t="str">
        <f>HYPERLINK("https://www.boe.es/gazeta/dias/1800/09/16/pdfs/GMD-1800-75.pdf#page=8","Abrir facsímil")</f>
        <v>Abrir facsímil</v>
      </c>
      <c r="K3495" s="15" t="s">
        <v>23</v>
      </c>
    </row>
    <row r="3496" spans="1:11" ht="42" customHeight="1">
      <c r="A3496" s="4" t="s">
        <v>8400</v>
      </c>
      <c r="B3496" s="5" t="s">
        <v>8401</v>
      </c>
      <c r="C3496" s="5" t="s">
        <v>18</v>
      </c>
      <c r="D3496" s="5" t="s">
        <v>19</v>
      </c>
      <c r="E3496" s="5" t="s">
        <v>31</v>
      </c>
      <c r="F3496" s="9">
        <v>20</v>
      </c>
      <c r="G3496" s="9">
        <v>192</v>
      </c>
      <c r="H3496" s="5" t="s">
        <v>21</v>
      </c>
      <c r="I3496" s="5" t="s">
        <v>8402</v>
      </c>
      <c r="J3496" s="12" t="str">
        <f>HYPERLINK("https://www.boe.es/gazeta/dias/1800/03/11/pdfs/GMD-1800-20.pdf#page=8","Abrir facsímil")</f>
        <v>Abrir facsímil</v>
      </c>
      <c r="K3496" s="15" t="s">
        <v>23</v>
      </c>
    </row>
    <row r="3497" spans="1:11" ht="42" customHeight="1">
      <c r="A3497" s="4" t="s">
        <v>8403</v>
      </c>
      <c r="B3497" s="5" t="s">
        <v>8404</v>
      </c>
      <c r="C3497" s="5" t="s">
        <v>25</v>
      </c>
      <c r="D3497" s="5" t="s">
        <v>26</v>
      </c>
      <c r="E3497" s="5" t="s">
        <v>20</v>
      </c>
      <c r="F3497" s="9">
        <v>104</v>
      </c>
      <c r="G3497" s="9">
        <v>1210</v>
      </c>
      <c r="H3497" s="5" t="s">
        <v>21</v>
      </c>
      <c r="I3497" s="5" t="s">
        <v>8405</v>
      </c>
      <c r="J3497" s="12" t="str">
        <f>HYPERLINK("https://www.boe.es/gazeta/dias/1800/12/26/pdfs/GMD-1800-104.pdf#page=10","Abrir facsímil")</f>
        <v>Abrir facsímil</v>
      </c>
      <c r="K3497" s="15" t="s">
        <v>23</v>
      </c>
    </row>
    <row r="3498" spans="1:11" ht="42" customHeight="1">
      <c r="A3498" s="4" t="s">
        <v>8406</v>
      </c>
      <c r="B3498" s="5" t="s">
        <v>8407</v>
      </c>
      <c r="C3498" s="5" t="s">
        <v>171</v>
      </c>
      <c r="D3498" s="5" t="s">
        <v>172</v>
      </c>
      <c r="E3498" s="5" t="s">
        <v>147</v>
      </c>
      <c r="F3498" s="9">
        <v>84</v>
      </c>
      <c r="G3498" s="9">
        <v>975</v>
      </c>
      <c r="H3498" s="5" t="s">
        <v>21</v>
      </c>
      <c r="I3498" s="5" t="s">
        <v>8408</v>
      </c>
      <c r="J3498" s="12" t="str">
        <f>HYPERLINK("https://www.boe.es/gazeta/dias/1800/10/17/pdfs/GMD-C-1800-84.pdf#page=1","Abrir facsímil")</f>
        <v>Abrir facsímil</v>
      </c>
      <c r="K3498" s="15" t="s">
        <v>23</v>
      </c>
    </row>
    <row r="3499" spans="1:11" ht="42" customHeight="1">
      <c r="A3499" s="4" t="s">
        <v>8409</v>
      </c>
      <c r="B3499" s="5" t="s">
        <v>8409</v>
      </c>
      <c r="C3499" s="5" t="s">
        <v>25</v>
      </c>
      <c r="D3499" s="5" t="s">
        <v>26</v>
      </c>
      <c r="E3499" s="5" t="s">
        <v>230</v>
      </c>
      <c r="F3499" s="9">
        <v>35</v>
      </c>
      <c r="G3499" s="9">
        <v>354</v>
      </c>
      <c r="H3499" s="5" t="s">
        <v>21</v>
      </c>
      <c r="I3499" s="5" t="s">
        <v>8410</v>
      </c>
      <c r="J3499" s="12" t="str">
        <f>HYPERLINK("https://www.boe.es/gazeta/dias/1800/05/02/pdfs/GMD-1800-35.pdf#page=6","Abrir facsímil")</f>
        <v>Abrir facsímil</v>
      </c>
      <c r="K3499" s="15" t="s">
        <v>23</v>
      </c>
    </row>
    <row r="3500" spans="1:11" ht="42" customHeight="1">
      <c r="A3500" s="4" t="s">
        <v>8411</v>
      </c>
      <c r="B3500" s="5" t="s">
        <v>8412</v>
      </c>
      <c r="C3500" s="5" t="s">
        <v>41</v>
      </c>
      <c r="D3500" s="5" t="s">
        <v>42</v>
      </c>
      <c r="E3500" s="5" t="s">
        <v>101</v>
      </c>
      <c r="F3500" s="9">
        <v>37</v>
      </c>
      <c r="G3500" s="9">
        <v>376</v>
      </c>
      <c r="H3500" s="5" t="s">
        <v>21</v>
      </c>
      <c r="I3500" s="5" t="s">
        <v>8413</v>
      </c>
      <c r="J3500" s="12" t="str">
        <f>HYPERLINK("https://www.boe.es/gazeta/dias/1800/05/09/pdfs/GMD-1800-37.pdf#page=8","Abrir facsímil")</f>
        <v>Abrir facsímil</v>
      </c>
      <c r="K3500" s="15" t="s">
        <v>23</v>
      </c>
    </row>
    <row r="3501" spans="1:11" ht="42" customHeight="1">
      <c r="A3501" s="4" t="s">
        <v>8414</v>
      </c>
      <c r="B3501" s="5" t="s">
        <v>8415</v>
      </c>
      <c r="C3501" s="5" t="s">
        <v>18</v>
      </c>
      <c r="D3501" s="5" t="s">
        <v>19</v>
      </c>
      <c r="E3501" s="5" t="s">
        <v>48</v>
      </c>
      <c r="F3501" s="9">
        <v>66</v>
      </c>
      <c r="G3501" s="9">
        <v>747</v>
      </c>
      <c r="H3501" s="5" t="s">
        <v>21</v>
      </c>
      <c r="I3501" s="5" t="s">
        <v>8416</v>
      </c>
      <c r="J3501" s="12" t="str">
        <f>HYPERLINK("https://www.boe.es/gazeta/dias/1800/08/19/pdfs/GMD-1800-66.pdf#page=11","Abrir facsímil")</f>
        <v>Abrir facsímil</v>
      </c>
      <c r="K3501" s="15" t="s">
        <v>23</v>
      </c>
    </row>
    <row r="3502" spans="1:11" ht="42" customHeight="1">
      <c r="A3502" s="4" t="s">
        <v>8417</v>
      </c>
      <c r="B3502" s="5" t="s">
        <v>8418</v>
      </c>
      <c r="C3502" s="5" t="s">
        <v>18</v>
      </c>
      <c r="D3502" s="5" t="s">
        <v>19</v>
      </c>
      <c r="E3502" s="5" t="s">
        <v>196</v>
      </c>
      <c r="F3502" s="9">
        <v>97</v>
      </c>
      <c r="G3502" s="9">
        <v>1117</v>
      </c>
      <c r="H3502" s="5" t="s">
        <v>21</v>
      </c>
      <c r="I3502" s="5" t="s">
        <v>8419</v>
      </c>
      <c r="J3502" s="12" t="str">
        <f>HYPERLINK("https://www.boe.es/gazeta/dias/1800/12/02/pdfs/GMD-1800-97.pdf#page=9","Abrir facsímil")</f>
        <v>Abrir facsímil</v>
      </c>
      <c r="K3502" s="15" t="s">
        <v>23</v>
      </c>
    </row>
    <row r="3503" spans="1:11" ht="42" customHeight="1">
      <c r="A3503" s="4" t="s">
        <v>8420</v>
      </c>
      <c r="B3503" s="5" t="s">
        <v>8421</v>
      </c>
      <c r="C3503" s="5" t="s">
        <v>18</v>
      </c>
      <c r="D3503" s="5" t="s">
        <v>19</v>
      </c>
      <c r="E3503" s="5" t="s">
        <v>176</v>
      </c>
      <c r="F3503" s="9">
        <v>88</v>
      </c>
      <c r="G3503" s="9">
        <v>1020</v>
      </c>
      <c r="H3503" s="5" t="s">
        <v>21</v>
      </c>
      <c r="I3503" s="5" t="s">
        <v>8422</v>
      </c>
      <c r="J3503" s="12" t="str">
        <f>HYPERLINK("https://www.boe.es/gazeta/dias/1800/10/31/pdfs/GMD-1800-88.pdf#page=2","Abrir facsímil")</f>
        <v>Abrir facsímil</v>
      </c>
      <c r="K3503" s="15" t="s">
        <v>23</v>
      </c>
    </row>
    <row r="3504" spans="1:11" ht="42" customHeight="1">
      <c r="A3504" s="4" t="s">
        <v>8423</v>
      </c>
      <c r="B3504" s="5" t="s">
        <v>8424</v>
      </c>
      <c r="C3504" s="5" t="s">
        <v>207</v>
      </c>
      <c r="D3504" s="5" t="s">
        <v>55</v>
      </c>
      <c r="E3504" s="5" t="s">
        <v>306</v>
      </c>
      <c r="F3504" s="9">
        <v>79</v>
      </c>
      <c r="G3504" s="9">
        <v>899</v>
      </c>
      <c r="H3504" s="5" t="s">
        <v>21</v>
      </c>
      <c r="I3504" s="5" t="s">
        <v>8425</v>
      </c>
      <c r="J3504" s="12" t="str">
        <f>HYPERLINK("https://www.boe.es/gazeta/dias/1800/09/30/pdfs/GMD-1800-79.pdf#page=9","Abrir facsímil")</f>
        <v>Abrir facsímil</v>
      </c>
      <c r="K3504" s="15" t="s">
        <v>23</v>
      </c>
    </row>
    <row r="3505" spans="1:11" ht="42" customHeight="1">
      <c r="A3505" s="4" t="s">
        <v>8426</v>
      </c>
      <c r="B3505" s="5" t="s">
        <v>8426</v>
      </c>
      <c r="C3505" s="5" t="s">
        <v>41</v>
      </c>
      <c r="D3505" s="5" t="s">
        <v>42</v>
      </c>
      <c r="E3505" s="5" t="s">
        <v>120</v>
      </c>
      <c r="F3505" s="9">
        <v>52</v>
      </c>
      <c r="G3505" s="9">
        <v>565</v>
      </c>
      <c r="H3505" s="5" t="s">
        <v>21</v>
      </c>
      <c r="I3505" s="5" t="s">
        <v>8427</v>
      </c>
      <c r="J3505" s="12" t="str">
        <f>HYPERLINK("https://www.boe.es/gazeta/dias/1800/07/01/pdfs/GMD-1800-52.pdf#page=1","Abrir facsímil")</f>
        <v>Abrir facsímil</v>
      </c>
      <c r="K3505" s="15" t="s">
        <v>23</v>
      </c>
    </row>
    <row r="3506" spans="1:11" ht="42" customHeight="1">
      <c r="A3506" s="4" t="s">
        <v>8428</v>
      </c>
      <c r="B3506" s="5" t="s">
        <v>8429</v>
      </c>
      <c r="C3506" s="5" t="s">
        <v>54</v>
      </c>
      <c r="D3506" s="5" t="s">
        <v>55</v>
      </c>
      <c r="E3506" s="5" t="s">
        <v>214</v>
      </c>
      <c r="F3506" s="9">
        <v>41</v>
      </c>
      <c r="G3506" s="9">
        <v>422</v>
      </c>
      <c r="H3506" s="5" t="s">
        <v>21</v>
      </c>
      <c r="I3506" s="5" t="s">
        <v>8430</v>
      </c>
      <c r="J3506" s="12" t="str">
        <f>HYPERLINK("https://www.boe.es/gazeta/dias/1800/05/23/pdfs/GMD-1800-41.pdf#page=6","Abrir facsímil")</f>
        <v>Abrir facsímil</v>
      </c>
      <c r="K3506" s="15" t="s">
        <v>23</v>
      </c>
    </row>
    <row r="3507" spans="1:11" ht="42" customHeight="1">
      <c r="A3507" s="4" t="s">
        <v>8428</v>
      </c>
      <c r="B3507" s="5" t="s">
        <v>8429</v>
      </c>
      <c r="C3507" s="5" t="s">
        <v>54</v>
      </c>
      <c r="D3507" s="5" t="s">
        <v>55</v>
      </c>
      <c r="E3507" s="5" t="s">
        <v>214</v>
      </c>
      <c r="F3507" s="9">
        <v>41</v>
      </c>
      <c r="G3507" s="9">
        <v>423</v>
      </c>
      <c r="H3507" s="5" t="s">
        <v>21</v>
      </c>
      <c r="I3507" s="5" t="s">
        <v>8431</v>
      </c>
      <c r="J3507" s="12" t="str">
        <f>HYPERLINK("https://www.boe.es/gazeta/dias/1800/05/23/pdfs/GMD-1800-41.pdf#page=7","Abrir facsímil")</f>
        <v>Abrir facsímil</v>
      </c>
      <c r="K3507" s="15" t="s">
        <v>23</v>
      </c>
    </row>
    <row r="3508" spans="1:11" ht="42" customHeight="1">
      <c r="A3508" s="4" t="s">
        <v>8432</v>
      </c>
      <c r="B3508" s="5" t="s">
        <v>8432</v>
      </c>
      <c r="C3508" s="5" t="s">
        <v>41</v>
      </c>
      <c r="D3508" s="5" t="s">
        <v>42</v>
      </c>
      <c r="E3508" s="5" t="s">
        <v>45</v>
      </c>
      <c r="F3508" s="9">
        <v>47</v>
      </c>
      <c r="G3508" s="9">
        <v>494</v>
      </c>
      <c r="H3508" s="5" t="s">
        <v>21</v>
      </c>
      <c r="I3508" s="5" t="s">
        <v>8433</v>
      </c>
      <c r="J3508" s="12" t="str">
        <f>HYPERLINK("https://www.boe.es/gazeta/dias/1800/06/13/pdfs/GMD-1800-47.pdf#page=2","Abrir facsímil")</f>
        <v>Abrir facsímil</v>
      </c>
      <c r="K3508" s="15" t="s">
        <v>23</v>
      </c>
    </row>
    <row r="3509" spans="1:11" ht="42" customHeight="1">
      <c r="A3509" s="4" t="s">
        <v>8434</v>
      </c>
      <c r="B3509" s="5" t="s">
        <v>8434</v>
      </c>
      <c r="C3509" s="5" t="s">
        <v>41</v>
      </c>
      <c r="D3509" s="5" t="s">
        <v>42</v>
      </c>
      <c r="E3509" s="5" t="s">
        <v>226</v>
      </c>
      <c r="F3509" s="9">
        <v>27</v>
      </c>
      <c r="G3509" s="9">
        <v>275</v>
      </c>
      <c r="H3509" s="5" t="s">
        <v>21</v>
      </c>
      <c r="I3509" s="5" t="s">
        <v>8435</v>
      </c>
      <c r="J3509" s="12" t="str">
        <f>HYPERLINK("https://www.boe.es/gazeta/dias/1800/04/04/pdfs/GMD-1800-27.pdf#page=3","Abrir facsímil")</f>
        <v>Abrir facsímil</v>
      </c>
      <c r="K3509" s="15" t="s">
        <v>23</v>
      </c>
    </row>
    <row r="3510" spans="1:11" ht="42" customHeight="1">
      <c r="A3510" s="4" t="s">
        <v>8436</v>
      </c>
      <c r="B3510" s="5" t="s">
        <v>8437</v>
      </c>
      <c r="C3510" s="5" t="s">
        <v>18</v>
      </c>
      <c r="D3510" s="5" t="s">
        <v>19</v>
      </c>
      <c r="E3510" s="5" t="s">
        <v>79</v>
      </c>
      <c r="F3510" s="9">
        <v>7</v>
      </c>
      <c r="G3510" s="9">
        <v>66</v>
      </c>
      <c r="H3510" s="5" t="s">
        <v>21</v>
      </c>
      <c r="I3510" s="5" t="s">
        <v>8438</v>
      </c>
      <c r="J3510" s="12" t="str">
        <f>HYPERLINK("https://www.boe.es/gazeta/dias/1800/01/24/pdfs/GMD-1800-7.pdf#page=6","Abrir facsímil")</f>
        <v>Abrir facsímil</v>
      </c>
      <c r="K3510" s="15" t="s">
        <v>23</v>
      </c>
    </row>
    <row r="3511" spans="1:11" ht="42" customHeight="1">
      <c r="A3511" s="4" t="s">
        <v>8439</v>
      </c>
      <c r="B3511" s="5" t="s">
        <v>8440</v>
      </c>
      <c r="C3511" s="5" t="s">
        <v>207</v>
      </c>
      <c r="D3511" s="5" t="s">
        <v>55</v>
      </c>
      <c r="E3511" s="5" t="s">
        <v>190</v>
      </c>
      <c r="F3511" s="9">
        <v>93</v>
      </c>
      <c r="G3511" s="9">
        <v>1066</v>
      </c>
      <c r="H3511" s="5" t="s">
        <v>21</v>
      </c>
      <c r="I3511" s="5" t="s">
        <v>8441</v>
      </c>
      <c r="J3511" s="12" t="str">
        <f>HYPERLINK("https://www.boe.es/gazeta/dias/1800/11/18/pdfs/GMD-1800-93.pdf#page=12","Abrir facsímil")</f>
        <v>Abrir facsímil</v>
      </c>
      <c r="K3511" s="15" t="s">
        <v>23</v>
      </c>
    </row>
    <row r="3512" spans="1:11" ht="42" customHeight="1">
      <c r="A3512" s="4" t="s">
        <v>8442</v>
      </c>
      <c r="B3512" s="5" t="s">
        <v>8443</v>
      </c>
      <c r="C3512" s="5" t="s">
        <v>84</v>
      </c>
      <c r="D3512" s="5" t="s">
        <v>85</v>
      </c>
      <c r="E3512" s="5" t="s">
        <v>845</v>
      </c>
      <c r="F3512" s="9">
        <v>80</v>
      </c>
      <c r="G3512" s="9">
        <v>910</v>
      </c>
      <c r="H3512" s="5" t="s">
        <v>21</v>
      </c>
      <c r="I3512" s="5" t="s">
        <v>8444</v>
      </c>
      <c r="J3512" s="12" t="str">
        <f>HYPERLINK("https://www.boe.es/gazeta/dias/1800/10/03/pdfs/GMD-1800-80.pdf#page=8","Abrir facsímil")</f>
        <v>Abrir facsímil</v>
      </c>
      <c r="K3512" s="15" t="s">
        <v>23</v>
      </c>
    </row>
    <row r="3513" spans="1:11" ht="42" customHeight="1">
      <c r="A3513" s="4" t="s">
        <v>8445</v>
      </c>
      <c r="B3513" s="5" t="s">
        <v>8446</v>
      </c>
      <c r="C3513" s="5" t="s">
        <v>18</v>
      </c>
      <c r="D3513" s="5" t="s">
        <v>19</v>
      </c>
      <c r="E3513" s="5" t="s">
        <v>218</v>
      </c>
      <c r="F3513" s="9">
        <v>5</v>
      </c>
      <c r="G3513" s="9">
        <v>47</v>
      </c>
      <c r="H3513" s="5" t="s">
        <v>21</v>
      </c>
      <c r="I3513" s="5" t="s">
        <v>8447</v>
      </c>
      <c r="J3513" s="12" t="str">
        <f>HYPERLINK("https://www.boe.es/gazeta/dias/1800/01/17/pdfs/GMD-1800-5.pdf#page=7","Abrir facsímil")</f>
        <v>Abrir facsímil</v>
      </c>
      <c r="K3513" s="15" t="s">
        <v>23</v>
      </c>
    </row>
    <row r="3514" spans="1:11" ht="42" customHeight="1">
      <c r="A3514" s="4" t="s">
        <v>8448</v>
      </c>
      <c r="B3514" s="5" t="s">
        <v>8449</v>
      </c>
      <c r="C3514" s="5" t="s">
        <v>18</v>
      </c>
      <c r="D3514" s="5" t="s">
        <v>19</v>
      </c>
      <c r="E3514" s="5" t="s">
        <v>184</v>
      </c>
      <c r="F3514" s="9">
        <v>82</v>
      </c>
      <c r="G3514" s="9">
        <v>950</v>
      </c>
      <c r="H3514" s="5" t="s">
        <v>21</v>
      </c>
      <c r="I3514" s="5" t="s">
        <v>8450</v>
      </c>
      <c r="J3514" s="12" t="str">
        <f>HYPERLINK("https://www.boe.es/gazeta/dias/1800/10/10/pdfs/GMD-1800-82.pdf#page=8","Abrir facsímil")</f>
        <v>Abrir facsímil</v>
      </c>
      <c r="K3514" s="15" t="s">
        <v>23</v>
      </c>
    </row>
    <row r="3515" spans="1:11" ht="42" customHeight="1">
      <c r="A3515" s="4" t="s">
        <v>8451</v>
      </c>
      <c r="B3515" s="5" t="s">
        <v>8451</v>
      </c>
      <c r="C3515" s="5" t="s">
        <v>25</v>
      </c>
      <c r="D3515" s="5" t="s">
        <v>26</v>
      </c>
      <c r="E3515" s="5" t="s">
        <v>248</v>
      </c>
      <c r="F3515" s="9">
        <v>33</v>
      </c>
      <c r="G3515" s="9">
        <v>332</v>
      </c>
      <c r="H3515" s="5" t="s">
        <v>21</v>
      </c>
      <c r="I3515" s="5" t="s">
        <v>8452</v>
      </c>
      <c r="J3515" s="12" t="str">
        <f>HYPERLINK("https://www.boe.es/gazeta/dias/1800/04/25/pdfs/GMD-1800-33.pdf#page=8","Abrir facsímil")</f>
        <v>Abrir facsímil</v>
      </c>
      <c r="K3515" s="15" t="s">
        <v>23</v>
      </c>
    </row>
    <row r="3516" spans="1:11" ht="42" customHeight="1">
      <c r="A3516" s="4" t="s">
        <v>8453</v>
      </c>
      <c r="B3516" s="5" t="s">
        <v>8453</v>
      </c>
      <c r="C3516" s="5" t="s">
        <v>41</v>
      </c>
      <c r="D3516" s="5" t="s">
        <v>42</v>
      </c>
      <c r="E3516" s="5" t="s">
        <v>845</v>
      </c>
      <c r="F3516" s="9">
        <v>80</v>
      </c>
      <c r="G3516" s="9">
        <v>905</v>
      </c>
      <c r="H3516" s="5" t="s">
        <v>21</v>
      </c>
      <c r="I3516" s="5" t="s">
        <v>8454</v>
      </c>
      <c r="J3516" s="12" t="str">
        <f>HYPERLINK("https://www.boe.es/gazeta/dias/1800/10/03/pdfs/GMD-1800-80.pdf#page=3","Abrir facsímil")</f>
        <v>Abrir facsímil</v>
      </c>
      <c r="K3516" s="15" t="s">
        <v>23</v>
      </c>
    </row>
    <row r="3517" spans="1:11" ht="42" customHeight="1">
      <c r="A3517" s="4" t="s">
        <v>8455</v>
      </c>
      <c r="B3517" s="5" t="s">
        <v>8456</v>
      </c>
      <c r="C3517" s="5" t="s">
        <v>18</v>
      </c>
      <c r="D3517" s="5" t="s">
        <v>19</v>
      </c>
      <c r="E3517" s="5" t="s">
        <v>194</v>
      </c>
      <c r="F3517" s="9">
        <v>48</v>
      </c>
      <c r="G3517" s="9">
        <v>519</v>
      </c>
      <c r="H3517" s="5" t="s">
        <v>21</v>
      </c>
      <c r="I3517" s="5" t="s">
        <v>8457</v>
      </c>
      <c r="J3517" s="12" t="str">
        <f>HYPERLINK("https://www.boe.es/gazeta/dias/1800/06/17/pdfs/GMD-1800-48.pdf#page=11","Abrir facsímil")</f>
        <v>Abrir facsímil</v>
      </c>
      <c r="K3517" s="15" t="s">
        <v>23</v>
      </c>
    </row>
    <row r="3518" spans="1:11" ht="42" customHeight="1">
      <c r="A3518" s="4" t="s">
        <v>8458</v>
      </c>
      <c r="B3518" s="5" t="s">
        <v>8459</v>
      </c>
      <c r="C3518" s="5" t="s">
        <v>25</v>
      </c>
      <c r="D3518" s="5" t="s">
        <v>26</v>
      </c>
      <c r="E3518" s="5" t="s">
        <v>402</v>
      </c>
      <c r="F3518" s="9">
        <v>101</v>
      </c>
      <c r="G3518" s="9">
        <v>1173</v>
      </c>
      <c r="H3518" s="5" t="s">
        <v>21</v>
      </c>
      <c r="I3518" s="5" t="s">
        <v>8460</v>
      </c>
      <c r="J3518" s="12" t="str">
        <f>HYPERLINK("https://www.boe.es/gazeta/dias/1800/12/16/pdfs/GMD-1800-101.pdf#page=9","Abrir facsímil")</f>
        <v>Abrir facsímil</v>
      </c>
      <c r="K3518" s="15" t="s">
        <v>23</v>
      </c>
    </row>
    <row r="3519" spans="1:11" ht="42" customHeight="1">
      <c r="A3519" s="4" t="s">
        <v>8461</v>
      </c>
      <c r="B3519" s="5" t="s">
        <v>8462</v>
      </c>
      <c r="C3519" s="5" t="s">
        <v>18</v>
      </c>
      <c r="D3519" s="5" t="s">
        <v>19</v>
      </c>
      <c r="E3519" s="5" t="s">
        <v>194</v>
      </c>
      <c r="F3519" s="9">
        <v>48</v>
      </c>
      <c r="G3519" s="9">
        <v>519</v>
      </c>
      <c r="H3519" s="5" t="s">
        <v>21</v>
      </c>
      <c r="I3519" s="5" t="s">
        <v>8463</v>
      </c>
      <c r="J3519" s="12" t="str">
        <f>HYPERLINK("https://www.boe.es/gazeta/dias/1800/06/17/pdfs/GMD-1800-48.pdf#page=11","Abrir facsímil")</f>
        <v>Abrir facsímil</v>
      </c>
      <c r="K3519" s="15" t="s">
        <v>23</v>
      </c>
    </row>
    <row r="3520" spans="1:11" ht="42" customHeight="1">
      <c r="A3520" s="4" t="s">
        <v>8464</v>
      </c>
      <c r="B3520" s="5" t="s">
        <v>8465</v>
      </c>
      <c r="C3520" s="5" t="s">
        <v>18</v>
      </c>
      <c r="D3520" s="5" t="s">
        <v>19</v>
      </c>
      <c r="E3520" s="5" t="s">
        <v>31</v>
      </c>
      <c r="F3520" s="9">
        <v>20</v>
      </c>
      <c r="G3520" s="9">
        <v>192</v>
      </c>
      <c r="H3520" s="5" t="s">
        <v>21</v>
      </c>
      <c r="I3520" s="5" t="s">
        <v>8466</v>
      </c>
      <c r="J3520" s="12" t="str">
        <f>HYPERLINK("https://www.boe.es/gazeta/dias/1800/03/11/pdfs/GMD-1800-20.pdf#page=8","Abrir facsímil")</f>
        <v>Abrir facsímil</v>
      </c>
      <c r="K3520" s="15" t="s">
        <v>23</v>
      </c>
    </row>
    <row r="3521" spans="1:11" ht="42" customHeight="1">
      <c r="A3521" s="4" t="s">
        <v>8467</v>
      </c>
      <c r="B3521" s="5" t="s">
        <v>8468</v>
      </c>
      <c r="C3521" s="5" t="s">
        <v>41</v>
      </c>
      <c r="D3521" s="5" t="s">
        <v>42</v>
      </c>
      <c r="E3521" s="5" t="s">
        <v>275</v>
      </c>
      <c r="F3521" s="9">
        <v>60</v>
      </c>
      <c r="G3521" s="9">
        <v>685</v>
      </c>
      <c r="H3521" s="5" t="s">
        <v>21</v>
      </c>
      <c r="I3521" s="5" t="s">
        <v>8469</v>
      </c>
      <c r="J3521" s="12" t="str">
        <f>HYPERLINK("https://www.boe.es/gazeta/dias/1800/07/29/pdfs/GMD-1800-60.pdf#page=5","Abrir facsímil")</f>
        <v>Abrir facsímil</v>
      </c>
      <c r="K3521" s="15" t="s">
        <v>23</v>
      </c>
    </row>
    <row r="3522" spans="1:11" ht="42" customHeight="1">
      <c r="A3522" s="4" t="s">
        <v>8470</v>
      </c>
      <c r="B3522" s="5" t="s">
        <v>8471</v>
      </c>
      <c r="C3522" s="5" t="s">
        <v>18</v>
      </c>
      <c r="D3522" s="5" t="s">
        <v>19</v>
      </c>
      <c r="E3522" s="5" t="s">
        <v>139</v>
      </c>
      <c r="F3522" s="9">
        <v>2</v>
      </c>
      <c r="G3522" s="9">
        <v>17</v>
      </c>
      <c r="H3522" s="5" t="s">
        <v>21</v>
      </c>
      <c r="I3522" s="5" t="s">
        <v>8472</v>
      </c>
      <c r="J3522" s="12" t="str">
        <f>HYPERLINK("https://www.boe.es/gazeta/dias/1800/01/07/pdfs/GMD-1800-2.pdf#page=9","Abrir facsímil")</f>
        <v>Abrir facsímil</v>
      </c>
      <c r="K3522" s="15" t="s">
        <v>23</v>
      </c>
    </row>
    <row r="3523" spans="1:11" ht="42" customHeight="1">
      <c r="A3523" s="4" t="s">
        <v>8473</v>
      </c>
      <c r="B3523" s="5" t="s">
        <v>8474</v>
      </c>
      <c r="C3523" s="5" t="s">
        <v>114</v>
      </c>
      <c r="D3523" s="5" t="s">
        <v>115</v>
      </c>
      <c r="E3523" s="5" t="s">
        <v>116</v>
      </c>
      <c r="F3523" s="9">
        <v>86</v>
      </c>
      <c r="G3523" s="9" t="s">
        <v>725</v>
      </c>
      <c r="H3523" s="5" t="s">
        <v>21</v>
      </c>
      <c r="I3523" s="5" t="s">
        <v>8475</v>
      </c>
      <c r="J3523" s="12" t="str">
        <f>HYPERLINK("https://www.boe.es/gazeta/dias/1800/10/24/pdfs/GMD-D-1800-86.pdf#page=1","Abrir facsímil")</f>
        <v>Abrir facsímil</v>
      </c>
      <c r="K3523" s="15" t="s">
        <v>23</v>
      </c>
    </row>
    <row r="3524" spans="1:11" ht="42" customHeight="1">
      <c r="A3524" s="4" t="s">
        <v>8476</v>
      </c>
      <c r="B3524" s="5" t="s">
        <v>8477</v>
      </c>
      <c r="C3524" s="5" t="s">
        <v>41</v>
      </c>
      <c r="D3524" s="5" t="s">
        <v>42</v>
      </c>
      <c r="E3524" s="5" t="s">
        <v>52</v>
      </c>
      <c r="F3524" s="9">
        <v>83</v>
      </c>
      <c r="G3524" s="9">
        <v>957</v>
      </c>
      <c r="H3524" s="5" t="s">
        <v>21</v>
      </c>
      <c r="I3524" s="5" t="s">
        <v>8478</v>
      </c>
      <c r="J3524" s="12" t="str">
        <f>HYPERLINK("https://www.boe.es/gazeta/dias/1800/10/14/pdfs/GMD-1800-83.pdf#page=3","Abrir facsímil")</f>
        <v>Abrir facsímil</v>
      </c>
      <c r="K3524" s="15" t="s">
        <v>23</v>
      </c>
    </row>
    <row r="3525" spans="1:11" ht="42" customHeight="1">
      <c r="A3525" s="4" t="s">
        <v>8479</v>
      </c>
      <c r="B3525" s="5" t="s">
        <v>8479</v>
      </c>
      <c r="C3525" s="5" t="s">
        <v>41</v>
      </c>
      <c r="D3525" s="5" t="s">
        <v>42</v>
      </c>
      <c r="E3525" s="5" t="s">
        <v>158</v>
      </c>
      <c r="F3525" s="9">
        <v>25</v>
      </c>
      <c r="G3525" s="9">
        <v>253</v>
      </c>
      <c r="H3525" s="5" t="s">
        <v>21</v>
      </c>
      <c r="I3525" s="5" t="s">
        <v>8480</v>
      </c>
      <c r="J3525" s="12" t="str">
        <f>HYPERLINK("https://www.boe.es/gazeta/dias/1800/03/28/pdfs/GMD-1800-25.pdf#page=5","Abrir facsímil")</f>
        <v>Abrir facsímil</v>
      </c>
      <c r="K3525" s="15" t="s">
        <v>23</v>
      </c>
    </row>
    <row r="3526" spans="1:11" ht="42" customHeight="1">
      <c r="A3526" s="4" t="s">
        <v>8481</v>
      </c>
      <c r="B3526" s="5" t="s">
        <v>8481</v>
      </c>
      <c r="C3526" s="5" t="s">
        <v>114</v>
      </c>
      <c r="D3526" s="5" t="s">
        <v>115</v>
      </c>
      <c r="E3526" s="5" t="s">
        <v>116</v>
      </c>
      <c r="F3526" s="9">
        <v>86</v>
      </c>
      <c r="G3526" s="9" t="s">
        <v>725</v>
      </c>
      <c r="H3526" s="5" t="s">
        <v>21</v>
      </c>
      <c r="I3526" s="5" t="s">
        <v>8482</v>
      </c>
      <c r="J3526" s="12" t="str">
        <f>HYPERLINK("https://www.boe.es/gazeta/dias/1800/10/24/pdfs/GMD-D-1800-86.pdf#page=1","Abrir facsímil")</f>
        <v>Abrir facsímil</v>
      </c>
      <c r="K3526" s="15" t="s">
        <v>23</v>
      </c>
    </row>
    <row r="3527" spans="1:11" ht="42" customHeight="1">
      <c r="A3527" s="4" t="s">
        <v>8483</v>
      </c>
      <c r="B3527" s="5" t="s">
        <v>8483</v>
      </c>
      <c r="C3527" s="5" t="s">
        <v>207</v>
      </c>
      <c r="D3527" s="5" t="s">
        <v>55</v>
      </c>
      <c r="E3527" s="5" t="s">
        <v>845</v>
      </c>
      <c r="F3527" s="9">
        <v>80</v>
      </c>
      <c r="G3527" s="9">
        <v>905</v>
      </c>
      <c r="H3527" s="5" t="s">
        <v>21</v>
      </c>
      <c r="I3527" s="5" t="s">
        <v>8484</v>
      </c>
      <c r="J3527" s="12" t="str">
        <f>HYPERLINK("https://www.boe.es/gazeta/dias/1800/10/03/pdfs/GMD-1800-80.pdf#page=3","Abrir facsímil")</f>
        <v>Abrir facsímil</v>
      </c>
      <c r="K3527" s="15" t="s">
        <v>23</v>
      </c>
    </row>
    <row r="3528" spans="1:11" ht="42" customHeight="1">
      <c r="A3528" s="4" t="s">
        <v>8485</v>
      </c>
      <c r="B3528" s="5" t="s">
        <v>8486</v>
      </c>
      <c r="C3528" s="5" t="s">
        <v>84</v>
      </c>
      <c r="D3528" s="5" t="s">
        <v>85</v>
      </c>
      <c r="E3528" s="5" t="s">
        <v>180</v>
      </c>
      <c r="F3528" s="9">
        <v>102</v>
      </c>
      <c r="G3528" s="9">
        <v>1186</v>
      </c>
      <c r="H3528" s="5" t="s">
        <v>21</v>
      </c>
      <c r="I3528" s="5" t="s">
        <v>8487</v>
      </c>
      <c r="J3528" s="12" t="str">
        <f>HYPERLINK("https://www.boe.es/gazeta/dias/1800/12/19/pdfs/GMD-1800-102.pdf#page=10","Abrir facsímil")</f>
        <v>Abrir facsímil</v>
      </c>
      <c r="K3528" s="15" t="s">
        <v>23</v>
      </c>
    </row>
    <row r="3529" spans="1:11" ht="42" customHeight="1">
      <c r="A3529" s="4" t="s">
        <v>8488</v>
      </c>
      <c r="B3529" s="5" t="s">
        <v>8489</v>
      </c>
      <c r="C3529" s="5" t="s">
        <v>41</v>
      </c>
      <c r="D3529" s="5" t="s">
        <v>42</v>
      </c>
      <c r="E3529" s="5" t="s">
        <v>454</v>
      </c>
      <c r="F3529" s="9">
        <v>63</v>
      </c>
      <c r="G3529" s="9">
        <v>717</v>
      </c>
      <c r="H3529" s="5" t="s">
        <v>21</v>
      </c>
      <c r="I3529" s="5" t="s">
        <v>8490</v>
      </c>
      <c r="J3529" s="12" t="str">
        <f>HYPERLINK("https://www.boe.es/gazeta/dias/1800/08/08/pdfs/GMD-1800-63.pdf#page=5","Abrir facsímil")</f>
        <v>Abrir facsímil</v>
      </c>
      <c r="K3529" s="15" t="s">
        <v>23</v>
      </c>
    </row>
    <row r="3530" spans="1:11" ht="42" customHeight="1">
      <c r="A3530" s="4" t="s">
        <v>8491</v>
      </c>
      <c r="B3530" s="5" t="s">
        <v>8492</v>
      </c>
      <c r="C3530" s="5" t="s">
        <v>41</v>
      </c>
      <c r="D3530" s="5" t="s">
        <v>42</v>
      </c>
      <c r="E3530" s="5" t="s">
        <v>454</v>
      </c>
      <c r="F3530" s="9">
        <v>63</v>
      </c>
      <c r="G3530" s="9">
        <v>718</v>
      </c>
      <c r="H3530" s="5" t="s">
        <v>21</v>
      </c>
      <c r="I3530" s="5" t="s">
        <v>8493</v>
      </c>
      <c r="J3530" s="12" t="str">
        <f>HYPERLINK("https://www.boe.es/gazeta/dias/1800/08/08/pdfs/GMD-1800-63.pdf#page=6","Abrir facsímil")</f>
        <v>Abrir facsímil</v>
      </c>
      <c r="K3530" s="15" t="s">
        <v>23</v>
      </c>
    </row>
    <row r="3531" spans="1:11" ht="42" customHeight="1">
      <c r="A3531" s="4" t="s">
        <v>8494</v>
      </c>
      <c r="B3531" s="5" t="s">
        <v>8495</v>
      </c>
      <c r="C3531" s="5" t="s">
        <v>41</v>
      </c>
      <c r="D3531" s="5" t="s">
        <v>42</v>
      </c>
      <c r="E3531" s="5" t="s">
        <v>90</v>
      </c>
      <c r="F3531" s="9">
        <v>58</v>
      </c>
      <c r="G3531" s="9">
        <v>658</v>
      </c>
      <c r="H3531" s="5" t="s">
        <v>21</v>
      </c>
      <c r="I3531" s="5" t="s">
        <v>8496</v>
      </c>
      <c r="J3531" s="12" t="str">
        <f>HYPERLINK("https://www.boe.es/gazeta/dias/1800/07/22/pdfs/GMD-1800-58.pdf#page=6","Abrir facsímil")</f>
        <v>Abrir facsímil</v>
      </c>
      <c r="K3531" s="15" t="s">
        <v>23</v>
      </c>
    </row>
    <row r="3532" spans="1:11" ht="42" customHeight="1">
      <c r="A3532" s="4" t="s">
        <v>8497</v>
      </c>
      <c r="B3532" s="5" t="s">
        <v>8498</v>
      </c>
      <c r="C3532" s="5" t="s">
        <v>18</v>
      </c>
      <c r="D3532" s="5" t="s">
        <v>19</v>
      </c>
      <c r="E3532" s="5" t="s">
        <v>203</v>
      </c>
      <c r="F3532" s="9">
        <v>94</v>
      </c>
      <c r="G3532" s="9">
        <v>1074</v>
      </c>
      <c r="H3532" s="5" t="s">
        <v>21</v>
      </c>
      <c r="I3532" s="5" t="s">
        <v>8499</v>
      </c>
      <c r="J3532" s="12" t="str">
        <f>HYPERLINK("https://www.boe.es/gazeta/dias/1800/11/21/pdfs/GMD-1800-94.pdf#page=4","Abrir facsímil")</f>
        <v>Abrir facsímil</v>
      </c>
      <c r="K3532" s="15" t="s">
        <v>23</v>
      </c>
    </row>
    <row r="3533" spans="1:11" ht="42" customHeight="1">
      <c r="A3533" s="4" t="s">
        <v>8500</v>
      </c>
      <c r="B3533" s="5" t="s">
        <v>8500</v>
      </c>
      <c r="C3533" s="5" t="s">
        <v>41</v>
      </c>
      <c r="D3533" s="5" t="s">
        <v>42</v>
      </c>
      <c r="E3533" s="5" t="s">
        <v>406</v>
      </c>
      <c r="F3533" s="9">
        <v>44</v>
      </c>
      <c r="G3533" s="9">
        <v>455</v>
      </c>
      <c r="H3533" s="5" t="s">
        <v>21</v>
      </c>
      <c r="I3533" s="5" t="s">
        <v>8501</v>
      </c>
      <c r="J3533" s="12" t="str">
        <f>HYPERLINK("https://www.boe.es/gazeta/dias/1800/06/03/pdfs/GMD-1800-44.pdf#page=3","Abrir facsímil")</f>
        <v>Abrir facsímil</v>
      </c>
      <c r="K3533" s="15" t="s">
        <v>23</v>
      </c>
    </row>
    <row r="3534" spans="1:11" ht="42" customHeight="1">
      <c r="A3534" s="4" t="s">
        <v>8502</v>
      </c>
      <c r="B3534" s="5" t="s">
        <v>8502</v>
      </c>
      <c r="C3534" s="5" t="s">
        <v>54</v>
      </c>
      <c r="D3534" s="5" t="s">
        <v>55</v>
      </c>
      <c r="E3534" s="5" t="s">
        <v>1287</v>
      </c>
      <c r="F3534" s="9">
        <v>57</v>
      </c>
      <c r="G3534" s="9">
        <v>648</v>
      </c>
      <c r="H3534" s="5" t="s">
        <v>21</v>
      </c>
      <c r="I3534" s="5" t="s">
        <v>8503</v>
      </c>
      <c r="J3534" s="12" t="str">
        <f>HYPERLINK("https://www.boe.es/gazeta/dias/1800/07/18/pdfs/GMD-1800-57.pdf#page=12","Abrir facsímil")</f>
        <v>Abrir facsímil</v>
      </c>
      <c r="K3534" s="15" t="s">
        <v>23</v>
      </c>
    </row>
    <row r="3535" spans="1:11" ht="42" customHeight="1">
      <c r="A3535" s="4" t="s">
        <v>8504</v>
      </c>
      <c r="B3535" s="5" t="s">
        <v>8504</v>
      </c>
      <c r="C3535" s="5" t="s">
        <v>171</v>
      </c>
      <c r="D3535" s="5" t="s">
        <v>172</v>
      </c>
      <c r="E3535" s="5" t="s">
        <v>90</v>
      </c>
      <c r="F3535" s="9">
        <v>58</v>
      </c>
      <c r="G3535" s="9">
        <v>665</v>
      </c>
      <c r="H3535" s="5" t="s">
        <v>21</v>
      </c>
      <c r="I3535" s="5" t="s">
        <v>8505</v>
      </c>
      <c r="J3535" s="12" t="str">
        <f>HYPERLINK("https://www.boe.es/gazeta/dias/1800/07/22/pdfs/GMD-C-1800-58.pdf#page=1","Abrir facsímil")</f>
        <v>Abrir facsímil</v>
      </c>
      <c r="K3535" s="15" t="s">
        <v>23</v>
      </c>
    </row>
    <row r="3536" spans="1:11" ht="42" customHeight="1">
      <c r="A3536" s="4" t="s">
        <v>8506</v>
      </c>
      <c r="B3536" s="5" t="s">
        <v>8506</v>
      </c>
      <c r="C3536" s="5" t="s">
        <v>25</v>
      </c>
      <c r="D3536" s="5" t="s">
        <v>26</v>
      </c>
      <c r="E3536" s="5" t="s">
        <v>230</v>
      </c>
      <c r="F3536" s="9">
        <v>35</v>
      </c>
      <c r="G3536" s="9">
        <v>355</v>
      </c>
      <c r="H3536" s="5" t="s">
        <v>21</v>
      </c>
      <c r="I3536" s="5" t="s">
        <v>8507</v>
      </c>
      <c r="J3536" s="12" t="str">
        <f>HYPERLINK("https://www.boe.es/gazeta/dias/1800/05/02/pdfs/GMD-1800-35.pdf#page=7","Abrir facsímil")</f>
        <v>Abrir facsímil</v>
      </c>
      <c r="K3536" s="15" t="s">
        <v>23</v>
      </c>
    </row>
    <row r="3537" spans="1:11" ht="42" customHeight="1">
      <c r="A3537" s="4" t="s">
        <v>8508</v>
      </c>
      <c r="B3537" s="5" t="s">
        <v>8508</v>
      </c>
      <c r="C3537" s="5" t="s">
        <v>54</v>
      </c>
      <c r="D3537" s="5" t="s">
        <v>55</v>
      </c>
      <c r="E3537" s="5" t="s">
        <v>226</v>
      </c>
      <c r="F3537" s="9">
        <v>27</v>
      </c>
      <c r="G3537" s="9">
        <v>283</v>
      </c>
      <c r="H3537" s="5" t="s">
        <v>21</v>
      </c>
      <c r="I3537" s="5" t="s">
        <v>8509</v>
      </c>
      <c r="J3537" s="12" t="str">
        <f>HYPERLINK("https://www.boe.es/gazeta/dias/1800/04/04/pdfs/GMD-1800-27.pdf#page=11","Abrir facsímil")</f>
        <v>Abrir facsímil</v>
      </c>
      <c r="K3537" s="15" t="s">
        <v>23</v>
      </c>
    </row>
    <row r="3538" spans="1:11" ht="42" customHeight="1">
      <c r="A3538" s="4" t="s">
        <v>8508</v>
      </c>
      <c r="B3538" s="5" t="s">
        <v>8508</v>
      </c>
      <c r="C3538" s="5" t="s">
        <v>25</v>
      </c>
      <c r="D3538" s="5" t="s">
        <v>26</v>
      </c>
      <c r="E3538" s="5" t="s">
        <v>1231</v>
      </c>
      <c r="F3538" s="9">
        <v>36</v>
      </c>
      <c r="G3538" s="9">
        <v>367</v>
      </c>
      <c r="H3538" s="5" t="s">
        <v>21</v>
      </c>
      <c r="I3538" s="5" t="s">
        <v>8510</v>
      </c>
      <c r="J3538" s="12" t="str">
        <f>HYPERLINK("https://www.boe.es/gazeta/dias/1800/05/06/pdfs/GMD-1800-36.pdf#page=11","Abrir facsímil")</f>
        <v>Abrir facsímil</v>
      </c>
      <c r="K3538" s="15" t="s">
        <v>23</v>
      </c>
    </row>
    <row r="3539" spans="1:11" ht="42" customHeight="1">
      <c r="A3539" s="4" t="s">
        <v>8508</v>
      </c>
      <c r="B3539" s="5" t="s">
        <v>8508</v>
      </c>
      <c r="C3539" s="5" t="s">
        <v>171</v>
      </c>
      <c r="D3539" s="5" t="s">
        <v>172</v>
      </c>
      <c r="E3539" s="5" t="s">
        <v>194</v>
      </c>
      <c r="F3539" s="9">
        <v>48</v>
      </c>
      <c r="G3539" s="9">
        <v>521</v>
      </c>
      <c r="H3539" s="5" t="s">
        <v>21</v>
      </c>
      <c r="I3539" s="5" t="s">
        <v>8511</v>
      </c>
      <c r="J3539" s="12" t="str">
        <f>HYPERLINK("https://www.boe.es/gazeta/dias/1800/06/17/pdfs/GMD-C-1800-48.pdf#page=1","Abrir facsímil")</f>
        <v>Abrir facsímil</v>
      </c>
      <c r="K3539" s="15" t="s">
        <v>23</v>
      </c>
    </row>
    <row r="3540" spans="1:11" ht="42" customHeight="1">
      <c r="A3540" s="4" t="s">
        <v>8508</v>
      </c>
      <c r="B3540" s="5" t="s">
        <v>8508</v>
      </c>
      <c r="C3540" s="5" t="s">
        <v>171</v>
      </c>
      <c r="D3540" s="5" t="s">
        <v>172</v>
      </c>
      <c r="E3540" s="5" t="s">
        <v>465</v>
      </c>
      <c r="F3540" s="9">
        <v>49</v>
      </c>
      <c r="G3540" s="9">
        <v>533</v>
      </c>
      <c r="H3540" s="5" t="s">
        <v>21</v>
      </c>
      <c r="I3540" s="5" t="s">
        <v>8512</v>
      </c>
      <c r="J3540" s="12" t="str">
        <f>HYPERLINK("https://www.boe.es/gazeta/dias/1800/06/20/pdfs/GMD-C-1800-49.pdf#page=1","Abrir facsímil")</f>
        <v>Abrir facsímil</v>
      </c>
      <c r="K3540" s="15" t="s">
        <v>23</v>
      </c>
    </row>
    <row r="3541" spans="1:11" ht="42" customHeight="1">
      <c r="A3541" s="4" t="s">
        <v>8508</v>
      </c>
      <c r="B3541" s="5" t="s">
        <v>8508</v>
      </c>
      <c r="C3541" s="5" t="s">
        <v>54</v>
      </c>
      <c r="D3541" s="5" t="s">
        <v>55</v>
      </c>
      <c r="E3541" s="5" t="s">
        <v>823</v>
      </c>
      <c r="F3541" s="9">
        <v>50</v>
      </c>
      <c r="G3541" s="9">
        <v>546</v>
      </c>
      <c r="H3541" s="5" t="s">
        <v>21</v>
      </c>
      <c r="I3541" s="5" t="s">
        <v>8513</v>
      </c>
      <c r="J3541" s="12" t="str">
        <f>HYPERLINK("https://www.boe.es/gazeta/dias/1800/06/24/pdfs/GMD-1800-50.pdf#page=10","Abrir facsímil")</f>
        <v>Abrir facsímil</v>
      </c>
      <c r="K3541" s="15" t="s">
        <v>23</v>
      </c>
    </row>
    <row r="3542" spans="1:11" ht="42" customHeight="1">
      <c r="A3542" s="4" t="s">
        <v>8508</v>
      </c>
      <c r="B3542" s="5" t="s">
        <v>8508</v>
      </c>
      <c r="C3542" s="5" t="s">
        <v>54</v>
      </c>
      <c r="D3542" s="5" t="s">
        <v>55</v>
      </c>
      <c r="E3542" s="5" t="s">
        <v>68</v>
      </c>
      <c r="F3542" s="9">
        <v>67</v>
      </c>
      <c r="G3542" s="9">
        <v>756</v>
      </c>
      <c r="H3542" s="5" t="s">
        <v>21</v>
      </c>
      <c r="I3542" s="5" t="s">
        <v>8514</v>
      </c>
      <c r="J3542" s="12" t="str">
        <f>HYPERLINK("https://www.boe.es/gazeta/dias/1800/08/22/pdfs/GMD-1800-67.pdf#page=8","Abrir facsímil")</f>
        <v>Abrir facsímil</v>
      </c>
      <c r="K3542" s="15" t="s">
        <v>23</v>
      </c>
    </row>
    <row r="3543" spans="1:11" ht="42" customHeight="1">
      <c r="A3543" s="4" t="s">
        <v>8515</v>
      </c>
      <c r="B3543" s="5" t="s">
        <v>8516</v>
      </c>
      <c r="C3543" s="5" t="s">
        <v>41</v>
      </c>
      <c r="D3543" s="5" t="s">
        <v>42</v>
      </c>
      <c r="E3543" s="5" t="s">
        <v>1127</v>
      </c>
      <c r="F3543" s="9">
        <v>11</v>
      </c>
      <c r="G3543" s="9">
        <v>102</v>
      </c>
      <c r="H3543" s="5" t="s">
        <v>21</v>
      </c>
      <c r="I3543" s="5" t="s">
        <v>8517</v>
      </c>
      <c r="J3543" s="12" t="str">
        <f>HYPERLINK("https://www.boe.es/gazeta/dias/1800/02/07/pdfs/GMD-1800-11.pdf#page=2","Abrir facsímil")</f>
        <v>Abrir facsímil</v>
      </c>
      <c r="K3543" s="15" t="s">
        <v>23</v>
      </c>
    </row>
    <row r="3544" spans="1:11" ht="42" customHeight="1">
      <c r="A3544" s="4" t="s">
        <v>8518</v>
      </c>
      <c r="B3544" s="5" t="s">
        <v>8519</v>
      </c>
      <c r="C3544" s="5" t="s">
        <v>18</v>
      </c>
      <c r="D3544" s="5" t="s">
        <v>19</v>
      </c>
      <c r="E3544" s="5" t="s">
        <v>64</v>
      </c>
      <c r="F3544" s="9">
        <v>54</v>
      </c>
      <c r="G3544" s="9">
        <v>603</v>
      </c>
      <c r="H3544" s="5" t="s">
        <v>21</v>
      </c>
      <c r="I3544" s="5" t="s">
        <v>8520</v>
      </c>
      <c r="J3544" s="12" t="str">
        <f>HYPERLINK("https://www.boe.es/gazeta/dias/1800/07/08/pdfs/GMD-1800-54.pdf#page=7","Abrir facsímil")</f>
        <v>Abrir facsímil</v>
      </c>
      <c r="K3544" s="15" t="s">
        <v>23</v>
      </c>
    </row>
    <row r="3545" spans="1:11" ht="42" customHeight="1">
      <c r="A3545" s="4" t="s">
        <v>8518</v>
      </c>
      <c r="B3545" s="5" t="s">
        <v>8519</v>
      </c>
      <c r="C3545" s="5" t="s">
        <v>41</v>
      </c>
      <c r="D3545" s="5" t="s">
        <v>42</v>
      </c>
      <c r="E3545" s="5" t="s">
        <v>64</v>
      </c>
      <c r="F3545" s="9">
        <v>54</v>
      </c>
      <c r="G3545" s="9">
        <v>604</v>
      </c>
      <c r="H3545" s="5" t="s">
        <v>21</v>
      </c>
      <c r="I3545" s="5" t="s">
        <v>8521</v>
      </c>
      <c r="J3545" s="12" t="str">
        <f>HYPERLINK("https://www.boe.es/gazeta/dias/1800/07/08/pdfs/GMD-1800-54.pdf#page=8","Abrir facsímil")</f>
        <v>Abrir facsímil</v>
      </c>
      <c r="K3545" s="15" t="s">
        <v>23</v>
      </c>
    </row>
    <row r="3546" spans="1:11" ht="42" customHeight="1">
      <c r="A3546" s="4" t="s">
        <v>8518</v>
      </c>
      <c r="B3546" s="5" t="s">
        <v>8519</v>
      </c>
      <c r="C3546" s="5" t="s">
        <v>18</v>
      </c>
      <c r="D3546" s="5" t="s">
        <v>19</v>
      </c>
      <c r="E3546" s="5" t="s">
        <v>530</v>
      </c>
      <c r="F3546" s="9">
        <v>55</v>
      </c>
      <c r="G3546" s="9">
        <v>618</v>
      </c>
      <c r="H3546" s="5" t="s">
        <v>21</v>
      </c>
      <c r="I3546" s="5" t="s">
        <v>8522</v>
      </c>
      <c r="J3546" s="12" t="str">
        <f>HYPERLINK("https://www.boe.es/gazeta/dias/1800/07/11/pdfs/GMD-1800-55.pdf#page=6","Abrir facsímil")</f>
        <v>Abrir facsímil</v>
      </c>
      <c r="K3546" s="15" t="s">
        <v>23</v>
      </c>
    </row>
    <row r="3547" spans="1:11" ht="42" customHeight="1">
      <c r="A3547" s="4" t="s">
        <v>8518</v>
      </c>
      <c r="B3547" s="5" t="s">
        <v>8519</v>
      </c>
      <c r="C3547" s="5" t="s">
        <v>41</v>
      </c>
      <c r="D3547" s="5" t="s">
        <v>42</v>
      </c>
      <c r="E3547" s="5" t="s">
        <v>310</v>
      </c>
      <c r="F3547" s="9">
        <v>56</v>
      </c>
      <c r="G3547" s="9">
        <v>627</v>
      </c>
      <c r="H3547" s="5" t="s">
        <v>21</v>
      </c>
      <c r="I3547" s="5" t="s">
        <v>8523</v>
      </c>
      <c r="J3547" s="12" t="str">
        <f>HYPERLINK("https://www.boe.es/gazeta/dias/1800/07/15/pdfs/GMD-1800-56.pdf#page=3","Abrir facsímil")</f>
        <v>Abrir facsímil</v>
      </c>
      <c r="K3547" s="15" t="s">
        <v>23</v>
      </c>
    </row>
    <row r="3548" spans="1:11" ht="42" customHeight="1">
      <c r="A3548" s="4" t="s">
        <v>8518</v>
      </c>
      <c r="B3548" s="5" t="s">
        <v>8519</v>
      </c>
      <c r="C3548" s="5" t="s">
        <v>41</v>
      </c>
      <c r="D3548" s="5" t="s">
        <v>42</v>
      </c>
      <c r="E3548" s="5" t="s">
        <v>90</v>
      </c>
      <c r="F3548" s="9">
        <v>58</v>
      </c>
      <c r="G3548" s="9">
        <v>659</v>
      </c>
      <c r="H3548" s="5" t="s">
        <v>21</v>
      </c>
      <c r="I3548" s="5" t="s">
        <v>8524</v>
      </c>
      <c r="J3548" s="12" t="str">
        <f>HYPERLINK("https://www.boe.es/gazeta/dias/1800/07/22/pdfs/GMD-1800-58.pdf#page=7","Abrir facsímil")</f>
        <v>Abrir facsímil</v>
      </c>
      <c r="K3548" s="15" t="s">
        <v>23</v>
      </c>
    </row>
    <row r="3549" spans="1:11" ht="42" customHeight="1">
      <c r="A3549" s="4" t="s">
        <v>8518</v>
      </c>
      <c r="B3549" s="5" t="s">
        <v>8519</v>
      </c>
      <c r="C3549" s="5" t="s">
        <v>41</v>
      </c>
      <c r="D3549" s="5" t="s">
        <v>42</v>
      </c>
      <c r="E3549" s="5" t="s">
        <v>154</v>
      </c>
      <c r="F3549" s="9">
        <v>61</v>
      </c>
      <c r="G3549" s="9">
        <v>693</v>
      </c>
      <c r="H3549" s="5" t="s">
        <v>21</v>
      </c>
      <c r="I3549" s="5" t="s">
        <v>8525</v>
      </c>
      <c r="J3549" s="12" t="str">
        <f>HYPERLINK("https://www.boe.es/gazeta/dias/1800/08/01/pdfs/GMD-1800-61.pdf#page=5","Abrir facsímil")</f>
        <v>Abrir facsímil</v>
      </c>
      <c r="K3549" s="15" t="s">
        <v>23</v>
      </c>
    </row>
    <row r="3550" spans="1:11" ht="42" customHeight="1">
      <c r="A3550" s="4" t="s">
        <v>8526</v>
      </c>
      <c r="B3550" s="5" t="s">
        <v>8527</v>
      </c>
      <c r="C3550" s="5" t="s">
        <v>41</v>
      </c>
      <c r="D3550" s="5" t="s">
        <v>42</v>
      </c>
      <c r="E3550" s="5" t="s">
        <v>50</v>
      </c>
      <c r="F3550" s="9">
        <v>81</v>
      </c>
      <c r="G3550" s="9">
        <v>913</v>
      </c>
      <c r="H3550" s="5" t="s">
        <v>21</v>
      </c>
      <c r="I3550" s="5" t="s">
        <v>8528</v>
      </c>
      <c r="J3550" s="12" t="str">
        <f>HYPERLINK("https://www.boe.es/gazeta/dias/1800/10/07/pdfs/GMD-1800-81.pdf#page=3","Abrir facsímil")</f>
        <v>Abrir facsímil</v>
      </c>
      <c r="K3550" s="15" t="s">
        <v>23</v>
      </c>
    </row>
    <row r="3551" spans="1:11" ht="42" customHeight="1">
      <c r="A3551" s="4" t="s">
        <v>8518</v>
      </c>
      <c r="B3551" s="5" t="s">
        <v>8519</v>
      </c>
      <c r="C3551" s="5" t="s">
        <v>41</v>
      </c>
      <c r="D3551" s="5" t="s">
        <v>42</v>
      </c>
      <c r="E3551" s="5" t="s">
        <v>184</v>
      </c>
      <c r="F3551" s="9">
        <v>82</v>
      </c>
      <c r="G3551" s="9">
        <v>945</v>
      </c>
      <c r="H3551" s="5" t="s">
        <v>21</v>
      </c>
      <c r="I3551" s="5" t="s">
        <v>8529</v>
      </c>
      <c r="J3551" s="12" t="str">
        <f>HYPERLINK("https://www.boe.es/gazeta/dias/1800/10/10/pdfs/GMD-1800-82.pdf#page=3","Abrir facsímil")</f>
        <v>Abrir facsímil</v>
      </c>
      <c r="K3551" s="15" t="s">
        <v>23</v>
      </c>
    </row>
    <row r="3552" spans="1:11" ht="42" customHeight="1">
      <c r="A3552" s="4" t="s">
        <v>8518</v>
      </c>
      <c r="B3552" s="5" t="s">
        <v>8519</v>
      </c>
      <c r="C3552" s="5" t="s">
        <v>41</v>
      </c>
      <c r="D3552" s="5" t="s">
        <v>42</v>
      </c>
      <c r="E3552" s="5" t="s">
        <v>56</v>
      </c>
      <c r="F3552" s="9">
        <v>90</v>
      </c>
      <c r="G3552" s="9">
        <v>1048</v>
      </c>
      <c r="H3552" s="5" t="s">
        <v>21</v>
      </c>
      <c r="I3552" s="5" t="s">
        <v>8530</v>
      </c>
      <c r="J3552" s="12" t="str">
        <f>HYPERLINK("https://www.boe.es/gazeta/dias/1800/11/07/pdfs/GMD-1800-90.pdf#page=2","Abrir facsímil")</f>
        <v>Abrir facsímil</v>
      </c>
      <c r="K3552" s="15" t="s">
        <v>23</v>
      </c>
    </row>
    <row r="3553" spans="1:11" ht="42" customHeight="1">
      <c r="A3553" s="4" t="s">
        <v>8518</v>
      </c>
      <c r="B3553" s="5" t="s">
        <v>8519</v>
      </c>
      <c r="C3553" s="5" t="s">
        <v>41</v>
      </c>
      <c r="D3553" s="5" t="s">
        <v>42</v>
      </c>
      <c r="E3553" s="5" t="s">
        <v>180</v>
      </c>
      <c r="F3553" s="9">
        <v>102</v>
      </c>
      <c r="G3553" s="9">
        <v>1179</v>
      </c>
      <c r="H3553" s="5" t="s">
        <v>21</v>
      </c>
      <c r="I3553" s="5" t="s">
        <v>8531</v>
      </c>
      <c r="J3553" s="12" t="str">
        <f>HYPERLINK("https://www.boe.es/gazeta/dias/1800/12/19/pdfs/GMD-1800-102.pdf#page=3","Abrir facsímil")</f>
        <v>Abrir facsímil</v>
      </c>
      <c r="K3553" s="15" t="s">
        <v>23</v>
      </c>
    </row>
    <row r="3554" spans="1:11" ht="42" customHeight="1">
      <c r="A3554" s="4" t="s">
        <v>8532</v>
      </c>
      <c r="B3554" s="5" t="s">
        <v>8533</v>
      </c>
      <c r="C3554" s="5" t="s">
        <v>18</v>
      </c>
      <c r="D3554" s="5" t="s">
        <v>19</v>
      </c>
      <c r="E3554" s="5" t="s">
        <v>48</v>
      </c>
      <c r="F3554" s="9">
        <v>66</v>
      </c>
      <c r="G3554" s="9">
        <v>739</v>
      </c>
      <c r="H3554" s="5" t="s">
        <v>21</v>
      </c>
      <c r="I3554" s="5" t="s">
        <v>8534</v>
      </c>
      <c r="J3554" s="12" t="str">
        <f>HYPERLINK("https://www.boe.es/gazeta/dias/1800/08/19/pdfs/GMD-1800-66.pdf#page=3","Abrir facsímil")</f>
        <v>Abrir facsímil</v>
      </c>
      <c r="K3554" s="15" t="s">
        <v>23</v>
      </c>
    </row>
    <row r="3555" spans="1:11" ht="42" customHeight="1">
      <c r="A3555" s="4" t="s">
        <v>8532</v>
      </c>
      <c r="B3555" s="5" t="s">
        <v>8533</v>
      </c>
      <c r="C3555" s="5" t="s">
        <v>18</v>
      </c>
      <c r="D3555" s="5" t="s">
        <v>19</v>
      </c>
      <c r="E3555" s="5" t="s">
        <v>314</v>
      </c>
      <c r="F3555" s="9">
        <v>74</v>
      </c>
      <c r="G3555" s="9">
        <v>827</v>
      </c>
      <c r="H3555" s="5" t="s">
        <v>21</v>
      </c>
      <c r="I3555" s="5" t="s">
        <v>8535</v>
      </c>
      <c r="J3555" s="12" t="str">
        <f>HYPERLINK("https://www.boe.es/gazeta/dias/1800/09/12/pdfs/GMD-1800-74.pdf#page=5","Abrir facsímil")</f>
        <v>Abrir facsímil</v>
      </c>
      <c r="K3555" s="15" t="s">
        <v>23</v>
      </c>
    </row>
    <row r="3556" spans="1:11" ht="42" customHeight="1">
      <c r="A3556" s="4" t="s">
        <v>8532</v>
      </c>
      <c r="B3556" s="5" t="s">
        <v>8533</v>
      </c>
      <c r="C3556" s="5" t="s">
        <v>18</v>
      </c>
      <c r="D3556" s="5" t="s">
        <v>19</v>
      </c>
      <c r="E3556" s="5" t="s">
        <v>184</v>
      </c>
      <c r="F3556" s="9">
        <v>82</v>
      </c>
      <c r="G3556" s="9">
        <v>945</v>
      </c>
      <c r="H3556" s="5" t="s">
        <v>21</v>
      </c>
      <c r="I3556" s="5" t="s">
        <v>8536</v>
      </c>
      <c r="J3556" s="12" t="str">
        <f>HYPERLINK("https://www.boe.es/gazeta/dias/1800/10/10/pdfs/GMD-1800-82.pdf#page=3","Abrir facsímil")</f>
        <v>Abrir facsímil</v>
      </c>
      <c r="K3556" s="15" t="s">
        <v>23</v>
      </c>
    </row>
    <row r="3557" spans="1:11" ht="42" customHeight="1">
      <c r="A3557" s="4" t="s">
        <v>8532</v>
      </c>
      <c r="B3557" s="5" t="s">
        <v>8533</v>
      </c>
      <c r="C3557" s="5" t="s">
        <v>18</v>
      </c>
      <c r="D3557" s="5" t="s">
        <v>19</v>
      </c>
      <c r="E3557" s="5" t="s">
        <v>279</v>
      </c>
      <c r="F3557" s="9">
        <v>103</v>
      </c>
      <c r="G3557" s="9">
        <v>1192</v>
      </c>
      <c r="H3557" s="5" t="s">
        <v>21</v>
      </c>
      <c r="I3557" s="5" t="s">
        <v>8537</v>
      </c>
      <c r="J3557" s="12" t="str">
        <f>HYPERLINK("https://www.boe.es/gazeta/dias/1800/12/23/pdfs/GMD-1800-103.pdf#page=4","Abrir facsímil")</f>
        <v>Abrir facsímil</v>
      </c>
      <c r="K3557" s="15" t="s">
        <v>23</v>
      </c>
    </row>
    <row r="3558" spans="1:11" ht="42" customHeight="1">
      <c r="A3558" s="4" t="s">
        <v>8538</v>
      </c>
      <c r="B3558" s="5" t="s">
        <v>8538</v>
      </c>
      <c r="C3558" s="5" t="s">
        <v>18</v>
      </c>
      <c r="D3558" s="5" t="s">
        <v>19</v>
      </c>
      <c r="E3558" s="5" t="s">
        <v>620</v>
      </c>
      <c r="F3558" s="9">
        <v>19</v>
      </c>
      <c r="G3558" s="9">
        <v>179</v>
      </c>
      <c r="H3558" s="5" t="s">
        <v>21</v>
      </c>
      <c r="I3558" s="5" t="s">
        <v>8539</v>
      </c>
      <c r="J3558" s="12" t="str">
        <f>HYPERLINK("https://www.boe.es/gazeta/dias/1800/03/07/pdfs/GMD-1800-19.pdf#page=3","Abrir facsímil")</f>
        <v>Abrir facsímil</v>
      </c>
      <c r="K3558" s="15" t="s">
        <v>23</v>
      </c>
    </row>
    <row r="3559" spans="1:11" ht="42" customHeight="1">
      <c r="A3559" s="4" t="s">
        <v>8540</v>
      </c>
      <c r="B3559" s="5" t="s">
        <v>8540</v>
      </c>
      <c r="C3559" s="5" t="s">
        <v>41</v>
      </c>
      <c r="D3559" s="5" t="s">
        <v>42</v>
      </c>
      <c r="E3559" s="5" t="s">
        <v>226</v>
      </c>
      <c r="F3559" s="9">
        <v>27</v>
      </c>
      <c r="G3559" s="9">
        <v>275</v>
      </c>
      <c r="H3559" s="5" t="s">
        <v>21</v>
      </c>
      <c r="I3559" s="5" t="s">
        <v>8541</v>
      </c>
      <c r="J3559" s="12" t="str">
        <f>HYPERLINK("https://www.boe.es/gazeta/dias/1800/04/04/pdfs/GMD-1800-27.pdf#page=3","Abrir facsímil")</f>
        <v>Abrir facsímil</v>
      </c>
      <c r="K3559" s="15" t="s">
        <v>23</v>
      </c>
    </row>
    <row r="3560" spans="1:11" ht="42" customHeight="1">
      <c r="A3560" s="4" t="s">
        <v>8542</v>
      </c>
      <c r="B3560" s="5" t="s">
        <v>8543</v>
      </c>
      <c r="C3560" s="5" t="s">
        <v>41</v>
      </c>
      <c r="D3560" s="5" t="s">
        <v>42</v>
      </c>
      <c r="E3560" s="5" t="s">
        <v>1294</v>
      </c>
      <c r="F3560" s="9">
        <v>59</v>
      </c>
      <c r="G3560" s="9">
        <v>672</v>
      </c>
      <c r="H3560" s="5" t="s">
        <v>21</v>
      </c>
      <c r="I3560" s="5" t="s">
        <v>8544</v>
      </c>
      <c r="J3560" s="12" t="str">
        <f>HYPERLINK("https://www.boe.es/gazeta/dias/1800/07/25/pdfs/GMD-1800-59.pdf#page=4","Abrir facsímil")</f>
        <v>Abrir facsímil</v>
      </c>
      <c r="K3560" s="15" t="s">
        <v>23</v>
      </c>
    </row>
    <row r="3561" spans="1:11" ht="42" customHeight="1">
      <c r="A3561" s="4" t="s">
        <v>8542</v>
      </c>
      <c r="B3561" s="5" t="s">
        <v>8543</v>
      </c>
      <c r="C3561" s="5" t="s">
        <v>41</v>
      </c>
      <c r="D3561" s="5" t="s">
        <v>42</v>
      </c>
      <c r="E3561" s="5" t="s">
        <v>572</v>
      </c>
      <c r="F3561" s="9">
        <v>76</v>
      </c>
      <c r="G3561" s="9">
        <v>862</v>
      </c>
      <c r="H3561" s="5" t="s">
        <v>21</v>
      </c>
      <c r="I3561" s="5" t="s">
        <v>8545</v>
      </c>
      <c r="J3561" s="12" t="str">
        <f>HYPERLINK("https://www.boe.es/gazeta/dias/1800/09/19/pdfs/GMD-1800-76.pdf#page=4","Abrir facsímil")</f>
        <v>Abrir facsímil</v>
      </c>
      <c r="K3561" s="15" t="s">
        <v>23</v>
      </c>
    </row>
    <row r="3562" spans="1:11" ht="42" customHeight="1">
      <c r="A3562" s="4" t="s">
        <v>8546</v>
      </c>
      <c r="B3562" s="5" t="s">
        <v>8546</v>
      </c>
      <c r="C3562" s="5" t="s">
        <v>41</v>
      </c>
      <c r="D3562" s="5" t="s">
        <v>42</v>
      </c>
      <c r="E3562" s="5" t="s">
        <v>346</v>
      </c>
      <c r="F3562" s="9">
        <v>24</v>
      </c>
      <c r="G3562" s="9">
        <v>239</v>
      </c>
      <c r="H3562" s="5" t="s">
        <v>21</v>
      </c>
      <c r="I3562" s="5" t="s">
        <v>8547</v>
      </c>
      <c r="J3562" s="12" t="str">
        <f>HYPERLINK("https://www.boe.es/gazeta/dias/1800/03/25/pdfs/GMD-1800-24.pdf#page=3","Abrir facsímil")</f>
        <v>Abrir facsímil</v>
      </c>
      <c r="K3562" s="15" t="s">
        <v>23</v>
      </c>
    </row>
    <row r="3563" spans="1:11" ht="42" customHeight="1">
      <c r="A3563" s="4" t="s">
        <v>8546</v>
      </c>
      <c r="B3563" s="5" t="s">
        <v>8546</v>
      </c>
      <c r="C3563" s="5" t="s">
        <v>41</v>
      </c>
      <c r="D3563" s="5" t="s">
        <v>42</v>
      </c>
      <c r="E3563" s="5" t="s">
        <v>279</v>
      </c>
      <c r="F3563" s="9">
        <v>103</v>
      </c>
      <c r="G3563" s="9">
        <v>1192</v>
      </c>
      <c r="H3563" s="5" t="s">
        <v>21</v>
      </c>
      <c r="I3563" s="5" t="s">
        <v>8548</v>
      </c>
      <c r="J3563" s="12" t="str">
        <f>HYPERLINK("https://www.boe.es/gazeta/dias/1800/12/23/pdfs/GMD-1800-103.pdf#page=4","Abrir facsímil")</f>
        <v>Abrir facsímil</v>
      </c>
      <c r="K3563" s="15" t="s">
        <v>23</v>
      </c>
    </row>
    <row r="3564" spans="1:11" ht="42" customHeight="1">
      <c r="A3564" s="4" t="s">
        <v>8549</v>
      </c>
      <c r="B3564" s="5" t="s">
        <v>8550</v>
      </c>
      <c r="C3564" s="5" t="s">
        <v>41</v>
      </c>
      <c r="D3564" s="5" t="s">
        <v>42</v>
      </c>
      <c r="E3564" s="5" t="s">
        <v>143</v>
      </c>
      <c r="F3564" s="9">
        <v>22</v>
      </c>
      <c r="G3564" s="9">
        <v>213</v>
      </c>
      <c r="H3564" s="5" t="s">
        <v>21</v>
      </c>
      <c r="I3564" s="5" t="s">
        <v>8551</v>
      </c>
      <c r="J3564" s="12" t="str">
        <f>HYPERLINK("https://www.boe.es/gazeta/dias/1800/03/18/pdfs/GMD-1800-22.pdf#page=5","Abrir facsímil")</f>
        <v>Abrir facsímil</v>
      </c>
      <c r="K3564" s="15" t="s">
        <v>23</v>
      </c>
    </row>
    <row r="3565" spans="1:11" ht="42" customHeight="1">
      <c r="A3565" s="4" t="s">
        <v>8552</v>
      </c>
      <c r="B3565" s="5" t="s">
        <v>8553</v>
      </c>
      <c r="C3565" s="5" t="s">
        <v>41</v>
      </c>
      <c r="D3565" s="5" t="s">
        <v>42</v>
      </c>
      <c r="E3565" s="5" t="s">
        <v>1127</v>
      </c>
      <c r="F3565" s="9">
        <v>11</v>
      </c>
      <c r="G3565" s="9">
        <v>102</v>
      </c>
      <c r="H3565" s="5" t="s">
        <v>21</v>
      </c>
      <c r="I3565" s="5" t="s">
        <v>8554</v>
      </c>
      <c r="J3565" s="12" t="str">
        <f>HYPERLINK("https://www.boe.es/gazeta/dias/1800/02/07/pdfs/GMD-1800-11.pdf#page=2","Abrir facsímil")</f>
        <v>Abrir facsímil</v>
      </c>
      <c r="K3565" s="15" t="s">
        <v>23</v>
      </c>
    </row>
    <row r="3566" spans="1:11" ht="42" customHeight="1">
      <c r="A3566" s="4" t="s">
        <v>8552</v>
      </c>
      <c r="B3566" s="5" t="s">
        <v>8553</v>
      </c>
      <c r="C3566" s="5" t="s">
        <v>41</v>
      </c>
      <c r="D3566" s="5" t="s">
        <v>42</v>
      </c>
      <c r="E3566" s="5" t="s">
        <v>1433</v>
      </c>
      <c r="F3566" s="9">
        <v>12</v>
      </c>
      <c r="G3566" s="9">
        <v>110</v>
      </c>
      <c r="H3566" s="5" t="s">
        <v>21</v>
      </c>
      <c r="I3566" s="5" t="s">
        <v>8555</v>
      </c>
      <c r="J3566" s="12" t="str">
        <f>HYPERLINK("https://www.boe.es/gazeta/dias/1800/02/11/pdfs/GMD-1800-12.pdf#page=2","Abrir facsímil")</f>
        <v>Abrir facsímil</v>
      </c>
      <c r="K3566" s="15" t="s">
        <v>23</v>
      </c>
    </row>
    <row r="3567" spans="1:11" ht="42" customHeight="1">
      <c r="A3567" s="4" t="s">
        <v>8552</v>
      </c>
      <c r="B3567" s="5" t="s">
        <v>8553</v>
      </c>
      <c r="C3567" s="5" t="s">
        <v>41</v>
      </c>
      <c r="D3567" s="5" t="s">
        <v>42</v>
      </c>
      <c r="E3567" s="5" t="s">
        <v>503</v>
      </c>
      <c r="F3567" s="9">
        <v>13</v>
      </c>
      <c r="G3567" s="9">
        <v>120</v>
      </c>
      <c r="H3567" s="5" t="s">
        <v>21</v>
      </c>
      <c r="I3567" s="5" t="s">
        <v>8556</v>
      </c>
      <c r="J3567" s="12" t="str">
        <f>HYPERLINK("https://www.boe.es/gazeta/dias/1800/02/14/pdfs/GMD-1800-13.pdf#page=4","Abrir facsímil")</f>
        <v>Abrir facsímil</v>
      </c>
      <c r="K3567" s="15" t="s">
        <v>23</v>
      </c>
    </row>
    <row r="3568" spans="1:11" ht="42" customHeight="1">
      <c r="A3568" s="4" t="s">
        <v>8552</v>
      </c>
      <c r="B3568" s="5" t="s">
        <v>8553</v>
      </c>
      <c r="C3568" s="5" t="s">
        <v>41</v>
      </c>
      <c r="D3568" s="5" t="s">
        <v>42</v>
      </c>
      <c r="E3568" s="5" t="s">
        <v>124</v>
      </c>
      <c r="F3568" s="9">
        <v>16</v>
      </c>
      <c r="G3568" s="9">
        <v>147</v>
      </c>
      <c r="H3568" s="5" t="s">
        <v>21</v>
      </c>
      <c r="I3568" s="5" t="s">
        <v>8557</v>
      </c>
      <c r="J3568" s="12" t="str">
        <f>HYPERLINK("https://www.boe.es/gazeta/dias/1800/02/25/pdfs/GMD-1800-16.pdf#page=3","Abrir facsímil")</f>
        <v>Abrir facsímil</v>
      </c>
      <c r="K3568" s="15" t="s">
        <v>23</v>
      </c>
    </row>
    <row r="3569" spans="1:11" ht="42" customHeight="1">
      <c r="A3569" s="4" t="s">
        <v>8552</v>
      </c>
      <c r="B3569" s="5" t="s">
        <v>8553</v>
      </c>
      <c r="C3569" s="5" t="s">
        <v>41</v>
      </c>
      <c r="D3569" s="5" t="s">
        <v>42</v>
      </c>
      <c r="E3569" s="5" t="s">
        <v>124</v>
      </c>
      <c r="F3569" s="9">
        <v>16</v>
      </c>
      <c r="G3569" s="9">
        <v>148</v>
      </c>
      <c r="H3569" s="5" t="s">
        <v>21</v>
      </c>
      <c r="I3569" s="5" t="s">
        <v>8558</v>
      </c>
      <c r="J3569" s="12" t="str">
        <f>HYPERLINK("https://www.boe.es/gazeta/dias/1800/02/25/pdfs/GMD-1800-16.pdf#page=4","Abrir facsímil")</f>
        <v>Abrir facsímil</v>
      </c>
      <c r="K3569" s="15" t="s">
        <v>23</v>
      </c>
    </row>
    <row r="3570" spans="1:11" ht="42" customHeight="1">
      <c r="A3570" s="4" t="s">
        <v>8552</v>
      </c>
      <c r="B3570" s="5" t="s">
        <v>8553</v>
      </c>
      <c r="C3570" s="5" t="s">
        <v>41</v>
      </c>
      <c r="D3570" s="5" t="s">
        <v>42</v>
      </c>
      <c r="E3570" s="5" t="s">
        <v>86</v>
      </c>
      <c r="F3570" s="9">
        <v>17</v>
      </c>
      <c r="G3570" s="9">
        <v>156</v>
      </c>
      <c r="H3570" s="5" t="s">
        <v>21</v>
      </c>
      <c r="I3570" s="5" t="s">
        <v>8559</v>
      </c>
      <c r="J3570" s="12" t="str">
        <f>HYPERLINK("https://www.boe.es/gazeta/dias/1800/02/28/pdfs/GMD-1800-17.pdf#page=4","Abrir facsímil")</f>
        <v>Abrir facsímil</v>
      </c>
      <c r="K3570" s="15" t="s">
        <v>23</v>
      </c>
    </row>
    <row r="3571" spans="1:11" ht="42" customHeight="1">
      <c r="A3571" s="4" t="s">
        <v>8552</v>
      </c>
      <c r="B3571" s="5" t="s">
        <v>8553</v>
      </c>
      <c r="C3571" s="5" t="s">
        <v>41</v>
      </c>
      <c r="D3571" s="5" t="s">
        <v>42</v>
      </c>
      <c r="E3571" s="5" t="s">
        <v>620</v>
      </c>
      <c r="F3571" s="9">
        <v>19</v>
      </c>
      <c r="G3571" s="9">
        <v>179</v>
      </c>
      <c r="H3571" s="5" t="s">
        <v>21</v>
      </c>
      <c r="I3571" s="5" t="s">
        <v>8560</v>
      </c>
      <c r="J3571" s="12" t="str">
        <f>HYPERLINK("https://www.boe.es/gazeta/dias/1800/03/07/pdfs/GMD-1800-19.pdf#page=3","Abrir facsímil")</f>
        <v>Abrir facsímil</v>
      </c>
      <c r="K3571" s="15" t="s">
        <v>23</v>
      </c>
    </row>
    <row r="3572" spans="1:11" ht="42" customHeight="1">
      <c r="A3572" s="4" t="s">
        <v>8552</v>
      </c>
      <c r="B3572" s="5" t="s">
        <v>8553</v>
      </c>
      <c r="C3572" s="5" t="s">
        <v>41</v>
      </c>
      <c r="D3572" s="5" t="s">
        <v>42</v>
      </c>
      <c r="E3572" s="5" t="s">
        <v>35</v>
      </c>
      <c r="F3572" s="9">
        <v>21</v>
      </c>
      <c r="G3572" s="9">
        <v>201</v>
      </c>
      <c r="H3572" s="5" t="s">
        <v>21</v>
      </c>
      <c r="I3572" s="5" t="s">
        <v>8561</v>
      </c>
      <c r="J3572" s="12" t="str">
        <f>HYPERLINK("https://www.boe.es/gazeta/dias/1800/03/14/pdfs/GMD-1800-21.pdf#page=5","Abrir facsímil")</f>
        <v>Abrir facsímil</v>
      </c>
      <c r="K3572" s="15" t="s">
        <v>23</v>
      </c>
    </row>
    <row r="3573" spans="1:11" ht="42" customHeight="1">
      <c r="A3573" s="4" t="s">
        <v>8552</v>
      </c>
      <c r="B3573" s="5" t="s">
        <v>8553</v>
      </c>
      <c r="C3573" s="5" t="s">
        <v>41</v>
      </c>
      <c r="D3573" s="5" t="s">
        <v>42</v>
      </c>
      <c r="E3573" s="5" t="s">
        <v>35</v>
      </c>
      <c r="F3573" s="9">
        <v>21</v>
      </c>
      <c r="G3573" s="9">
        <v>202</v>
      </c>
      <c r="H3573" s="5" t="s">
        <v>21</v>
      </c>
      <c r="I3573" s="5" t="s">
        <v>8562</v>
      </c>
      <c r="J3573" s="12" t="str">
        <f>HYPERLINK("https://www.boe.es/gazeta/dias/1800/03/14/pdfs/GMD-1800-21.pdf#page=6","Abrir facsímil")</f>
        <v>Abrir facsímil</v>
      </c>
      <c r="K3573" s="15" t="s">
        <v>23</v>
      </c>
    </row>
    <row r="3574" spans="1:11" ht="42" customHeight="1">
      <c r="A3574" s="4" t="s">
        <v>8552</v>
      </c>
      <c r="B3574" s="5" t="s">
        <v>8553</v>
      </c>
      <c r="C3574" s="5" t="s">
        <v>41</v>
      </c>
      <c r="D3574" s="5" t="s">
        <v>42</v>
      </c>
      <c r="E3574" s="5" t="s">
        <v>143</v>
      </c>
      <c r="F3574" s="9">
        <v>22</v>
      </c>
      <c r="G3574" s="9">
        <v>211</v>
      </c>
      <c r="H3574" s="5" t="s">
        <v>21</v>
      </c>
      <c r="I3574" s="5" t="s">
        <v>8563</v>
      </c>
      <c r="J3574" s="12" t="str">
        <f>HYPERLINK("https://www.boe.es/gazeta/dias/1800/03/18/pdfs/GMD-1800-22.pdf#page=3","Abrir facsímil")</f>
        <v>Abrir facsímil</v>
      </c>
      <c r="K3574" s="15" t="s">
        <v>23</v>
      </c>
    </row>
    <row r="3575" spans="1:11" ht="42" customHeight="1">
      <c r="A3575" s="4" t="s">
        <v>8552</v>
      </c>
      <c r="B3575" s="5" t="s">
        <v>8553</v>
      </c>
      <c r="C3575" s="5" t="s">
        <v>41</v>
      </c>
      <c r="D3575" s="5" t="s">
        <v>42</v>
      </c>
      <c r="E3575" s="5" t="s">
        <v>240</v>
      </c>
      <c r="F3575" s="9">
        <v>26</v>
      </c>
      <c r="G3575" s="9">
        <v>264</v>
      </c>
      <c r="H3575" s="5" t="s">
        <v>21</v>
      </c>
      <c r="I3575" s="5" t="s">
        <v>8564</v>
      </c>
      <c r="J3575" s="12" t="str">
        <f>HYPERLINK("https://www.boe.es/gazeta/dias/1800/04/01/pdfs/GMD-1800-26.pdf#page=4","Abrir facsímil")</f>
        <v>Abrir facsímil</v>
      </c>
      <c r="K3575" s="15" t="s">
        <v>23</v>
      </c>
    </row>
    <row r="3576" spans="1:11" ht="42" customHeight="1">
      <c r="A3576" s="4" t="s">
        <v>8552</v>
      </c>
      <c r="B3576" s="5" t="s">
        <v>8553</v>
      </c>
      <c r="C3576" s="5" t="s">
        <v>41</v>
      </c>
      <c r="D3576" s="5" t="s">
        <v>42</v>
      </c>
      <c r="E3576" s="5" t="s">
        <v>226</v>
      </c>
      <c r="F3576" s="9">
        <v>27</v>
      </c>
      <c r="G3576" s="9">
        <v>275</v>
      </c>
      <c r="H3576" s="5" t="s">
        <v>21</v>
      </c>
      <c r="I3576" s="5" t="s">
        <v>8565</v>
      </c>
      <c r="J3576" s="12" t="str">
        <f>HYPERLINK("https://www.boe.es/gazeta/dias/1800/04/04/pdfs/GMD-1800-27.pdf#page=3","Abrir facsímil")</f>
        <v>Abrir facsímil</v>
      </c>
      <c r="K3576" s="15" t="s">
        <v>23</v>
      </c>
    </row>
    <row r="3577" spans="1:11" ht="42" customHeight="1">
      <c r="A3577" s="4" t="s">
        <v>8552</v>
      </c>
      <c r="B3577" s="5" t="s">
        <v>8553</v>
      </c>
      <c r="C3577" s="5" t="s">
        <v>41</v>
      </c>
      <c r="D3577" s="5" t="s">
        <v>42</v>
      </c>
      <c r="E3577" s="5" t="s">
        <v>120</v>
      </c>
      <c r="F3577" s="9">
        <v>52</v>
      </c>
      <c r="G3577" s="9">
        <v>566</v>
      </c>
      <c r="H3577" s="5" t="s">
        <v>21</v>
      </c>
      <c r="I3577" s="5" t="s">
        <v>8566</v>
      </c>
      <c r="J3577" s="12" t="str">
        <f>HYPERLINK("https://www.boe.es/gazeta/dias/1800/07/01/pdfs/GMD-1800-52.pdf#page=2","Abrir facsímil")</f>
        <v>Abrir facsímil</v>
      </c>
      <c r="K3577" s="15" t="s">
        <v>23</v>
      </c>
    </row>
    <row r="3578" spans="1:11" ht="42" customHeight="1">
      <c r="A3578" s="4" t="s">
        <v>8552</v>
      </c>
      <c r="B3578" s="5" t="s">
        <v>8553</v>
      </c>
      <c r="C3578" s="5" t="s">
        <v>41</v>
      </c>
      <c r="D3578" s="5" t="s">
        <v>42</v>
      </c>
      <c r="E3578" s="5" t="s">
        <v>530</v>
      </c>
      <c r="F3578" s="9">
        <v>55</v>
      </c>
      <c r="G3578" s="9">
        <v>619</v>
      </c>
      <c r="H3578" s="5" t="s">
        <v>21</v>
      </c>
      <c r="I3578" s="5" t="s">
        <v>8567</v>
      </c>
      <c r="J3578" s="12" t="str">
        <f>HYPERLINK("https://www.boe.es/gazeta/dias/1800/07/11/pdfs/GMD-1800-55.pdf#page=7","Abrir facsímil")</f>
        <v>Abrir facsímil</v>
      </c>
      <c r="K3578" s="15" t="s">
        <v>23</v>
      </c>
    </row>
    <row r="3579" spans="1:11" ht="42" customHeight="1">
      <c r="A3579" s="4" t="s">
        <v>8552</v>
      </c>
      <c r="B3579" s="5" t="s">
        <v>8553</v>
      </c>
      <c r="C3579" s="5" t="s">
        <v>41</v>
      </c>
      <c r="D3579" s="5" t="s">
        <v>42</v>
      </c>
      <c r="E3579" s="5" t="s">
        <v>836</v>
      </c>
      <c r="F3579" s="9">
        <v>71</v>
      </c>
      <c r="G3579" s="9">
        <v>786</v>
      </c>
      <c r="H3579" s="5" t="s">
        <v>21</v>
      </c>
      <c r="I3579" s="5" t="s">
        <v>8568</v>
      </c>
      <c r="J3579" s="12" t="str">
        <f>HYPERLINK("https://www.boe.es/gazeta/dias/1800/09/02/pdfs/GMD-1800-71.pdf#page=4","Abrir facsímil")</f>
        <v>Abrir facsímil</v>
      </c>
      <c r="K3579" s="15" t="s">
        <v>23</v>
      </c>
    </row>
    <row r="3580" spans="1:11" ht="42" customHeight="1">
      <c r="A3580" s="4" t="s">
        <v>8552</v>
      </c>
      <c r="B3580" s="5" t="s">
        <v>8553</v>
      </c>
      <c r="C3580" s="5" t="s">
        <v>41</v>
      </c>
      <c r="D3580" s="5" t="s">
        <v>42</v>
      </c>
      <c r="E3580" s="5" t="s">
        <v>583</v>
      </c>
      <c r="F3580" s="9">
        <v>77</v>
      </c>
      <c r="G3580" s="9">
        <v>873</v>
      </c>
      <c r="H3580" s="5" t="s">
        <v>21</v>
      </c>
      <c r="I3580" s="5" t="s">
        <v>8569</v>
      </c>
      <c r="J3580" s="12" t="str">
        <f>HYPERLINK("https://www.boe.es/gazeta/dias/1800/09/23/pdfs/GMD-1800-77.pdf#page=3","Abrir facsímil")</f>
        <v>Abrir facsímil</v>
      </c>
      <c r="K3580" s="15" t="s">
        <v>23</v>
      </c>
    </row>
    <row r="3581" spans="1:11" ht="42" customHeight="1">
      <c r="A3581" s="4" t="s">
        <v>8552</v>
      </c>
      <c r="B3581" s="5" t="s">
        <v>8553</v>
      </c>
      <c r="C3581" s="5" t="s">
        <v>41</v>
      </c>
      <c r="D3581" s="5" t="s">
        <v>42</v>
      </c>
      <c r="E3581" s="5" t="s">
        <v>52</v>
      </c>
      <c r="F3581" s="9">
        <v>83</v>
      </c>
      <c r="G3581" s="9">
        <v>958</v>
      </c>
      <c r="H3581" s="5" t="s">
        <v>21</v>
      </c>
      <c r="I3581" s="5" t="s">
        <v>8570</v>
      </c>
      <c r="J3581" s="12" t="str">
        <f>HYPERLINK("https://www.boe.es/gazeta/dias/1800/10/14/pdfs/GMD-1800-83.pdf#page=4","Abrir facsímil")</f>
        <v>Abrir facsímil</v>
      </c>
      <c r="K3581" s="15" t="s">
        <v>23</v>
      </c>
    </row>
    <row r="3582" spans="1:11" ht="42" customHeight="1">
      <c r="A3582" s="4" t="s">
        <v>8552</v>
      </c>
      <c r="B3582" s="5" t="s">
        <v>8553</v>
      </c>
      <c r="C3582" s="5" t="s">
        <v>41</v>
      </c>
      <c r="D3582" s="5" t="s">
        <v>42</v>
      </c>
      <c r="E3582" s="5" t="s">
        <v>116</v>
      </c>
      <c r="F3582" s="9">
        <v>86</v>
      </c>
      <c r="G3582" s="9">
        <v>993</v>
      </c>
      <c r="H3582" s="5" t="s">
        <v>21</v>
      </c>
      <c r="I3582" s="5" t="s">
        <v>8571</v>
      </c>
      <c r="J3582" s="12" t="str">
        <f>HYPERLINK("https://www.boe.es/gazeta/dias/1800/10/24/pdfs/GMD-1800-86.pdf#page=3","Abrir facsímil")</f>
        <v>Abrir facsímil</v>
      </c>
      <c r="K3582" s="15" t="s">
        <v>23</v>
      </c>
    </row>
    <row r="3583" spans="1:11" ht="42" customHeight="1">
      <c r="A3583" s="4" t="s">
        <v>8552</v>
      </c>
      <c r="B3583" s="5" t="s">
        <v>8553</v>
      </c>
      <c r="C3583" s="5" t="s">
        <v>41</v>
      </c>
      <c r="D3583" s="5" t="s">
        <v>42</v>
      </c>
      <c r="E3583" s="5" t="s">
        <v>410</v>
      </c>
      <c r="F3583" s="9">
        <v>87</v>
      </c>
      <c r="G3583" s="9">
        <v>1005</v>
      </c>
      <c r="H3583" s="5" t="s">
        <v>21</v>
      </c>
      <c r="I3583" s="5" t="s">
        <v>8572</v>
      </c>
      <c r="J3583" s="12" t="str">
        <f>HYPERLINK("https://www.boe.es/gazeta/dias/1800/10/28/pdfs/GMD-1800-87.pdf#page=3","Abrir facsímil")</f>
        <v>Abrir facsímil</v>
      </c>
      <c r="K3583" s="15" t="s">
        <v>23</v>
      </c>
    </row>
    <row r="3584" spans="1:11" ht="42" customHeight="1">
      <c r="A3584" s="4" t="s">
        <v>8552</v>
      </c>
      <c r="B3584" s="5" t="s">
        <v>8553</v>
      </c>
      <c r="C3584" s="5" t="s">
        <v>54</v>
      </c>
      <c r="D3584" s="5" t="s">
        <v>55</v>
      </c>
      <c r="E3584" s="5" t="s">
        <v>176</v>
      </c>
      <c r="F3584" s="9">
        <v>88</v>
      </c>
      <c r="G3584" s="9">
        <v>1023</v>
      </c>
      <c r="H3584" s="5" t="s">
        <v>21</v>
      </c>
      <c r="I3584" s="5" t="s">
        <v>8573</v>
      </c>
      <c r="J3584" s="12" t="str">
        <f>HYPERLINK("https://www.boe.es/gazeta/dias/1800/10/31/pdfs/GMD-1800-88.pdf#page=5","Abrir facsímil")</f>
        <v>Abrir facsímil</v>
      </c>
      <c r="K3584" s="15" t="s">
        <v>23</v>
      </c>
    </row>
    <row r="3585" spans="1:11" ht="42" customHeight="1">
      <c r="A3585" s="4" t="s">
        <v>8552</v>
      </c>
      <c r="B3585" s="5" t="s">
        <v>8553</v>
      </c>
      <c r="C3585" s="5" t="s">
        <v>18</v>
      </c>
      <c r="D3585" s="5" t="s">
        <v>19</v>
      </c>
      <c r="E3585" s="5" t="s">
        <v>180</v>
      </c>
      <c r="F3585" s="9">
        <v>102</v>
      </c>
      <c r="G3585" s="9">
        <v>1180</v>
      </c>
      <c r="H3585" s="5" t="s">
        <v>21</v>
      </c>
      <c r="I3585" s="5" t="s">
        <v>8574</v>
      </c>
      <c r="J3585" s="12" t="str">
        <f>HYPERLINK("https://www.boe.es/gazeta/dias/1800/12/19/pdfs/GMD-1800-102.pdf#page=4","Abrir facsímil")</f>
        <v>Abrir facsímil</v>
      </c>
      <c r="K3585" s="15" t="s">
        <v>23</v>
      </c>
    </row>
    <row r="3586" spans="1:11" ht="42" customHeight="1">
      <c r="A3586" s="4" t="s">
        <v>8552</v>
      </c>
      <c r="B3586" s="5" t="s">
        <v>8553</v>
      </c>
      <c r="C3586" s="5" t="s">
        <v>41</v>
      </c>
      <c r="D3586" s="5" t="s">
        <v>42</v>
      </c>
      <c r="E3586" s="5" t="s">
        <v>279</v>
      </c>
      <c r="F3586" s="9">
        <v>103</v>
      </c>
      <c r="G3586" s="9">
        <v>1193</v>
      </c>
      <c r="H3586" s="5" t="s">
        <v>21</v>
      </c>
      <c r="I3586" s="5" t="s">
        <v>8575</v>
      </c>
      <c r="J3586" s="12" t="str">
        <f>HYPERLINK("https://www.boe.es/gazeta/dias/1800/12/23/pdfs/GMD-1800-103.pdf#page=5","Abrir facsímil")</f>
        <v>Abrir facsímil</v>
      </c>
      <c r="K3586" s="15" t="s">
        <v>23</v>
      </c>
    </row>
    <row r="3587" spans="1:11" ht="42" customHeight="1">
      <c r="A3587" s="4" t="s">
        <v>8576</v>
      </c>
      <c r="B3587" s="5" t="s">
        <v>8577</v>
      </c>
      <c r="C3587" s="5" t="s">
        <v>41</v>
      </c>
      <c r="D3587" s="5" t="s">
        <v>42</v>
      </c>
      <c r="E3587" s="5" t="s">
        <v>590</v>
      </c>
      <c r="F3587" s="9">
        <v>69</v>
      </c>
      <c r="G3587" s="9">
        <v>770</v>
      </c>
      <c r="H3587" s="5" t="s">
        <v>21</v>
      </c>
      <c r="I3587" s="5" t="s">
        <v>8578</v>
      </c>
      <c r="J3587" s="12" t="str">
        <f>HYPERLINK("https://www.boe.es/gazeta/dias/1800/08/29/pdfs/GMD-1800-69.pdf#page=2","Abrir facsímil")</f>
        <v>Abrir facsímil</v>
      </c>
      <c r="K3587" s="15" t="s">
        <v>23</v>
      </c>
    </row>
    <row r="3588" spans="1:11" ht="42" customHeight="1">
      <c r="A3588" s="4" t="s">
        <v>8579</v>
      </c>
      <c r="B3588" s="5" t="s">
        <v>8580</v>
      </c>
      <c r="C3588" s="5" t="s">
        <v>41</v>
      </c>
      <c r="D3588" s="5" t="s">
        <v>42</v>
      </c>
      <c r="E3588" s="5" t="s">
        <v>620</v>
      </c>
      <c r="F3588" s="9">
        <v>19</v>
      </c>
      <c r="G3588" s="9">
        <v>179</v>
      </c>
      <c r="H3588" s="5" t="s">
        <v>21</v>
      </c>
      <c r="I3588" s="5" t="s">
        <v>8581</v>
      </c>
      <c r="J3588" s="12" t="str">
        <f>HYPERLINK("https://www.boe.es/gazeta/dias/1800/03/07/pdfs/GMD-1800-19.pdf#page=3","Abrir facsímil")</f>
        <v>Abrir facsímil</v>
      </c>
      <c r="K3588" s="15" t="s">
        <v>23</v>
      </c>
    </row>
    <row r="3589" spans="1:11" ht="42" customHeight="1">
      <c r="A3589" s="4" t="s">
        <v>8582</v>
      </c>
      <c r="B3589" s="5" t="s">
        <v>8583</v>
      </c>
      <c r="C3589" s="5" t="s">
        <v>207</v>
      </c>
      <c r="D3589" s="5" t="s">
        <v>55</v>
      </c>
      <c r="E3589" s="5" t="s">
        <v>52</v>
      </c>
      <c r="F3589" s="9">
        <v>83</v>
      </c>
      <c r="G3589" s="9">
        <v>960</v>
      </c>
      <c r="H3589" s="5" t="s">
        <v>21</v>
      </c>
      <c r="I3589" s="5" t="s">
        <v>8584</v>
      </c>
      <c r="J3589" s="12" t="str">
        <f>HYPERLINK("https://www.boe.es/gazeta/dias/1800/10/14/pdfs/GMD-1800-83.pdf#page=6","Abrir facsímil")</f>
        <v>Abrir facsímil</v>
      </c>
      <c r="K3589" s="15" t="s">
        <v>23</v>
      </c>
    </row>
    <row r="3590" spans="1:11" ht="42" customHeight="1">
      <c r="A3590" s="4" t="s">
        <v>8585</v>
      </c>
      <c r="B3590" s="5" t="s">
        <v>8585</v>
      </c>
      <c r="C3590" s="5" t="s">
        <v>41</v>
      </c>
      <c r="D3590" s="5" t="s">
        <v>42</v>
      </c>
      <c r="E3590" s="5" t="s">
        <v>2338</v>
      </c>
      <c r="F3590" s="9">
        <v>42</v>
      </c>
      <c r="G3590" s="9">
        <v>431</v>
      </c>
      <c r="H3590" s="5" t="s">
        <v>21</v>
      </c>
      <c r="I3590" s="5" t="s">
        <v>8586</v>
      </c>
      <c r="J3590" s="12" t="str">
        <f>HYPERLINK("https://www.boe.es/gazeta/dias/1800/05/27/pdfs/GMD-1800-42.pdf#page=3","Abrir facsímil")</f>
        <v>Abrir facsímil</v>
      </c>
      <c r="K3590" s="15" t="s">
        <v>23</v>
      </c>
    </row>
    <row r="3591" spans="1:11" ht="42" customHeight="1">
      <c r="A3591" s="4" t="s">
        <v>8585</v>
      </c>
      <c r="B3591" s="5" t="s">
        <v>8585</v>
      </c>
      <c r="C3591" s="5" t="s">
        <v>41</v>
      </c>
      <c r="D3591" s="5" t="s">
        <v>42</v>
      </c>
      <c r="E3591" s="5" t="s">
        <v>180</v>
      </c>
      <c r="F3591" s="9">
        <v>102</v>
      </c>
      <c r="G3591" s="9">
        <v>1182</v>
      </c>
      <c r="H3591" s="5" t="s">
        <v>21</v>
      </c>
      <c r="I3591" s="5" t="s">
        <v>8587</v>
      </c>
      <c r="J3591" s="12" t="str">
        <f>HYPERLINK("https://www.boe.es/gazeta/dias/1800/12/19/pdfs/GMD-1800-102.pdf#page=6","Abrir facsímil")</f>
        <v>Abrir facsímil</v>
      </c>
      <c r="K3591" s="15" t="s">
        <v>23</v>
      </c>
    </row>
    <row r="3592" spans="1:11" ht="42" customHeight="1">
      <c r="A3592" s="4" t="s">
        <v>8588</v>
      </c>
      <c r="B3592" s="5" t="s">
        <v>8589</v>
      </c>
      <c r="C3592" s="5" t="s">
        <v>84</v>
      </c>
      <c r="D3592" s="5" t="s">
        <v>85</v>
      </c>
      <c r="E3592" s="5" t="s">
        <v>48</v>
      </c>
      <c r="F3592" s="9">
        <v>66</v>
      </c>
      <c r="G3592" s="9">
        <v>743</v>
      </c>
      <c r="H3592" s="5" t="s">
        <v>21</v>
      </c>
      <c r="I3592" s="5" t="s">
        <v>8590</v>
      </c>
      <c r="J3592" s="12" t="str">
        <f>HYPERLINK("https://www.boe.es/gazeta/dias/1800/08/19/pdfs/GMD-1800-66.pdf#page=7","Abrir facsímil")</f>
        <v>Abrir facsímil</v>
      </c>
      <c r="K3592" s="15" t="s">
        <v>23</v>
      </c>
    </row>
    <row r="3593" spans="1:11" ht="42" customHeight="1">
      <c r="A3593" s="4" t="s">
        <v>8591</v>
      </c>
      <c r="B3593" s="5" t="s">
        <v>8592</v>
      </c>
      <c r="C3593" s="5" t="s">
        <v>41</v>
      </c>
      <c r="D3593" s="5" t="s">
        <v>42</v>
      </c>
      <c r="E3593" s="5" t="s">
        <v>461</v>
      </c>
      <c r="F3593" s="9">
        <v>18</v>
      </c>
      <c r="G3593" s="9">
        <v>168</v>
      </c>
      <c r="H3593" s="5" t="s">
        <v>21</v>
      </c>
      <c r="I3593" s="5" t="s">
        <v>8593</v>
      </c>
      <c r="J3593" s="12" t="str">
        <f>HYPERLINK("https://www.boe.es/datos/pdfs/BOE//1800/018/C00173-00176.pdf#page=4","Abrir facsímil")</f>
        <v>Abrir facsímil</v>
      </c>
      <c r="K3593" s="15" t="s">
        <v>23</v>
      </c>
    </row>
    <row r="3594" spans="1:11" ht="42" customHeight="1">
      <c r="A3594" s="4" t="s">
        <v>8594</v>
      </c>
      <c r="B3594" s="5" t="s">
        <v>8594</v>
      </c>
      <c r="C3594" s="5" t="s">
        <v>41</v>
      </c>
      <c r="D3594" s="5" t="s">
        <v>42</v>
      </c>
      <c r="E3594" s="5" t="s">
        <v>90</v>
      </c>
      <c r="F3594" s="9">
        <v>58</v>
      </c>
      <c r="G3594" s="9">
        <v>659</v>
      </c>
      <c r="H3594" s="5" t="s">
        <v>21</v>
      </c>
      <c r="I3594" s="5" t="s">
        <v>8595</v>
      </c>
      <c r="J3594" s="12" t="str">
        <f>HYPERLINK("https://www.boe.es/gazeta/dias/1800/07/22/pdfs/GMD-1800-58.pdf#page=7","Abrir facsímil")</f>
        <v>Abrir facsímil</v>
      </c>
      <c r="K3594" s="15" t="s">
        <v>23</v>
      </c>
    </row>
    <row r="3595" spans="1:11" ht="42" customHeight="1">
      <c r="A3595" s="4" t="s">
        <v>8596</v>
      </c>
      <c r="B3595" s="5" t="s">
        <v>8596</v>
      </c>
      <c r="C3595" s="5" t="s">
        <v>84</v>
      </c>
      <c r="D3595" s="5" t="s">
        <v>85</v>
      </c>
      <c r="E3595" s="5" t="s">
        <v>262</v>
      </c>
      <c r="F3595" s="9">
        <v>39</v>
      </c>
      <c r="G3595" s="9">
        <v>398</v>
      </c>
      <c r="H3595" s="5" t="s">
        <v>21</v>
      </c>
      <c r="I3595" s="5" t="s">
        <v>8597</v>
      </c>
      <c r="J3595" s="12" t="str">
        <f>HYPERLINK("https://www.boe.es/gazeta/dias/1800/05/16/pdfs/GMD-1800-39.pdf#page=6","Abrir facsímil")</f>
        <v>Abrir facsímil</v>
      </c>
      <c r="K3595" s="15" t="s">
        <v>23</v>
      </c>
    </row>
    <row r="3596" spans="1:11" ht="42" customHeight="1">
      <c r="A3596" s="4" t="s">
        <v>8598</v>
      </c>
      <c r="B3596" s="5" t="s">
        <v>8599</v>
      </c>
      <c r="C3596" s="5" t="s">
        <v>54</v>
      </c>
      <c r="D3596" s="5" t="s">
        <v>55</v>
      </c>
      <c r="E3596" s="5" t="s">
        <v>147</v>
      </c>
      <c r="F3596" s="9">
        <v>84</v>
      </c>
      <c r="G3596" s="9">
        <v>969</v>
      </c>
      <c r="H3596" s="5" t="s">
        <v>21</v>
      </c>
      <c r="I3596" s="5" t="s">
        <v>8600</v>
      </c>
      <c r="J3596" s="12" t="str">
        <f>HYPERLINK("https://www.boe.es/gazeta/dias/1800/10/17/pdfs/GMD-1800-84.pdf#page=3","Abrir facsímil")</f>
        <v>Abrir facsímil</v>
      </c>
      <c r="K3596" s="15" t="s">
        <v>23</v>
      </c>
    </row>
    <row r="3597" spans="1:11" ht="42" customHeight="1">
      <c r="A3597" s="4" t="s">
        <v>8601</v>
      </c>
      <c r="B3597" s="5" t="s">
        <v>8602</v>
      </c>
      <c r="C3597" s="5" t="s">
        <v>41</v>
      </c>
      <c r="D3597" s="5" t="s">
        <v>42</v>
      </c>
      <c r="E3597" s="5" t="s">
        <v>1433</v>
      </c>
      <c r="F3597" s="9">
        <v>12</v>
      </c>
      <c r="G3597" s="9">
        <v>111</v>
      </c>
      <c r="H3597" s="5" t="s">
        <v>21</v>
      </c>
      <c r="I3597" s="5" t="s">
        <v>8603</v>
      </c>
      <c r="J3597" s="12" t="str">
        <f>HYPERLINK("https://www.boe.es/gazeta/dias/1800/02/11/pdfs/GMD-1800-12.pdf#page=3","Abrir facsímil")</f>
        <v>Abrir facsímil</v>
      </c>
      <c r="K3597" s="15" t="s">
        <v>23</v>
      </c>
    </row>
    <row r="3598" spans="1:11" ht="42" customHeight="1">
      <c r="A3598" s="4" t="s">
        <v>8604</v>
      </c>
      <c r="B3598" s="5" t="s">
        <v>8605</v>
      </c>
      <c r="C3598" s="5" t="s">
        <v>207</v>
      </c>
      <c r="D3598" s="5" t="s">
        <v>55</v>
      </c>
      <c r="E3598" s="5" t="s">
        <v>279</v>
      </c>
      <c r="F3598" s="9">
        <v>103</v>
      </c>
      <c r="G3598" s="9">
        <v>1197</v>
      </c>
      <c r="H3598" s="5" t="s">
        <v>21</v>
      </c>
      <c r="I3598" s="5" t="s">
        <v>8606</v>
      </c>
      <c r="J3598" s="12" t="str">
        <f>HYPERLINK("https://www.boe.es/gazeta/dias/1800/12/23/pdfs/GMD-1800-103.pdf#page=9","Abrir facsímil")</f>
        <v>Abrir facsímil</v>
      </c>
      <c r="K3598" s="15" t="s">
        <v>23</v>
      </c>
    </row>
    <row r="3599" spans="1:11" ht="42" customHeight="1">
      <c r="A3599" s="4" t="s">
        <v>8607</v>
      </c>
      <c r="B3599" s="5" t="s">
        <v>8608</v>
      </c>
      <c r="C3599" s="5" t="s">
        <v>18</v>
      </c>
      <c r="D3599" s="5" t="s">
        <v>19</v>
      </c>
      <c r="E3599" s="5" t="s">
        <v>255</v>
      </c>
      <c r="F3599" s="9">
        <v>75</v>
      </c>
      <c r="G3599" s="9">
        <v>855</v>
      </c>
      <c r="H3599" s="5" t="s">
        <v>21</v>
      </c>
      <c r="I3599" s="5" t="s">
        <v>8609</v>
      </c>
      <c r="J3599" s="12" t="str">
        <f>HYPERLINK("https://www.boe.es/gazeta/dias/1800/09/16/pdfs/GMD-1800-75.pdf#page=9","Abrir facsímil")</f>
        <v>Abrir facsímil</v>
      </c>
      <c r="K3599" s="15" t="s">
        <v>23</v>
      </c>
    </row>
    <row r="3600" spans="1:11" ht="42" customHeight="1">
      <c r="A3600" s="4" t="s">
        <v>8610</v>
      </c>
      <c r="B3600" s="5" t="s">
        <v>8611</v>
      </c>
      <c r="C3600" s="5" t="s">
        <v>25</v>
      </c>
      <c r="D3600" s="5" t="s">
        <v>26</v>
      </c>
      <c r="E3600" s="5" t="s">
        <v>346</v>
      </c>
      <c r="F3600" s="9">
        <v>24</v>
      </c>
      <c r="G3600" s="9">
        <v>244</v>
      </c>
      <c r="H3600" s="5" t="s">
        <v>21</v>
      </c>
      <c r="I3600" s="5" t="s">
        <v>8612</v>
      </c>
      <c r="J3600" s="12" t="str">
        <f>HYPERLINK("https://www.boe.es/gazeta/dias/1800/03/25/pdfs/GMD-1800-24.pdf#page=8","Abrir facsímil")</f>
        <v>Abrir facsímil</v>
      </c>
      <c r="K3600" s="15" t="s">
        <v>23</v>
      </c>
    </row>
    <row r="3601" spans="1:11" ht="42" customHeight="1">
      <c r="A3601" s="4" t="s">
        <v>8613</v>
      </c>
      <c r="B3601" s="5" t="s">
        <v>8614</v>
      </c>
      <c r="C3601" s="5" t="s">
        <v>41</v>
      </c>
      <c r="D3601" s="5" t="s">
        <v>42</v>
      </c>
      <c r="E3601" s="5" t="s">
        <v>43</v>
      </c>
      <c r="F3601" s="9">
        <v>46</v>
      </c>
      <c r="G3601" s="9">
        <v>486</v>
      </c>
      <c r="H3601" s="5" t="s">
        <v>21</v>
      </c>
      <c r="I3601" s="5" t="s">
        <v>8615</v>
      </c>
      <c r="J3601" s="12" t="str">
        <f>HYPERLINK("https://www.boe.es/gazeta/dias/1800/06/10/pdfs/GMD-1800-46.pdf#page=10","Abrir facsímil")</f>
        <v>Abrir facsímil</v>
      </c>
      <c r="K3601" s="15" t="s">
        <v>23</v>
      </c>
    </row>
    <row r="3602" spans="1:11" ht="42" customHeight="1">
      <c r="A3602" s="4" t="s">
        <v>8616</v>
      </c>
      <c r="B3602" s="5" t="s">
        <v>8617</v>
      </c>
      <c r="C3602" s="5" t="s">
        <v>41</v>
      </c>
      <c r="D3602" s="5" t="s">
        <v>42</v>
      </c>
      <c r="E3602" s="5" t="s">
        <v>275</v>
      </c>
      <c r="F3602" s="9">
        <v>60</v>
      </c>
      <c r="G3602" s="9">
        <v>685</v>
      </c>
      <c r="H3602" s="5" t="s">
        <v>21</v>
      </c>
      <c r="I3602" s="5" t="s">
        <v>8618</v>
      </c>
      <c r="J3602" s="12" t="str">
        <f>HYPERLINK("https://www.boe.es/gazeta/dias/1800/07/29/pdfs/GMD-1800-60.pdf#page=5","Abrir facsímil")</f>
        <v>Abrir facsímil</v>
      </c>
      <c r="K3602" s="15" t="s">
        <v>23</v>
      </c>
    </row>
    <row r="3603" spans="1:11" ht="42" customHeight="1">
      <c r="A3603" s="4" t="s">
        <v>8619</v>
      </c>
      <c r="B3603" s="5" t="s">
        <v>8620</v>
      </c>
      <c r="C3603" s="5" t="s">
        <v>18</v>
      </c>
      <c r="D3603" s="5" t="s">
        <v>19</v>
      </c>
      <c r="E3603" s="5" t="s">
        <v>843</v>
      </c>
      <c r="F3603" s="9">
        <v>78</v>
      </c>
      <c r="G3603" s="9">
        <v>886</v>
      </c>
      <c r="H3603" s="5" t="s">
        <v>21</v>
      </c>
      <c r="I3603" s="5" t="s">
        <v>8621</v>
      </c>
      <c r="J3603" s="12" t="str">
        <f>HYPERLINK("https://www.boe.es/gazeta/dias/1800/09/26/pdfs/GMD-1800-78.pdf#page=4","Abrir facsímil")</f>
        <v>Abrir facsímil</v>
      </c>
      <c r="K3603" s="15" t="s">
        <v>23</v>
      </c>
    </row>
    <row r="3604" spans="1:11" ht="42" customHeight="1">
      <c r="A3604" s="4" t="s">
        <v>8622</v>
      </c>
      <c r="B3604" s="5" t="s">
        <v>8623</v>
      </c>
      <c r="C3604" s="5" t="s">
        <v>207</v>
      </c>
      <c r="D3604" s="5" t="s">
        <v>55</v>
      </c>
      <c r="E3604" s="5" t="s">
        <v>478</v>
      </c>
      <c r="F3604" s="9">
        <v>34</v>
      </c>
      <c r="G3604" s="9">
        <v>346</v>
      </c>
      <c r="H3604" s="5" t="s">
        <v>21</v>
      </c>
      <c r="I3604" s="5" t="s">
        <v>8624</v>
      </c>
      <c r="J3604" s="12" t="str">
        <f>HYPERLINK("https://www.boe.es/gazeta/dias/1800/04/29/pdfs/GMD-1800-34.pdf#page=10","Abrir facsímil")</f>
        <v>Abrir facsímil</v>
      </c>
      <c r="K3604" s="15" t="s">
        <v>23</v>
      </c>
    </row>
    <row r="3605" spans="1:11" ht="42" customHeight="1">
      <c r="A3605" s="4" t="s">
        <v>8625</v>
      </c>
      <c r="B3605" s="5" t="s">
        <v>8626</v>
      </c>
      <c r="C3605" s="5" t="s">
        <v>207</v>
      </c>
      <c r="D3605" s="5" t="s">
        <v>55</v>
      </c>
      <c r="E3605" s="5" t="s">
        <v>43</v>
      </c>
      <c r="F3605" s="9">
        <v>46</v>
      </c>
      <c r="G3605" s="9">
        <v>487</v>
      </c>
      <c r="H3605" s="5" t="s">
        <v>21</v>
      </c>
      <c r="I3605" s="5" t="s">
        <v>8627</v>
      </c>
      <c r="J3605" s="12" t="str">
        <f>HYPERLINK("https://www.boe.es/gazeta/dias/1800/06/10/pdfs/GMD-1800-46.pdf#page=11","Abrir facsímil")</f>
        <v>Abrir facsímil</v>
      </c>
      <c r="K3605" s="15" t="s">
        <v>23</v>
      </c>
    </row>
    <row r="3606" spans="1:11" ht="42" customHeight="1">
      <c r="A3606" s="4" t="s">
        <v>8628</v>
      </c>
      <c r="B3606" s="5" t="s">
        <v>8629</v>
      </c>
      <c r="C3606" s="5" t="s">
        <v>25</v>
      </c>
      <c r="D3606" s="5" t="s">
        <v>26</v>
      </c>
      <c r="E3606" s="5" t="s">
        <v>45</v>
      </c>
      <c r="F3606" s="9">
        <v>47</v>
      </c>
      <c r="G3606" s="9">
        <v>502</v>
      </c>
      <c r="H3606" s="5" t="s">
        <v>21</v>
      </c>
      <c r="I3606" s="5" t="s">
        <v>8630</v>
      </c>
      <c r="J3606" s="12" t="str">
        <f>HYPERLINK("https://www.boe.es/gazeta/dias/1800/06/13/pdfs/GMD-1800-47.pdf#page=10","Abrir facsímil")</f>
        <v>Abrir facsímil</v>
      </c>
      <c r="K3606" s="15" t="s">
        <v>23</v>
      </c>
    </row>
    <row r="3607" spans="1:11" ht="42" customHeight="1">
      <c r="A3607" s="4" t="s">
        <v>8631</v>
      </c>
      <c r="B3607" s="5" t="s">
        <v>8632</v>
      </c>
      <c r="C3607" s="5" t="s">
        <v>207</v>
      </c>
      <c r="D3607" s="5" t="s">
        <v>55</v>
      </c>
      <c r="E3607" s="5" t="s">
        <v>143</v>
      </c>
      <c r="F3607" s="9">
        <v>22</v>
      </c>
      <c r="G3607" s="9">
        <v>224</v>
      </c>
      <c r="H3607" s="5" t="s">
        <v>21</v>
      </c>
      <c r="I3607" s="5" t="s">
        <v>8633</v>
      </c>
      <c r="J3607" s="12" t="str">
        <f>HYPERLINK("https://www.boe.es/gazeta/dias/1800/03/18/pdfs/GMD-1800-22.pdf#page=16","Abrir facsímil")</f>
        <v>Abrir facsímil</v>
      </c>
      <c r="K3607" s="15" t="s">
        <v>23</v>
      </c>
    </row>
    <row r="3608" spans="1:11" ht="42" customHeight="1">
      <c r="A3608" s="4" t="s">
        <v>8634</v>
      </c>
      <c r="B3608" s="5" t="s">
        <v>8635</v>
      </c>
      <c r="C3608" s="5" t="s">
        <v>18</v>
      </c>
      <c r="D3608" s="5" t="s">
        <v>19</v>
      </c>
      <c r="E3608" s="5" t="s">
        <v>422</v>
      </c>
      <c r="F3608" s="9">
        <v>85</v>
      </c>
      <c r="G3608" s="9">
        <v>985</v>
      </c>
      <c r="H3608" s="5" t="s">
        <v>21</v>
      </c>
      <c r="I3608" s="5" t="s">
        <v>8636</v>
      </c>
      <c r="J3608" s="12" t="str">
        <f>HYPERLINK("https://www.boe.es/gazeta/dias/1800/10/21/pdfs/GMD-1800-85.pdf#page=7","Abrir facsímil")</f>
        <v>Abrir facsímil</v>
      </c>
      <c r="K3608" s="15" t="s">
        <v>23</v>
      </c>
    </row>
    <row r="3609" spans="1:11" ht="42" customHeight="1">
      <c r="A3609" s="4" t="s">
        <v>8637</v>
      </c>
      <c r="B3609" s="5" t="s">
        <v>8638</v>
      </c>
      <c r="C3609" s="5" t="s">
        <v>41</v>
      </c>
      <c r="D3609" s="5" t="s">
        <v>42</v>
      </c>
      <c r="E3609" s="5" t="s">
        <v>1231</v>
      </c>
      <c r="F3609" s="9">
        <v>36</v>
      </c>
      <c r="G3609" s="9">
        <v>364</v>
      </c>
      <c r="H3609" s="5" t="s">
        <v>21</v>
      </c>
      <c r="I3609" s="5" t="s">
        <v>8639</v>
      </c>
      <c r="J3609" s="12" t="str">
        <f>HYPERLINK("https://www.boe.es/gazeta/dias/1800/05/06/pdfs/GMD-1800-36.pdf#page=8","Abrir facsímil")</f>
        <v>Abrir facsímil</v>
      </c>
      <c r="K3609" s="15" t="s">
        <v>23</v>
      </c>
    </row>
    <row r="3610" spans="1:11" ht="42" customHeight="1">
      <c r="A3610" s="4" t="s">
        <v>8640</v>
      </c>
      <c r="B3610" s="5" t="s">
        <v>8640</v>
      </c>
      <c r="C3610" s="5" t="s">
        <v>25</v>
      </c>
      <c r="D3610" s="5" t="s">
        <v>26</v>
      </c>
      <c r="E3610" s="5" t="s">
        <v>1108</v>
      </c>
      <c r="F3610" s="9">
        <v>30</v>
      </c>
      <c r="G3610" s="9">
        <v>307</v>
      </c>
      <c r="H3610" s="5" t="s">
        <v>21</v>
      </c>
      <c r="I3610" s="5" t="s">
        <v>8641</v>
      </c>
      <c r="J3610" s="12" t="str">
        <f>HYPERLINK("https://www.boe.es/gazeta/dias/1800/04/15/pdfs/GMD-1800-30.pdf#page=7","Abrir facsímil")</f>
        <v>Abrir facsímil</v>
      </c>
      <c r="K3610" s="15" t="s">
        <v>23</v>
      </c>
    </row>
    <row r="3611" spans="1:11" ht="42" customHeight="1">
      <c r="A3611" s="4" t="s">
        <v>8642</v>
      </c>
      <c r="B3611" s="5" t="s">
        <v>8642</v>
      </c>
      <c r="C3611" s="5" t="s">
        <v>18</v>
      </c>
      <c r="D3611" s="5" t="s">
        <v>19</v>
      </c>
      <c r="E3611" s="5" t="s">
        <v>203</v>
      </c>
      <c r="F3611" s="9">
        <v>94</v>
      </c>
      <c r="G3611" s="9">
        <v>1076</v>
      </c>
      <c r="H3611" s="5" t="s">
        <v>21</v>
      </c>
      <c r="I3611" s="5" t="s">
        <v>8643</v>
      </c>
      <c r="J3611" s="12" t="str">
        <f>HYPERLINK("https://www.boe.es/gazeta/dias/1800/11/21/pdfs/GMD-1800-94.pdf#page=6","Abrir facsímil")</f>
        <v>Abrir facsímil</v>
      </c>
      <c r="K3611" s="15" t="s">
        <v>23</v>
      </c>
    </row>
    <row r="3612" spans="1:11" ht="42" customHeight="1">
      <c r="A3612" s="4" t="s">
        <v>8644</v>
      </c>
      <c r="B3612" s="5" t="s">
        <v>8645</v>
      </c>
      <c r="C3612" s="5" t="s">
        <v>41</v>
      </c>
      <c r="D3612" s="5" t="s">
        <v>42</v>
      </c>
      <c r="E3612" s="5" t="s">
        <v>158</v>
      </c>
      <c r="F3612" s="9">
        <v>25</v>
      </c>
      <c r="G3612" s="9">
        <v>252</v>
      </c>
      <c r="H3612" s="5" t="s">
        <v>21</v>
      </c>
      <c r="I3612" s="5" t="s">
        <v>8646</v>
      </c>
      <c r="J3612" s="12" t="str">
        <f>HYPERLINK("https://www.boe.es/gazeta/dias/1800/03/28/pdfs/GMD-1800-25.pdf#page=4","Abrir facsímil")</f>
        <v>Abrir facsímil</v>
      </c>
      <c r="K3612" s="15" t="s">
        <v>23</v>
      </c>
    </row>
    <row r="3613" spans="1:11" ht="42" customHeight="1">
      <c r="A3613" s="4" t="s">
        <v>8647</v>
      </c>
      <c r="B3613" s="5" t="s">
        <v>8648</v>
      </c>
      <c r="C3613" s="5" t="s">
        <v>18</v>
      </c>
      <c r="D3613" s="5" t="s">
        <v>19</v>
      </c>
      <c r="E3613" s="5" t="s">
        <v>620</v>
      </c>
      <c r="F3613" s="9">
        <v>19</v>
      </c>
      <c r="G3613" s="9">
        <v>179</v>
      </c>
      <c r="H3613" s="5" t="s">
        <v>21</v>
      </c>
      <c r="I3613" s="5" t="s">
        <v>8649</v>
      </c>
      <c r="J3613" s="12" t="str">
        <f>HYPERLINK("https://www.boe.es/gazeta/dias/1800/03/07/pdfs/GMD-1800-19.pdf#page=3","Abrir facsímil")</f>
        <v>Abrir facsímil</v>
      </c>
      <c r="K3613" s="15" t="s">
        <v>23</v>
      </c>
    </row>
    <row r="3614" spans="1:11" ht="42" customHeight="1">
      <c r="A3614" s="4" t="s">
        <v>8650</v>
      </c>
      <c r="B3614" s="5" t="s">
        <v>8650</v>
      </c>
      <c r="C3614" s="5" t="s">
        <v>41</v>
      </c>
      <c r="D3614" s="5" t="s">
        <v>42</v>
      </c>
      <c r="E3614" s="5" t="s">
        <v>530</v>
      </c>
      <c r="F3614" s="9">
        <v>55</v>
      </c>
      <c r="G3614" s="9">
        <v>619</v>
      </c>
      <c r="H3614" s="5" t="s">
        <v>21</v>
      </c>
      <c r="I3614" s="5" t="s">
        <v>8651</v>
      </c>
      <c r="J3614" s="12" t="str">
        <f>HYPERLINK("https://www.boe.es/gazeta/dias/1800/07/11/pdfs/GMD-1800-55.pdf#page=7","Abrir facsímil")</f>
        <v>Abrir facsímil</v>
      </c>
      <c r="K3614" s="15" t="s">
        <v>23</v>
      </c>
    </row>
    <row r="3615" spans="1:11" ht="42" customHeight="1">
      <c r="A3615" s="4" t="s">
        <v>8652</v>
      </c>
      <c r="B3615" s="5" t="s">
        <v>8652</v>
      </c>
      <c r="C3615" s="5" t="s">
        <v>54</v>
      </c>
      <c r="D3615" s="5" t="s">
        <v>55</v>
      </c>
      <c r="E3615" s="5" t="s">
        <v>240</v>
      </c>
      <c r="F3615" s="9">
        <v>26</v>
      </c>
      <c r="G3615" s="9">
        <v>270</v>
      </c>
      <c r="H3615" s="5" t="s">
        <v>21</v>
      </c>
      <c r="I3615" s="5" t="s">
        <v>8653</v>
      </c>
      <c r="J3615" s="12" t="str">
        <f>HYPERLINK("https://www.boe.es/gazeta/dias/1800/04/01/pdfs/GMD-1800-26.pdf#page=10","Abrir facsímil")</f>
        <v>Abrir facsímil</v>
      </c>
      <c r="K3615" s="15" t="s">
        <v>23</v>
      </c>
    </row>
    <row r="3616" spans="1:11" ht="42" customHeight="1">
      <c r="A3616" s="4" t="s">
        <v>8654</v>
      </c>
      <c r="B3616" s="5" t="s">
        <v>8654</v>
      </c>
      <c r="C3616" s="5" t="s">
        <v>18</v>
      </c>
      <c r="D3616" s="5" t="s">
        <v>19</v>
      </c>
      <c r="E3616" s="5" t="s">
        <v>422</v>
      </c>
      <c r="F3616" s="9">
        <v>85</v>
      </c>
      <c r="G3616" s="9">
        <v>982</v>
      </c>
      <c r="H3616" s="5" t="s">
        <v>21</v>
      </c>
      <c r="I3616" s="5" t="s">
        <v>8655</v>
      </c>
      <c r="J3616" s="12" t="str">
        <f>HYPERLINK("https://www.boe.es/gazeta/dias/1800/10/21/pdfs/GMD-1800-85.pdf#page=4","Abrir facsímil")</f>
        <v>Abrir facsímil</v>
      </c>
      <c r="K3616" s="15" t="s">
        <v>23</v>
      </c>
    </row>
    <row r="3617" spans="1:11" ht="42" customHeight="1">
      <c r="A3617" s="4" t="s">
        <v>8656</v>
      </c>
      <c r="B3617" s="5" t="s">
        <v>8656</v>
      </c>
      <c r="C3617" s="5" t="s">
        <v>18</v>
      </c>
      <c r="D3617" s="5" t="s">
        <v>19</v>
      </c>
      <c r="E3617" s="5" t="s">
        <v>31</v>
      </c>
      <c r="F3617" s="9">
        <v>20</v>
      </c>
      <c r="G3617" s="9">
        <v>192</v>
      </c>
      <c r="H3617" s="5" t="s">
        <v>21</v>
      </c>
      <c r="I3617" s="5" t="s">
        <v>8657</v>
      </c>
      <c r="J3617" s="12" t="str">
        <f>HYPERLINK("https://www.boe.es/gazeta/dias/1800/03/11/pdfs/GMD-1800-20.pdf#page=8","Abrir facsímil")</f>
        <v>Abrir facsímil</v>
      </c>
      <c r="K3617" s="15" t="s">
        <v>23</v>
      </c>
    </row>
    <row r="3618" spans="1:11" ht="42" customHeight="1">
      <c r="A3618" s="4" t="s">
        <v>8658</v>
      </c>
      <c r="B3618" s="5" t="s">
        <v>8658</v>
      </c>
      <c r="C3618" s="5" t="s">
        <v>41</v>
      </c>
      <c r="D3618" s="5" t="s">
        <v>42</v>
      </c>
      <c r="E3618" s="5" t="s">
        <v>572</v>
      </c>
      <c r="F3618" s="9">
        <v>76</v>
      </c>
      <c r="G3618" s="9">
        <v>863</v>
      </c>
      <c r="H3618" s="5" t="s">
        <v>21</v>
      </c>
      <c r="I3618" s="5" t="s">
        <v>8659</v>
      </c>
      <c r="J3618" s="12" t="str">
        <f>HYPERLINK("https://www.boe.es/gazeta/dias/1800/09/19/pdfs/GMD-1800-76.pdf#page=5","Abrir facsímil")</f>
        <v>Abrir facsímil</v>
      </c>
      <c r="K3618" s="15" t="s">
        <v>23</v>
      </c>
    </row>
    <row r="3619" spans="1:11" ht="42" customHeight="1">
      <c r="A3619" s="4" t="s">
        <v>8660</v>
      </c>
      <c r="B3619" s="5" t="s">
        <v>8660</v>
      </c>
      <c r="C3619" s="5" t="s">
        <v>18</v>
      </c>
      <c r="D3619" s="5" t="s">
        <v>19</v>
      </c>
      <c r="E3619" s="5" t="s">
        <v>135</v>
      </c>
      <c r="F3619" s="9">
        <v>73</v>
      </c>
      <c r="G3619" s="9">
        <v>815</v>
      </c>
      <c r="H3619" s="5" t="s">
        <v>21</v>
      </c>
      <c r="I3619" s="5" t="s">
        <v>8661</v>
      </c>
      <c r="J3619" s="12" t="str">
        <f>HYPERLINK("https://www.boe.es/gazeta/dias/1800/09/09/pdfs/GMD-1800-73.pdf#page=9","Abrir facsímil")</f>
        <v>Abrir facsímil</v>
      </c>
      <c r="K3619" s="15" t="s">
        <v>23</v>
      </c>
    </row>
    <row r="3620" spans="1:11" ht="42" customHeight="1">
      <c r="A3620" s="4" t="s">
        <v>8662</v>
      </c>
      <c r="B3620" s="5" t="s">
        <v>8662</v>
      </c>
      <c r="C3620" s="5" t="s">
        <v>18</v>
      </c>
      <c r="D3620" s="5" t="s">
        <v>19</v>
      </c>
      <c r="E3620" s="5" t="s">
        <v>31</v>
      </c>
      <c r="F3620" s="9">
        <v>20</v>
      </c>
      <c r="G3620" s="9">
        <v>192</v>
      </c>
      <c r="H3620" s="5" t="s">
        <v>21</v>
      </c>
      <c r="I3620" s="5" t="s">
        <v>8663</v>
      </c>
      <c r="J3620" s="12" t="str">
        <f>HYPERLINK("https://www.boe.es/gazeta/dias/1800/03/11/pdfs/GMD-1800-20.pdf#page=8","Abrir facsímil")</f>
        <v>Abrir facsímil</v>
      </c>
      <c r="K3620" s="15" t="s">
        <v>23</v>
      </c>
    </row>
    <row r="3621" spans="1:11" ht="42" customHeight="1">
      <c r="A3621" s="4" t="s">
        <v>8664</v>
      </c>
      <c r="B3621" s="5" t="s">
        <v>8665</v>
      </c>
      <c r="C3621" s="5" t="s">
        <v>18</v>
      </c>
      <c r="D3621" s="5" t="s">
        <v>19</v>
      </c>
      <c r="E3621" s="5" t="s">
        <v>843</v>
      </c>
      <c r="F3621" s="9">
        <v>78</v>
      </c>
      <c r="G3621" s="9">
        <v>885</v>
      </c>
      <c r="H3621" s="5" t="s">
        <v>21</v>
      </c>
      <c r="I3621" s="5" t="s">
        <v>8666</v>
      </c>
      <c r="J3621" s="12" t="str">
        <f>HYPERLINK("https://www.boe.es/gazeta/dias/1800/09/26/pdfs/GMD-1800-78.pdf#page=3","Abrir facsímil")</f>
        <v>Abrir facsímil</v>
      </c>
      <c r="K3621" s="15" t="s">
        <v>23</v>
      </c>
    </row>
    <row r="3622" spans="1:11" ht="42" customHeight="1">
      <c r="A3622" s="4" t="s">
        <v>8667</v>
      </c>
      <c r="B3622" s="5" t="s">
        <v>8668</v>
      </c>
      <c r="C3622" s="5" t="s">
        <v>41</v>
      </c>
      <c r="D3622" s="5" t="s">
        <v>42</v>
      </c>
      <c r="E3622" s="5" t="s">
        <v>68</v>
      </c>
      <c r="F3622" s="9">
        <v>67</v>
      </c>
      <c r="G3622" s="9">
        <v>753</v>
      </c>
      <c r="H3622" s="5" t="s">
        <v>21</v>
      </c>
      <c r="I3622" s="5" t="s">
        <v>8669</v>
      </c>
      <c r="J3622" s="12" t="str">
        <f>HYPERLINK("https://www.boe.es/gazeta/dias/1800/08/22/pdfs/GMD-1800-67.pdf#page=5","Abrir facsímil")</f>
        <v>Abrir facsímil</v>
      </c>
      <c r="K3622" s="15" t="s">
        <v>23</v>
      </c>
    </row>
    <row r="3623" spans="1:11" ht="42" customHeight="1">
      <c r="A3623" s="4" t="s">
        <v>8670</v>
      </c>
      <c r="B3623" s="5" t="s">
        <v>8671</v>
      </c>
      <c r="C3623" s="5" t="s">
        <v>41</v>
      </c>
      <c r="D3623" s="5" t="s">
        <v>42</v>
      </c>
      <c r="E3623" s="5" t="s">
        <v>836</v>
      </c>
      <c r="F3623" s="9">
        <v>71</v>
      </c>
      <c r="G3623" s="9">
        <v>788</v>
      </c>
      <c r="H3623" s="5" t="s">
        <v>21</v>
      </c>
      <c r="I3623" s="5" t="s">
        <v>8672</v>
      </c>
      <c r="J3623" s="12" t="str">
        <f>HYPERLINK("https://www.boe.es/gazeta/dias/1800/09/02/pdfs/GMD-1800-71.pdf#page=6","Abrir facsímil")</f>
        <v>Abrir facsímil</v>
      </c>
      <c r="K3623" s="15" t="s">
        <v>23</v>
      </c>
    </row>
    <row r="3624" spans="1:11" ht="42" customHeight="1">
      <c r="A3624" s="4" t="s">
        <v>8673</v>
      </c>
      <c r="B3624" s="5" t="s">
        <v>8674</v>
      </c>
      <c r="C3624" s="5" t="s">
        <v>18</v>
      </c>
      <c r="D3624" s="5" t="s">
        <v>19</v>
      </c>
      <c r="E3624" s="5" t="s">
        <v>79</v>
      </c>
      <c r="F3624" s="9">
        <v>7</v>
      </c>
      <c r="G3624" s="9">
        <v>67</v>
      </c>
      <c r="H3624" s="5" t="s">
        <v>21</v>
      </c>
      <c r="I3624" s="5" t="s">
        <v>8675</v>
      </c>
      <c r="J3624" s="12" t="str">
        <f>HYPERLINK("https://www.boe.es/gazeta/dias/1800/01/24/pdfs/GMD-1800-7.pdf#page=7","Abrir facsímil")</f>
        <v>Abrir facsímil</v>
      </c>
      <c r="K3624" s="15" t="s">
        <v>23</v>
      </c>
    </row>
    <row r="3625" spans="1:11" ht="42" customHeight="1">
      <c r="A3625" s="4" t="s">
        <v>8676</v>
      </c>
      <c r="B3625" s="5" t="s">
        <v>8677</v>
      </c>
      <c r="C3625" s="5" t="s">
        <v>84</v>
      </c>
      <c r="D3625" s="5" t="s">
        <v>85</v>
      </c>
      <c r="E3625" s="5" t="s">
        <v>319</v>
      </c>
      <c r="F3625" s="9">
        <v>62</v>
      </c>
      <c r="G3625" s="9">
        <v>712</v>
      </c>
      <c r="H3625" s="5" t="s">
        <v>21</v>
      </c>
      <c r="I3625" s="5" t="s">
        <v>8678</v>
      </c>
      <c r="J3625" s="12" t="str">
        <f>HYPERLINK("https://www.boe.es/gazeta/dias/1800/08/05/pdfs/GMD-1800-62.pdf#page=12","Abrir facsímil")</f>
        <v>Abrir facsímil</v>
      </c>
      <c r="K3625" s="15" t="s">
        <v>23</v>
      </c>
    </row>
    <row r="3626" spans="1:11" ht="42" customHeight="1">
      <c r="A3626" s="4" t="s">
        <v>8679</v>
      </c>
      <c r="B3626" s="5" t="s">
        <v>8680</v>
      </c>
      <c r="C3626" s="5" t="s">
        <v>41</v>
      </c>
      <c r="D3626" s="5" t="s">
        <v>42</v>
      </c>
      <c r="E3626" s="5" t="s">
        <v>530</v>
      </c>
      <c r="F3626" s="9">
        <v>55</v>
      </c>
      <c r="G3626" s="9">
        <v>619</v>
      </c>
      <c r="H3626" s="5" t="s">
        <v>21</v>
      </c>
      <c r="I3626" s="5" t="s">
        <v>8681</v>
      </c>
      <c r="J3626" s="12" t="str">
        <f>HYPERLINK("https://www.boe.es/gazeta/dias/1800/07/11/pdfs/GMD-1800-55.pdf#page=7","Abrir facsímil")</f>
        <v>Abrir facsímil</v>
      </c>
      <c r="K3626" s="15" t="s">
        <v>23</v>
      </c>
    </row>
    <row r="3627" spans="1:11" ht="42" customHeight="1">
      <c r="A3627" s="4" t="s">
        <v>8682</v>
      </c>
      <c r="B3627" s="5" t="s">
        <v>8682</v>
      </c>
      <c r="C3627" s="5" t="s">
        <v>207</v>
      </c>
      <c r="D3627" s="5" t="s">
        <v>55</v>
      </c>
      <c r="E3627" s="5" t="s">
        <v>406</v>
      </c>
      <c r="F3627" s="9">
        <v>44</v>
      </c>
      <c r="G3627" s="9">
        <v>453</v>
      </c>
      <c r="H3627" s="5" t="s">
        <v>21</v>
      </c>
      <c r="I3627" s="5" t="s">
        <v>8683</v>
      </c>
      <c r="J3627" s="12" t="str">
        <f>HYPERLINK("https://www.boe.es/gazeta/dias/1800/06/03/pdfs/GMD-1800-44.pdf#page=1","Abrir facsímil")</f>
        <v>Abrir facsímil</v>
      </c>
      <c r="K3627" s="15" t="s">
        <v>1346</v>
      </c>
    </row>
    <row r="3628" spans="1:11" ht="42" customHeight="1">
      <c r="A3628" s="4" t="s">
        <v>8684</v>
      </c>
      <c r="B3628" s="5" t="s">
        <v>8685</v>
      </c>
      <c r="C3628" s="5" t="s">
        <v>54</v>
      </c>
      <c r="D3628" s="5" t="s">
        <v>55</v>
      </c>
      <c r="E3628" s="5" t="s">
        <v>787</v>
      </c>
      <c r="F3628" s="9">
        <v>6</v>
      </c>
      <c r="G3628" s="9">
        <v>58</v>
      </c>
      <c r="H3628" s="5" t="s">
        <v>21</v>
      </c>
      <c r="I3628" s="5" t="s">
        <v>8686</v>
      </c>
      <c r="J3628" s="12" t="str">
        <f>HYPERLINK("https://www.boe.es/gazeta/dias/1800/01/21/pdfs/GMD-1800-6.pdf#page=10","Abrir facsímil")</f>
        <v>Abrir facsímil</v>
      </c>
      <c r="K3628" s="15" t="s">
        <v>23</v>
      </c>
    </row>
    <row r="3629" spans="1:11" ht="42" customHeight="1">
      <c r="A3629" s="4" t="s">
        <v>8687</v>
      </c>
      <c r="B3629" s="5" t="s">
        <v>8688</v>
      </c>
      <c r="C3629" s="5" t="s">
        <v>84</v>
      </c>
      <c r="D3629" s="5" t="s">
        <v>85</v>
      </c>
      <c r="E3629" s="5" t="s">
        <v>615</v>
      </c>
      <c r="F3629" s="9">
        <v>95</v>
      </c>
      <c r="G3629" s="9">
        <v>1090</v>
      </c>
      <c r="H3629" s="5" t="s">
        <v>21</v>
      </c>
      <c r="I3629" s="5" t="s">
        <v>8689</v>
      </c>
      <c r="J3629" s="12" t="str">
        <f>HYPERLINK("https://www.boe.es/gazeta/dias/1800/11/25/pdfs/GMD-1800-95.pdf#page=8","Abrir facsímil")</f>
        <v>Abrir facsímil</v>
      </c>
      <c r="K3629" s="15" t="s">
        <v>23</v>
      </c>
    </row>
    <row r="3630" spans="1:11" ht="42" customHeight="1">
      <c r="A3630" s="4" t="s">
        <v>8690</v>
      </c>
      <c r="B3630" s="5" t="s">
        <v>8691</v>
      </c>
      <c r="C3630" s="5" t="s">
        <v>25</v>
      </c>
      <c r="D3630" s="5" t="s">
        <v>26</v>
      </c>
      <c r="E3630" s="5" t="s">
        <v>329</v>
      </c>
      <c r="F3630" s="9">
        <v>99</v>
      </c>
      <c r="G3630" s="9">
        <v>1138</v>
      </c>
      <c r="H3630" s="5" t="s">
        <v>21</v>
      </c>
      <c r="I3630" s="5" t="s">
        <v>8692</v>
      </c>
      <c r="J3630" s="12" t="str">
        <f>HYPERLINK("https://www.boe.es/gazeta/dias/1800/12/09/pdfs/GMD-1800-99.pdf#page=6","Abrir facsímil")</f>
        <v>Abrir facsímil</v>
      </c>
      <c r="K3630" s="15" t="s">
        <v>23</v>
      </c>
    </row>
    <row r="3631" spans="1:11" ht="42" customHeight="1">
      <c r="A3631" s="4" t="s">
        <v>8693</v>
      </c>
      <c r="B3631" s="5" t="s">
        <v>8694</v>
      </c>
      <c r="C3631" s="5" t="s">
        <v>25</v>
      </c>
      <c r="D3631" s="5" t="s">
        <v>26</v>
      </c>
      <c r="E3631" s="5" t="s">
        <v>787</v>
      </c>
      <c r="F3631" s="9">
        <v>6</v>
      </c>
      <c r="G3631" s="9">
        <v>58</v>
      </c>
      <c r="H3631" s="5" t="s">
        <v>21</v>
      </c>
      <c r="I3631" s="5" t="s">
        <v>8695</v>
      </c>
      <c r="J3631" s="12" t="str">
        <f>HYPERLINK("https://www.boe.es/gazeta/dias/1800/01/21/pdfs/GMD-1800-6.pdf#page=10","Abrir facsímil")</f>
        <v>Abrir facsímil</v>
      </c>
      <c r="K3631" s="15" t="s">
        <v>23</v>
      </c>
    </row>
    <row r="3632" spans="1:11" ht="42" customHeight="1">
      <c r="A3632" s="4" t="s">
        <v>8696</v>
      </c>
      <c r="B3632" s="5" t="s">
        <v>8697</v>
      </c>
      <c r="C3632" s="5" t="s">
        <v>18</v>
      </c>
      <c r="D3632" s="5" t="s">
        <v>19</v>
      </c>
      <c r="E3632" s="5" t="s">
        <v>255</v>
      </c>
      <c r="F3632" s="9">
        <v>75</v>
      </c>
      <c r="G3632" s="9">
        <v>854</v>
      </c>
      <c r="H3632" s="5" t="s">
        <v>21</v>
      </c>
      <c r="I3632" s="5" t="s">
        <v>8698</v>
      </c>
      <c r="J3632" s="12" t="str">
        <f>HYPERLINK("https://www.boe.es/gazeta/dias/1800/09/16/pdfs/GMD-1800-75.pdf#page=8","Abrir facsímil")</f>
        <v>Abrir facsímil</v>
      </c>
      <c r="K3632" s="15" t="s">
        <v>23</v>
      </c>
    </row>
    <row r="3633" spans="1:11" ht="42" customHeight="1">
      <c r="A3633" s="4" t="s">
        <v>8699</v>
      </c>
      <c r="B3633" s="5" t="s">
        <v>8700</v>
      </c>
      <c r="C3633" s="5" t="s">
        <v>18</v>
      </c>
      <c r="D3633" s="5" t="s">
        <v>19</v>
      </c>
      <c r="E3633" s="5" t="s">
        <v>139</v>
      </c>
      <c r="F3633" s="9">
        <v>2</v>
      </c>
      <c r="G3633" s="9">
        <v>18</v>
      </c>
      <c r="H3633" s="5" t="s">
        <v>21</v>
      </c>
      <c r="I3633" s="5" t="s">
        <v>8701</v>
      </c>
      <c r="J3633" s="12" t="str">
        <f>HYPERLINK("https://www.boe.es/gazeta/dias/1800/01/07/pdfs/GMD-1800-2.pdf#page=10","Abrir facsímil")</f>
        <v>Abrir facsímil</v>
      </c>
      <c r="K3633" s="15" t="s">
        <v>23</v>
      </c>
    </row>
    <row r="3634" spans="1:11" ht="42" customHeight="1">
      <c r="A3634" s="4" t="s">
        <v>8702</v>
      </c>
      <c r="B3634" s="5" t="s">
        <v>8703</v>
      </c>
      <c r="C3634" s="5" t="s">
        <v>54</v>
      </c>
      <c r="D3634" s="5" t="s">
        <v>55</v>
      </c>
      <c r="E3634" s="5" t="s">
        <v>572</v>
      </c>
      <c r="F3634" s="9">
        <v>76</v>
      </c>
      <c r="G3634" s="9">
        <v>868</v>
      </c>
      <c r="H3634" s="5" t="s">
        <v>21</v>
      </c>
      <c r="I3634" s="5" t="s">
        <v>8704</v>
      </c>
      <c r="J3634" s="12" t="str">
        <f>HYPERLINK("https://www.boe.es/gazeta/dias/1800/09/19/pdfs/GMD-1800-76.pdf#page=10","Abrir facsímil")</f>
        <v>Abrir facsímil</v>
      </c>
      <c r="K3634" s="15" t="s">
        <v>23</v>
      </c>
    </row>
    <row r="3635" spans="1:11" ht="42" customHeight="1">
      <c r="A3635" s="4" t="s">
        <v>8705</v>
      </c>
      <c r="B3635" s="5" t="s">
        <v>8706</v>
      </c>
      <c r="C3635" s="5" t="s">
        <v>25</v>
      </c>
      <c r="D3635" s="5" t="s">
        <v>26</v>
      </c>
      <c r="E3635" s="5" t="s">
        <v>154</v>
      </c>
      <c r="F3635" s="9">
        <v>61</v>
      </c>
      <c r="G3635" s="9">
        <v>697</v>
      </c>
      <c r="H3635" s="5" t="s">
        <v>21</v>
      </c>
      <c r="I3635" s="5" t="s">
        <v>8707</v>
      </c>
      <c r="J3635" s="12" t="str">
        <f>HYPERLINK("https://www.boe.es/gazeta/dias/1800/08/01/pdfs/GMD-1800-61.pdf#page=9","Abrir facsímil")</f>
        <v>Abrir facsímil</v>
      </c>
      <c r="K3635" s="15" t="s">
        <v>23</v>
      </c>
    </row>
    <row r="3636" spans="1:11" ht="42" customHeight="1">
      <c r="A3636" s="4" t="s">
        <v>8708</v>
      </c>
      <c r="B3636" s="5" t="s">
        <v>8709</v>
      </c>
      <c r="C3636" s="5" t="s">
        <v>25</v>
      </c>
      <c r="D3636" s="5" t="s">
        <v>26</v>
      </c>
      <c r="E3636" s="5" t="s">
        <v>402</v>
      </c>
      <c r="F3636" s="9">
        <v>101</v>
      </c>
      <c r="G3636" s="9">
        <v>1173</v>
      </c>
      <c r="H3636" s="5" t="s">
        <v>21</v>
      </c>
      <c r="I3636" s="5" t="s">
        <v>8710</v>
      </c>
      <c r="J3636" s="12" t="str">
        <f>HYPERLINK("https://www.boe.es/gazeta/dias/1800/12/16/pdfs/GMD-1800-101.pdf#page=9","Abrir facsímil")</f>
        <v>Abrir facsímil</v>
      </c>
      <c r="K3636" s="15" t="s">
        <v>23</v>
      </c>
    </row>
    <row r="3637" spans="1:11" ht="42" customHeight="1">
      <c r="A3637" s="4" t="s">
        <v>8711</v>
      </c>
      <c r="B3637" s="5" t="s">
        <v>8712</v>
      </c>
      <c r="C3637" s="5" t="s">
        <v>18</v>
      </c>
      <c r="D3637" s="5" t="s">
        <v>19</v>
      </c>
      <c r="E3637" s="5" t="s">
        <v>75</v>
      </c>
      <c r="F3637" s="9">
        <v>64</v>
      </c>
      <c r="G3637" s="9">
        <v>733</v>
      </c>
      <c r="H3637" s="5" t="s">
        <v>21</v>
      </c>
      <c r="I3637" s="5" t="s">
        <v>8713</v>
      </c>
      <c r="J3637" s="12" t="str">
        <f>HYPERLINK("https://www.boe.es/gazeta/dias/1800/08/12/pdfs/GMD-1800-64.pdf#page=9","Abrir facsímil")</f>
        <v>Abrir facsímil</v>
      </c>
      <c r="K3637" s="15" t="s">
        <v>23</v>
      </c>
    </row>
    <row r="3638" spans="1:11" ht="42" customHeight="1">
      <c r="A3638" s="4" t="s">
        <v>8714</v>
      </c>
      <c r="B3638" s="5" t="s">
        <v>8715</v>
      </c>
      <c r="C3638" s="5" t="s">
        <v>207</v>
      </c>
      <c r="D3638" s="5" t="s">
        <v>55</v>
      </c>
      <c r="E3638" s="5" t="s">
        <v>310</v>
      </c>
      <c r="F3638" s="9">
        <v>56</v>
      </c>
      <c r="G3638" s="9">
        <v>633</v>
      </c>
      <c r="H3638" s="5" t="s">
        <v>21</v>
      </c>
      <c r="I3638" s="5" t="s">
        <v>8716</v>
      </c>
      <c r="J3638" s="12" t="str">
        <f>HYPERLINK("https://www.boe.es/gazeta/dias/1800/07/15/pdfs/GMD-1800-56.pdf#page=9","Abrir facsímil")</f>
        <v>Abrir facsímil</v>
      </c>
      <c r="K3638" s="15" t="s">
        <v>23</v>
      </c>
    </row>
    <row r="3639" spans="1:11" ht="42" customHeight="1">
      <c r="A3639" s="4" t="s">
        <v>8717</v>
      </c>
      <c r="B3639" s="5" t="s">
        <v>8718</v>
      </c>
      <c r="C3639" s="5" t="s">
        <v>84</v>
      </c>
      <c r="D3639" s="5" t="s">
        <v>85</v>
      </c>
      <c r="E3639" s="5" t="s">
        <v>248</v>
      </c>
      <c r="F3639" s="9">
        <v>33</v>
      </c>
      <c r="G3639" s="9">
        <v>336</v>
      </c>
      <c r="H3639" s="5" t="s">
        <v>21</v>
      </c>
      <c r="I3639" s="5" t="s">
        <v>8719</v>
      </c>
      <c r="J3639" s="12" t="str">
        <f>HYPERLINK("https://www.boe.es/gazeta/dias/1800/04/25/pdfs/GMD-1800-33.pdf#page=12","Abrir facsímil")</f>
        <v>Abrir facsímil</v>
      </c>
      <c r="K3639" s="15" t="s">
        <v>23</v>
      </c>
    </row>
    <row r="3640" spans="1:11" ht="42" customHeight="1">
      <c r="A3640" s="4" t="s">
        <v>8720</v>
      </c>
      <c r="B3640" s="5" t="s">
        <v>8721</v>
      </c>
      <c r="C3640" s="5" t="s">
        <v>18</v>
      </c>
      <c r="D3640" s="5" t="s">
        <v>19</v>
      </c>
      <c r="E3640" s="5" t="s">
        <v>135</v>
      </c>
      <c r="F3640" s="9">
        <v>73</v>
      </c>
      <c r="G3640" s="9">
        <v>815</v>
      </c>
      <c r="H3640" s="5" t="s">
        <v>21</v>
      </c>
      <c r="I3640" s="5" t="s">
        <v>8722</v>
      </c>
      <c r="J3640" s="12" t="str">
        <f>HYPERLINK("https://www.boe.es/gazeta/dias/1800/09/09/pdfs/GMD-1800-73.pdf#page=9","Abrir facsímil")</f>
        <v>Abrir facsímil</v>
      </c>
      <c r="K3640" s="15" t="s">
        <v>23</v>
      </c>
    </row>
    <row r="3641" spans="1:11" ht="42" customHeight="1">
      <c r="A3641" s="4" t="s">
        <v>8720</v>
      </c>
      <c r="B3641" s="5" t="s">
        <v>8721</v>
      </c>
      <c r="C3641" s="5" t="s">
        <v>18</v>
      </c>
      <c r="D3641" s="5" t="s">
        <v>19</v>
      </c>
      <c r="E3641" s="5" t="s">
        <v>583</v>
      </c>
      <c r="F3641" s="9">
        <v>77</v>
      </c>
      <c r="G3641" s="9">
        <v>879</v>
      </c>
      <c r="H3641" s="5" t="s">
        <v>21</v>
      </c>
      <c r="I3641" s="5" t="s">
        <v>8723</v>
      </c>
      <c r="J3641" s="12" t="str">
        <f>HYPERLINK("https://www.boe.es/gazeta/dias/1800/09/23/pdfs/GMD-1800-77.pdf#page=9","Abrir facsímil")</f>
        <v>Abrir facsímil</v>
      </c>
      <c r="K3641" s="15" t="s">
        <v>23</v>
      </c>
    </row>
    <row r="3642" spans="1:11" ht="42" customHeight="1">
      <c r="A3642" s="4" t="s">
        <v>8724</v>
      </c>
      <c r="B3642" s="5" t="s">
        <v>8725</v>
      </c>
      <c r="C3642" s="5" t="s">
        <v>18</v>
      </c>
      <c r="D3642" s="5" t="s">
        <v>19</v>
      </c>
      <c r="E3642" s="5" t="s">
        <v>105</v>
      </c>
      <c r="F3642" s="9">
        <v>28</v>
      </c>
      <c r="G3642" s="9">
        <v>290</v>
      </c>
      <c r="H3642" s="5" t="s">
        <v>21</v>
      </c>
      <c r="I3642" s="5" t="s">
        <v>8726</v>
      </c>
      <c r="J3642" s="12" t="str">
        <f>HYPERLINK("https://www.boe.es/gazeta/dias/1800/04/08/pdfs/GMD-1800-28.pdf#page=6","Abrir facsímil")</f>
        <v>Abrir facsímil</v>
      </c>
      <c r="K3642" s="15" t="s">
        <v>23</v>
      </c>
    </row>
    <row r="3643" spans="1:11" ht="42" customHeight="1">
      <c r="A3643" s="4" t="s">
        <v>8727</v>
      </c>
      <c r="B3643" s="5" t="s">
        <v>8728</v>
      </c>
      <c r="C3643" s="5" t="s">
        <v>207</v>
      </c>
      <c r="D3643" s="5" t="s">
        <v>55</v>
      </c>
      <c r="E3643" s="5" t="s">
        <v>240</v>
      </c>
      <c r="F3643" s="9">
        <v>26</v>
      </c>
      <c r="G3643" s="9">
        <v>268</v>
      </c>
      <c r="H3643" s="5" t="s">
        <v>21</v>
      </c>
      <c r="I3643" s="5" t="s">
        <v>8729</v>
      </c>
      <c r="J3643" s="12" t="str">
        <f>HYPERLINK("https://www.boe.es/gazeta/dias/1800/04/01/pdfs/GMD-1800-26.pdf#page=8","Abrir facsímil")</f>
        <v>Abrir facsímil</v>
      </c>
      <c r="K3643" s="15" t="s">
        <v>23</v>
      </c>
    </row>
    <row r="3644" spans="1:11" ht="42" customHeight="1">
      <c r="A3644" s="4" t="s">
        <v>8727</v>
      </c>
      <c r="B3644" s="5" t="s">
        <v>8728</v>
      </c>
      <c r="C3644" s="5" t="s">
        <v>18</v>
      </c>
      <c r="D3644" s="5" t="s">
        <v>19</v>
      </c>
      <c r="E3644" s="5" t="s">
        <v>406</v>
      </c>
      <c r="F3644" s="9">
        <v>44</v>
      </c>
      <c r="G3644" s="9">
        <v>461</v>
      </c>
      <c r="H3644" s="5" t="s">
        <v>21</v>
      </c>
      <c r="I3644" s="5" t="s">
        <v>8730</v>
      </c>
      <c r="J3644" s="12" t="str">
        <f>HYPERLINK("https://www.boe.es/gazeta/dias/1800/06/03/pdfs/GMD-1800-44.pdf#page=9","Abrir facsímil")</f>
        <v>Abrir facsímil</v>
      </c>
      <c r="K3644" s="15" t="s">
        <v>23</v>
      </c>
    </row>
    <row r="3645" spans="1:11" ht="42" customHeight="1">
      <c r="A3645" s="4" t="s">
        <v>8727</v>
      </c>
      <c r="B3645" s="5" t="s">
        <v>8728</v>
      </c>
      <c r="C3645" s="5" t="s">
        <v>171</v>
      </c>
      <c r="D3645" s="5" t="s">
        <v>172</v>
      </c>
      <c r="E3645" s="5" t="s">
        <v>90</v>
      </c>
      <c r="F3645" s="9">
        <v>58</v>
      </c>
      <c r="G3645" s="9">
        <v>668</v>
      </c>
      <c r="H3645" s="5" t="s">
        <v>21</v>
      </c>
      <c r="I3645" s="5" t="s">
        <v>8731</v>
      </c>
      <c r="J3645" s="12" t="str">
        <f>HYPERLINK("https://www.boe.es/gazeta/dias/1800/07/22/pdfs/GMD-C-1800-58.pdf#page=4","Abrir facsímil")</f>
        <v>Abrir facsímil</v>
      </c>
      <c r="K3645" s="15" t="s">
        <v>23</v>
      </c>
    </row>
    <row r="3646" spans="1:11" ht="42" customHeight="1">
      <c r="A3646" s="4" t="s">
        <v>8727</v>
      </c>
      <c r="B3646" s="5" t="s">
        <v>8728</v>
      </c>
      <c r="C3646" s="5" t="s">
        <v>18</v>
      </c>
      <c r="D3646" s="5" t="s">
        <v>19</v>
      </c>
      <c r="E3646" s="5" t="s">
        <v>422</v>
      </c>
      <c r="F3646" s="9">
        <v>85</v>
      </c>
      <c r="G3646" s="9">
        <v>985</v>
      </c>
      <c r="H3646" s="5" t="s">
        <v>21</v>
      </c>
      <c r="I3646" s="5" t="s">
        <v>8732</v>
      </c>
      <c r="J3646" s="12" t="str">
        <f>HYPERLINK("https://www.boe.es/gazeta/dias/1800/10/21/pdfs/GMD-1800-85.pdf#page=7","Abrir facsímil")</f>
        <v>Abrir facsímil</v>
      </c>
      <c r="K3646" s="15" t="s">
        <v>23</v>
      </c>
    </row>
    <row r="3647" spans="1:11" ht="42" customHeight="1">
      <c r="A3647" s="4" t="s">
        <v>8733</v>
      </c>
      <c r="B3647" s="5" t="s">
        <v>8734</v>
      </c>
      <c r="C3647" s="5" t="s">
        <v>18</v>
      </c>
      <c r="D3647" s="5" t="s">
        <v>19</v>
      </c>
      <c r="E3647" s="5" t="s">
        <v>314</v>
      </c>
      <c r="F3647" s="9">
        <v>74</v>
      </c>
      <c r="G3647" s="9">
        <v>831</v>
      </c>
      <c r="H3647" s="5" t="s">
        <v>21</v>
      </c>
      <c r="I3647" s="5" t="s">
        <v>8735</v>
      </c>
      <c r="J3647" s="12" t="str">
        <f>HYPERLINK("https://www.boe.es/gazeta/dias/1800/09/12/pdfs/GMD-1800-74.pdf#page=9","Abrir facsímil")</f>
        <v>Abrir facsímil</v>
      </c>
      <c r="K3647" s="15" t="s">
        <v>23</v>
      </c>
    </row>
    <row r="3648" spans="1:11" ht="42" customHeight="1">
      <c r="A3648" s="4" t="s">
        <v>8733</v>
      </c>
      <c r="B3648" s="5" t="s">
        <v>8734</v>
      </c>
      <c r="C3648" s="5" t="s">
        <v>18</v>
      </c>
      <c r="D3648" s="5" t="s">
        <v>19</v>
      </c>
      <c r="E3648" s="5" t="s">
        <v>111</v>
      </c>
      <c r="F3648" s="9">
        <v>98</v>
      </c>
      <c r="G3648" s="9">
        <v>1128</v>
      </c>
      <c r="H3648" s="5" t="s">
        <v>21</v>
      </c>
      <c r="I3648" s="5" t="s">
        <v>8736</v>
      </c>
      <c r="J3648" s="12" t="str">
        <f>HYPERLINK("https://www.boe.es/gazeta/dias/1800/12/05/pdfs/GMD-1800-98.pdf#page=8","Abrir facsímil")</f>
        <v>Abrir facsímil</v>
      </c>
      <c r="K3648" s="15" t="s">
        <v>23</v>
      </c>
    </row>
    <row r="3649" spans="1:11" ht="42" customHeight="1">
      <c r="A3649" s="4" t="s">
        <v>8737</v>
      </c>
      <c r="B3649" s="5" t="s">
        <v>8738</v>
      </c>
      <c r="C3649" s="5" t="s">
        <v>18</v>
      </c>
      <c r="D3649" s="5" t="s">
        <v>19</v>
      </c>
      <c r="E3649" s="5" t="s">
        <v>244</v>
      </c>
      <c r="F3649" s="9">
        <v>9</v>
      </c>
      <c r="G3649" s="9">
        <v>85</v>
      </c>
      <c r="H3649" s="5" t="s">
        <v>21</v>
      </c>
      <c r="I3649" s="5" t="s">
        <v>8739</v>
      </c>
      <c r="J3649" s="12" t="str">
        <f>HYPERLINK("https://www.boe.es/gazeta/dias/1800/01/31/pdfs/GMD-1800-9.pdf#page=9","Abrir facsímil")</f>
        <v>Abrir facsímil</v>
      </c>
      <c r="K3649" s="15" t="s">
        <v>23</v>
      </c>
    </row>
    <row r="3650" spans="1:11" ht="42" customHeight="1">
      <c r="A3650" s="4" t="s">
        <v>8740</v>
      </c>
      <c r="B3650" s="5" t="s">
        <v>8741</v>
      </c>
      <c r="C3650" s="5" t="s">
        <v>18</v>
      </c>
      <c r="D3650" s="5" t="s">
        <v>19</v>
      </c>
      <c r="E3650" s="5" t="s">
        <v>139</v>
      </c>
      <c r="F3650" s="9">
        <v>2</v>
      </c>
      <c r="G3650" s="9">
        <v>17</v>
      </c>
      <c r="H3650" s="5" t="s">
        <v>21</v>
      </c>
      <c r="I3650" s="5" t="s">
        <v>8742</v>
      </c>
      <c r="J3650" s="12" t="str">
        <f>HYPERLINK("https://www.boe.es/gazeta/dias/1800/01/07/pdfs/GMD-1800-2.pdf#page=9","Abrir facsímil")</f>
        <v>Abrir facsímil</v>
      </c>
      <c r="K3650" s="15" t="s">
        <v>23</v>
      </c>
    </row>
    <row r="3651" spans="1:11" ht="42" customHeight="1">
      <c r="A3651" s="4" t="s">
        <v>8743</v>
      </c>
      <c r="B3651" s="5" t="s">
        <v>8744</v>
      </c>
      <c r="C3651" s="5" t="s">
        <v>18</v>
      </c>
      <c r="D3651" s="5" t="s">
        <v>19</v>
      </c>
      <c r="E3651" s="5" t="s">
        <v>255</v>
      </c>
      <c r="F3651" s="9">
        <v>75</v>
      </c>
      <c r="G3651" s="9">
        <v>855</v>
      </c>
      <c r="H3651" s="5" t="s">
        <v>21</v>
      </c>
      <c r="I3651" s="5" t="s">
        <v>8745</v>
      </c>
      <c r="J3651" s="12" t="str">
        <f>HYPERLINK("https://www.boe.es/gazeta/dias/1800/09/16/pdfs/GMD-1800-75.pdf#page=9","Abrir facsímil")</f>
        <v>Abrir facsímil</v>
      </c>
      <c r="K3651" s="15" t="s">
        <v>23</v>
      </c>
    </row>
    <row r="3652" spans="1:11" ht="42" customHeight="1">
      <c r="A3652" s="4" t="s">
        <v>8746</v>
      </c>
      <c r="B3652" s="5" t="s">
        <v>8747</v>
      </c>
      <c r="C3652" s="5" t="s">
        <v>207</v>
      </c>
      <c r="D3652" s="5" t="s">
        <v>55</v>
      </c>
      <c r="E3652" s="5" t="s">
        <v>135</v>
      </c>
      <c r="F3652" s="9">
        <v>73</v>
      </c>
      <c r="G3652" s="9">
        <v>814</v>
      </c>
      <c r="H3652" s="5" t="s">
        <v>21</v>
      </c>
      <c r="I3652" s="5" t="s">
        <v>8748</v>
      </c>
      <c r="J3652" s="12" t="str">
        <f>HYPERLINK("https://www.boe.es/gazeta/dias/1800/09/09/pdfs/GMD-1800-73.pdf#page=8","Abrir facsímil")</f>
        <v>Abrir facsímil</v>
      </c>
      <c r="K3652" s="15" t="s">
        <v>23</v>
      </c>
    </row>
    <row r="3653" spans="1:11" ht="42" customHeight="1">
      <c r="A3653" s="4" t="s">
        <v>8749</v>
      </c>
      <c r="B3653" s="5" t="s">
        <v>8750</v>
      </c>
      <c r="C3653" s="5" t="s">
        <v>18</v>
      </c>
      <c r="D3653" s="5" t="s">
        <v>19</v>
      </c>
      <c r="E3653" s="5" t="s">
        <v>116</v>
      </c>
      <c r="F3653" s="9">
        <v>86</v>
      </c>
      <c r="G3653" s="9">
        <v>997</v>
      </c>
      <c r="H3653" s="5" t="s">
        <v>21</v>
      </c>
      <c r="I3653" s="5" t="s">
        <v>8751</v>
      </c>
      <c r="J3653" s="12" t="str">
        <f>HYPERLINK("https://www.boe.es/gazeta/dias/1800/10/24/pdfs/GMD-1800-86.pdf#page=7","Abrir facsímil")</f>
        <v>Abrir facsímil</v>
      </c>
      <c r="K3653" s="15" t="s">
        <v>23</v>
      </c>
    </row>
    <row r="3654" spans="1:11" ht="42" customHeight="1">
      <c r="A3654" s="4" t="s">
        <v>8752</v>
      </c>
      <c r="B3654" s="5" t="s">
        <v>8753</v>
      </c>
      <c r="C3654" s="5" t="s">
        <v>18</v>
      </c>
      <c r="D3654" s="5" t="s">
        <v>19</v>
      </c>
      <c r="E3654" s="5" t="s">
        <v>45</v>
      </c>
      <c r="F3654" s="9">
        <v>47</v>
      </c>
      <c r="G3654" s="9">
        <v>496</v>
      </c>
      <c r="H3654" s="5" t="s">
        <v>21</v>
      </c>
      <c r="I3654" s="5" t="s">
        <v>8754</v>
      </c>
      <c r="J3654" s="12" t="str">
        <f>HYPERLINK("https://www.boe.es/gazeta/dias/1800/06/13/pdfs/GMD-1800-47.pdf#page=4","Abrir facsímil")</f>
        <v>Abrir facsímil</v>
      </c>
      <c r="K3654" s="15" t="s">
        <v>23</v>
      </c>
    </row>
    <row r="3655" spans="1:11" ht="42" customHeight="1">
      <c r="A3655" s="4" t="s">
        <v>8755</v>
      </c>
      <c r="B3655" s="5" t="s">
        <v>8755</v>
      </c>
      <c r="C3655" s="5" t="s">
        <v>41</v>
      </c>
      <c r="D3655" s="5" t="s">
        <v>42</v>
      </c>
      <c r="E3655" s="5" t="s">
        <v>478</v>
      </c>
      <c r="F3655" s="9">
        <v>34</v>
      </c>
      <c r="G3655" s="9">
        <v>343</v>
      </c>
      <c r="H3655" s="5" t="s">
        <v>21</v>
      </c>
      <c r="I3655" s="5" t="s">
        <v>8756</v>
      </c>
      <c r="J3655" s="12" t="str">
        <f>HYPERLINK("https://www.boe.es/gazeta/dias/1800/04/29/pdfs/GMD-1800-34.pdf#page=7","Abrir facsímil")</f>
        <v>Abrir facsímil</v>
      </c>
      <c r="K3655" s="15" t="s">
        <v>23</v>
      </c>
    </row>
    <row r="3656" spans="1:11" ht="42" customHeight="1">
      <c r="A3656" s="4" t="s">
        <v>8757</v>
      </c>
      <c r="B3656" s="5" t="s">
        <v>8757</v>
      </c>
      <c r="C3656" s="5" t="s">
        <v>41</v>
      </c>
      <c r="D3656" s="5" t="s">
        <v>42</v>
      </c>
      <c r="E3656" s="5" t="s">
        <v>154</v>
      </c>
      <c r="F3656" s="9">
        <v>61</v>
      </c>
      <c r="G3656" s="9">
        <v>690</v>
      </c>
      <c r="H3656" s="5" t="s">
        <v>21</v>
      </c>
      <c r="I3656" s="5" t="s">
        <v>8758</v>
      </c>
      <c r="J3656" s="12" t="str">
        <f>HYPERLINK("https://www.boe.es/gazeta/dias/1800/08/01/pdfs/GMD-1800-61.pdf#page=2","Abrir facsímil")</f>
        <v>Abrir facsímil</v>
      </c>
      <c r="K3656" s="15" t="s">
        <v>23</v>
      </c>
    </row>
    <row r="3657" spans="1:11" ht="42" customHeight="1">
      <c r="A3657" s="4" t="s">
        <v>8759</v>
      </c>
      <c r="B3657" s="5" t="s">
        <v>8760</v>
      </c>
      <c r="C3657" s="5" t="s">
        <v>25</v>
      </c>
      <c r="D3657" s="5" t="s">
        <v>26</v>
      </c>
      <c r="E3657" s="5" t="s">
        <v>567</v>
      </c>
      <c r="F3657" s="9">
        <v>3</v>
      </c>
      <c r="G3657" s="9">
        <v>27</v>
      </c>
      <c r="H3657" s="5" t="s">
        <v>21</v>
      </c>
      <c r="I3657" s="5" t="s">
        <v>8761</v>
      </c>
      <c r="J3657" s="12" t="str">
        <f>HYPERLINK("https://www.boe.es/gazeta/dias/1800/01/10/pdfs/GMD-1800-3.pdf#page=7","Abrir facsímil")</f>
        <v>Abrir facsímil</v>
      </c>
      <c r="K3657" s="15" t="s">
        <v>23</v>
      </c>
    </row>
    <row r="3658" spans="1:11" ht="42" customHeight="1">
      <c r="A3658" s="4" t="s">
        <v>8762</v>
      </c>
      <c r="B3658" s="5" t="s">
        <v>8762</v>
      </c>
      <c r="C3658" s="5" t="s">
        <v>41</v>
      </c>
      <c r="D3658" s="5" t="s">
        <v>42</v>
      </c>
      <c r="E3658" s="5" t="s">
        <v>283</v>
      </c>
      <c r="F3658" s="9">
        <v>68</v>
      </c>
      <c r="G3658" s="9">
        <v>760</v>
      </c>
      <c r="H3658" s="5" t="s">
        <v>21</v>
      </c>
      <c r="I3658" s="5" t="s">
        <v>8763</v>
      </c>
      <c r="J3658" s="12" t="str">
        <f>HYPERLINK("https://www.boe.es/gazeta/dias/1800/08/26/pdfs/GMD-1800-68.pdf#page=4","Abrir facsímil")</f>
        <v>Abrir facsímil</v>
      </c>
      <c r="K3658" s="15" t="s">
        <v>23</v>
      </c>
    </row>
    <row r="3659" spans="1:11" ht="42" customHeight="1">
      <c r="A3659" s="4" t="s">
        <v>8764</v>
      </c>
      <c r="B3659" s="5" t="s">
        <v>8765</v>
      </c>
      <c r="C3659" s="5" t="s">
        <v>41</v>
      </c>
      <c r="D3659" s="5" t="s">
        <v>42</v>
      </c>
      <c r="E3659" s="5" t="s">
        <v>255</v>
      </c>
      <c r="F3659" s="9">
        <v>75</v>
      </c>
      <c r="G3659" s="9">
        <v>850</v>
      </c>
      <c r="H3659" s="5" t="s">
        <v>21</v>
      </c>
      <c r="I3659" s="5" t="s">
        <v>8766</v>
      </c>
      <c r="J3659" s="12" t="str">
        <f>HYPERLINK("https://www.boe.es/gazeta/dias/1800/09/16/pdfs/GMD-1800-75.pdf#page=4","Abrir facsímil")</f>
        <v>Abrir facsímil</v>
      </c>
      <c r="K3659" s="15" t="s">
        <v>23</v>
      </c>
    </row>
    <row r="3660" spans="1:11" ht="42" customHeight="1">
      <c r="A3660" s="4" t="s">
        <v>8767</v>
      </c>
      <c r="B3660" s="5" t="s">
        <v>8768</v>
      </c>
      <c r="C3660" s="5" t="s">
        <v>41</v>
      </c>
      <c r="D3660" s="5" t="s">
        <v>42</v>
      </c>
      <c r="E3660" s="5" t="s">
        <v>567</v>
      </c>
      <c r="F3660" s="9">
        <v>3</v>
      </c>
      <c r="G3660" s="9">
        <v>24</v>
      </c>
      <c r="H3660" s="5" t="s">
        <v>21</v>
      </c>
      <c r="I3660" s="5" t="s">
        <v>8769</v>
      </c>
      <c r="J3660" s="12" t="str">
        <f>HYPERLINK("https://www.boe.es/gazeta/dias/1800/01/10/pdfs/GMD-1800-3.pdf#page=4","Abrir facsímil")</f>
        <v>Abrir facsímil</v>
      </c>
      <c r="K3660" s="15" t="s">
        <v>23</v>
      </c>
    </row>
    <row r="3661" spans="1:11" ht="42" customHeight="1">
      <c r="A3661" s="4" t="s">
        <v>8770</v>
      </c>
      <c r="B3661" s="5" t="s">
        <v>8771</v>
      </c>
      <c r="C3661" s="5" t="s">
        <v>18</v>
      </c>
      <c r="D3661" s="5" t="s">
        <v>19</v>
      </c>
      <c r="E3661" s="5" t="s">
        <v>534</v>
      </c>
      <c r="F3661" s="9">
        <v>100</v>
      </c>
      <c r="G3661" s="9">
        <v>1160</v>
      </c>
      <c r="H3661" s="5" t="s">
        <v>21</v>
      </c>
      <c r="I3661" s="5" t="s">
        <v>8772</v>
      </c>
      <c r="J3661" s="12" t="str">
        <f>HYPERLINK("https://www.boe.es/gazeta/dias/1800/12/12/pdfs/GMD-1800-100.pdf#page=12","Abrir facsímil")</f>
        <v>Abrir facsímil</v>
      </c>
      <c r="K3661" s="15" t="s">
        <v>23</v>
      </c>
    </row>
    <row r="3662" spans="1:11" ht="42" customHeight="1">
      <c r="A3662" s="4" t="s">
        <v>8773</v>
      </c>
      <c r="B3662" s="5" t="s">
        <v>8774</v>
      </c>
      <c r="C3662" s="5" t="s">
        <v>41</v>
      </c>
      <c r="D3662" s="5" t="s">
        <v>42</v>
      </c>
      <c r="E3662" s="5" t="s">
        <v>82</v>
      </c>
      <c r="F3662" s="9">
        <v>10</v>
      </c>
      <c r="G3662" s="9">
        <v>92</v>
      </c>
      <c r="H3662" s="5" t="s">
        <v>21</v>
      </c>
      <c r="I3662" s="5" t="s">
        <v>8775</v>
      </c>
      <c r="J3662" s="12" t="str">
        <f>HYPERLINK("https://www.boe.es/gazeta/dias/1800/02/04/pdfs/GMD-1800-10.pdf#page=4","Abrir facsímil")</f>
        <v>Abrir facsímil</v>
      </c>
      <c r="K3662" s="15" t="s">
        <v>23</v>
      </c>
    </row>
    <row r="3663" spans="1:11" ht="42" customHeight="1">
      <c r="A3663" s="4" t="s">
        <v>8776</v>
      </c>
      <c r="B3663" s="5" t="s">
        <v>8776</v>
      </c>
      <c r="C3663" s="5" t="s">
        <v>41</v>
      </c>
      <c r="D3663" s="5" t="s">
        <v>42</v>
      </c>
      <c r="E3663" s="5" t="s">
        <v>590</v>
      </c>
      <c r="F3663" s="9">
        <v>69</v>
      </c>
      <c r="G3663" s="9">
        <v>770</v>
      </c>
      <c r="H3663" s="5" t="s">
        <v>21</v>
      </c>
      <c r="I3663" s="5" t="s">
        <v>8777</v>
      </c>
      <c r="J3663" s="12" t="str">
        <f>HYPERLINK("https://www.boe.es/gazeta/dias/1800/08/29/pdfs/GMD-1800-69.pdf#page=2","Abrir facsímil")</f>
        <v>Abrir facsímil</v>
      </c>
      <c r="K3663" s="15" t="s">
        <v>23</v>
      </c>
    </row>
    <row r="3664" spans="1:11" ht="42" customHeight="1">
      <c r="A3664" s="4" t="s">
        <v>8778</v>
      </c>
      <c r="B3664" s="5" t="s">
        <v>8778</v>
      </c>
      <c r="C3664" s="5" t="s">
        <v>41</v>
      </c>
      <c r="D3664" s="5" t="s">
        <v>42</v>
      </c>
      <c r="E3664" s="5" t="s">
        <v>111</v>
      </c>
      <c r="F3664" s="9">
        <v>98</v>
      </c>
      <c r="G3664" s="9">
        <v>1124</v>
      </c>
      <c r="H3664" s="5" t="s">
        <v>21</v>
      </c>
      <c r="I3664" s="5" t="s">
        <v>8779</v>
      </c>
      <c r="J3664" s="12" t="str">
        <f>HYPERLINK("https://www.boe.es/gazeta/dias/1800/12/05/pdfs/GMD-1800-98.pdf#page=4","Abrir facsímil")</f>
        <v>Abrir facsímil</v>
      </c>
      <c r="K3664" s="15" t="s">
        <v>23</v>
      </c>
    </row>
    <row r="3665" spans="1:11" ht="42" customHeight="1">
      <c r="A3665" s="4" t="s">
        <v>8780</v>
      </c>
      <c r="B3665" s="5" t="s">
        <v>8781</v>
      </c>
      <c r="C3665" s="5" t="s">
        <v>18</v>
      </c>
      <c r="D3665" s="5" t="s">
        <v>19</v>
      </c>
      <c r="E3665" s="5" t="s">
        <v>58</v>
      </c>
      <c r="F3665" s="9">
        <v>92</v>
      </c>
      <c r="G3665" s="9">
        <v>1049</v>
      </c>
      <c r="H3665" s="5" t="s">
        <v>21</v>
      </c>
      <c r="I3665" s="5" t="s">
        <v>8782</v>
      </c>
      <c r="J3665" s="12" t="str">
        <f>HYPERLINK("https://www.boe.es/gazeta/dias/1800/11/14/pdfs/GMD-1800-92.pdf#page=3","Abrir facsímil")</f>
        <v>Abrir facsímil</v>
      </c>
      <c r="K3665" s="15" t="s">
        <v>23</v>
      </c>
    </row>
    <row r="3666" spans="1:11" ht="42" customHeight="1">
      <c r="A3666" s="4" t="s">
        <v>8783</v>
      </c>
      <c r="B3666" s="5" t="s">
        <v>8784</v>
      </c>
      <c r="C3666" s="5" t="s">
        <v>18</v>
      </c>
      <c r="D3666" s="5" t="s">
        <v>19</v>
      </c>
      <c r="E3666" s="5" t="s">
        <v>615</v>
      </c>
      <c r="F3666" s="9">
        <v>95</v>
      </c>
      <c r="G3666" s="9">
        <v>1083</v>
      </c>
      <c r="H3666" s="5" t="s">
        <v>21</v>
      </c>
      <c r="I3666" s="5" t="s">
        <v>8785</v>
      </c>
      <c r="J3666" s="12" t="str">
        <f>HYPERLINK("https://www.boe.es/gazeta/dias/1800/11/25/pdfs/GMD-1800-95.pdf#page=1","Abrir facsímil")</f>
        <v>Abrir facsímil</v>
      </c>
      <c r="K3666" s="15" t="s">
        <v>23</v>
      </c>
    </row>
    <row r="3667" spans="1:11" ht="42" customHeight="1">
      <c r="A3667" s="4" t="s">
        <v>8786</v>
      </c>
      <c r="B3667" s="5" t="s">
        <v>8786</v>
      </c>
      <c r="C3667" s="5" t="s">
        <v>41</v>
      </c>
      <c r="D3667" s="5" t="s">
        <v>42</v>
      </c>
      <c r="E3667" s="5" t="s">
        <v>534</v>
      </c>
      <c r="F3667" s="9">
        <v>100</v>
      </c>
      <c r="G3667" s="9">
        <v>1150</v>
      </c>
      <c r="H3667" s="5" t="s">
        <v>21</v>
      </c>
      <c r="I3667" s="5" t="s">
        <v>8787</v>
      </c>
      <c r="J3667" s="12" t="str">
        <f>HYPERLINK("https://www.boe.es/gazeta/dias/1800/12/12/pdfs/GMD-1800-100.pdf#page=2","Abrir facsímil")</f>
        <v>Abrir facsímil</v>
      </c>
      <c r="K3667" s="15" t="s">
        <v>23</v>
      </c>
    </row>
    <row r="3668" spans="1:11" ht="42" customHeight="1">
      <c r="A3668" s="4" t="s">
        <v>8788</v>
      </c>
      <c r="B3668" s="5" t="s">
        <v>8789</v>
      </c>
      <c r="C3668" s="5" t="s">
        <v>25</v>
      </c>
      <c r="D3668" s="5" t="s">
        <v>26</v>
      </c>
      <c r="E3668" s="5" t="s">
        <v>20</v>
      </c>
      <c r="F3668" s="9">
        <v>104</v>
      </c>
      <c r="G3668" s="9">
        <v>1212</v>
      </c>
      <c r="H3668" s="5" t="s">
        <v>21</v>
      </c>
      <c r="I3668" s="5" t="s">
        <v>8790</v>
      </c>
      <c r="J3668" s="12" t="str">
        <f>HYPERLINK("https://www.boe.es/gazeta/dias/1800/12/26/pdfs/GMD-1800-104.pdf#page=12","Abrir facsímil")</f>
        <v>Abrir facsímil</v>
      </c>
      <c r="K3668" s="15" t="s">
        <v>23</v>
      </c>
    </row>
    <row r="3669" spans="1:11" ht="42" customHeight="1">
      <c r="A3669" s="4" t="s">
        <v>8791</v>
      </c>
      <c r="B3669" s="5" t="s">
        <v>8791</v>
      </c>
      <c r="C3669" s="5" t="s">
        <v>41</v>
      </c>
      <c r="D3669" s="5" t="s">
        <v>42</v>
      </c>
      <c r="E3669" s="5" t="s">
        <v>184</v>
      </c>
      <c r="F3669" s="9">
        <v>82</v>
      </c>
      <c r="G3669" s="9">
        <v>946</v>
      </c>
      <c r="H3669" s="5" t="s">
        <v>21</v>
      </c>
      <c r="I3669" s="5" t="s">
        <v>8792</v>
      </c>
      <c r="J3669" s="12" t="str">
        <f>HYPERLINK("https://www.boe.es/gazeta/dias/1800/10/10/pdfs/GMD-1800-82.pdf#page=4","Abrir facsímil")</f>
        <v>Abrir facsímil</v>
      </c>
      <c r="K3669" s="15" t="s">
        <v>23</v>
      </c>
    </row>
    <row r="3670" spans="1:11" ht="42" customHeight="1">
      <c r="A3670" s="4" t="s">
        <v>8793</v>
      </c>
      <c r="B3670" s="5" t="s">
        <v>8793</v>
      </c>
      <c r="C3670" s="5" t="s">
        <v>41</v>
      </c>
      <c r="D3670" s="5" t="s">
        <v>42</v>
      </c>
      <c r="E3670" s="5" t="s">
        <v>196</v>
      </c>
      <c r="F3670" s="9">
        <v>97</v>
      </c>
      <c r="G3670" s="9">
        <v>1111</v>
      </c>
      <c r="H3670" s="5" t="s">
        <v>21</v>
      </c>
      <c r="I3670" s="5" t="s">
        <v>8794</v>
      </c>
      <c r="J3670" s="12" t="str">
        <f>HYPERLINK("https://www.boe.es/gazeta/dias/1800/12/02/pdfs/GMD-1800-97.pdf#page=3","Abrir facsímil")</f>
        <v>Abrir facsímil</v>
      </c>
      <c r="K3670" s="15" t="s">
        <v>23</v>
      </c>
    </row>
    <row r="3671" spans="1:11" ht="42" customHeight="1">
      <c r="A3671" s="4" t="s">
        <v>8795</v>
      </c>
      <c r="B3671" s="5" t="s">
        <v>8796</v>
      </c>
      <c r="C3671" s="5" t="s">
        <v>41</v>
      </c>
      <c r="D3671" s="5" t="s">
        <v>42</v>
      </c>
      <c r="E3671" s="5" t="s">
        <v>567</v>
      </c>
      <c r="F3671" s="9">
        <v>3</v>
      </c>
      <c r="G3671" s="9">
        <v>23</v>
      </c>
      <c r="H3671" s="5" t="s">
        <v>21</v>
      </c>
      <c r="I3671" s="5" t="s">
        <v>8797</v>
      </c>
      <c r="J3671" s="12" t="str">
        <f>HYPERLINK("https://www.boe.es/gazeta/dias/1800/01/10/pdfs/GMD-1800-3.pdf#page=3","Abrir facsímil")</f>
        <v>Abrir facsímil</v>
      </c>
      <c r="K3671" s="15" t="s">
        <v>23</v>
      </c>
    </row>
    <row r="3672" spans="1:11" ht="42" customHeight="1">
      <c r="A3672" s="4" t="s">
        <v>8798</v>
      </c>
      <c r="B3672" s="5" t="s">
        <v>8798</v>
      </c>
      <c r="C3672" s="5" t="s">
        <v>18</v>
      </c>
      <c r="D3672" s="5" t="s">
        <v>19</v>
      </c>
      <c r="E3672" s="5" t="s">
        <v>244</v>
      </c>
      <c r="F3672" s="9">
        <v>9</v>
      </c>
      <c r="G3672" s="9">
        <v>80</v>
      </c>
      <c r="H3672" s="5" t="s">
        <v>21</v>
      </c>
      <c r="I3672" s="5" t="s">
        <v>8799</v>
      </c>
      <c r="J3672" s="12" t="str">
        <f>HYPERLINK("https://www.boe.es/gazeta/dias/1800/01/31/pdfs/GMD-1800-9.pdf#page=4","Abrir facsímil")</f>
        <v>Abrir facsímil</v>
      </c>
      <c r="K3672" s="15" t="s">
        <v>23</v>
      </c>
    </row>
    <row r="3673" spans="1:11" ht="42" customHeight="1">
      <c r="A3673" s="4" t="s">
        <v>8800</v>
      </c>
      <c r="B3673" s="5" t="s">
        <v>8801</v>
      </c>
      <c r="C3673" s="5" t="s">
        <v>41</v>
      </c>
      <c r="D3673" s="5" t="s">
        <v>42</v>
      </c>
      <c r="E3673" s="5" t="s">
        <v>244</v>
      </c>
      <c r="F3673" s="9">
        <v>9</v>
      </c>
      <c r="G3673" s="9">
        <v>80</v>
      </c>
      <c r="H3673" s="5" t="s">
        <v>21</v>
      </c>
      <c r="I3673" s="5" t="s">
        <v>8802</v>
      </c>
      <c r="J3673" s="12" t="str">
        <f>HYPERLINK("https://www.boe.es/gazeta/dias/1800/01/31/pdfs/GMD-1800-9.pdf#page=4","Abrir facsímil")</f>
        <v>Abrir facsímil</v>
      </c>
      <c r="K3673" s="15" t="s">
        <v>23</v>
      </c>
    </row>
    <row r="3674" spans="1:11" ht="42" customHeight="1">
      <c r="A3674" s="4" t="s">
        <v>8803</v>
      </c>
      <c r="B3674" s="5" t="s">
        <v>8804</v>
      </c>
      <c r="C3674" s="5" t="s">
        <v>41</v>
      </c>
      <c r="D3674" s="5" t="s">
        <v>42</v>
      </c>
      <c r="E3674" s="5" t="s">
        <v>461</v>
      </c>
      <c r="F3674" s="9">
        <v>18</v>
      </c>
      <c r="G3674" s="9">
        <v>167</v>
      </c>
      <c r="H3674" s="5" t="s">
        <v>21</v>
      </c>
      <c r="I3674" s="5" t="s">
        <v>8805</v>
      </c>
      <c r="J3674" s="12" t="str">
        <f>HYPERLINK("https://www.boe.es/datos/pdfs/BOE//1800/018/C00173-00176.pdf#page=3","Abrir facsímil")</f>
        <v>Abrir facsímil</v>
      </c>
      <c r="K3674" s="15" t="s">
        <v>23</v>
      </c>
    </row>
    <row r="3675" spans="1:11" ht="42" customHeight="1">
      <c r="A3675" s="4" t="s">
        <v>8806</v>
      </c>
      <c r="B3675" s="5" t="s">
        <v>8807</v>
      </c>
      <c r="C3675" s="5" t="s">
        <v>18</v>
      </c>
      <c r="D3675" s="5" t="s">
        <v>19</v>
      </c>
      <c r="E3675" s="5" t="s">
        <v>319</v>
      </c>
      <c r="F3675" s="9">
        <v>62</v>
      </c>
      <c r="G3675" s="9">
        <v>701</v>
      </c>
      <c r="H3675" s="5" t="s">
        <v>21</v>
      </c>
      <c r="I3675" s="5" t="s">
        <v>8808</v>
      </c>
      <c r="J3675" s="12" t="str">
        <f>HYPERLINK("https://www.boe.es/gazeta/dias/1800/08/05/pdfs/GMD-1800-62.pdf#page=1","Abrir facsímil")</f>
        <v>Abrir facsímil</v>
      </c>
      <c r="K3675" s="15" t="s">
        <v>23</v>
      </c>
    </row>
    <row r="3676" spans="1:11" ht="42" customHeight="1">
      <c r="A3676" s="4" t="s">
        <v>8809</v>
      </c>
      <c r="B3676" s="5" t="s">
        <v>8810</v>
      </c>
      <c r="C3676" s="5" t="s">
        <v>18</v>
      </c>
      <c r="D3676" s="5" t="s">
        <v>19</v>
      </c>
      <c r="E3676" s="5" t="s">
        <v>240</v>
      </c>
      <c r="F3676" s="9">
        <v>26</v>
      </c>
      <c r="G3676" s="9">
        <v>264</v>
      </c>
      <c r="H3676" s="5" t="s">
        <v>21</v>
      </c>
      <c r="I3676" s="5" t="s">
        <v>8811</v>
      </c>
      <c r="J3676" s="12" t="str">
        <f>HYPERLINK("https://www.boe.es/gazeta/dias/1800/04/01/pdfs/GMD-1800-26.pdf#page=4","Abrir facsímil")</f>
        <v>Abrir facsímil</v>
      </c>
      <c r="K3676" s="15" t="s">
        <v>23</v>
      </c>
    </row>
    <row r="3677" spans="1:11" ht="42" customHeight="1">
      <c r="A3677" s="4" t="s">
        <v>8809</v>
      </c>
      <c r="B3677" s="5" t="s">
        <v>8810</v>
      </c>
      <c r="C3677" s="5" t="s">
        <v>18</v>
      </c>
      <c r="D3677" s="5" t="s">
        <v>19</v>
      </c>
      <c r="E3677" s="5" t="s">
        <v>1108</v>
      </c>
      <c r="F3677" s="9">
        <v>30</v>
      </c>
      <c r="G3677" s="9">
        <v>303</v>
      </c>
      <c r="H3677" s="5" t="s">
        <v>21</v>
      </c>
      <c r="I3677" s="5" t="s">
        <v>8812</v>
      </c>
      <c r="J3677" s="12" t="str">
        <f>HYPERLINK("https://www.boe.es/gazeta/dias/1800/04/15/pdfs/GMD-1800-30.pdf#page=3","Abrir facsímil")</f>
        <v>Abrir facsímil</v>
      </c>
      <c r="K3677" s="15" t="s">
        <v>23</v>
      </c>
    </row>
    <row r="3678" spans="1:11" ht="42" customHeight="1">
      <c r="A3678" s="4" t="s">
        <v>8813</v>
      </c>
      <c r="B3678" s="5" t="s">
        <v>8814</v>
      </c>
      <c r="C3678" s="5" t="s">
        <v>41</v>
      </c>
      <c r="D3678" s="5" t="s">
        <v>42</v>
      </c>
      <c r="E3678" s="5" t="s">
        <v>35</v>
      </c>
      <c r="F3678" s="9">
        <v>21</v>
      </c>
      <c r="G3678" s="9">
        <v>203</v>
      </c>
      <c r="H3678" s="5" t="s">
        <v>21</v>
      </c>
      <c r="I3678" s="5" t="s">
        <v>8815</v>
      </c>
      <c r="J3678" s="12" t="str">
        <f>HYPERLINK("https://www.boe.es/gazeta/dias/1800/03/14/pdfs/GMD-1800-21.pdf#page=7","Abrir facsímil")</f>
        <v>Abrir facsímil</v>
      </c>
      <c r="K3678" s="15" t="s">
        <v>23</v>
      </c>
    </row>
    <row r="3679" spans="1:11" ht="42" customHeight="1">
      <c r="A3679" s="4" t="s">
        <v>8816</v>
      </c>
      <c r="B3679" s="5" t="s">
        <v>8817</v>
      </c>
      <c r="C3679" s="5" t="s">
        <v>18</v>
      </c>
      <c r="D3679" s="5" t="s">
        <v>19</v>
      </c>
      <c r="E3679" s="5" t="s">
        <v>545</v>
      </c>
      <c r="F3679" s="9">
        <v>14</v>
      </c>
      <c r="G3679" s="9">
        <v>133</v>
      </c>
      <c r="H3679" s="5" t="s">
        <v>21</v>
      </c>
      <c r="I3679" s="5" t="s">
        <v>8818</v>
      </c>
      <c r="J3679" s="12" t="str">
        <f>HYPERLINK("https://www.boe.es/gazeta/dias/1800/02/18/pdfs/GMD-1800-14.pdf#page=5","Abrir facsímil")</f>
        <v>Abrir facsímil</v>
      </c>
      <c r="K3679" s="15" t="s">
        <v>23</v>
      </c>
    </row>
    <row r="3680" spans="1:11" ht="42" customHeight="1">
      <c r="A3680" s="4" t="s">
        <v>8816</v>
      </c>
      <c r="B3680" s="5" t="s">
        <v>8817</v>
      </c>
      <c r="C3680" s="5" t="s">
        <v>41</v>
      </c>
      <c r="D3680" s="5" t="s">
        <v>42</v>
      </c>
      <c r="E3680" s="5" t="s">
        <v>143</v>
      </c>
      <c r="F3680" s="9">
        <v>22</v>
      </c>
      <c r="G3680" s="9">
        <v>216</v>
      </c>
      <c r="H3680" s="5" t="s">
        <v>21</v>
      </c>
      <c r="I3680" s="5" t="s">
        <v>8819</v>
      </c>
      <c r="J3680" s="12" t="str">
        <f>HYPERLINK("https://www.boe.es/gazeta/dias/1800/03/18/pdfs/GMD-1800-22.pdf#page=8","Abrir facsímil")</f>
        <v>Abrir facsímil</v>
      </c>
      <c r="K3680" s="15" t="s">
        <v>23</v>
      </c>
    </row>
    <row r="3681" spans="1:11" ht="42" customHeight="1">
      <c r="A3681" s="4" t="s">
        <v>8820</v>
      </c>
      <c r="B3681" s="5" t="s">
        <v>8821</v>
      </c>
      <c r="C3681" s="5" t="s">
        <v>41</v>
      </c>
      <c r="D3681" s="5" t="s">
        <v>42</v>
      </c>
      <c r="E3681" s="5" t="s">
        <v>35</v>
      </c>
      <c r="F3681" s="9">
        <v>21</v>
      </c>
      <c r="G3681" s="9">
        <v>203</v>
      </c>
      <c r="H3681" s="5" t="s">
        <v>21</v>
      </c>
      <c r="I3681" s="5" t="s">
        <v>8822</v>
      </c>
      <c r="J3681" s="12" t="str">
        <f>HYPERLINK("https://www.boe.es/gazeta/dias/1800/03/14/pdfs/GMD-1800-21.pdf#page=7","Abrir facsímil")</f>
        <v>Abrir facsímil</v>
      </c>
      <c r="K3681" s="15" t="s">
        <v>23</v>
      </c>
    </row>
    <row r="3682" spans="1:11" ht="42" customHeight="1">
      <c r="A3682" s="4" t="s">
        <v>8823</v>
      </c>
      <c r="B3682" s="5" t="s">
        <v>8823</v>
      </c>
      <c r="C3682" s="5" t="s">
        <v>41</v>
      </c>
      <c r="D3682" s="5" t="s">
        <v>42</v>
      </c>
      <c r="E3682" s="5" t="s">
        <v>454</v>
      </c>
      <c r="F3682" s="9">
        <v>63</v>
      </c>
      <c r="G3682" s="9">
        <v>717</v>
      </c>
      <c r="H3682" s="5" t="s">
        <v>21</v>
      </c>
      <c r="I3682" s="5" t="s">
        <v>8824</v>
      </c>
      <c r="J3682" s="12" t="str">
        <f>HYPERLINK("https://www.boe.es/gazeta/dias/1800/08/08/pdfs/GMD-1800-63.pdf#page=5","Abrir facsímil")</f>
        <v>Abrir facsímil</v>
      </c>
      <c r="K3682" s="15" t="s">
        <v>23</v>
      </c>
    </row>
    <row r="3683" spans="1:11" ht="42" customHeight="1">
      <c r="A3683" s="4" t="s">
        <v>8825</v>
      </c>
      <c r="B3683" s="5" t="s">
        <v>8825</v>
      </c>
      <c r="C3683" s="5" t="s">
        <v>41</v>
      </c>
      <c r="D3683" s="5" t="s">
        <v>42</v>
      </c>
      <c r="E3683" s="5" t="s">
        <v>158</v>
      </c>
      <c r="F3683" s="9">
        <v>25</v>
      </c>
      <c r="G3683" s="9">
        <v>250</v>
      </c>
      <c r="H3683" s="5" t="s">
        <v>21</v>
      </c>
      <c r="I3683" s="5" t="s">
        <v>8826</v>
      </c>
      <c r="J3683" s="12" t="str">
        <f>HYPERLINK("https://www.boe.es/gazeta/dias/1800/03/28/pdfs/GMD-1800-25.pdf#page=2","Abrir facsímil")</f>
        <v>Abrir facsímil</v>
      </c>
      <c r="K3683" s="15" t="s">
        <v>23</v>
      </c>
    </row>
    <row r="3684" spans="1:11" ht="42" customHeight="1">
      <c r="A3684" s="4" t="s">
        <v>8827</v>
      </c>
      <c r="B3684" s="5" t="s">
        <v>8828</v>
      </c>
      <c r="C3684" s="5" t="s">
        <v>18</v>
      </c>
      <c r="D3684" s="5" t="s">
        <v>19</v>
      </c>
      <c r="E3684" s="5" t="s">
        <v>314</v>
      </c>
      <c r="F3684" s="9">
        <v>74</v>
      </c>
      <c r="G3684" s="9">
        <v>832</v>
      </c>
      <c r="H3684" s="5" t="s">
        <v>21</v>
      </c>
      <c r="I3684" s="5" t="s">
        <v>8829</v>
      </c>
      <c r="J3684" s="12" t="str">
        <f>HYPERLINK("https://www.boe.es/gazeta/dias/1800/09/12/pdfs/GMD-1800-74.pdf#page=10","Abrir facsímil")</f>
        <v>Abrir facsímil</v>
      </c>
      <c r="K3684" s="15" t="s">
        <v>23</v>
      </c>
    </row>
    <row r="3685" spans="1:11" ht="42" customHeight="1">
      <c r="A3685" s="4" t="s">
        <v>8830</v>
      </c>
      <c r="B3685" s="5" t="s">
        <v>8831</v>
      </c>
      <c r="C3685" s="5" t="s">
        <v>25</v>
      </c>
      <c r="D3685" s="5" t="s">
        <v>26</v>
      </c>
      <c r="E3685" s="5" t="s">
        <v>319</v>
      </c>
      <c r="F3685" s="9">
        <v>62</v>
      </c>
      <c r="G3685" s="9">
        <v>711</v>
      </c>
      <c r="H3685" s="5" t="s">
        <v>21</v>
      </c>
      <c r="I3685" s="5" t="s">
        <v>8832</v>
      </c>
      <c r="J3685" s="12" t="str">
        <f>HYPERLINK("https://www.boe.es/gazeta/dias/1800/08/05/pdfs/GMD-1800-62.pdf#page=11","Abrir facsímil")</f>
        <v>Abrir facsímil</v>
      </c>
      <c r="K3685" s="15" t="s">
        <v>23</v>
      </c>
    </row>
    <row r="3686" spans="1:11" ht="42" customHeight="1">
      <c r="A3686" s="4" t="s">
        <v>8833</v>
      </c>
      <c r="B3686" s="5" t="s">
        <v>8834</v>
      </c>
      <c r="C3686" s="5" t="s">
        <v>18</v>
      </c>
      <c r="D3686" s="5" t="s">
        <v>19</v>
      </c>
      <c r="E3686" s="5" t="s">
        <v>828</v>
      </c>
      <c r="F3686" s="9">
        <v>53</v>
      </c>
      <c r="G3686" s="9">
        <v>583</v>
      </c>
      <c r="H3686" s="5" t="s">
        <v>21</v>
      </c>
      <c r="I3686" s="5" t="s">
        <v>8835</v>
      </c>
      <c r="J3686" s="12" t="str">
        <f>HYPERLINK("https://www.boe.es/gazeta/dias/1800/07/04/pdfs/GMD-1800-53.pdf#page=3","Abrir facsímil")</f>
        <v>Abrir facsímil</v>
      </c>
      <c r="K3686" s="15" t="s">
        <v>23</v>
      </c>
    </row>
    <row r="3687" spans="1:11" ht="42" customHeight="1">
      <c r="A3687" s="4" t="s">
        <v>8833</v>
      </c>
      <c r="B3687" s="5" t="s">
        <v>8834</v>
      </c>
      <c r="C3687" s="5" t="s">
        <v>18</v>
      </c>
      <c r="D3687" s="5" t="s">
        <v>19</v>
      </c>
      <c r="E3687" s="5" t="s">
        <v>572</v>
      </c>
      <c r="F3687" s="9">
        <v>76</v>
      </c>
      <c r="G3687" s="9">
        <v>861</v>
      </c>
      <c r="H3687" s="5" t="s">
        <v>21</v>
      </c>
      <c r="I3687" s="5" t="s">
        <v>8836</v>
      </c>
      <c r="J3687" s="12" t="str">
        <f>HYPERLINK("https://www.boe.es/gazeta/dias/1800/09/19/pdfs/GMD-1800-76.pdf#page=3","Abrir facsímil")</f>
        <v>Abrir facsímil</v>
      </c>
      <c r="K3687" s="15" t="s">
        <v>23</v>
      </c>
    </row>
    <row r="3688" spans="1:11" ht="42" customHeight="1">
      <c r="A3688" s="4" t="s">
        <v>8837</v>
      </c>
      <c r="B3688" s="5" t="s">
        <v>8838</v>
      </c>
      <c r="C3688" s="5" t="s">
        <v>207</v>
      </c>
      <c r="D3688" s="5" t="s">
        <v>55</v>
      </c>
      <c r="E3688" s="5" t="s">
        <v>139</v>
      </c>
      <c r="F3688" s="9">
        <v>2</v>
      </c>
      <c r="G3688" s="9">
        <v>18</v>
      </c>
      <c r="H3688" s="5" t="s">
        <v>21</v>
      </c>
      <c r="I3688" s="5" t="s">
        <v>8839</v>
      </c>
      <c r="J3688" s="12" t="str">
        <f>HYPERLINK("https://www.boe.es/gazeta/dias/1800/01/07/pdfs/GMD-1800-2.pdf#page=10","Abrir facsímil")</f>
        <v>Abrir facsímil</v>
      </c>
      <c r="K3688" s="15" t="s">
        <v>23</v>
      </c>
    </row>
    <row r="3689" spans="1:11" ht="42" customHeight="1">
      <c r="A3689" s="4" t="s">
        <v>8840</v>
      </c>
      <c r="B3689" s="5" t="s">
        <v>8841</v>
      </c>
      <c r="C3689" s="5" t="s">
        <v>41</v>
      </c>
      <c r="D3689" s="5" t="s">
        <v>42</v>
      </c>
      <c r="E3689" s="5" t="s">
        <v>196</v>
      </c>
      <c r="F3689" s="9">
        <v>97</v>
      </c>
      <c r="G3689" s="9">
        <v>1115</v>
      </c>
      <c r="H3689" s="5" t="s">
        <v>21</v>
      </c>
      <c r="I3689" s="5" t="s">
        <v>8842</v>
      </c>
      <c r="J3689" s="12" t="str">
        <f>HYPERLINK("https://www.boe.es/gazeta/dias/1800/12/02/pdfs/GMD-1800-97.pdf#page=7","Abrir facsímil")</f>
        <v>Abrir facsímil</v>
      </c>
      <c r="K3689" s="15" t="s">
        <v>23</v>
      </c>
    </row>
    <row r="3690" spans="1:11" ht="42" customHeight="1">
      <c r="A3690" s="4" t="s">
        <v>8843</v>
      </c>
      <c r="B3690" s="5" t="s">
        <v>8844</v>
      </c>
      <c r="C3690" s="5" t="s">
        <v>18</v>
      </c>
      <c r="D3690" s="5" t="s">
        <v>19</v>
      </c>
      <c r="E3690" s="5" t="s">
        <v>823</v>
      </c>
      <c r="F3690" s="9">
        <v>50</v>
      </c>
      <c r="G3690" s="9">
        <v>546</v>
      </c>
      <c r="H3690" s="5" t="s">
        <v>21</v>
      </c>
      <c r="I3690" s="5" t="s">
        <v>8845</v>
      </c>
      <c r="J3690" s="12" t="str">
        <f>HYPERLINK("https://www.boe.es/gazeta/dias/1800/06/24/pdfs/GMD-1800-50.pdf#page=10","Abrir facsímil")</f>
        <v>Abrir facsímil</v>
      </c>
      <c r="K3690" s="15" t="s">
        <v>23</v>
      </c>
    </row>
    <row r="3691" spans="1:11" ht="42" customHeight="1">
      <c r="A3691" s="4" t="s">
        <v>8846</v>
      </c>
      <c r="B3691" s="5" t="s">
        <v>8847</v>
      </c>
      <c r="C3691" s="5" t="s">
        <v>41</v>
      </c>
      <c r="D3691" s="5" t="s">
        <v>42</v>
      </c>
      <c r="E3691" s="5" t="s">
        <v>310</v>
      </c>
      <c r="F3691" s="9">
        <v>56</v>
      </c>
      <c r="G3691" s="9">
        <v>631</v>
      </c>
      <c r="H3691" s="5" t="s">
        <v>21</v>
      </c>
      <c r="I3691" s="5" t="s">
        <v>8848</v>
      </c>
      <c r="J3691" s="12" t="str">
        <f>HYPERLINK("https://www.boe.es/gazeta/dias/1800/07/15/pdfs/GMD-1800-56.pdf#page=7","Abrir facsímil")</f>
        <v>Abrir facsímil</v>
      </c>
      <c r="K3691" s="15" t="s">
        <v>23</v>
      </c>
    </row>
    <row r="3692" spans="1:11" ht="42" customHeight="1">
      <c r="A3692" s="4" t="s">
        <v>8849</v>
      </c>
      <c r="B3692" s="5" t="s">
        <v>8850</v>
      </c>
      <c r="C3692" s="5" t="s">
        <v>207</v>
      </c>
      <c r="D3692" s="5" t="s">
        <v>55</v>
      </c>
      <c r="E3692" s="5" t="s">
        <v>1287</v>
      </c>
      <c r="F3692" s="9">
        <v>57</v>
      </c>
      <c r="G3692" s="9">
        <v>651</v>
      </c>
      <c r="H3692" s="5" t="s">
        <v>21</v>
      </c>
      <c r="I3692" s="5" t="s">
        <v>8851</v>
      </c>
      <c r="J3692" s="12" t="str">
        <f>HYPERLINK("https://www.boe.es/gazeta/dias/1800/07/18/pdfs/GMD-1800-57.pdf#page=15","Abrir facsímil")</f>
        <v>Abrir facsímil</v>
      </c>
      <c r="K3692" s="15" t="s">
        <v>23</v>
      </c>
    </row>
    <row r="3693" spans="1:11" ht="42" customHeight="1">
      <c r="A3693" s="4" t="s">
        <v>8852</v>
      </c>
      <c r="B3693" s="5" t="s">
        <v>8853</v>
      </c>
      <c r="C3693" s="5" t="s">
        <v>41</v>
      </c>
      <c r="D3693" s="5" t="s">
        <v>42</v>
      </c>
      <c r="E3693" s="5" t="s">
        <v>82</v>
      </c>
      <c r="F3693" s="9">
        <v>10</v>
      </c>
      <c r="G3693" s="9">
        <v>91</v>
      </c>
      <c r="H3693" s="5" t="s">
        <v>21</v>
      </c>
      <c r="I3693" s="5" t="s">
        <v>8854</v>
      </c>
      <c r="J3693" s="12" t="str">
        <f>HYPERLINK("https://www.boe.es/gazeta/dias/1800/02/04/pdfs/GMD-1800-10.pdf#page=3","Abrir facsímil")</f>
        <v>Abrir facsímil</v>
      </c>
      <c r="K3693" s="15" t="s">
        <v>23</v>
      </c>
    </row>
    <row r="3694" spans="1:11" ht="42" customHeight="1">
      <c r="A3694" s="4" t="s">
        <v>8852</v>
      </c>
      <c r="B3694" s="5" t="s">
        <v>8853</v>
      </c>
      <c r="C3694" s="5" t="s">
        <v>41</v>
      </c>
      <c r="D3694" s="5" t="s">
        <v>42</v>
      </c>
      <c r="E3694" s="5" t="s">
        <v>503</v>
      </c>
      <c r="F3694" s="9">
        <v>13</v>
      </c>
      <c r="G3694" s="9">
        <v>119</v>
      </c>
      <c r="H3694" s="5" t="s">
        <v>21</v>
      </c>
      <c r="I3694" s="5" t="s">
        <v>8855</v>
      </c>
      <c r="J3694" s="12" t="str">
        <f>HYPERLINK("https://www.boe.es/gazeta/dias/1800/02/14/pdfs/GMD-1800-13.pdf#page=3","Abrir facsímil")</f>
        <v>Abrir facsímil</v>
      </c>
      <c r="K3694" s="15" t="s">
        <v>23</v>
      </c>
    </row>
    <row r="3695" spans="1:11" ht="42" customHeight="1">
      <c r="A3695" s="4" t="s">
        <v>8856</v>
      </c>
      <c r="B3695" s="5" t="s">
        <v>8856</v>
      </c>
      <c r="C3695" s="5" t="s">
        <v>18</v>
      </c>
      <c r="D3695" s="5" t="s">
        <v>19</v>
      </c>
      <c r="E3695" s="5" t="s">
        <v>111</v>
      </c>
      <c r="F3695" s="9">
        <v>98</v>
      </c>
      <c r="G3695" s="9">
        <v>1128</v>
      </c>
      <c r="H3695" s="5" t="s">
        <v>21</v>
      </c>
      <c r="I3695" s="5" t="s">
        <v>8857</v>
      </c>
      <c r="J3695" s="12" t="str">
        <f>HYPERLINK("https://www.boe.es/gazeta/dias/1800/12/05/pdfs/GMD-1800-98.pdf#page=8","Abrir facsímil")</f>
        <v>Abrir facsímil</v>
      </c>
      <c r="K3695" s="15" t="s">
        <v>23</v>
      </c>
    </row>
    <row r="3696" spans="1:11" ht="42" customHeight="1">
      <c r="A3696" s="4" t="s">
        <v>8858</v>
      </c>
      <c r="B3696" s="5" t="s">
        <v>8859</v>
      </c>
      <c r="C3696" s="5" t="s">
        <v>25</v>
      </c>
      <c r="D3696" s="5" t="s">
        <v>26</v>
      </c>
      <c r="E3696" s="5" t="s">
        <v>1213</v>
      </c>
      <c r="F3696" s="9">
        <v>4</v>
      </c>
      <c r="G3696" s="9">
        <v>36</v>
      </c>
      <c r="H3696" s="5" t="s">
        <v>21</v>
      </c>
      <c r="I3696" s="5" t="s">
        <v>8860</v>
      </c>
      <c r="J3696" s="12" t="str">
        <f>HYPERLINK("https://www.boe.es/gazeta/dias/1800/01/14/pdfs/GMD-1800-4.pdf#page=8","Abrir facsímil")</f>
        <v>Abrir facsímil</v>
      </c>
      <c r="K3696" s="15" t="s">
        <v>23</v>
      </c>
    </row>
    <row r="3697" spans="1:11" ht="42" customHeight="1">
      <c r="A3697" s="4" t="s">
        <v>8861</v>
      </c>
      <c r="B3697" s="5" t="s">
        <v>8862</v>
      </c>
      <c r="C3697" s="5" t="s">
        <v>207</v>
      </c>
      <c r="D3697" s="5" t="s">
        <v>55</v>
      </c>
      <c r="E3697" s="5" t="s">
        <v>306</v>
      </c>
      <c r="F3697" s="9">
        <v>79</v>
      </c>
      <c r="G3697" s="9">
        <v>899</v>
      </c>
      <c r="H3697" s="5" t="s">
        <v>21</v>
      </c>
      <c r="I3697" s="5" t="s">
        <v>8863</v>
      </c>
      <c r="J3697" s="12" t="str">
        <f>HYPERLINK("https://www.boe.es/gazeta/dias/1800/09/30/pdfs/GMD-1800-79.pdf#page=9","Abrir facsímil")</f>
        <v>Abrir facsímil</v>
      </c>
      <c r="K3697" s="15" t="s">
        <v>23</v>
      </c>
    </row>
    <row r="3698" spans="1:11" ht="42" customHeight="1">
      <c r="A3698" s="4" t="s">
        <v>8864</v>
      </c>
      <c r="B3698" s="5" t="s">
        <v>8865</v>
      </c>
      <c r="C3698" s="5" t="s">
        <v>207</v>
      </c>
      <c r="D3698" s="5" t="s">
        <v>55</v>
      </c>
      <c r="E3698" s="5" t="s">
        <v>184</v>
      </c>
      <c r="F3698" s="9">
        <v>82</v>
      </c>
      <c r="G3698" s="9">
        <v>950</v>
      </c>
      <c r="H3698" s="5" t="s">
        <v>21</v>
      </c>
      <c r="I3698" s="5" t="s">
        <v>8866</v>
      </c>
      <c r="J3698" s="12" t="str">
        <f>HYPERLINK("https://www.boe.es/gazeta/dias/1800/10/10/pdfs/GMD-1800-82.pdf#page=8","Abrir facsímil")</f>
        <v>Abrir facsímil</v>
      </c>
      <c r="K3698" s="15" t="s">
        <v>23</v>
      </c>
    </row>
    <row r="3699" spans="1:11" ht="42" customHeight="1">
      <c r="A3699" s="4" t="s">
        <v>8867</v>
      </c>
      <c r="B3699" s="5" t="s">
        <v>8868</v>
      </c>
      <c r="C3699" s="5" t="s">
        <v>18</v>
      </c>
      <c r="D3699" s="5" t="s">
        <v>19</v>
      </c>
      <c r="E3699" s="5" t="s">
        <v>310</v>
      </c>
      <c r="F3699" s="9">
        <v>56</v>
      </c>
      <c r="G3699" s="9">
        <v>633</v>
      </c>
      <c r="H3699" s="5" t="s">
        <v>21</v>
      </c>
      <c r="I3699" s="5" t="s">
        <v>8869</v>
      </c>
      <c r="J3699" s="12" t="str">
        <f>HYPERLINK("https://www.boe.es/gazeta/dias/1800/07/15/pdfs/GMD-1800-56.pdf#page=9","Abrir facsímil")</f>
        <v>Abrir facsímil</v>
      </c>
      <c r="K3699" s="15" t="s">
        <v>23</v>
      </c>
    </row>
    <row r="3700" spans="1:11" ht="42" customHeight="1">
      <c r="A3700" s="4" t="s">
        <v>8870</v>
      </c>
      <c r="B3700" s="5" t="s">
        <v>8871</v>
      </c>
      <c r="C3700" s="5" t="s">
        <v>54</v>
      </c>
      <c r="D3700" s="5" t="s">
        <v>55</v>
      </c>
      <c r="E3700" s="5" t="s">
        <v>124</v>
      </c>
      <c r="F3700" s="9">
        <v>16</v>
      </c>
      <c r="G3700" s="9">
        <v>152</v>
      </c>
      <c r="H3700" s="5" t="s">
        <v>21</v>
      </c>
      <c r="I3700" s="5" t="s">
        <v>8872</v>
      </c>
      <c r="J3700" s="12" t="str">
        <f>HYPERLINK("https://www.boe.es/gazeta/dias/1800/02/25/pdfs/GMD-1800-16.pdf#page=8","Abrir facsímil")</f>
        <v>Abrir facsímil</v>
      </c>
      <c r="K3700" s="15" t="s">
        <v>23</v>
      </c>
    </row>
    <row r="3701" spans="1:11" ht="42" customHeight="1">
      <c r="A3701" s="4" t="s">
        <v>8873</v>
      </c>
      <c r="B3701" s="5" t="s">
        <v>8874</v>
      </c>
      <c r="C3701" s="5" t="s">
        <v>18</v>
      </c>
      <c r="D3701" s="5" t="s">
        <v>19</v>
      </c>
      <c r="E3701" s="5" t="s">
        <v>176</v>
      </c>
      <c r="F3701" s="9">
        <v>88</v>
      </c>
      <c r="G3701" s="9">
        <v>1031</v>
      </c>
      <c r="H3701" s="5" t="s">
        <v>21</v>
      </c>
      <c r="I3701" s="5" t="s">
        <v>8875</v>
      </c>
      <c r="J3701" s="12" t="str">
        <f>HYPERLINK("https://www.boe.es/gazeta/dias/1800/10/31/pdfs/GMD-1800-88.pdf#page=13","Abrir facsímil")</f>
        <v>Abrir facsímil</v>
      </c>
      <c r="K3701" s="15" t="s">
        <v>23</v>
      </c>
    </row>
    <row r="3702" spans="1:11" ht="42" customHeight="1">
      <c r="A3702" s="4" t="s">
        <v>8876</v>
      </c>
      <c r="B3702" s="5" t="s">
        <v>8877</v>
      </c>
      <c r="C3702" s="5" t="s">
        <v>18</v>
      </c>
      <c r="D3702" s="5" t="s">
        <v>19</v>
      </c>
      <c r="E3702" s="5" t="s">
        <v>461</v>
      </c>
      <c r="F3702" s="9">
        <v>18</v>
      </c>
      <c r="G3702" s="9">
        <v>170</v>
      </c>
      <c r="H3702" s="5" t="s">
        <v>21</v>
      </c>
      <c r="I3702" s="5" t="s">
        <v>8878</v>
      </c>
      <c r="J3702" s="12" t="str">
        <f>HYPERLINK("https://www.boe.es/datos/pdfs/BOE//1800/018/C00173-00176.pdf#page=6","Abrir facsímil")</f>
        <v>Abrir facsímil</v>
      </c>
      <c r="K3702" s="15" t="s">
        <v>23</v>
      </c>
    </row>
    <row r="3703" spans="1:11" ht="42" customHeight="1">
      <c r="A3703" s="4" t="s">
        <v>8879</v>
      </c>
      <c r="B3703" s="5" t="s">
        <v>8880</v>
      </c>
      <c r="C3703" s="5" t="s">
        <v>25</v>
      </c>
      <c r="D3703" s="5" t="s">
        <v>26</v>
      </c>
      <c r="E3703" s="5" t="s">
        <v>90</v>
      </c>
      <c r="F3703" s="9">
        <v>58</v>
      </c>
      <c r="G3703" s="9">
        <v>663</v>
      </c>
      <c r="H3703" s="5" t="s">
        <v>21</v>
      </c>
      <c r="I3703" s="5" t="s">
        <v>8881</v>
      </c>
      <c r="J3703" s="12" t="str">
        <f>HYPERLINK("https://www.boe.es/gazeta/dias/1800/07/22/pdfs/GMD-1800-58.pdf#page=11","Abrir facsímil")</f>
        <v>Abrir facsímil</v>
      </c>
      <c r="K3703" s="15" t="s">
        <v>23</v>
      </c>
    </row>
    <row r="3704" spans="1:11" ht="42" customHeight="1">
      <c r="A3704" s="4" t="s">
        <v>8882</v>
      </c>
      <c r="B3704" s="5" t="s">
        <v>8883</v>
      </c>
      <c r="C3704" s="5" t="s">
        <v>25</v>
      </c>
      <c r="D3704" s="5" t="s">
        <v>26</v>
      </c>
      <c r="E3704" s="5" t="s">
        <v>154</v>
      </c>
      <c r="F3704" s="9">
        <v>61</v>
      </c>
      <c r="G3704" s="9">
        <v>696</v>
      </c>
      <c r="H3704" s="5" t="s">
        <v>21</v>
      </c>
      <c r="I3704" s="5" t="s">
        <v>8884</v>
      </c>
      <c r="J3704" s="12" t="str">
        <f>HYPERLINK("https://www.boe.es/gazeta/dias/1800/08/01/pdfs/GMD-1800-61.pdf#page=8","Abrir facsímil")</f>
        <v>Abrir facsímil</v>
      </c>
      <c r="K3704" s="15" t="s">
        <v>23</v>
      </c>
    </row>
    <row r="3705" spans="1:11" ht="42" customHeight="1">
      <c r="A3705" s="4" t="s">
        <v>8885</v>
      </c>
      <c r="B3705" s="5" t="s">
        <v>8886</v>
      </c>
      <c r="C3705" s="5" t="s">
        <v>18</v>
      </c>
      <c r="D3705" s="5" t="s">
        <v>19</v>
      </c>
      <c r="E3705" s="5" t="s">
        <v>422</v>
      </c>
      <c r="F3705" s="9">
        <v>85</v>
      </c>
      <c r="G3705" s="9">
        <v>985</v>
      </c>
      <c r="H3705" s="5" t="s">
        <v>21</v>
      </c>
      <c r="I3705" s="5" t="s">
        <v>8887</v>
      </c>
      <c r="J3705" s="12" t="str">
        <f>HYPERLINK("https://www.boe.es/gazeta/dias/1800/10/21/pdfs/GMD-1800-85.pdf#page=7","Abrir facsímil")</f>
        <v>Abrir facsímil</v>
      </c>
      <c r="K3705" s="15" t="s">
        <v>23</v>
      </c>
    </row>
    <row r="3706" spans="1:11" ht="42" customHeight="1">
      <c r="A3706" s="4" t="s">
        <v>8885</v>
      </c>
      <c r="B3706" s="5" t="s">
        <v>8886</v>
      </c>
      <c r="C3706" s="5" t="s">
        <v>18</v>
      </c>
      <c r="D3706" s="5" t="s">
        <v>19</v>
      </c>
      <c r="E3706" s="5" t="s">
        <v>111</v>
      </c>
      <c r="F3706" s="9">
        <v>98</v>
      </c>
      <c r="G3706" s="9">
        <v>1129</v>
      </c>
      <c r="H3706" s="5" t="s">
        <v>21</v>
      </c>
      <c r="I3706" s="5" t="s">
        <v>8888</v>
      </c>
      <c r="J3706" s="12" t="str">
        <f>HYPERLINK("https://www.boe.es/gazeta/dias/1800/12/05/pdfs/GMD-1800-98.pdf#page=9","Abrir facsímil")</f>
        <v>Abrir facsímil</v>
      </c>
      <c r="K3706" s="15" t="s">
        <v>23</v>
      </c>
    </row>
    <row r="3707" spans="1:11" ht="42" customHeight="1">
      <c r="A3707" s="4" t="s">
        <v>8889</v>
      </c>
      <c r="B3707" s="5" t="s">
        <v>8890</v>
      </c>
      <c r="C3707" s="5" t="s">
        <v>207</v>
      </c>
      <c r="D3707" s="5" t="s">
        <v>55</v>
      </c>
      <c r="E3707" s="5" t="s">
        <v>1213</v>
      </c>
      <c r="F3707" s="9">
        <v>4</v>
      </c>
      <c r="G3707" s="9">
        <v>35</v>
      </c>
      <c r="H3707" s="5" t="s">
        <v>21</v>
      </c>
      <c r="I3707" s="5" t="s">
        <v>8891</v>
      </c>
      <c r="J3707" s="12" t="str">
        <f>HYPERLINK("https://www.boe.es/gazeta/dias/1800/01/14/pdfs/GMD-1800-4.pdf#page=7","Abrir facsímil")</f>
        <v>Abrir facsímil</v>
      </c>
      <c r="K3707" s="15" t="s">
        <v>23</v>
      </c>
    </row>
    <row r="3708" spans="1:11" ht="42" customHeight="1">
      <c r="A3708" s="4" t="s">
        <v>8892</v>
      </c>
      <c r="B3708" s="5" t="s">
        <v>8893</v>
      </c>
      <c r="C3708" s="5" t="s">
        <v>18</v>
      </c>
      <c r="D3708" s="5" t="s">
        <v>19</v>
      </c>
      <c r="E3708" s="5" t="s">
        <v>534</v>
      </c>
      <c r="F3708" s="9">
        <v>100</v>
      </c>
      <c r="G3708" s="9">
        <v>1160</v>
      </c>
      <c r="H3708" s="5" t="s">
        <v>21</v>
      </c>
      <c r="I3708" s="5" t="s">
        <v>8894</v>
      </c>
      <c r="J3708" s="12" t="str">
        <f>HYPERLINK("https://www.boe.es/gazeta/dias/1800/12/12/pdfs/GMD-1800-100.pdf#page=12","Abrir facsímil")</f>
        <v>Abrir facsímil</v>
      </c>
      <c r="K3708" s="15" t="s">
        <v>23</v>
      </c>
    </row>
    <row r="3709" spans="1:11" ht="42" customHeight="1">
      <c r="A3709" s="4" t="s">
        <v>8895</v>
      </c>
      <c r="B3709" s="5" t="s">
        <v>8896</v>
      </c>
      <c r="C3709" s="5" t="s">
        <v>25</v>
      </c>
      <c r="D3709" s="5" t="s">
        <v>26</v>
      </c>
      <c r="E3709" s="5" t="s">
        <v>111</v>
      </c>
      <c r="F3709" s="9">
        <v>98</v>
      </c>
      <c r="G3709" s="9">
        <v>1129</v>
      </c>
      <c r="H3709" s="5" t="s">
        <v>21</v>
      </c>
      <c r="I3709" s="5" t="s">
        <v>8897</v>
      </c>
      <c r="J3709" s="12" t="str">
        <f>HYPERLINK("https://www.boe.es/gazeta/dias/1800/12/05/pdfs/GMD-1800-98.pdf#page=9","Abrir facsímil")</f>
        <v>Abrir facsímil</v>
      </c>
      <c r="K3709" s="15" t="s">
        <v>23</v>
      </c>
    </row>
    <row r="3710" spans="1:11" ht="42" customHeight="1">
      <c r="A3710" s="4" t="s">
        <v>8898</v>
      </c>
      <c r="B3710" s="5" t="s">
        <v>8899</v>
      </c>
      <c r="C3710" s="5" t="s">
        <v>18</v>
      </c>
      <c r="D3710" s="5" t="s">
        <v>19</v>
      </c>
      <c r="E3710" s="5" t="s">
        <v>445</v>
      </c>
      <c r="F3710" s="9">
        <v>96</v>
      </c>
      <c r="G3710" s="9">
        <v>1106</v>
      </c>
      <c r="H3710" s="5" t="s">
        <v>21</v>
      </c>
      <c r="I3710" s="5" t="s">
        <v>8900</v>
      </c>
      <c r="J3710" s="12" t="str">
        <f>HYPERLINK("https://www.boe.es/gazeta/dias/1800/11/28/pdfs/GMD-1800-96.pdf#page=10","Abrir facsímil")</f>
        <v>Abrir facsímil</v>
      </c>
      <c r="K3710" s="15" t="s">
        <v>23</v>
      </c>
    </row>
    <row r="3711" spans="1:11" ht="42" customHeight="1">
      <c r="A3711" s="4" t="s">
        <v>8901</v>
      </c>
      <c r="B3711" s="5" t="s">
        <v>8902</v>
      </c>
      <c r="C3711" s="5" t="s">
        <v>207</v>
      </c>
      <c r="D3711" s="5" t="s">
        <v>55</v>
      </c>
      <c r="E3711" s="5" t="s">
        <v>283</v>
      </c>
      <c r="F3711" s="9">
        <v>68</v>
      </c>
      <c r="G3711" s="9">
        <v>764</v>
      </c>
      <c r="H3711" s="5" t="s">
        <v>21</v>
      </c>
      <c r="I3711" s="5" t="s">
        <v>8903</v>
      </c>
      <c r="J3711" s="12" t="str">
        <f>HYPERLINK("https://www.boe.es/gazeta/dias/1800/08/26/pdfs/GMD-1800-68.pdf#page=8","Abrir facsímil")</f>
        <v>Abrir facsímil</v>
      </c>
      <c r="K3711" s="15" t="s">
        <v>23</v>
      </c>
    </row>
    <row r="3712" spans="1:11" ht="42" customHeight="1">
      <c r="A3712" s="4" t="s">
        <v>8904</v>
      </c>
      <c r="B3712" s="5" t="s">
        <v>8905</v>
      </c>
      <c r="C3712" s="5" t="s">
        <v>18</v>
      </c>
      <c r="D3712" s="5" t="s">
        <v>19</v>
      </c>
      <c r="E3712" s="5" t="s">
        <v>190</v>
      </c>
      <c r="F3712" s="9">
        <v>93</v>
      </c>
      <c r="G3712" s="9">
        <v>1066</v>
      </c>
      <c r="H3712" s="5" t="s">
        <v>21</v>
      </c>
      <c r="I3712" s="5" t="s">
        <v>8906</v>
      </c>
      <c r="J3712" s="12" t="str">
        <f>HYPERLINK("https://www.boe.es/gazeta/dias/1800/11/18/pdfs/GMD-1800-93.pdf#page=12","Abrir facsímil")</f>
        <v>Abrir facsímil</v>
      </c>
      <c r="K3712" s="15" t="s">
        <v>23</v>
      </c>
    </row>
    <row r="3713" spans="1:11" ht="42" customHeight="1">
      <c r="A3713" s="4" t="s">
        <v>8907</v>
      </c>
      <c r="B3713" s="5" t="s">
        <v>8908</v>
      </c>
      <c r="C3713" s="5" t="s">
        <v>18</v>
      </c>
      <c r="D3713" s="5" t="s">
        <v>19</v>
      </c>
      <c r="E3713" s="5" t="s">
        <v>545</v>
      </c>
      <c r="F3713" s="9">
        <v>14</v>
      </c>
      <c r="G3713" s="9">
        <v>134</v>
      </c>
      <c r="H3713" s="5" t="s">
        <v>21</v>
      </c>
      <c r="I3713" s="5" t="s">
        <v>8909</v>
      </c>
      <c r="J3713" s="12" t="str">
        <f>HYPERLINK("https://www.boe.es/gazeta/dias/1800/02/18/pdfs/GMD-1800-14.pdf#page=6","Abrir facsímil")</f>
        <v>Abrir facsímil</v>
      </c>
      <c r="K3713" s="15" t="s">
        <v>23</v>
      </c>
    </row>
    <row r="3714" spans="1:11" ht="42" customHeight="1">
      <c r="A3714" s="4" t="s">
        <v>8910</v>
      </c>
      <c r="B3714" s="5" t="s">
        <v>8911</v>
      </c>
      <c r="C3714" s="5" t="s">
        <v>54</v>
      </c>
      <c r="D3714" s="5" t="s">
        <v>55</v>
      </c>
      <c r="E3714" s="5" t="s">
        <v>143</v>
      </c>
      <c r="F3714" s="9">
        <v>22</v>
      </c>
      <c r="G3714" s="9">
        <v>222</v>
      </c>
      <c r="H3714" s="5" t="s">
        <v>21</v>
      </c>
      <c r="I3714" s="5" t="s">
        <v>8912</v>
      </c>
      <c r="J3714" s="12" t="str">
        <f>HYPERLINK("https://www.boe.es/gazeta/dias/1800/03/18/pdfs/GMD-1800-22.pdf#page=14","Abrir facsímil")</f>
        <v>Abrir facsímil</v>
      </c>
      <c r="K3714" s="15" t="s">
        <v>23</v>
      </c>
    </row>
    <row r="3715" spans="1:11" ht="42" customHeight="1">
      <c r="A3715" s="4" t="s">
        <v>8913</v>
      </c>
      <c r="B3715" s="5" t="s">
        <v>8914</v>
      </c>
      <c r="C3715" s="5" t="s">
        <v>84</v>
      </c>
      <c r="D3715" s="5" t="s">
        <v>85</v>
      </c>
      <c r="E3715" s="5" t="s">
        <v>226</v>
      </c>
      <c r="F3715" s="9">
        <v>27</v>
      </c>
      <c r="G3715" s="9">
        <v>280</v>
      </c>
      <c r="H3715" s="5" t="s">
        <v>21</v>
      </c>
      <c r="I3715" s="5" t="s">
        <v>8915</v>
      </c>
      <c r="J3715" s="12" t="str">
        <f>HYPERLINK("https://www.boe.es/gazeta/dias/1800/04/04/pdfs/GMD-1800-27.pdf#page=8","Abrir facsímil")</f>
        <v>Abrir facsímil</v>
      </c>
      <c r="K3715" s="15" t="s">
        <v>23</v>
      </c>
    </row>
    <row r="3716" spans="1:11" ht="42" customHeight="1">
      <c r="A3716" s="4" t="s">
        <v>8913</v>
      </c>
      <c r="B3716" s="5" t="s">
        <v>8914</v>
      </c>
      <c r="C3716" s="5" t="s">
        <v>18</v>
      </c>
      <c r="D3716" s="5" t="s">
        <v>19</v>
      </c>
      <c r="E3716" s="5" t="s">
        <v>1294</v>
      </c>
      <c r="F3716" s="9">
        <v>59</v>
      </c>
      <c r="G3716" s="9">
        <v>680</v>
      </c>
      <c r="H3716" s="5" t="s">
        <v>21</v>
      </c>
      <c r="I3716" s="5" t="s">
        <v>8916</v>
      </c>
      <c r="J3716" s="12" t="str">
        <f>HYPERLINK("https://www.boe.es/gazeta/dias/1800/07/25/pdfs/GMD-1800-59.pdf#page=12","Abrir facsímil")</f>
        <v>Abrir facsímil</v>
      </c>
      <c r="K3716" s="15" t="s">
        <v>23</v>
      </c>
    </row>
    <row r="3717" spans="1:11" ht="42" customHeight="1">
      <c r="A3717" s="4" t="s">
        <v>8917</v>
      </c>
      <c r="B3717" s="5" t="s">
        <v>8918</v>
      </c>
      <c r="C3717" s="5" t="s">
        <v>18</v>
      </c>
      <c r="D3717" s="5" t="s">
        <v>19</v>
      </c>
      <c r="E3717" s="5" t="s">
        <v>825</v>
      </c>
      <c r="F3717" s="9">
        <v>51</v>
      </c>
      <c r="G3717" s="9">
        <v>564</v>
      </c>
      <c r="H3717" s="5" t="s">
        <v>21</v>
      </c>
      <c r="I3717" s="5" t="s">
        <v>8919</v>
      </c>
      <c r="J3717" s="12" t="str">
        <f>HYPERLINK("https://www.boe.es/gazeta/dias/1800/06/27/pdfs/GMD-1800-51.pdf#page=16","Abrir facsímil")</f>
        <v>Abrir facsímil</v>
      </c>
      <c r="K3717" s="15" t="s">
        <v>23</v>
      </c>
    </row>
    <row r="3718" spans="1:11" ht="42" customHeight="1">
      <c r="A3718" s="4" t="s">
        <v>8920</v>
      </c>
      <c r="B3718" s="5" t="s">
        <v>8920</v>
      </c>
      <c r="C3718" s="5" t="s">
        <v>84</v>
      </c>
      <c r="D3718" s="5" t="s">
        <v>85</v>
      </c>
      <c r="E3718" s="5" t="s">
        <v>598</v>
      </c>
      <c r="F3718" s="9">
        <v>32</v>
      </c>
      <c r="G3718" s="9">
        <v>324</v>
      </c>
      <c r="H3718" s="5" t="s">
        <v>21</v>
      </c>
      <c r="I3718" s="5" t="s">
        <v>8921</v>
      </c>
      <c r="J3718" s="12" t="str">
        <f>HYPERLINK("https://www.boe.es/gazeta/dias/1800/04/22/pdfs/GMD-1800-32.pdf#page=8","Abrir facsímil")</f>
        <v>Abrir facsímil</v>
      </c>
      <c r="K3718" s="15" t="s">
        <v>23</v>
      </c>
    </row>
    <row r="3719" spans="1:11" ht="42" customHeight="1">
      <c r="A3719" s="4" t="s">
        <v>8922</v>
      </c>
      <c r="B3719" s="5" t="s">
        <v>8923</v>
      </c>
      <c r="C3719" s="5" t="s">
        <v>18</v>
      </c>
      <c r="D3719" s="5" t="s">
        <v>19</v>
      </c>
      <c r="E3719" s="5" t="s">
        <v>31</v>
      </c>
      <c r="F3719" s="9">
        <v>20</v>
      </c>
      <c r="G3719" s="9">
        <v>190</v>
      </c>
      <c r="H3719" s="5" t="s">
        <v>21</v>
      </c>
      <c r="I3719" s="5" t="s">
        <v>8924</v>
      </c>
      <c r="J3719" s="12" t="str">
        <f>HYPERLINK("https://www.boe.es/gazeta/dias/1800/03/11/pdfs/GMD-1800-20.pdf#page=6","Abrir facsímil")</f>
        <v>Abrir facsímil</v>
      </c>
      <c r="K3719" s="15" t="s">
        <v>23</v>
      </c>
    </row>
    <row r="3720" spans="1:11" ht="42" customHeight="1">
      <c r="A3720" s="4" t="s">
        <v>8922</v>
      </c>
      <c r="B3720" s="5" t="s">
        <v>8923</v>
      </c>
      <c r="C3720" s="5" t="s">
        <v>41</v>
      </c>
      <c r="D3720" s="5" t="s">
        <v>42</v>
      </c>
      <c r="E3720" s="5" t="s">
        <v>230</v>
      </c>
      <c r="F3720" s="9">
        <v>35</v>
      </c>
      <c r="G3720" s="9">
        <v>353</v>
      </c>
      <c r="H3720" s="5" t="s">
        <v>21</v>
      </c>
      <c r="I3720" s="5" t="s">
        <v>8925</v>
      </c>
      <c r="J3720" s="12" t="str">
        <f>HYPERLINK("https://www.boe.es/gazeta/dias/1800/05/02/pdfs/GMD-1800-35.pdf#page=5","Abrir facsímil")</f>
        <v>Abrir facsímil</v>
      </c>
      <c r="K3720" s="15" t="s">
        <v>23</v>
      </c>
    </row>
    <row r="3721" spans="1:11" ht="42" customHeight="1">
      <c r="A3721" s="4" t="s">
        <v>8926</v>
      </c>
      <c r="B3721" s="5" t="s">
        <v>8926</v>
      </c>
      <c r="C3721" s="5" t="s">
        <v>41</v>
      </c>
      <c r="D3721" s="5" t="s">
        <v>42</v>
      </c>
      <c r="E3721" s="5" t="s">
        <v>356</v>
      </c>
      <c r="F3721" s="9">
        <v>31</v>
      </c>
      <c r="G3721" s="9">
        <v>312</v>
      </c>
      <c r="H3721" s="5" t="s">
        <v>21</v>
      </c>
      <c r="I3721" s="5" t="s">
        <v>8927</v>
      </c>
      <c r="J3721" s="12" t="str">
        <f>HYPERLINK("https://www.boe.es/gazeta/dias/1800/04/18/pdfs/GMD-1800-31.pdf#page=4","Abrir facsímil")</f>
        <v>Abrir facsímil</v>
      </c>
      <c r="K3721" s="15" t="s">
        <v>23</v>
      </c>
    </row>
    <row r="3722" spans="1:11" ht="42" customHeight="1">
      <c r="A3722" s="4" t="s">
        <v>8928</v>
      </c>
      <c r="B3722" s="5" t="s">
        <v>8929</v>
      </c>
      <c r="C3722" s="5" t="s">
        <v>18</v>
      </c>
      <c r="D3722" s="5" t="s">
        <v>19</v>
      </c>
      <c r="E3722" s="5" t="s">
        <v>116</v>
      </c>
      <c r="F3722" s="9">
        <v>86</v>
      </c>
      <c r="G3722" s="9">
        <v>997</v>
      </c>
      <c r="H3722" s="5" t="s">
        <v>21</v>
      </c>
      <c r="I3722" s="5" t="s">
        <v>8930</v>
      </c>
      <c r="J3722" s="12" t="str">
        <f>HYPERLINK("https://www.boe.es/gazeta/dias/1800/10/24/pdfs/GMD-1800-86.pdf#page=7","Abrir facsímil")</f>
        <v>Abrir facsímil</v>
      </c>
      <c r="K3722" s="15" t="s">
        <v>23</v>
      </c>
    </row>
    <row r="3723" spans="1:11" ht="42" customHeight="1">
      <c r="A3723" s="4" t="s">
        <v>8931</v>
      </c>
      <c r="B3723" s="5" t="s">
        <v>8932</v>
      </c>
      <c r="C3723" s="5" t="s">
        <v>41</v>
      </c>
      <c r="D3723" s="5" t="s">
        <v>42</v>
      </c>
      <c r="E3723" s="5" t="s">
        <v>79</v>
      </c>
      <c r="F3723" s="9">
        <v>7</v>
      </c>
      <c r="G3723" s="9">
        <v>61</v>
      </c>
      <c r="H3723" s="5" t="s">
        <v>21</v>
      </c>
      <c r="I3723" s="5" t="s">
        <v>8933</v>
      </c>
      <c r="J3723" s="12" t="str">
        <f>HYPERLINK("https://www.boe.es/gazeta/dias/1800/01/24/pdfs/GMD-1800-7.pdf#page=1","Abrir facsímil")</f>
        <v>Abrir facsímil</v>
      </c>
      <c r="K3723" s="15" t="s">
        <v>23</v>
      </c>
    </row>
    <row r="3724" spans="1:11" ht="42" customHeight="1">
      <c r="A3724" s="4" t="s">
        <v>8934</v>
      </c>
      <c r="B3724" s="5" t="s">
        <v>8934</v>
      </c>
      <c r="C3724" s="5" t="s">
        <v>41</v>
      </c>
      <c r="D3724" s="5" t="s">
        <v>42</v>
      </c>
      <c r="E3724" s="5" t="s">
        <v>154</v>
      </c>
      <c r="F3724" s="9">
        <v>61</v>
      </c>
      <c r="G3724" s="9">
        <v>693</v>
      </c>
      <c r="H3724" s="5" t="s">
        <v>21</v>
      </c>
      <c r="I3724" s="5" t="s">
        <v>8935</v>
      </c>
      <c r="J3724" s="12" t="str">
        <f>HYPERLINK("https://www.boe.es/gazeta/dias/1800/08/01/pdfs/GMD-1800-61.pdf#page=5","Abrir facsímil")</f>
        <v>Abrir facsímil</v>
      </c>
      <c r="K3724" s="15" t="s">
        <v>23</v>
      </c>
    </row>
    <row r="3725" spans="1:11" ht="42" customHeight="1">
      <c r="A3725" s="4" t="s">
        <v>8936</v>
      </c>
      <c r="B3725" s="5" t="s">
        <v>8937</v>
      </c>
      <c r="C3725" s="5" t="s">
        <v>54</v>
      </c>
      <c r="D3725" s="5" t="s">
        <v>55</v>
      </c>
      <c r="E3725" s="5" t="s">
        <v>50</v>
      </c>
      <c r="F3725" s="9">
        <v>81</v>
      </c>
      <c r="G3725" s="9">
        <v>918</v>
      </c>
      <c r="H3725" s="5" t="s">
        <v>21</v>
      </c>
      <c r="I3725" s="5" t="s">
        <v>8938</v>
      </c>
      <c r="J3725" s="12" t="str">
        <f>HYPERLINK("https://www.boe.es/gazeta/dias/1800/10/07/pdfs/GMD-1800-81.pdf#page=8","Abrir facsímil")</f>
        <v>Abrir facsímil</v>
      </c>
      <c r="K3725" s="15" t="s">
        <v>23</v>
      </c>
    </row>
    <row r="3726" spans="1:11" ht="42" customHeight="1">
      <c r="A3726" s="4" t="s">
        <v>8939</v>
      </c>
      <c r="B3726" s="5" t="s">
        <v>8940</v>
      </c>
      <c r="C3726" s="5" t="s">
        <v>18</v>
      </c>
      <c r="D3726" s="5" t="s">
        <v>19</v>
      </c>
      <c r="E3726" s="5" t="s">
        <v>314</v>
      </c>
      <c r="F3726" s="9">
        <v>74</v>
      </c>
      <c r="G3726" s="9">
        <v>831</v>
      </c>
      <c r="H3726" s="5" t="s">
        <v>21</v>
      </c>
      <c r="I3726" s="5" t="s">
        <v>8941</v>
      </c>
      <c r="J3726" s="12" t="str">
        <f>HYPERLINK("https://www.boe.es/gazeta/dias/1800/09/12/pdfs/GMD-1800-74.pdf#page=9","Abrir facsímil")</f>
        <v>Abrir facsímil</v>
      </c>
      <c r="K3726" s="15" t="s">
        <v>23</v>
      </c>
    </row>
    <row r="3727" spans="1:11" ht="42" customHeight="1">
      <c r="A3727" s="4" t="s">
        <v>8942</v>
      </c>
      <c r="B3727" s="5" t="s">
        <v>8943</v>
      </c>
      <c r="C3727" s="5" t="s">
        <v>18</v>
      </c>
      <c r="D3727" s="5" t="s">
        <v>19</v>
      </c>
      <c r="E3727" s="5" t="s">
        <v>60</v>
      </c>
      <c r="F3727" s="9">
        <v>105</v>
      </c>
      <c r="G3727" s="9">
        <v>1226</v>
      </c>
      <c r="H3727" s="5" t="s">
        <v>21</v>
      </c>
      <c r="I3727" s="5" t="s">
        <v>8944</v>
      </c>
      <c r="J3727" s="12" t="str">
        <f>HYPERLINK("https://www.boe.es/gazeta/dias/1800/12/30/pdfs/GMD-1800-105.pdf#page=10","Abrir facsímil")</f>
        <v>Abrir facsímil</v>
      </c>
      <c r="K3727" s="15" t="s">
        <v>23</v>
      </c>
    </row>
    <row r="3728" spans="1:11" ht="42" customHeight="1">
      <c r="A3728" s="4" t="s">
        <v>8945</v>
      </c>
      <c r="B3728" s="5" t="s">
        <v>8946</v>
      </c>
      <c r="C3728" s="5" t="s">
        <v>41</v>
      </c>
      <c r="D3728" s="5" t="s">
        <v>42</v>
      </c>
      <c r="E3728" s="5" t="s">
        <v>615</v>
      </c>
      <c r="F3728" s="9">
        <v>95</v>
      </c>
      <c r="G3728" s="9">
        <v>1085</v>
      </c>
      <c r="H3728" s="5" t="s">
        <v>21</v>
      </c>
      <c r="I3728" s="5" t="s">
        <v>8947</v>
      </c>
      <c r="J3728" s="12" t="str">
        <f>HYPERLINK("https://www.boe.es/gazeta/dias/1800/11/25/pdfs/GMD-1800-95.pdf#page=3","Abrir facsímil")</f>
        <v>Abrir facsímil</v>
      </c>
      <c r="K3728" s="15" t="s">
        <v>23</v>
      </c>
    </row>
    <row r="3729" spans="1:11" ht="42" customHeight="1">
      <c r="A3729" s="4" t="s">
        <v>8948</v>
      </c>
      <c r="B3729" s="5" t="s">
        <v>8949</v>
      </c>
      <c r="C3729" s="5" t="s">
        <v>41</v>
      </c>
      <c r="D3729" s="5" t="s">
        <v>42</v>
      </c>
      <c r="E3729" s="5" t="s">
        <v>45</v>
      </c>
      <c r="F3729" s="9">
        <v>47</v>
      </c>
      <c r="G3729" s="9">
        <v>498</v>
      </c>
      <c r="H3729" s="5" t="s">
        <v>21</v>
      </c>
      <c r="I3729" s="5" t="s">
        <v>8950</v>
      </c>
      <c r="J3729" s="12" t="str">
        <f>HYPERLINK("https://www.boe.es/gazeta/dias/1800/06/13/pdfs/GMD-1800-47.pdf#page=6","Abrir facsímil")</f>
        <v>Abrir facsímil</v>
      </c>
      <c r="K3729" s="15" t="s">
        <v>23</v>
      </c>
    </row>
    <row r="3730" spans="1:11" ht="42" customHeight="1">
      <c r="A3730" s="4" t="s">
        <v>8951</v>
      </c>
      <c r="B3730" s="5" t="s">
        <v>8952</v>
      </c>
      <c r="C3730" s="5" t="s">
        <v>41</v>
      </c>
      <c r="D3730" s="5" t="s">
        <v>42</v>
      </c>
      <c r="E3730" s="5" t="s">
        <v>75</v>
      </c>
      <c r="F3730" s="9">
        <v>64</v>
      </c>
      <c r="G3730" s="9">
        <v>726</v>
      </c>
      <c r="H3730" s="5" t="s">
        <v>21</v>
      </c>
      <c r="I3730" s="5" t="s">
        <v>8953</v>
      </c>
      <c r="J3730" s="12" t="str">
        <f>HYPERLINK("https://www.boe.es/gazeta/dias/1800/08/12/pdfs/GMD-1800-64.pdf#page=2","Abrir facsímil")</f>
        <v>Abrir facsímil</v>
      </c>
      <c r="K3730" s="15" t="s">
        <v>23</v>
      </c>
    </row>
    <row r="3731" spans="1:11" ht="42" customHeight="1">
      <c r="A3731" s="4" t="s">
        <v>8954</v>
      </c>
      <c r="B3731" s="5" t="s">
        <v>8954</v>
      </c>
      <c r="C3731" s="5" t="s">
        <v>18</v>
      </c>
      <c r="D3731" s="5" t="s">
        <v>19</v>
      </c>
      <c r="E3731" s="5" t="s">
        <v>244</v>
      </c>
      <c r="F3731" s="9">
        <v>9</v>
      </c>
      <c r="G3731" s="9">
        <v>85</v>
      </c>
      <c r="H3731" s="5" t="s">
        <v>21</v>
      </c>
      <c r="I3731" s="5" t="s">
        <v>8955</v>
      </c>
      <c r="J3731" s="12" t="str">
        <f>HYPERLINK("https://www.boe.es/gazeta/dias/1800/01/31/pdfs/GMD-1800-9.pdf#page=9","Abrir facsímil")</f>
        <v>Abrir facsímil</v>
      </c>
      <c r="K3731" s="15" t="s">
        <v>23</v>
      </c>
    </row>
    <row r="3732" spans="1:11" ht="42" customHeight="1">
      <c r="A3732" s="4" t="s">
        <v>8956</v>
      </c>
      <c r="B3732" s="5" t="s">
        <v>8956</v>
      </c>
      <c r="C3732" s="5" t="s">
        <v>18</v>
      </c>
      <c r="D3732" s="5" t="s">
        <v>19</v>
      </c>
      <c r="E3732" s="5" t="s">
        <v>90</v>
      </c>
      <c r="F3732" s="9">
        <v>58</v>
      </c>
      <c r="G3732" s="9">
        <v>663</v>
      </c>
      <c r="H3732" s="5" t="s">
        <v>21</v>
      </c>
      <c r="I3732" s="5" t="s">
        <v>8957</v>
      </c>
      <c r="J3732" s="12" t="str">
        <f>HYPERLINK("https://www.boe.es/gazeta/dias/1800/07/22/pdfs/GMD-1800-58.pdf#page=11","Abrir facsímil")</f>
        <v>Abrir facsímil</v>
      </c>
      <c r="K3732" s="15" t="s">
        <v>23</v>
      </c>
    </row>
    <row r="3733" spans="1:11" ht="42" customHeight="1">
      <c r="A3733" s="4" t="s">
        <v>8958</v>
      </c>
      <c r="B3733" s="5" t="s">
        <v>8958</v>
      </c>
      <c r="C3733" s="5" t="s">
        <v>25</v>
      </c>
      <c r="D3733" s="5" t="s">
        <v>26</v>
      </c>
      <c r="E3733" s="5" t="s">
        <v>101</v>
      </c>
      <c r="F3733" s="9">
        <v>37</v>
      </c>
      <c r="G3733" s="9">
        <v>377</v>
      </c>
      <c r="H3733" s="5" t="s">
        <v>21</v>
      </c>
      <c r="I3733" s="5" t="s">
        <v>8959</v>
      </c>
      <c r="J3733" s="12" t="str">
        <f>HYPERLINK("https://www.boe.es/gazeta/dias/1800/05/09/pdfs/GMD-1800-37.pdf#page=9","Abrir facsímil")</f>
        <v>Abrir facsímil</v>
      </c>
      <c r="K3733" s="15" t="s">
        <v>23</v>
      </c>
    </row>
    <row r="3734" spans="1:11" ht="42" customHeight="1">
      <c r="A3734" s="4" t="s">
        <v>8960</v>
      </c>
      <c r="B3734" s="5" t="s">
        <v>8960</v>
      </c>
      <c r="C3734" s="5" t="s">
        <v>207</v>
      </c>
      <c r="D3734" s="5" t="s">
        <v>55</v>
      </c>
      <c r="E3734" s="5" t="s">
        <v>572</v>
      </c>
      <c r="F3734" s="9">
        <v>76</v>
      </c>
      <c r="G3734" s="9">
        <v>866</v>
      </c>
      <c r="H3734" s="5" t="s">
        <v>21</v>
      </c>
      <c r="I3734" s="5" t="s">
        <v>8961</v>
      </c>
      <c r="J3734" s="12" t="str">
        <f>HYPERLINK("https://www.boe.es/gazeta/dias/1800/09/19/pdfs/GMD-1800-76.pdf#page=8","Abrir facsímil")</f>
        <v>Abrir facsímil</v>
      </c>
      <c r="K3734" s="15" t="s">
        <v>23</v>
      </c>
    </row>
    <row r="3735" spans="1:11" ht="42" customHeight="1">
      <c r="A3735" s="4" t="s">
        <v>8962</v>
      </c>
      <c r="B3735" s="5" t="s">
        <v>8963</v>
      </c>
      <c r="C3735" s="5" t="s">
        <v>18</v>
      </c>
      <c r="D3735" s="5" t="s">
        <v>19</v>
      </c>
      <c r="E3735" s="5" t="s">
        <v>319</v>
      </c>
      <c r="F3735" s="9">
        <v>62</v>
      </c>
      <c r="G3735" s="9">
        <v>703</v>
      </c>
      <c r="H3735" s="5" t="s">
        <v>21</v>
      </c>
      <c r="I3735" s="5" t="s">
        <v>8964</v>
      </c>
      <c r="J3735" s="12" t="str">
        <f>HYPERLINK("https://www.boe.es/gazeta/dias/1800/08/05/pdfs/GMD-1800-62.pdf#page=3","Abrir facsímil")</f>
        <v>Abrir facsímil</v>
      </c>
      <c r="K3735" s="15" t="s">
        <v>23</v>
      </c>
    </row>
    <row r="3736" spans="1:11" ht="42" customHeight="1">
      <c r="A3736" s="4" t="s">
        <v>8965</v>
      </c>
      <c r="B3736" s="5" t="s">
        <v>8966</v>
      </c>
      <c r="C3736" s="5" t="s">
        <v>41</v>
      </c>
      <c r="D3736" s="5" t="s">
        <v>42</v>
      </c>
      <c r="E3736" s="5" t="s">
        <v>618</v>
      </c>
      <c r="F3736" s="9">
        <v>1</v>
      </c>
      <c r="G3736" s="9">
        <v>2</v>
      </c>
      <c r="H3736" s="5" t="s">
        <v>21</v>
      </c>
      <c r="I3736" s="5" t="s">
        <v>8967</v>
      </c>
      <c r="J3736" s="12" t="str">
        <f>HYPERLINK("https://www.boe.es/gazeta/dias/1800/01/03/pdfs/GMD-1800-1.pdf#page=2","Abrir facsímil")</f>
        <v>Abrir facsímil</v>
      </c>
      <c r="K3736" s="15" t="s">
        <v>23</v>
      </c>
    </row>
    <row r="3737" spans="1:11" ht="42" customHeight="1">
      <c r="A3737" s="4" t="s">
        <v>8965</v>
      </c>
      <c r="B3737" s="5" t="s">
        <v>8966</v>
      </c>
      <c r="C3737" s="5" t="s">
        <v>41</v>
      </c>
      <c r="D3737" s="5" t="s">
        <v>42</v>
      </c>
      <c r="E3737" s="5" t="s">
        <v>545</v>
      </c>
      <c r="F3737" s="9">
        <v>14</v>
      </c>
      <c r="G3737" s="9">
        <v>130</v>
      </c>
      <c r="H3737" s="5" t="s">
        <v>21</v>
      </c>
      <c r="I3737" s="5" t="s">
        <v>8968</v>
      </c>
      <c r="J3737" s="12" t="str">
        <f>HYPERLINK("https://www.boe.es/gazeta/dias/1800/02/18/pdfs/GMD-1800-14.pdf#page=2","Abrir facsímil")</f>
        <v>Abrir facsímil</v>
      </c>
      <c r="K3737" s="15" t="s">
        <v>23</v>
      </c>
    </row>
    <row r="3738" spans="1:11" ht="42" customHeight="1">
      <c r="A3738" s="4" t="s">
        <v>8965</v>
      </c>
      <c r="B3738" s="5" t="s">
        <v>8966</v>
      </c>
      <c r="C3738" s="5" t="s">
        <v>41</v>
      </c>
      <c r="D3738" s="5" t="s">
        <v>42</v>
      </c>
      <c r="E3738" s="5" t="s">
        <v>120</v>
      </c>
      <c r="F3738" s="9">
        <v>52</v>
      </c>
      <c r="G3738" s="9">
        <v>567</v>
      </c>
      <c r="H3738" s="5" t="s">
        <v>21</v>
      </c>
      <c r="I3738" s="5" t="s">
        <v>8969</v>
      </c>
      <c r="J3738" s="12" t="str">
        <f>HYPERLINK("https://www.boe.es/gazeta/dias/1800/07/01/pdfs/GMD-1800-52.pdf#page=3","Abrir facsímil")</f>
        <v>Abrir facsímil</v>
      </c>
      <c r="K3738" s="15" t="s">
        <v>23</v>
      </c>
    </row>
    <row r="3739" spans="1:11" ht="42" customHeight="1">
      <c r="A3739" s="4" t="s">
        <v>8965</v>
      </c>
      <c r="B3739" s="5" t="s">
        <v>8966</v>
      </c>
      <c r="C3739" s="5" t="s">
        <v>41</v>
      </c>
      <c r="D3739" s="5" t="s">
        <v>42</v>
      </c>
      <c r="E3739" s="5" t="s">
        <v>27</v>
      </c>
      <c r="F3739" s="9">
        <v>65</v>
      </c>
      <c r="G3739" s="9">
        <v>728</v>
      </c>
      <c r="H3739" s="5" t="s">
        <v>21</v>
      </c>
      <c r="I3739" s="5" t="s">
        <v>8970</v>
      </c>
      <c r="J3739" s="12" t="str">
        <f>HYPERLINK("https://www.boe.es/gazeta/dias/1800/08/15/pdfs/GMD-1800-65.pdf#page=4","Abrir facsímil")</f>
        <v>Abrir facsímil</v>
      </c>
      <c r="K3739" s="15" t="s">
        <v>23</v>
      </c>
    </row>
    <row r="3740" spans="1:11" ht="42" customHeight="1">
      <c r="A3740" s="4" t="s">
        <v>8965</v>
      </c>
      <c r="B3740" s="5" t="s">
        <v>8966</v>
      </c>
      <c r="C3740" s="5" t="s">
        <v>41</v>
      </c>
      <c r="D3740" s="5" t="s">
        <v>42</v>
      </c>
      <c r="E3740" s="5" t="s">
        <v>48</v>
      </c>
      <c r="F3740" s="9">
        <v>66</v>
      </c>
      <c r="G3740" s="9">
        <v>741</v>
      </c>
      <c r="H3740" s="5" t="s">
        <v>21</v>
      </c>
      <c r="I3740" s="5" t="s">
        <v>8971</v>
      </c>
      <c r="J3740" s="12" t="str">
        <f>HYPERLINK("https://www.boe.es/gazeta/dias/1800/08/19/pdfs/GMD-1800-66.pdf#page=5","Abrir facsímil")</f>
        <v>Abrir facsímil</v>
      </c>
      <c r="K3740" s="15" t="s">
        <v>23</v>
      </c>
    </row>
    <row r="3741" spans="1:11" ht="42" customHeight="1">
      <c r="A3741" s="4" t="s">
        <v>8965</v>
      </c>
      <c r="B3741" s="5" t="s">
        <v>8966</v>
      </c>
      <c r="C3741" s="5" t="s">
        <v>41</v>
      </c>
      <c r="D3741" s="5" t="s">
        <v>42</v>
      </c>
      <c r="E3741" s="5" t="s">
        <v>534</v>
      </c>
      <c r="F3741" s="9">
        <v>100</v>
      </c>
      <c r="G3741" s="9">
        <v>1151</v>
      </c>
      <c r="H3741" s="5" t="s">
        <v>21</v>
      </c>
      <c r="I3741" s="5" t="s">
        <v>8972</v>
      </c>
      <c r="J3741" s="12" t="str">
        <f>HYPERLINK("https://www.boe.es/gazeta/dias/1800/12/12/pdfs/GMD-1800-100.pdf#page=3","Abrir facsímil")</f>
        <v>Abrir facsímil</v>
      </c>
      <c r="K3741" s="15" t="s">
        <v>23</v>
      </c>
    </row>
    <row r="3742" spans="1:11" ht="42" customHeight="1">
      <c r="A3742" s="4" t="s">
        <v>8973</v>
      </c>
      <c r="B3742" s="5" t="s">
        <v>8973</v>
      </c>
      <c r="C3742" s="5" t="s">
        <v>18</v>
      </c>
      <c r="D3742" s="5" t="s">
        <v>19</v>
      </c>
      <c r="E3742" s="5" t="s">
        <v>82</v>
      </c>
      <c r="F3742" s="9">
        <v>10</v>
      </c>
      <c r="G3742" s="9">
        <v>99</v>
      </c>
      <c r="H3742" s="5" t="s">
        <v>21</v>
      </c>
      <c r="I3742" s="5" t="s">
        <v>8974</v>
      </c>
      <c r="J3742" s="12" t="str">
        <f>HYPERLINK("https://www.boe.es/gazeta/dias/1800/02/04/pdfs/GMD-1800-10.pdf#page=11","Abrir facsímil")</f>
        <v>Abrir facsímil</v>
      </c>
      <c r="K3742" s="15" t="s">
        <v>23</v>
      </c>
    </row>
    <row r="3743" spans="1:11" ht="42" customHeight="1">
      <c r="A3743" s="4" t="s">
        <v>8975</v>
      </c>
      <c r="B3743" s="5" t="s">
        <v>8975</v>
      </c>
      <c r="C3743" s="5" t="s">
        <v>18</v>
      </c>
      <c r="D3743" s="5" t="s">
        <v>19</v>
      </c>
      <c r="E3743" s="5" t="s">
        <v>600</v>
      </c>
      <c r="F3743" s="9">
        <v>45</v>
      </c>
      <c r="G3743" s="9">
        <v>472</v>
      </c>
      <c r="H3743" s="5" t="s">
        <v>21</v>
      </c>
      <c r="I3743" s="5" t="s">
        <v>8976</v>
      </c>
      <c r="J3743" s="12" t="str">
        <f>HYPERLINK("https://www.boe.es/gazeta/dias/1800/06/06/pdfs/GMD-1800-45.pdf#page=8","Abrir facsímil")</f>
        <v>Abrir facsímil</v>
      </c>
      <c r="K3743" s="15" t="s">
        <v>23</v>
      </c>
    </row>
    <row r="3744" spans="1:11" ht="42" customHeight="1">
      <c r="A3744" s="4" t="s">
        <v>8977</v>
      </c>
      <c r="B3744" s="5" t="s">
        <v>8978</v>
      </c>
      <c r="C3744" s="5" t="s">
        <v>41</v>
      </c>
      <c r="D3744" s="5" t="s">
        <v>42</v>
      </c>
      <c r="E3744" s="5" t="s">
        <v>1433</v>
      </c>
      <c r="F3744" s="9">
        <v>12</v>
      </c>
      <c r="G3744" s="9">
        <v>114</v>
      </c>
      <c r="H3744" s="5" t="s">
        <v>21</v>
      </c>
      <c r="I3744" s="5" t="s">
        <v>8979</v>
      </c>
      <c r="J3744" s="12" t="str">
        <f>HYPERLINK("https://www.boe.es/gazeta/dias/1800/02/11/pdfs/GMD-1800-12.pdf#page=6","Abrir facsímil")</f>
        <v>Abrir facsímil</v>
      </c>
      <c r="K3744" s="15" t="s">
        <v>23</v>
      </c>
    </row>
    <row r="3745" spans="1:11" ht="42" customHeight="1">
      <c r="A3745" s="4" t="s">
        <v>8980</v>
      </c>
      <c r="B3745" s="5" t="s">
        <v>8980</v>
      </c>
      <c r="C3745" s="5" t="s">
        <v>41</v>
      </c>
      <c r="D3745" s="5" t="s">
        <v>42</v>
      </c>
      <c r="E3745" s="5" t="s">
        <v>576</v>
      </c>
      <c r="F3745" s="9">
        <v>91</v>
      </c>
      <c r="G3745" s="9">
        <v>1063</v>
      </c>
      <c r="H3745" s="5" t="s">
        <v>21</v>
      </c>
      <c r="I3745" s="5" t="s">
        <v>8981</v>
      </c>
      <c r="J3745" s="12" t="str">
        <f>HYPERLINK("https://www.boe.es/gazeta/dias/1800/11/11/pdfs/GMD-1800-91.pdf#page=5","Abrir facsímil")</f>
        <v>Abrir facsímil</v>
      </c>
      <c r="K3745" s="15" t="s">
        <v>23</v>
      </c>
    </row>
    <row r="3746" spans="1:11" ht="42" customHeight="1">
      <c r="A3746" s="4" t="s">
        <v>8982</v>
      </c>
      <c r="B3746" s="5" t="s">
        <v>8983</v>
      </c>
      <c r="C3746" s="5" t="s">
        <v>18</v>
      </c>
      <c r="D3746" s="5" t="s">
        <v>19</v>
      </c>
      <c r="E3746" s="5" t="s">
        <v>180</v>
      </c>
      <c r="F3746" s="9">
        <v>102</v>
      </c>
      <c r="G3746" s="9">
        <v>1179</v>
      </c>
      <c r="H3746" s="5" t="s">
        <v>21</v>
      </c>
      <c r="I3746" s="5" t="s">
        <v>8984</v>
      </c>
      <c r="J3746" s="12" t="str">
        <f>HYPERLINK("https://www.boe.es/gazeta/dias/1800/12/19/pdfs/GMD-1800-102.pdf#page=3","Abrir facsímil")</f>
        <v>Abrir facsímil</v>
      </c>
      <c r="K3746" s="15" t="s">
        <v>23</v>
      </c>
    </row>
    <row r="3747" spans="1:11" ht="42" customHeight="1">
      <c r="A3747" s="4" t="s">
        <v>8985</v>
      </c>
      <c r="B3747" s="5" t="s">
        <v>8985</v>
      </c>
      <c r="C3747" s="5" t="s">
        <v>41</v>
      </c>
      <c r="D3747" s="5" t="s">
        <v>42</v>
      </c>
      <c r="E3747" s="5" t="s">
        <v>836</v>
      </c>
      <c r="F3747" s="9">
        <v>71</v>
      </c>
      <c r="G3747" s="9">
        <v>786</v>
      </c>
      <c r="H3747" s="5" t="s">
        <v>21</v>
      </c>
      <c r="I3747" s="5" t="s">
        <v>8986</v>
      </c>
      <c r="J3747" s="12" t="str">
        <f>HYPERLINK("https://www.boe.es/gazeta/dias/1800/09/02/pdfs/GMD-1800-71.pdf#page=4","Abrir facsímil")</f>
        <v>Abrir facsímil</v>
      </c>
      <c r="K3747" s="15" t="s">
        <v>23</v>
      </c>
    </row>
    <row r="3748" spans="1:11" ht="42" customHeight="1">
      <c r="A3748" s="4" t="s">
        <v>8987</v>
      </c>
      <c r="B3748" s="5" t="s">
        <v>8987</v>
      </c>
      <c r="C3748" s="5" t="s">
        <v>41</v>
      </c>
      <c r="D3748" s="5" t="s">
        <v>42</v>
      </c>
      <c r="E3748" s="5" t="s">
        <v>90</v>
      </c>
      <c r="F3748" s="9">
        <v>58</v>
      </c>
      <c r="G3748" s="9">
        <v>661</v>
      </c>
      <c r="H3748" s="5" t="s">
        <v>21</v>
      </c>
      <c r="I3748" s="5" t="s">
        <v>8988</v>
      </c>
      <c r="J3748" s="12" t="str">
        <f>HYPERLINK("https://www.boe.es/gazeta/dias/1800/07/22/pdfs/GMD-1800-58.pdf#page=9","Abrir facsímil")</f>
        <v>Abrir facsímil</v>
      </c>
      <c r="K3748" s="15" t="s">
        <v>23</v>
      </c>
    </row>
    <row r="3749" spans="1:11" ht="42" customHeight="1">
      <c r="A3749" s="4" t="s">
        <v>8989</v>
      </c>
      <c r="B3749" s="5" t="s">
        <v>8990</v>
      </c>
      <c r="C3749" s="5" t="s">
        <v>18</v>
      </c>
      <c r="D3749" s="5" t="s">
        <v>19</v>
      </c>
      <c r="E3749" s="5" t="s">
        <v>90</v>
      </c>
      <c r="F3749" s="9">
        <v>58</v>
      </c>
      <c r="G3749" s="9">
        <v>661</v>
      </c>
      <c r="H3749" s="5" t="s">
        <v>21</v>
      </c>
      <c r="I3749" s="5" t="s">
        <v>8991</v>
      </c>
      <c r="J3749" s="12" t="str">
        <f>HYPERLINK("https://www.boe.es/gazeta/dias/1800/07/22/pdfs/GMD-1800-58.pdf#page=9","Abrir facsímil")</f>
        <v>Abrir facsímil</v>
      </c>
      <c r="K3749" s="15" t="s">
        <v>23</v>
      </c>
    </row>
    <row r="3750" spans="1:11" ht="42" customHeight="1">
      <c r="A3750" s="4" t="s">
        <v>8992</v>
      </c>
      <c r="B3750" s="5" t="s">
        <v>8992</v>
      </c>
      <c r="C3750" s="5" t="s">
        <v>41</v>
      </c>
      <c r="D3750" s="5" t="s">
        <v>42</v>
      </c>
      <c r="E3750" s="5" t="s">
        <v>45</v>
      </c>
      <c r="F3750" s="9">
        <v>47</v>
      </c>
      <c r="G3750" s="9">
        <v>494</v>
      </c>
      <c r="H3750" s="5" t="s">
        <v>21</v>
      </c>
      <c r="I3750" s="5" t="s">
        <v>8433</v>
      </c>
      <c r="J3750" s="12" t="str">
        <f>HYPERLINK("https://www.boe.es/gazeta/dias/1800/06/13/pdfs/GMD-1800-47.pdf#page=2","Abrir facsímil")</f>
        <v>Abrir facsímil</v>
      </c>
      <c r="K3750" s="15" t="s">
        <v>23</v>
      </c>
    </row>
    <row r="3751" spans="1:11" ht="42" customHeight="1">
      <c r="A3751" s="4" t="s">
        <v>8993</v>
      </c>
      <c r="B3751" s="5" t="s">
        <v>8994</v>
      </c>
      <c r="C3751" s="5" t="s">
        <v>25</v>
      </c>
      <c r="D3751" s="5" t="s">
        <v>26</v>
      </c>
      <c r="E3751" s="5" t="s">
        <v>39</v>
      </c>
      <c r="F3751" s="9">
        <v>43</v>
      </c>
      <c r="G3751" s="9">
        <v>449</v>
      </c>
      <c r="H3751" s="5" t="s">
        <v>21</v>
      </c>
      <c r="I3751" s="5" t="s">
        <v>8995</v>
      </c>
      <c r="J3751" s="12" t="str">
        <f>HYPERLINK("https://www.boe.es/gazeta/dias/1800/05/30/pdfs/GMD-1800-43.pdf#page=9","Abrir facsímil")</f>
        <v>Abrir facsímil</v>
      </c>
      <c r="K3751" s="15" t="s">
        <v>23</v>
      </c>
    </row>
    <row r="3752" spans="1:11" ht="42" customHeight="1">
      <c r="A3752" s="4" t="s">
        <v>8996</v>
      </c>
      <c r="B3752" s="5" t="s">
        <v>8997</v>
      </c>
      <c r="C3752" s="5" t="s">
        <v>18</v>
      </c>
      <c r="D3752" s="5" t="s">
        <v>19</v>
      </c>
      <c r="E3752" s="5" t="s">
        <v>828</v>
      </c>
      <c r="F3752" s="9">
        <v>53</v>
      </c>
      <c r="G3752" s="9">
        <v>587</v>
      </c>
      <c r="H3752" s="5" t="s">
        <v>21</v>
      </c>
      <c r="I3752" s="5" t="s">
        <v>8998</v>
      </c>
      <c r="J3752" s="12" t="str">
        <f>HYPERLINK("https://www.boe.es/gazeta/dias/1800/07/04/pdfs/GMD-1800-53.pdf#page=7","Abrir facsímil")</f>
        <v>Abrir facsímil</v>
      </c>
      <c r="K3752" s="15" t="s">
        <v>23</v>
      </c>
    </row>
    <row r="3753" spans="1:11" ht="42" customHeight="1">
      <c r="A3753" s="4" t="s">
        <v>8996</v>
      </c>
      <c r="B3753" s="5" t="s">
        <v>8997</v>
      </c>
      <c r="C3753" s="5" t="s">
        <v>25</v>
      </c>
      <c r="D3753" s="5" t="s">
        <v>26</v>
      </c>
      <c r="E3753" s="5" t="s">
        <v>90</v>
      </c>
      <c r="F3753" s="9">
        <v>58</v>
      </c>
      <c r="G3753" s="9">
        <v>662</v>
      </c>
      <c r="H3753" s="5" t="s">
        <v>21</v>
      </c>
      <c r="I3753" s="5" t="s">
        <v>8999</v>
      </c>
      <c r="J3753" s="12" t="str">
        <f>HYPERLINK("https://www.boe.es/gazeta/dias/1800/07/22/pdfs/GMD-1800-58.pdf#page=10","Abrir facsímil")</f>
        <v>Abrir facsímil</v>
      </c>
      <c r="K3753" s="15" t="s">
        <v>23</v>
      </c>
    </row>
    <row r="3754" spans="1:11" ht="42" customHeight="1">
      <c r="A3754" s="4" t="s">
        <v>9000</v>
      </c>
      <c r="B3754" s="5" t="s">
        <v>9001</v>
      </c>
      <c r="C3754" s="5" t="s">
        <v>41</v>
      </c>
      <c r="D3754" s="5" t="s">
        <v>42</v>
      </c>
      <c r="E3754" s="5" t="s">
        <v>135</v>
      </c>
      <c r="F3754" s="9">
        <v>73</v>
      </c>
      <c r="G3754" s="9">
        <v>812</v>
      </c>
      <c r="H3754" s="5" t="s">
        <v>21</v>
      </c>
      <c r="I3754" s="5" t="s">
        <v>9002</v>
      </c>
      <c r="J3754" s="12" t="str">
        <f>HYPERLINK("https://www.boe.es/gazeta/dias/1800/09/09/pdfs/GMD-1800-73.pdf#page=6","Abrir facsímil")</f>
        <v>Abrir facsímil</v>
      </c>
      <c r="K3754" s="15" t="s">
        <v>23</v>
      </c>
    </row>
    <row r="3755" spans="1:11" ht="42" customHeight="1">
      <c r="A3755" s="4" t="s">
        <v>9003</v>
      </c>
      <c r="B3755" s="5" t="s">
        <v>9004</v>
      </c>
      <c r="C3755" s="5" t="s">
        <v>41</v>
      </c>
      <c r="D3755" s="5" t="s">
        <v>42</v>
      </c>
      <c r="E3755" s="5" t="s">
        <v>825</v>
      </c>
      <c r="F3755" s="9">
        <v>51</v>
      </c>
      <c r="G3755" s="9">
        <v>555</v>
      </c>
      <c r="H3755" s="5" t="s">
        <v>21</v>
      </c>
      <c r="I3755" s="5" t="s">
        <v>9005</v>
      </c>
      <c r="J3755" s="12" t="str">
        <f>HYPERLINK("https://www.boe.es/gazeta/dias/1800/06/27/pdfs/GMD-1800-51.pdf#page=7","Abrir facsímil")</f>
        <v>Abrir facsímil</v>
      </c>
      <c r="K3755" s="15" t="s">
        <v>23</v>
      </c>
    </row>
    <row r="3756" spans="1:11" ht="42" customHeight="1">
      <c r="A3756" s="4" t="s">
        <v>9006</v>
      </c>
      <c r="B3756" s="5" t="s">
        <v>9007</v>
      </c>
      <c r="C3756" s="5" t="s">
        <v>41</v>
      </c>
      <c r="D3756" s="5" t="s">
        <v>42</v>
      </c>
      <c r="E3756" s="5" t="s">
        <v>346</v>
      </c>
      <c r="F3756" s="9">
        <v>24</v>
      </c>
      <c r="G3756" s="9">
        <v>240</v>
      </c>
      <c r="H3756" s="5" t="s">
        <v>21</v>
      </c>
      <c r="I3756" s="5" t="s">
        <v>9008</v>
      </c>
      <c r="J3756" s="12" t="str">
        <f>HYPERLINK("https://www.boe.es/gazeta/dias/1800/03/25/pdfs/GMD-1800-24.pdf#page=4","Abrir facsímil")</f>
        <v>Abrir facsímil</v>
      </c>
      <c r="K3756" s="15" t="s">
        <v>23</v>
      </c>
    </row>
    <row r="3757" spans="1:11" ht="42" customHeight="1">
      <c r="A3757" s="4" t="s">
        <v>9006</v>
      </c>
      <c r="B3757" s="5" t="s">
        <v>9007</v>
      </c>
      <c r="C3757" s="5" t="s">
        <v>18</v>
      </c>
      <c r="D3757" s="5" t="s">
        <v>19</v>
      </c>
      <c r="E3757" s="5" t="s">
        <v>406</v>
      </c>
      <c r="F3757" s="9">
        <v>44</v>
      </c>
      <c r="G3757" s="9">
        <v>455</v>
      </c>
      <c r="H3757" s="5" t="s">
        <v>21</v>
      </c>
      <c r="I3757" s="5" t="s">
        <v>9009</v>
      </c>
      <c r="J3757" s="12" t="str">
        <f>HYPERLINK("https://www.boe.es/gazeta/dias/1800/06/03/pdfs/GMD-1800-44.pdf#page=3","Abrir facsímil")</f>
        <v>Abrir facsímil</v>
      </c>
      <c r="K3757" s="15" t="s">
        <v>23</v>
      </c>
    </row>
    <row r="3758" spans="1:11" ht="42" customHeight="1">
      <c r="A3758" s="4" t="s">
        <v>9006</v>
      </c>
      <c r="B3758" s="5" t="s">
        <v>9007</v>
      </c>
      <c r="C3758" s="5" t="s">
        <v>41</v>
      </c>
      <c r="D3758" s="5" t="s">
        <v>42</v>
      </c>
      <c r="E3758" s="5" t="s">
        <v>454</v>
      </c>
      <c r="F3758" s="9">
        <v>63</v>
      </c>
      <c r="G3758" s="9">
        <v>716</v>
      </c>
      <c r="H3758" s="5" t="s">
        <v>21</v>
      </c>
      <c r="I3758" s="5" t="s">
        <v>9010</v>
      </c>
      <c r="J3758" s="12" t="str">
        <f>HYPERLINK("https://www.boe.es/gazeta/dias/1800/08/08/pdfs/GMD-1800-63.pdf#page=4","Abrir facsímil")</f>
        <v>Abrir facsímil</v>
      </c>
      <c r="K3758" s="15" t="s">
        <v>23</v>
      </c>
    </row>
    <row r="3759" spans="1:11" ht="42" customHeight="1">
      <c r="A3759" s="4" t="s">
        <v>9006</v>
      </c>
      <c r="B3759" s="5" t="s">
        <v>9007</v>
      </c>
      <c r="C3759" s="5" t="s">
        <v>41</v>
      </c>
      <c r="D3759" s="5" t="s">
        <v>42</v>
      </c>
      <c r="E3759" s="5" t="s">
        <v>283</v>
      </c>
      <c r="F3759" s="9">
        <v>68</v>
      </c>
      <c r="G3759" s="9">
        <v>758</v>
      </c>
      <c r="H3759" s="5" t="s">
        <v>21</v>
      </c>
      <c r="I3759" s="5" t="s">
        <v>9011</v>
      </c>
      <c r="J3759" s="12" t="str">
        <f>HYPERLINK("https://www.boe.es/gazeta/dias/1800/08/26/pdfs/GMD-1800-68.pdf#page=2","Abrir facsímil")</f>
        <v>Abrir facsímil</v>
      </c>
      <c r="K3759" s="15" t="s">
        <v>23</v>
      </c>
    </row>
    <row r="3760" spans="1:11" ht="42" customHeight="1">
      <c r="A3760" s="4" t="s">
        <v>9006</v>
      </c>
      <c r="B3760" s="5" t="s">
        <v>9007</v>
      </c>
      <c r="C3760" s="5" t="s">
        <v>18</v>
      </c>
      <c r="D3760" s="5" t="s">
        <v>19</v>
      </c>
      <c r="E3760" s="5" t="s">
        <v>180</v>
      </c>
      <c r="F3760" s="9">
        <v>102</v>
      </c>
      <c r="G3760" s="9">
        <v>1179</v>
      </c>
      <c r="H3760" s="5" t="s">
        <v>21</v>
      </c>
      <c r="I3760" s="5" t="s">
        <v>9012</v>
      </c>
      <c r="J3760" s="12" t="str">
        <f>HYPERLINK("https://www.boe.es/gazeta/dias/1800/12/19/pdfs/GMD-1800-102.pdf#page=3","Abrir facsímil")</f>
        <v>Abrir facsímil</v>
      </c>
      <c r="K3760" s="15" t="s">
        <v>23</v>
      </c>
    </row>
    <row r="3761" spans="1:11" ht="42" customHeight="1">
      <c r="A3761" s="4" t="s">
        <v>9006</v>
      </c>
      <c r="B3761" s="5" t="s">
        <v>9007</v>
      </c>
      <c r="C3761" s="5" t="s">
        <v>41</v>
      </c>
      <c r="D3761" s="5" t="s">
        <v>42</v>
      </c>
      <c r="E3761" s="5" t="s">
        <v>180</v>
      </c>
      <c r="F3761" s="9">
        <v>102</v>
      </c>
      <c r="G3761" s="9">
        <v>1180</v>
      </c>
      <c r="H3761" s="5" t="s">
        <v>21</v>
      </c>
      <c r="I3761" s="5" t="s">
        <v>9013</v>
      </c>
      <c r="J3761" s="12" t="str">
        <f>HYPERLINK("https://www.boe.es/gazeta/dias/1800/12/19/pdfs/GMD-1800-102.pdf#page=4","Abrir facsímil")</f>
        <v>Abrir facsímil</v>
      </c>
      <c r="K3761" s="15" t="s">
        <v>23</v>
      </c>
    </row>
    <row r="3762" spans="1:11" ht="42" customHeight="1">
      <c r="A3762" s="4" t="s">
        <v>9006</v>
      </c>
      <c r="B3762" s="5" t="s">
        <v>9007</v>
      </c>
      <c r="C3762" s="5" t="s">
        <v>41</v>
      </c>
      <c r="D3762" s="5" t="s">
        <v>42</v>
      </c>
      <c r="E3762" s="5" t="s">
        <v>279</v>
      </c>
      <c r="F3762" s="9">
        <v>103</v>
      </c>
      <c r="G3762" s="9">
        <v>1192</v>
      </c>
      <c r="H3762" s="5" t="s">
        <v>21</v>
      </c>
      <c r="I3762" s="5" t="s">
        <v>9014</v>
      </c>
      <c r="J3762" s="12" t="str">
        <f>HYPERLINK("https://www.boe.es/gazeta/dias/1800/12/23/pdfs/GMD-1800-103.pdf#page=4","Abrir facsímil")</f>
        <v>Abrir facsímil</v>
      </c>
      <c r="K3762" s="15" t="s">
        <v>23</v>
      </c>
    </row>
    <row r="3763" spans="1:11" ht="42" customHeight="1">
      <c r="A3763" s="4" t="s">
        <v>9006</v>
      </c>
      <c r="B3763" s="5" t="s">
        <v>9007</v>
      </c>
      <c r="C3763" s="5" t="s">
        <v>41</v>
      </c>
      <c r="D3763" s="5" t="s">
        <v>42</v>
      </c>
      <c r="E3763" s="5" t="s">
        <v>279</v>
      </c>
      <c r="F3763" s="9">
        <v>103</v>
      </c>
      <c r="G3763" s="9">
        <v>1193</v>
      </c>
      <c r="H3763" s="5" t="s">
        <v>21</v>
      </c>
      <c r="I3763" s="5" t="s">
        <v>9015</v>
      </c>
      <c r="J3763" s="12" t="str">
        <f>HYPERLINK("https://www.boe.es/gazeta/dias/1800/12/23/pdfs/GMD-1800-103.pdf#page=5","Abrir facsímil")</f>
        <v>Abrir facsímil</v>
      </c>
      <c r="K3763" s="15" t="s">
        <v>23</v>
      </c>
    </row>
    <row r="3764" spans="1:11" ht="42" customHeight="1">
      <c r="A3764" s="4" t="s">
        <v>9016</v>
      </c>
      <c r="B3764" s="5" t="s">
        <v>9017</v>
      </c>
      <c r="C3764" s="5" t="s">
        <v>41</v>
      </c>
      <c r="D3764" s="5" t="s">
        <v>42</v>
      </c>
      <c r="E3764" s="5" t="s">
        <v>248</v>
      </c>
      <c r="F3764" s="9">
        <v>33</v>
      </c>
      <c r="G3764" s="9">
        <v>327</v>
      </c>
      <c r="H3764" s="5" t="s">
        <v>21</v>
      </c>
      <c r="I3764" s="5" t="s">
        <v>9018</v>
      </c>
      <c r="J3764" s="12" t="str">
        <f>HYPERLINK("https://www.boe.es/gazeta/dias/1800/04/25/pdfs/GMD-1800-33.pdf#page=3","Abrir facsímil")</f>
        <v>Abrir facsímil</v>
      </c>
      <c r="K3764" s="15" t="s">
        <v>23</v>
      </c>
    </row>
    <row r="3765" spans="1:11" ht="42" customHeight="1">
      <c r="A3765" s="4" t="s">
        <v>9019</v>
      </c>
      <c r="B3765" s="5" t="s">
        <v>9020</v>
      </c>
      <c r="C3765" s="5" t="s">
        <v>18</v>
      </c>
      <c r="D3765" s="5" t="s">
        <v>19</v>
      </c>
      <c r="E3765" s="5" t="s">
        <v>56</v>
      </c>
      <c r="F3765" s="9">
        <v>90</v>
      </c>
      <c r="G3765" s="9">
        <v>1056</v>
      </c>
      <c r="H3765" s="5" t="s">
        <v>21</v>
      </c>
      <c r="I3765" s="5" t="s">
        <v>9021</v>
      </c>
      <c r="J3765" s="12" t="str">
        <f>HYPERLINK("https://www.boe.es/gazeta/dias/1800/11/07/pdfs/GMD-1800-90.pdf#page=10","Abrir facsímil")</f>
        <v>Abrir facsímil</v>
      </c>
      <c r="K3765" s="15" t="s">
        <v>23</v>
      </c>
    </row>
    <row r="3766" spans="1:11" ht="42" customHeight="1">
      <c r="A3766" s="4" t="s">
        <v>9022</v>
      </c>
      <c r="B3766" s="5" t="s">
        <v>9023</v>
      </c>
      <c r="C3766" s="5" t="s">
        <v>41</v>
      </c>
      <c r="D3766" s="5" t="s">
        <v>42</v>
      </c>
      <c r="E3766" s="5" t="s">
        <v>48</v>
      </c>
      <c r="F3766" s="9">
        <v>66</v>
      </c>
      <c r="G3766" s="9">
        <v>745</v>
      </c>
      <c r="H3766" s="5" t="s">
        <v>21</v>
      </c>
      <c r="I3766" s="5" t="s">
        <v>9024</v>
      </c>
      <c r="J3766" s="12" t="str">
        <f>HYPERLINK("https://www.boe.es/gazeta/dias/1800/08/19/pdfs/GMD-1800-66.pdf#page=9","Abrir facsímil")</f>
        <v>Abrir facsímil</v>
      </c>
      <c r="K3766" s="15" t="s">
        <v>23</v>
      </c>
    </row>
    <row r="3767" spans="1:11" ht="42" customHeight="1">
      <c r="A3767" s="4" t="s">
        <v>9025</v>
      </c>
      <c r="B3767" s="5" t="s">
        <v>9026</v>
      </c>
      <c r="C3767" s="5" t="s">
        <v>18</v>
      </c>
      <c r="D3767" s="5" t="s">
        <v>19</v>
      </c>
      <c r="E3767" s="5" t="s">
        <v>203</v>
      </c>
      <c r="F3767" s="9">
        <v>94</v>
      </c>
      <c r="G3767" s="9">
        <v>1073</v>
      </c>
      <c r="H3767" s="5" t="s">
        <v>21</v>
      </c>
      <c r="I3767" s="5" t="s">
        <v>9027</v>
      </c>
      <c r="J3767" s="12" t="str">
        <f>HYPERLINK("https://www.boe.es/gazeta/dias/1800/11/21/pdfs/GMD-1800-94.pdf#page=3","Abrir facsímil")</f>
        <v>Abrir facsímil</v>
      </c>
      <c r="K3767" s="15" t="s">
        <v>23</v>
      </c>
    </row>
    <row r="3768" spans="1:11" ht="42" customHeight="1">
      <c r="A3768" s="4" t="s">
        <v>9028</v>
      </c>
      <c r="B3768" s="5" t="s">
        <v>9029</v>
      </c>
      <c r="C3768" s="5" t="s">
        <v>41</v>
      </c>
      <c r="D3768" s="5" t="s">
        <v>42</v>
      </c>
      <c r="E3768" s="5" t="s">
        <v>45</v>
      </c>
      <c r="F3768" s="9">
        <v>47</v>
      </c>
      <c r="G3768" s="9">
        <v>496</v>
      </c>
      <c r="H3768" s="5" t="s">
        <v>21</v>
      </c>
      <c r="I3768" s="5" t="s">
        <v>9030</v>
      </c>
      <c r="J3768" s="12" t="str">
        <f>HYPERLINK("https://www.boe.es/gazeta/dias/1800/06/13/pdfs/GMD-1800-47.pdf#page=4","Abrir facsímil")</f>
        <v>Abrir facsímil</v>
      </c>
      <c r="K3768" s="15" t="s">
        <v>23</v>
      </c>
    </row>
    <row r="3769" spans="1:11" ht="42" customHeight="1">
      <c r="A3769" s="4" t="s">
        <v>9031</v>
      </c>
      <c r="B3769" s="5" t="s">
        <v>9031</v>
      </c>
      <c r="C3769" s="5" t="s">
        <v>41</v>
      </c>
      <c r="D3769" s="5" t="s">
        <v>42</v>
      </c>
      <c r="E3769" s="5" t="s">
        <v>618</v>
      </c>
      <c r="F3769" s="9">
        <v>1</v>
      </c>
      <c r="G3769" s="9">
        <v>2</v>
      </c>
      <c r="H3769" s="5" t="s">
        <v>21</v>
      </c>
      <c r="I3769" s="5" t="s">
        <v>9032</v>
      </c>
      <c r="J3769" s="12" t="str">
        <f>HYPERLINK("https://www.boe.es/gazeta/dias/1800/01/03/pdfs/GMD-1800-1.pdf#page=2","Abrir facsímil")</f>
        <v>Abrir facsímil</v>
      </c>
      <c r="K3769" s="15" t="s">
        <v>23</v>
      </c>
    </row>
    <row r="3770" spans="1:11" ht="42" customHeight="1">
      <c r="A3770" s="4" t="s">
        <v>9033</v>
      </c>
      <c r="B3770" s="5" t="s">
        <v>9033</v>
      </c>
      <c r="C3770" s="5" t="s">
        <v>25</v>
      </c>
      <c r="D3770" s="5" t="s">
        <v>26</v>
      </c>
      <c r="E3770" s="5" t="s">
        <v>45</v>
      </c>
      <c r="F3770" s="9">
        <v>47</v>
      </c>
      <c r="G3770" s="9">
        <v>502</v>
      </c>
      <c r="H3770" s="5" t="s">
        <v>21</v>
      </c>
      <c r="I3770" s="5" t="s">
        <v>9034</v>
      </c>
      <c r="J3770" s="12" t="str">
        <f>HYPERLINK("https://www.boe.es/gazeta/dias/1800/06/13/pdfs/GMD-1800-47.pdf#page=10","Abrir facsímil")</f>
        <v>Abrir facsímil</v>
      </c>
      <c r="K3770" s="15" t="s">
        <v>23</v>
      </c>
    </row>
    <row r="3771" spans="1:11" ht="42" customHeight="1">
      <c r="A3771" s="4" t="s">
        <v>9035</v>
      </c>
      <c r="B3771" s="5" t="s">
        <v>9036</v>
      </c>
      <c r="C3771" s="5" t="s">
        <v>18</v>
      </c>
      <c r="D3771" s="5" t="s">
        <v>19</v>
      </c>
      <c r="E3771" s="5" t="s">
        <v>184</v>
      </c>
      <c r="F3771" s="9">
        <v>82</v>
      </c>
      <c r="G3771" s="9">
        <v>950</v>
      </c>
      <c r="H3771" s="5" t="s">
        <v>21</v>
      </c>
      <c r="I3771" s="5" t="s">
        <v>9037</v>
      </c>
      <c r="J3771" s="12" t="str">
        <f>HYPERLINK("https://www.boe.es/gazeta/dias/1800/10/10/pdfs/GMD-1800-82.pdf#page=8","Abrir facsímil")</f>
        <v>Abrir facsímil</v>
      </c>
      <c r="K3771" s="15" t="s">
        <v>23</v>
      </c>
    </row>
    <row r="3772" spans="1:11" ht="42" customHeight="1">
      <c r="A3772" s="4" t="s">
        <v>9038</v>
      </c>
      <c r="B3772" s="5" t="s">
        <v>9039</v>
      </c>
      <c r="C3772" s="5" t="s">
        <v>25</v>
      </c>
      <c r="D3772" s="5" t="s">
        <v>26</v>
      </c>
      <c r="E3772" s="5" t="s">
        <v>101</v>
      </c>
      <c r="F3772" s="9">
        <v>37</v>
      </c>
      <c r="G3772" s="9">
        <v>377</v>
      </c>
      <c r="H3772" s="5" t="s">
        <v>21</v>
      </c>
      <c r="I3772" s="5" t="s">
        <v>9040</v>
      </c>
      <c r="J3772" s="12" t="str">
        <f>HYPERLINK("https://www.boe.es/gazeta/dias/1800/05/09/pdfs/GMD-1800-37.pdf#page=9","Abrir facsímil")</f>
        <v>Abrir facsímil</v>
      </c>
      <c r="K3772" s="15" t="s">
        <v>23</v>
      </c>
    </row>
    <row r="3773" spans="1:11" ht="42" customHeight="1">
      <c r="A3773" s="4" t="s">
        <v>9041</v>
      </c>
      <c r="B3773" s="5" t="s">
        <v>9042</v>
      </c>
      <c r="C3773" s="5" t="s">
        <v>18</v>
      </c>
      <c r="D3773" s="5" t="s">
        <v>19</v>
      </c>
      <c r="E3773" s="5" t="s">
        <v>90</v>
      </c>
      <c r="F3773" s="9">
        <v>58</v>
      </c>
      <c r="G3773" s="9">
        <v>663</v>
      </c>
      <c r="H3773" s="5" t="s">
        <v>21</v>
      </c>
      <c r="I3773" s="5" t="s">
        <v>9043</v>
      </c>
      <c r="J3773" s="12" t="str">
        <f>HYPERLINK("https://www.boe.es/gazeta/dias/1800/07/22/pdfs/GMD-1800-58.pdf#page=11","Abrir facsímil")</f>
        <v>Abrir facsímil</v>
      </c>
      <c r="K3773" s="15" t="s">
        <v>23</v>
      </c>
    </row>
    <row r="3774" spans="1:11" ht="42" customHeight="1">
      <c r="A3774" s="4" t="s">
        <v>9044</v>
      </c>
      <c r="B3774" s="5" t="s">
        <v>9044</v>
      </c>
      <c r="C3774" s="5" t="s">
        <v>41</v>
      </c>
      <c r="D3774" s="5" t="s">
        <v>42</v>
      </c>
      <c r="E3774" s="5" t="s">
        <v>1294</v>
      </c>
      <c r="F3774" s="9">
        <v>59</v>
      </c>
      <c r="G3774" s="9">
        <v>671</v>
      </c>
      <c r="H3774" s="5" t="s">
        <v>21</v>
      </c>
      <c r="I3774" s="5" t="s">
        <v>9045</v>
      </c>
      <c r="J3774" s="12" t="str">
        <f>HYPERLINK("https://www.boe.es/gazeta/dias/1800/07/25/pdfs/GMD-1800-59.pdf#page=3","Abrir facsímil")</f>
        <v>Abrir facsímil</v>
      </c>
      <c r="K3774" s="15" t="s">
        <v>23</v>
      </c>
    </row>
    <row r="3775" spans="1:11" ht="42" customHeight="1">
      <c r="A3775" s="4" t="s">
        <v>9046</v>
      </c>
      <c r="B3775" s="5" t="s">
        <v>9047</v>
      </c>
      <c r="C3775" s="5" t="s">
        <v>41</v>
      </c>
      <c r="D3775" s="5" t="s">
        <v>42</v>
      </c>
      <c r="E3775" s="5" t="s">
        <v>1294</v>
      </c>
      <c r="F3775" s="9">
        <v>59</v>
      </c>
      <c r="G3775" s="9">
        <v>671</v>
      </c>
      <c r="H3775" s="5" t="s">
        <v>21</v>
      </c>
      <c r="I3775" s="5" t="s">
        <v>9048</v>
      </c>
      <c r="J3775" s="12" t="str">
        <f>HYPERLINK("https://www.boe.es/gazeta/dias/1800/07/25/pdfs/GMD-1800-59.pdf#page=3","Abrir facsímil")</f>
        <v>Abrir facsímil</v>
      </c>
      <c r="K3775" s="15" t="s">
        <v>23</v>
      </c>
    </row>
    <row r="3776" spans="1:11" ht="42" customHeight="1">
      <c r="A3776" s="4" t="s">
        <v>9049</v>
      </c>
      <c r="B3776" s="5" t="s">
        <v>9049</v>
      </c>
      <c r="C3776" s="5" t="s">
        <v>41</v>
      </c>
      <c r="D3776" s="5" t="s">
        <v>42</v>
      </c>
      <c r="E3776" s="5" t="s">
        <v>105</v>
      </c>
      <c r="F3776" s="9">
        <v>28</v>
      </c>
      <c r="G3776" s="9">
        <v>289</v>
      </c>
      <c r="H3776" s="5" t="s">
        <v>21</v>
      </c>
      <c r="I3776" s="5" t="s">
        <v>9050</v>
      </c>
      <c r="J3776" s="12" t="str">
        <f>HYPERLINK("https://www.boe.es/gazeta/dias/1800/04/08/pdfs/GMD-1800-28.pdf#page=5","Abrir facsímil")</f>
        <v>Abrir facsímil</v>
      </c>
      <c r="K3776" s="15" t="s">
        <v>23</v>
      </c>
    </row>
    <row r="3777" spans="1:11" ht="42" customHeight="1">
      <c r="A3777" s="4" t="s">
        <v>9051</v>
      </c>
      <c r="B3777" s="5" t="s">
        <v>9052</v>
      </c>
      <c r="C3777" s="5" t="s">
        <v>114</v>
      </c>
      <c r="D3777" s="5" t="s">
        <v>115</v>
      </c>
      <c r="E3777" s="5" t="s">
        <v>116</v>
      </c>
      <c r="F3777" s="9">
        <v>86</v>
      </c>
      <c r="G3777" s="9" t="s">
        <v>1501</v>
      </c>
      <c r="H3777" s="5" t="s">
        <v>21</v>
      </c>
      <c r="I3777" s="5" t="s">
        <v>9053</v>
      </c>
      <c r="J3777" s="12" t="str">
        <f>HYPERLINK("https://www.boe.es/gazeta/dias/1800/10/24/pdfs/GMD-D-1800-86.pdf#page=2","Abrir facsímil")</f>
        <v>Abrir facsímil</v>
      </c>
      <c r="K3777" s="15" t="s">
        <v>23</v>
      </c>
    </row>
    <row r="3778" spans="1:11" ht="42" customHeight="1">
      <c r="A3778" s="4" t="s">
        <v>9054</v>
      </c>
      <c r="B3778" s="5" t="s">
        <v>9054</v>
      </c>
      <c r="C3778" s="5" t="s">
        <v>41</v>
      </c>
      <c r="D3778" s="5" t="s">
        <v>42</v>
      </c>
      <c r="E3778" s="5" t="s">
        <v>314</v>
      </c>
      <c r="F3778" s="9">
        <v>74</v>
      </c>
      <c r="G3778" s="9">
        <v>826</v>
      </c>
      <c r="H3778" s="5" t="s">
        <v>21</v>
      </c>
      <c r="I3778" s="5" t="s">
        <v>9055</v>
      </c>
      <c r="J3778" s="12" t="str">
        <f>HYPERLINK("https://www.boe.es/gazeta/dias/1800/09/12/pdfs/GMD-1800-74.pdf#page=4","Abrir facsímil")</f>
        <v>Abrir facsímil</v>
      </c>
      <c r="K3778" s="15" t="s">
        <v>23</v>
      </c>
    </row>
    <row r="3779" spans="1:11" ht="42" customHeight="1">
      <c r="A3779" s="4" t="s">
        <v>9056</v>
      </c>
      <c r="B3779" s="5" t="s">
        <v>9057</v>
      </c>
      <c r="C3779" s="5" t="s">
        <v>171</v>
      </c>
      <c r="D3779" s="5" t="s">
        <v>172</v>
      </c>
      <c r="E3779" s="5" t="s">
        <v>194</v>
      </c>
      <c r="F3779" s="9">
        <v>48</v>
      </c>
      <c r="G3779" s="9">
        <v>522</v>
      </c>
      <c r="H3779" s="5" t="s">
        <v>21</v>
      </c>
      <c r="I3779" s="5" t="s">
        <v>9058</v>
      </c>
      <c r="J3779" s="12" t="str">
        <f>HYPERLINK("https://www.boe.es/gazeta/dias/1800/06/17/pdfs/GMD-C-1800-48.pdf#page=2","Abrir facsímil")</f>
        <v>Abrir facsímil</v>
      </c>
      <c r="K3779" s="15" t="s">
        <v>23</v>
      </c>
    </row>
    <row r="3780" spans="1:11" ht="42" customHeight="1">
      <c r="A3780" s="4" t="s">
        <v>9059</v>
      </c>
      <c r="B3780" s="5" t="s">
        <v>9060</v>
      </c>
      <c r="C3780" s="5" t="s">
        <v>171</v>
      </c>
      <c r="D3780" s="5" t="s">
        <v>172</v>
      </c>
      <c r="E3780" s="5" t="s">
        <v>194</v>
      </c>
      <c r="F3780" s="9">
        <v>48</v>
      </c>
      <c r="G3780" s="9">
        <v>523</v>
      </c>
      <c r="H3780" s="5" t="s">
        <v>21</v>
      </c>
      <c r="I3780" s="5" t="s">
        <v>9061</v>
      </c>
      <c r="J3780" s="12" t="str">
        <f>HYPERLINK("https://www.boe.es/gazeta/dias/1800/06/17/pdfs/GMD-C-1800-48.pdf#page=3","Abrir facsímil")</f>
        <v>Abrir facsímil</v>
      </c>
      <c r="K3780" s="15" t="s">
        <v>23</v>
      </c>
    </row>
    <row r="3781" spans="1:11" ht="42" customHeight="1">
      <c r="A3781" s="4" t="s">
        <v>9062</v>
      </c>
      <c r="B3781" s="5" t="s">
        <v>9063</v>
      </c>
      <c r="C3781" s="5" t="s">
        <v>18</v>
      </c>
      <c r="D3781" s="5" t="s">
        <v>19</v>
      </c>
      <c r="E3781" s="5" t="s">
        <v>590</v>
      </c>
      <c r="F3781" s="9">
        <v>69</v>
      </c>
      <c r="G3781" s="9">
        <v>775</v>
      </c>
      <c r="H3781" s="5" t="s">
        <v>21</v>
      </c>
      <c r="I3781" s="5" t="s">
        <v>9064</v>
      </c>
      <c r="J3781" s="12" t="str">
        <f>HYPERLINK("https://www.boe.es/gazeta/dias/1800/08/29/pdfs/GMD-1800-69.pdf#page=7","Abrir facsímil")</f>
        <v>Abrir facsímil</v>
      </c>
      <c r="K3781" s="15" t="s">
        <v>23</v>
      </c>
    </row>
    <row r="3782" spans="1:11" ht="42" customHeight="1">
      <c r="A3782" s="4" t="s">
        <v>9065</v>
      </c>
      <c r="B3782" s="5" t="s">
        <v>9066</v>
      </c>
      <c r="C3782" s="5" t="s">
        <v>171</v>
      </c>
      <c r="D3782" s="5" t="s">
        <v>172</v>
      </c>
      <c r="E3782" s="5" t="s">
        <v>465</v>
      </c>
      <c r="F3782" s="9">
        <v>49</v>
      </c>
      <c r="G3782" s="9">
        <v>534</v>
      </c>
      <c r="H3782" s="5" t="s">
        <v>21</v>
      </c>
      <c r="I3782" s="5" t="s">
        <v>9067</v>
      </c>
      <c r="J3782" s="12" t="str">
        <f>HYPERLINK("https://www.boe.es/gazeta/dias/1800/06/20/pdfs/GMD-C-1800-49.pdf#page=2","Abrir facsímil")</f>
        <v>Abrir facsímil</v>
      </c>
      <c r="K3782" s="15" t="s">
        <v>23</v>
      </c>
    </row>
    <row r="3783" spans="1:11" ht="42" customHeight="1">
      <c r="A3783" s="4" t="s">
        <v>9068</v>
      </c>
      <c r="B3783" s="5" t="s">
        <v>9069</v>
      </c>
      <c r="C3783" s="5" t="s">
        <v>18</v>
      </c>
      <c r="D3783" s="5" t="s">
        <v>19</v>
      </c>
      <c r="E3783" s="5" t="s">
        <v>60</v>
      </c>
      <c r="F3783" s="9">
        <v>105</v>
      </c>
      <c r="G3783" s="9">
        <v>1225</v>
      </c>
      <c r="H3783" s="5" t="s">
        <v>21</v>
      </c>
      <c r="I3783" s="5" t="s">
        <v>9070</v>
      </c>
      <c r="J3783" s="12" t="str">
        <f>HYPERLINK("https://www.boe.es/gazeta/dias/1800/12/30/pdfs/GMD-1800-105.pdf#page=9","Abrir facsímil")</f>
        <v>Abrir facsímil</v>
      </c>
      <c r="K3783" s="15" t="s">
        <v>23</v>
      </c>
    </row>
    <row r="3784" spans="1:11" ht="42" customHeight="1">
      <c r="A3784" s="4" t="s">
        <v>9071</v>
      </c>
      <c r="B3784" s="5" t="s">
        <v>9071</v>
      </c>
      <c r="C3784" s="5" t="s">
        <v>41</v>
      </c>
      <c r="D3784" s="5" t="s">
        <v>42</v>
      </c>
      <c r="E3784" s="5" t="s">
        <v>88</v>
      </c>
      <c r="F3784" s="9">
        <v>23</v>
      </c>
      <c r="G3784" s="9">
        <v>228</v>
      </c>
      <c r="H3784" s="5" t="s">
        <v>21</v>
      </c>
      <c r="I3784" s="5" t="s">
        <v>9072</v>
      </c>
      <c r="J3784" s="12" t="str">
        <f>HYPERLINK("https://www.boe.es/gazeta/dias/1800/03/21/pdfs/GMD-1800-23.pdf#page=4","Abrir facsímil")</f>
        <v>Abrir facsímil</v>
      </c>
      <c r="K3784" s="15" t="s">
        <v>23</v>
      </c>
    </row>
    <row r="3785" spans="1:11" ht="42" customHeight="1">
      <c r="A3785" s="4" t="s">
        <v>9073</v>
      </c>
      <c r="B3785" s="5" t="s">
        <v>9074</v>
      </c>
      <c r="C3785" s="5" t="s">
        <v>41</v>
      </c>
      <c r="D3785" s="5" t="s">
        <v>42</v>
      </c>
      <c r="E3785" s="5" t="s">
        <v>60</v>
      </c>
      <c r="F3785" s="9">
        <v>105</v>
      </c>
      <c r="G3785" s="9">
        <v>1220</v>
      </c>
      <c r="H3785" s="5" t="s">
        <v>21</v>
      </c>
      <c r="I3785" s="5" t="s">
        <v>9075</v>
      </c>
      <c r="J3785" s="12" t="str">
        <f>HYPERLINK("https://www.boe.es/gazeta/dias/1800/12/30/pdfs/GMD-1800-105.pdf#page=4","Abrir facsímil")</f>
        <v>Abrir facsímil</v>
      </c>
      <c r="K3785" s="15" t="s">
        <v>23</v>
      </c>
    </row>
    <row r="3786" spans="1:11" ht="42" customHeight="1">
      <c r="A3786" s="4" t="s">
        <v>9076</v>
      </c>
      <c r="B3786" s="5" t="s">
        <v>9077</v>
      </c>
      <c r="C3786" s="5" t="s">
        <v>41</v>
      </c>
      <c r="D3786" s="5" t="s">
        <v>42</v>
      </c>
      <c r="E3786" s="5" t="s">
        <v>35</v>
      </c>
      <c r="F3786" s="9">
        <v>21</v>
      </c>
      <c r="G3786" s="9">
        <v>200</v>
      </c>
      <c r="H3786" s="5" t="s">
        <v>21</v>
      </c>
      <c r="I3786" s="5" t="s">
        <v>9078</v>
      </c>
      <c r="J3786" s="12" t="str">
        <f>HYPERLINK("https://www.boe.es/gazeta/dias/1800/03/14/pdfs/GMD-1800-21.pdf#page=4","Abrir facsímil")</f>
        <v>Abrir facsímil</v>
      </c>
      <c r="K3786" s="15" t="s">
        <v>1346</v>
      </c>
    </row>
    <row r="3787" spans="1:11" ht="42" customHeight="1">
      <c r="A3787" s="4" t="s">
        <v>9079</v>
      </c>
      <c r="B3787" s="5" t="s">
        <v>9080</v>
      </c>
      <c r="C3787" s="5" t="s">
        <v>25</v>
      </c>
      <c r="D3787" s="5" t="s">
        <v>26</v>
      </c>
      <c r="E3787" s="5" t="s">
        <v>1213</v>
      </c>
      <c r="F3787" s="9">
        <v>4</v>
      </c>
      <c r="G3787" s="9">
        <v>36</v>
      </c>
      <c r="H3787" s="5" t="s">
        <v>21</v>
      </c>
      <c r="I3787" s="5" t="s">
        <v>9081</v>
      </c>
      <c r="J3787" s="12" t="str">
        <f>HYPERLINK("https://www.boe.es/gazeta/dias/1800/01/14/pdfs/GMD-1800-4.pdf#page=8","Abrir facsímil")</f>
        <v>Abrir facsímil</v>
      </c>
      <c r="K3787" s="15" t="s">
        <v>23</v>
      </c>
    </row>
    <row r="3788" spans="1:11" ht="42" customHeight="1">
      <c r="A3788" s="4" t="s">
        <v>9082</v>
      </c>
      <c r="B3788" s="5" t="s">
        <v>9083</v>
      </c>
      <c r="C3788" s="5" t="s">
        <v>84</v>
      </c>
      <c r="D3788" s="5" t="s">
        <v>85</v>
      </c>
      <c r="E3788" s="5" t="s">
        <v>534</v>
      </c>
      <c r="F3788" s="9">
        <v>100</v>
      </c>
      <c r="G3788" s="9">
        <v>1164</v>
      </c>
      <c r="H3788" s="5" t="s">
        <v>21</v>
      </c>
      <c r="I3788" s="5" t="s">
        <v>9084</v>
      </c>
      <c r="J3788" s="12" t="str">
        <f>HYPERLINK("https://www.boe.es/gazeta/dias/1800/12/12/pdfs/GMD-1800-100.pdf#page=16","Abrir facsímil")</f>
        <v>Abrir facsímil</v>
      </c>
      <c r="K3788" s="15" t="s">
        <v>23</v>
      </c>
    </row>
    <row r="3789" spans="1:11" ht="42" customHeight="1">
      <c r="A3789" s="4" t="s">
        <v>9085</v>
      </c>
      <c r="B3789" s="5" t="s">
        <v>9086</v>
      </c>
      <c r="C3789" s="5" t="s">
        <v>18</v>
      </c>
      <c r="D3789" s="5" t="s">
        <v>19</v>
      </c>
      <c r="E3789" s="5" t="s">
        <v>618</v>
      </c>
      <c r="F3789" s="9">
        <v>1</v>
      </c>
      <c r="G3789" s="9">
        <v>7</v>
      </c>
      <c r="H3789" s="5" t="s">
        <v>21</v>
      </c>
      <c r="I3789" s="5" t="s">
        <v>9087</v>
      </c>
      <c r="J3789" s="12" t="str">
        <f>HYPERLINK("https://www.boe.es/gazeta/dias/1800/01/03/pdfs/GMD-1800-1.pdf#page=7","Abrir facsímil")</f>
        <v>Abrir facsímil</v>
      </c>
      <c r="K3789" s="15" t="s">
        <v>23</v>
      </c>
    </row>
    <row r="3790" spans="1:11" ht="42" customHeight="1">
      <c r="A3790" s="4" t="s">
        <v>9088</v>
      </c>
      <c r="B3790" s="5" t="s">
        <v>9089</v>
      </c>
      <c r="C3790" s="5" t="s">
        <v>18</v>
      </c>
      <c r="D3790" s="5" t="s">
        <v>19</v>
      </c>
      <c r="E3790" s="5" t="s">
        <v>39</v>
      </c>
      <c r="F3790" s="9">
        <v>43</v>
      </c>
      <c r="G3790" s="9">
        <v>449</v>
      </c>
      <c r="H3790" s="5" t="s">
        <v>21</v>
      </c>
      <c r="I3790" s="5" t="s">
        <v>9090</v>
      </c>
      <c r="J3790" s="12" t="str">
        <f>HYPERLINK("https://www.boe.es/gazeta/dias/1800/05/30/pdfs/GMD-1800-43.pdf#page=9","Abrir facsímil")</f>
        <v>Abrir facsímil</v>
      </c>
      <c r="K3790" s="15" t="s">
        <v>23</v>
      </c>
    </row>
    <row r="3791" spans="1:11" ht="42" customHeight="1">
      <c r="A3791" s="4" t="s">
        <v>9091</v>
      </c>
      <c r="B3791" s="5" t="s">
        <v>9092</v>
      </c>
      <c r="C3791" s="5" t="s">
        <v>18</v>
      </c>
      <c r="D3791" s="5" t="s">
        <v>19</v>
      </c>
      <c r="E3791" s="5" t="s">
        <v>135</v>
      </c>
      <c r="F3791" s="9">
        <v>73</v>
      </c>
      <c r="G3791" s="9">
        <v>816</v>
      </c>
      <c r="H3791" s="5" t="s">
        <v>21</v>
      </c>
      <c r="I3791" s="5" t="s">
        <v>9093</v>
      </c>
      <c r="J3791" s="12" t="str">
        <f>HYPERLINK("https://www.boe.es/gazeta/dias/1800/09/09/pdfs/GMD-1800-73.pdf#page=10","Abrir facsímil")</f>
        <v>Abrir facsímil</v>
      </c>
      <c r="K3791" s="15" t="s">
        <v>23</v>
      </c>
    </row>
    <row r="3792" spans="1:11" ht="42" customHeight="1">
      <c r="A3792" s="4" t="s">
        <v>9094</v>
      </c>
      <c r="B3792" s="5" t="s">
        <v>9095</v>
      </c>
      <c r="C3792" s="5" t="s">
        <v>207</v>
      </c>
      <c r="D3792" s="5" t="s">
        <v>55</v>
      </c>
      <c r="E3792" s="5" t="s">
        <v>176</v>
      </c>
      <c r="F3792" s="9">
        <v>88</v>
      </c>
      <c r="G3792" s="9">
        <v>1031</v>
      </c>
      <c r="H3792" s="5" t="s">
        <v>21</v>
      </c>
      <c r="I3792" s="5" t="s">
        <v>9096</v>
      </c>
      <c r="J3792" s="12" t="str">
        <f>HYPERLINK("https://www.boe.es/gazeta/dias/1800/10/31/pdfs/GMD-1800-88.pdf#page=13","Abrir facsímil")</f>
        <v>Abrir facsímil</v>
      </c>
      <c r="K3792" s="15" t="s">
        <v>23</v>
      </c>
    </row>
    <row r="3793" spans="1:11" ht="42" customHeight="1">
      <c r="A3793" s="4" t="s">
        <v>9097</v>
      </c>
      <c r="B3793" s="5" t="s">
        <v>9098</v>
      </c>
      <c r="C3793" s="5" t="s">
        <v>25</v>
      </c>
      <c r="D3793" s="5" t="s">
        <v>26</v>
      </c>
      <c r="E3793" s="5" t="s">
        <v>45</v>
      </c>
      <c r="F3793" s="9">
        <v>47</v>
      </c>
      <c r="G3793" s="9">
        <v>502</v>
      </c>
      <c r="H3793" s="5" t="s">
        <v>21</v>
      </c>
      <c r="I3793" s="5" t="s">
        <v>9099</v>
      </c>
      <c r="J3793" s="12" t="str">
        <f>HYPERLINK("https://www.boe.es/gazeta/dias/1800/06/13/pdfs/GMD-1800-47.pdf#page=10","Abrir facsímil")</f>
        <v>Abrir facsímil</v>
      </c>
      <c r="K3793" s="15" t="s">
        <v>23</v>
      </c>
    </row>
    <row r="3794" spans="1:11" ht="42" customHeight="1">
      <c r="A3794" s="4" t="s">
        <v>9100</v>
      </c>
      <c r="B3794" s="5" t="s">
        <v>9101</v>
      </c>
      <c r="C3794" s="5" t="s">
        <v>25</v>
      </c>
      <c r="D3794" s="5" t="s">
        <v>26</v>
      </c>
      <c r="E3794" s="5" t="s">
        <v>139</v>
      </c>
      <c r="F3794" s="9">
        <v>2</v>
      </c>
      <c r="G3794" s="9">
        <v>16</v>
      </c>
      <c r="H3794" s="5" t="s">
        <v>21</v>
      </c>
      <c r="I3794" s="5" t="s">
        <v>9102</v>
      </c>
      <c r="J3794" s="12" t="str">
        <f>HYPERLINK("https://www.boe.es/gazeta/dias/1800/01/07/pdfs/GMD-1800-2.pdf#page=8","Abrir facsímil")</f>
        <v>Abrir facsímil</v>
      </c>
      <c r="K3794" s="15" t="s">
        <v>23</v>
      </c>
    </row>
    <row r="3795" spans="1:11" ht="42" customHeight="1">
      <c r="A3795" s="4" t="s">
        <v>9103</v>
      </c>
      <c r="B3795" s="5" t="s">
        <v>9104</v>
      </c>
      <c r="C3795" s="5" t="s">
        <v>18</v>
      </c>
      <c r="D3795" s="5" t="s">
        <v>19</v>
      </c>
      <c r="E3795" s="5" t="s">
        <v>82</v>
      </c>
      <c r="F3795" s="9">
        <v>10</v>
      </c>
      <c r="G3795" s="9">
        <v>97</v>
      </c>
      <c r="H3795" s="5" t="s">
        <v>21</v>
      </c>
      <c r="I3795" s="5" t="s">
        <v>9105</v>
      </c>
      <c r="J3795" s="12" t="str">
        <f>HYPERLINK("https://www.boe.es/gazeta/dias/1800/02/04/pdfs/GMD-1800-10.pdf#page=9","Abrir facsímil")</f>
        <v>Abrir facsímil</v>
      </c>
      <c r="K3795" s="15" t="s">
        <v>23</v>
      </c>
    </row>
    <row r="3796" spans="1:11" ht="42" customHeight="1">
      <c r="A3796" s="4" t="s">
        <v>9106</v>
      </c>
      <c r="B3796" s="5" t="s">
        <v>9107</v>
      </c>
      <c r="C3796" s="5" t="s">
        <v>54</v>
      </c>
      <c r="D3796" s="5" t="s">
        <v>55</v>
      </c>
      <c r="E3796" s="5" t="s">
        <v>410</v>
      </c>
      <c r="F3796" s="9">
        <v>87</v>
      </c>
      <c r="G3796" s="9">
        <v>1010</v>
      </c>
      <c r="H3796" s="5" t="s">
        <v>21</v>
      </c>
      <c r="I3796" s="5" t="s">
        <v>9108</v>
      </c>
      <c r="J3796" s="12" t="str">
        <f>HYPERLINK("https://www.boe.es/gazeta/dias/1800/10/28/pdfs/GMD-1800-87.pdf#page=8","Abrir facsímil")</f>
        <v>Abrir facsímil</v>
      </c>
      <c r="K3796" s="15" t="s">
        <v>23</v>
      </c>
    </row>
    <row r="3797" spans="1:11" ht="42" customHeight="1">
      <c r="A3797" s="4" t="s">
        <v>9109</v>
      </c>
      <c r="B3797" s="5" t="s">
        <v>9110</v>
      </c>
      <c r="C3797" s="5" t="s">
        <v>84</v>
      </c>
      <c r="D3797" s="5" t="s">
        <v>85</v>
      </c>
      <c r="E3797" s="5" t="s">
        <v>836</v>
      </c>
      <c r="F3797" s="9">
        <v>71</v>
      </c>
      <c r="G3797" s="9">
        <v>790</v>
      </c>
      <c r="H3797" s="5" t="s">
        <v>21</v>
      </c>
      <c r="I3797" s="5" t="s">
        <v>9111</v>
      </c>
      <c r="J3797" s="12" t="str">
        <f>HYPERLINK("https://www.boe.es/gazeta/dias/1800/09/02/pdfs/GMD-1800-71.pdf#page=8","Abrir facsímil")</f>
        <v>Abrir facsímil</v>
      </c>
      <c r="K3797" s="15" t="s">
        <v>23</v>
      </c>
    </row>
    <row r="3798" spans="1:11" ht="42" customHeight="1">
      <c r="A3798" s="4" t="s">
        <v>9112</v>
      </c>
      <c r="B3798" s="5" t="s">
        <v>9113</v>
      </c>
      <c r="C3798" s="5" t="s">
        <v>25</v>
      </c>
      <c r="D3798" s="5" t="s">
        <v>26</v>
      </c>
      <c r="E3798" s="5" t="s">
        <v>314</v>
      </c>
      <c r="F3798" s="9">
        <v>74</v>
      </c>
      <c r="G3798" s="9">
        <v>836</v>
      </c>
      <c r="H3798" s="5" t="s">
        <v>21</v>
      </c>
      <c r="I3798" s="5" t="s">
        <v>9114</v>
      </c>
      <c r="J3798" s="12" t="str">
        <f>HYPERLINK("https://www.boe.es/gazeta/dias/1800/09/12/pdfs/GMD-1800-74.pdf#page=14","Abrir facsímil")</f>
        <v>Abrir facsímil</v>
      </c>
      <c r="K3798" s="15" t="s">
        <v>23</v>
      </c>
    </row>
    <row r="3799" spans="1:11" ht="42" customHeight="1">
      <c r="A3799" s="4" t="s">
        <v>9115</v>
      </c>
      <c r="B3799" s="5" t="s">
        <v>9116</v>
      </c>
      <c r="C3799" s="5" t="s">
        <v>41</v>
      </c>
      <c r="D3799" s="5" t="s">
        <v>42</v>
      </c>
      <c r="E3799" s="5" t="s">
        <v>828</v>
      </c>
      <c r="F3799" s="9">
        <v>53</v>
      </c>
      <c r="G3799" s="9">
        <v>581</v>
      </c>
      <c r="H3799" s="5" t="s">
        <v>21</v>
      </c>
      <c r="I3799" s="5" t="s">
        <v>9117</v>
      </c>
      <c r="J3799" s="12" t="str">
        <f>HYPERLINK("https://www.boe.es/gazeta/dias/1800/07/04/pdfs/GMD-1800-53.pdf#page=1","Abrir facsímil")</f>
        <v>Abrir facsímil</v>
      </c>
      <c r="K3799" s="15" t="s">
        <v>23</v>
      </c>
    </row>
    <row r="3800" spans="1:11" ht="42" customHeight="1">
      <c r="A3800" s="4" t="s">
        <v>9118</v>
      </c>
      <c r="B3800" s="5" t="s">
        <v>9119</v>
      </c>
      <c r="C3800" s="5" t="s">
        <v>18</v>
      </c>
      <c r="D3800" s="5" t="s">
        <v>19</v>
      </c>
      <c r="E3800" s="5" t="s">
        <v>673</v>
      </c>
      <c r="F3800" s="9">
        <v>89</v>
      </c>
      <c r="G3800" s="9">
        <v>1043</v>
      </c>
      <c r="H3800" s="5" t="s">
        <v>21</v>
      </c>
      <c r="I3800" s="5" t="s">
        <v>9120</v>
      </c>
      <c r="J3800" s="12" t="str">
        <f>HYPERLINK("https://www.boe.es/gazeta/dias/1800/11/04/pdfs/GMD-1800-89.pdf#page=9","Abrir facsímil")</f>
        <v>Abrir facsímil</v>
      </c>
      <c r="K3800" s="15" t="s">
        <v>23</v>
      </c>
    </row>
    <row r="3801" spans="1:11" ht="42" customHeight="1">
      <c r="A3801" s="4" t="s">
        <v>9121</v>
      </c>
      <c r="B3801" s="5" t="s">
        <v>9121</v>
      </c>
      <c r="C3801" s="5" t="s">
        <v>171</v>
      </c>
      <c r="D3801" s="5" t="s">
        <v>172</v>
      </c>
      <c r="E3801" s="5" t="s">
        <v>2338</v>
      </c>
      <c r="F3801" s="9">
        <v>42</v>
      </c>
      <c r="G3801" s="9">
        <v>438</v>
      </c>
      <c r="H3801" s="5" t="s">
        <v>21</v>
      </c>
      <c r="I3801" s="5" t="s">
        <v>9122</v>
      </c>
      <c r="J3801" s="12" t="str">
        <f>HYPERLINK("https://www.boe.es/gazeta/dias/1800/05/27/pdfs/GMD-C-1800-42.pdf#page=2","Abrir facsímil")</f>
        <v>Abrir facsímil</v>
      </c>
      <c r="K3801" s="15" t="s">
        <v>23</v>
      </c>
    </row>
    <row r="3802" spans="1:11" ht="42" customHeight="1">
      <c r="A3802" s="4" t="s">
        <v>9123</v>
      </c>
      <c r="B3802" s="5" t="s">
        <v>9123</v>
      </c>
      <c r="C3802" s="5" t="s">
        <v>25</v>
      </c>
      <c r="D3802" s="5" t="s">
        <v>26</v>
      </c>
      <c r="E3802" s="5" t="s">
        <v>491</v>
      </c>
      <c r="F3802" s="9">
        <v>29</v>
      </c>
      <c r="G3802" s="9">
        <v>300</v>
      </c>
      <c r="H3802" s="5" t="s">
        <v>21</v>
      </c>
      <c r="I3802" s="5" t="s">
        <v>9124</v>
      </c>
      <c r="J3802" s="12" t="str">
        <f>HYPERLINK("https://www.boe.es/gazeta/dias/1800/04/11/pdfs/GMD-1800-29.pdf#page=8","Abrir facsímil")</f>
        <v>Abrir facsímil</v>
      </c>
      <c r="K3802" s="15" t="s">
        <v>23</v>
      </c>
    </row>
    <row r="3803" spans="1:11" ht="42" customHeight="1">
      <c r="A3803" s="4" t="s">
        <v>9125</v>
      </c>
      <c r="B3803" s="5" t="s">
        <v>9125</v>
      </c>
      <c r="C3803" s="5" t="s">
        <v>25</v>
      </c>
      <c r="D3803" s="5" t="s">
        <v>26</v>
      </c>
      <c r="E3803" s="5" t="s">
        <v>618</v>
      </c>
      <c r="F3803" s="9">
        <v>1</v>
      </c>
      <c r="G3803" s="9">
        <v>6</v>
      </c>
      <c r="H3803" s="5" t="s">
        <v>21</v>
      </c>
      <c r="I3803" s="5" t="s">
        <v>9126</v>
      </c>
      <c r="J3803" s="12" t="str">
        <f>HYPERLINK("https://www.boe.es/gazeta/dias/1800/01/03/pdfs/GMD-1800-1.pdf#page=6","Abrir facsímil")</f>
        <v>Abrir facsímil</v>
      </c>
      <c r="K3803" s="15" t="s">
        <v>23</v>
      </c>
    </row>
    <row r="3804" spans="1:11" ht="42" customHeight="1">
      <c r="A3804" s="4" t="s">
        <v>9127</v>
      </c>
      <c r="B3804" s="5" t="s">
        <v>9128</v>
      </c>
      <c r="C3804" s="5" t="s">
        <v>84</v>
      </c>
      <c r="D3804" s="5" t="s">
        <v>85</v>
      </c>
      <c r="E3804" s="5" t="s">
        <v>314</v>
      </c>
      <c r="F3804" s="9">
        <v>74</v>
      </c>
      <c r="G3804" s="9">
        <v>838</v>
      </c>
      <c r="H3804" s="5" t="s">
        <v>21</v>
      </c>
      <c r="I3804" s="5" t="s">
        <v>9129</v>
      </c>
      <c r="J3804" s="12" t="str">
        <f>HYPERLINK("https://www.boe.es/gazeta/dias/1800/09/12/pdfs/GMD-1800-74.pdf#page=16","Abrir facsímil")</f>
        <v>Abrir facsímil</v>
      </c>
      <c r="K3804" s="15" t="s">
        <v>1346</v>
      </c>
    </row>
    <row r="3805" spans="1:11" ht="42" customHeight="1">
      <c r="A3805" s="4" t="s">
        <v>9130</v>
      </c>
      <c r="B3805" s="5" t="s">
        <v>9131</v>
      </c>
      <c r="C3805" s="5" t="s">
        <v>41</v>
      </c>
      <c r="D3805" s="5" t="s">
        <v>42</v>
      </c>
      <c r="E3805" s="5" t="s">
        <v>75</v>
      </c>
      <c r="F3805" s="9">
        <v>64</v>
      </c>
      <c r="G3805" s="9">
        <v>727</v>
      </c>
      <c r="H3805" s="5" t="s">
        <v>21</v>
      </c>
      <c r="I3805" s="5" t="s">
        <v>9132</v>
      </c>
      <c r="J3805" s="12" t="str">
        <f>HYPERLINK("https://www.boe.es/gazeta/dias/1800/08/12/pdfs/GMD-1800-64.pdf#page=3","Abrir facsímil")</f>
        <v>Abrir facsímil</v>
      </c>
      <c r="K3805" s="15" t="s">
        <v>1346</v>
      </c>
    </row>
    <row r="3806" spans="1:11" ht="42" customHeight="1">
      <c r="A3806" s="4" t="s">
        <v>9133</v>
      </c>
      <c r="B3806" s="5" t="s">
        <v>9134</v>
      </c>
      <c r="C3806" s="5" t="s">
        <v>41</v>
      </c>
      <c r="D3806" s="5" t="s">
        <v>42</v>
      </c>
      <c r="E3806" s="5" t="s">
        <v>162</v>
      </c>
      <c r="F3806" s="9">
        <v>15</v>
      </c>
      <c r="G3806" s="9">
        <v>140</v>
      </c>
      <c r="H3806" s="5" t="s">
        <v>21</v>
      </c>
      <c r="I3806" s="5" t="s">
        <v>9135</v>
      </c>
      <c r="J3806" s="12" t="str">
        <f>HYPERLINK("https://www.boe.es/gazeta/dias/1800/02/21/pdfs/GMD-1800-15.pdf#page=4","Abrir facsímil")</f>
        <v>Abrir facsímil</v>
      </c>
      <c r="K3806" s="15" t="s">
        <v>23</v>
      </c>
    </row>
    <row r="3807" spans="1:11" ht="42" customHeight="1">
      <c r="A3807" s="4" t="s">
        <v>9136</v>
      </c>
      <c r="B3807" s="5" t="s">
        <v>9136</v>
      </c>
      <c r="C3807" s="5" t="s">
        <v>41</v>
      </c>
      <c r="D3807" s="5" t="s">
        <v>42</v>
      </c>
      <c r="E3807" s="5" t="s">
        <v>135</v>
      </c>
      <c r="F3807" s="9">
        <v>73</v>
      </c>
      <c r="G3807" s="9">
        <v>810</v>
      </c>
      <c r="H3807" s="5" t="s">
        <v>21</v>
      </c>
      <c r="I3807" s="5" t="s">
        <v>9137</v>
      </c>
      <c r="J3807" s="12" t="str">
        <f>HYPERLINK("https://www.boe.es/gazeta/dias/1800/09/09/pdfs/GMD-1800-73.pdf#page=4","Abrir facsímil")</f>
        <v>Abrir facsímil</v>
      </c>
      <c r="K3807" s="15" t="s">
        <v>23</v>
      </c>
    </row>
    <row r="3808" spans="1:11" ht="42" customHeight="1">
      <c r="A3808" s="4" t="s">
        <v>9138</v>
      </c>
      <c r="B3808" s="5" t="s">
        <v>9139</v>
      </c>
      <c r="C3808" s="5" t="s">
        <v>18</v>
      </c>
      <c r="D3808" s="5" t="s">
        <v>19</v>
      </c>
      <c r="E3808" s="5" t="s">
        <v>218</v>
      </c>
      <c r="F3808" s="9">
        <v>5</v>
      </c>
      <c r="G3808" s="9">
        <v>48</v>
      </c>
      <c r="H3808" s="5" t="s">
        <v>21</v>
      </c>
      <c r="I3808" s="5" t="s">
        <v>9140</v>
      </c>
      <c r="J3808" s="12" t="str">
        <f>HYPERLINK("https://www.boe.es/gazeta/dias/1800/01/17/pdfs/GMD-1800-5.pdf#page=8","Abrir facsímil")</f>
        <v>Abrir facsímil</v>
      </c>
      <c r="K3808" s="15" t="s">
        <v>1346</v>
      </c>
    </row>
    <row r="3809" spans="1:11" ht="42" customHeight="1">
      <c r="A3809" s="4" t="s">
        <v>9141</v>
      </c>
      <c r="B3809" s="5" t="s">
        <v>9142</v>
      </c>
      <c r="C3809" s="5" t="s">
        <v>25</v>
      </c>
      <c r="D3809" s="5" t="s">
        <v>26</v>
      </c>
      <c r="E3809" s="5" t="s">
        <v>787</v>
      </c>
      <c r="F3809" s="9">
        <v>6</v>
      </c>
      <c r="G3809" s="9">
        <v>58</v>
      </c>
      <c r="H3809" s="5" t="s">
        <v>21</v>
      </c>
      <c r="I3809" s="5" t="s">
        <v>9143</v>
      </c>
      <c r="J3809" s="12" t="str">
        <f>HYPERLINK("https://www.boe.es/gazeta/dias/1800/01/21/pdfs/GMD-1800-6.pdf#page=10","Abrir facsímil")</f>
        <v>Abrir facsímil</v>
      </c>
      <c r="K3809" s="15" t="s">
        <v>1346</v>
      </c>
    </row>
    <row r="3810" spans="1:11" ht="42" customHeight="1">
      <c r="A3810" s="4" t="s">
        <v>9138</v>
      </c>
      <c r="B3810" s="5" t="s">
        <v>9139</v>
      </c>
      <c r="C3810" s="5" t="s">
        <v>18</v>
      </c>
      <c r="D3810" s="5" t="s">
        <v>19</v>
      </c>
      <c r="E3810" s="5" t="s">
        <v>787</v>
      </c>
      <c r="F3810" s="9">
        <v>6</v>
      </c>
      <c r="G3810" s="9">
        <v>59</v>
      </c>
      <c r="H3810" s="5" t="s">
        <v>21</v>
      </c>
      <c r="I3810" s="5" t="s">
        <v>9144</v>
      </c>
      <c r="J3810" s="12" t="str">
        <f>HYPERLINK("https://www.boe.es/gazeta/dias/1800/01/21/pdfs/GMD-1800-6.pdf#page=11","Abrir facsímil")</f>
        <v>Abrir facsímil</v>
      </c>
      <c r="K3810" s="15" t="s">
        <v>1346</v>
      </c>
    </row>
    <row r="3811" spans="1:11" ht="42" customHeight="1">
      <c r="A3811" s="4" t="s">
        <v>9141</v>
      </c>
      <c r="B3811" s="5" t="s">
        <v>9142</v>
      </c>
      <c r="C3811" s="5" t="s">
        <v>84</v>
      </c>
      <c r="D3811" s="5" t="s">
        <v>85</v>
      </c>
      <c r="E3811" s="5" t="s">
        <v>79</v>
      </c>
      <c r="F3811" s="9">
        <v>7</v>
      </c>
      <c r="G3811" s="9">
        <v>67</v>
      </c>
      <c r="H3811" s="5" t="s">
        <v>21</v>
      </c>
      <c r="I3811" s="5" t="s">
        <v>9145</v>
      </c>
      <c r="J3811" s="12" t="str">
        <f>HYPERLINK("https://www.boe.es/gazeta/dias/1800/01/24/pdfs/GMD-1800-7.pdf#page=7","Abrir facsímil")</f>
        <v>Abrir facsímil</v>
      </c>
      <c r="K3811" s="15" t="s">
        <v>1346</v>
      </c>
    </row>
    <row r="3812" spans="1:11" ht="42" customHeight="1">
      <c r="A3812" s="4" t="s">
        <v>9138</v>
      </c>
      <c r="B3812" s="5" t="s">
        <v>9139</v>
      </c>
      <c r="C3812" s="5" t="s">
        <v>18</v>
      </c>
      <c r="D3812" s="5" t="s">
        <v>19</v>
      </c>
      <c r="E3812" s="5" t="s">
        <v>244</v>
      </c>
      <c r="F3812" s="9">
        <v>9</v>
      </c>
      <c r="G3812" s="9">
        <v>87</v>
      </c>
      <c r="H3812" s="5" t="s">
        <v>21</v>
      </c>
      <c r="I3812" s="5" t="s">
        <v>9146</v>
      </c>
      <c r="J3812" s="12" t="str">
        <f>HYPERLINK("https://www.boe.es/gazeta/dias/1800/01/31/pdfs/GMD-1800-9.pdf#page=11","Abrir facsímil")</f>
        <v>Abrir facsímil</v>
      </c>
      <c r="K3812" s="15" t="s">
        <v>1346</v>
      </c>
    </row>
    <row r="3813" spans="1:11" ht="42" customHeight="1">
      <c r="A3813" s="4" t="s">
        <v>9141</v>
      </c>
      <c r="B3813" s="5" t="s">
        <v>9142</v>
      </c>
      <c r="C3813" s="5" t="s">
        <v>18</v>
      </c>
      <c r="D3813" s="5" t="s">
        <v>19</v>
      </c>
      <c r="E3813" s="5" t="s">
        <v>82</v>
      </c>
      <c r="F3813" s="9">
        <v>10</v>
      </c>
      <c r="G3813" s="9">
        <v>98</v>
      </c>
      <c r="H3813" s="5" t="s">
        <v>21</v>
      </c>
      <c r="I3813" s="5" t="s">
        <v>9147</v>
      </c>
      <c r="J3813" s="12" t="str">
        <f>HYPERLINK("https://www.boe.es/gazeta/dias/1800/02/04/pdfs/GMD-1800-10.pdf#page=10","Abrir facsímil")</f>
        <v>Abrir facsímil</v>
      </c>
      <c r="K3813" s="15" t="s">
        <v>1346</v>
      </c>
    </row>
    <row r="3814" spans="1:11" ht="42" customHeight="1">
      <c r="A3814" s="4" t="s">
        <v>9141</v>
      </c>
      <c r="B3814" s="5" t="s">
        <v>9142</v>
      </c>
      <c r="C3814" s="5" t="s">
        <v>18</v>
      </c>
      <c r="D3814" s="5" t="s">
        <v>19</v>
      </c>
      <c r="E3814" s="5" t="s">
        <v>1127</v>
      </c>
      <c r="F3814" s="9">
        <v>11</v>
      </c>
      <c r="G3814" s="9">
        <v>107</v>
      </c>
      <c r="H3814" s="5" t="s">
        <v>21</v>
      </c>
      <c r="I3814" s="5" t="s">
        <v>9148</v>
      </c>
      <c r="J3814" s="12" t="str">
        <f>HYPERLINK("https://www.boe.es/gazeta/dias/1800/02/07/pdfs/GMD-1800-11.pdf#page=7","Abrir facsímil")</f>
        <v>Abrir facsímil</v>
      </c>
      <c r="K3814" s="15" t="s">
        <v>1346</v>
      </c>
    </row>
    <row r="3815" spans="1:11" ht="42" customHeight="1">
      <c r="A3815" s="4" t="s">
        <v>9138</v>
      </c>
      <c r="B3815" s="5" t="s">
        <v>9139</v>
      </c>
      <c r="C3815" s="5" t="s">
        <v>18</v>
      </c>
      <c r="D3815" s="5" t="s">
        <v>19</v>
      </c>
      <c r="E3815" s="5" t="s">
        <v>461</v>
      </c>
      <c r="F3815" s="9">
        <v>18</v>
      </c>
      <c r="G3815" s="9">
        <v>171</v>
      </c>
      <c r="H3815" s="5" t="s">
        <v>21</v>
      </c>
      <c r="I3815" s="5" t="s">
        <v>9149</v>
      </c>
      <c r="J3815" s="12" t="str">
        <f>HYPERLINK("https://www.boe.es/datos/pdfs/BOE//1800/018/C00173-00176.pdf#page=7","Abrir facsímil")</f>
        <v>Abrir facsímil</v>
      </c>
      <c r="K3815" s="15" t="s">
        <v>1346</v>
      </c>
    </row>
    <row r="3816" spans="1:11" ht="42" customHeight="1">
      <c r="A3816" s="4" t="s">
        <v>9141</v>
      </c>
      <c r="B3816" s="5" t="s">
        <v>9142</v>
      </c>
      <c r="C3816" s="5" t="s">
        <v>84</v>
      </c>
      <c r="D3816" s="5" t="s">
        <v>85</v>
      </c>
      <c r="E3816" s="5" t="s">
        <v>31</v>
      </c>
      <c r="F3816" s="9">
        <v>20</v>
      </c>
      <c r="G3816" s="9">
        <v>193</v>
      </c>
      <c r="H3816" s="5" t="s">
        <v>21</v>
      </c>
      <c r="I3816" s="5" t="s">
        <v>9150</v>
      </c>
      <c r="J3816" s="12" t="str">
        <f>HYPERLINK("https://www.boe.es/gazeta/dias/1800/03/11/pdfs/GMD-1800-20.pdf#page=9","Abrir facsímil")</f>
        <v>Abrir facsímil</v>
      </c>
      <c r="K3816" s="15" t="s">
        <v>1346</v>
      </c>
    </row>
    <row r="3817" spans="1:11" ht="42" customHeight="1">
      <c r="A3817" s="4" t="s">
        <v>9138</v>
      </c>
      <c r="B3817" s="5" t="s">
        <v>9139</v>
      </c>
      <c r="C3817" s="5" t="s">
        <v>18</v>
      </c>
      <c r="D3817" s="5" t="s">
        <v>19</v>
      </c>
      <c r="E3817" s="5" t="s">
        <v>35</v>
      </c>
      <c r="F3817" s="9">
        <v>21</v>
      </c>
      <c r="G3817" s="9">
        <v>206</v>
      </c>
      <c r="H3817" s="5" t="s">
        <v>21</v>
      </c>
      <c r="I3817" s="5" t="s">
        <v>9151</v>
      </c>
      <c r="J3817" s="12" t="str">
        <f>HYPERLINK("https://www.boe.es/gazeta/dias/1800/03/14/pdfs/GMD-1800-21.pdf#page=10","Abrir facsímil")</f>
        <v>Abrir facsímil</v>
      </c>
      <c r="K3817" s="15" t="s">
        <v>1346</v>
      </c>
    </row>
    <row r="3818" spans="1:11" ht="42" customHeight="1">
      <c r="A3818" s="4" t="s">
        <v>9138</v>
      </c>
      <c r="B3818" s="5" t="s">
        <v>9139</v>
      </c>
      <c r="C3818" s="5" t="s">
        <v>84</v>
      </c>
      <c r="D3818" s="5" t="s">
        <v>85</v>
      </c>
      <c r="E3818" s="5" t="s">
        <v>143</v>
      </c>
      <c r="F3818" s="9">
        <v>22</v>
      </c>
      <c r="G3818" s="9">
        <v>221</v>
      </c>
      <c r="H3818" s="5" t="s">
        <v>21</v>
      </c>
      <c r="I3818" s="5" t="s">
        <v>9152</v>
      </c>
      <c r="J3818" s="12" t="str">
        <f>HYPERLINK("https://www.boe.es/gazeta/dias/1800/03/18/pdfs/GMD-1800-22.pdf#page=13","Abrir facsímil")</f>
        <v>Abrir facsímil</v>
      </c>
      <c r="K3818" s="15" t="s">
        <v>1346</v>
      </c>
    </row>
    <row r="3819" spans="1:11" ht="42" customHeight="1">
      <c r="A3819" s="4" t="s">
        <v>9141</v>
      </c>
      <c r="B3819" s="5" t="s">
        <v>9142</v>
      </c>
      <c r="C3819" s="5" t="s">
        <v>18</v>
      </c>
      <c r="D3819" s="5" t="s">
        <v>19</v>
      </c>
      <c r="E3819" s="5" t="s">
        <v>88</v>
      </c>
      <c r="F3819" s="9">
        <v>23</v>
      </c>
      <c r="G3819" s="9">
        <v>234</v>
      </c>
      <c r="H3819" s="5" t="s">
        <v>21</v>
      </c>
      <c r="I3819" s="5" t="s">
        <v>9153</v>
      </c>
      <c r="J3819" s="12" t="str">
        <f>HYPERLINK("https://www.boe.es/gazeta/dias/1800/03/21/pdfs/GMD-1800-23.pdf#page=10","Abrir facsímil")</f>
        <v>Abrir facsímil</v>
      </c>
      <c r="K3819" s="15" t="s">
        <v>1346</v>
      </c>
    </row>
    <row r="3820" spans="1:11" ht="42" customHeight="1">
      <c r="A3820" s="4" t="s">
        <v>9138</v>
      </c>
      <c r="B3820" s="5" t="s">
        <v>9139</v>
      </c>
      <c r="C3820" s="5" t="s">
        <v>25</v>
      </c>
      <c r="D3820" s="5" t="s">
        <v>26</v>
      </c>
      <c r="E3820" s="5" t="s">
        <v>240</v>
      </c>
      <c r="F3820" s="9">
        <v>26</v>
      </c>
      <c r="G3820" s="9">
        <v>270</v>
      </c>
      <c r="H3820" s="5" t="s">
        <v>21</v>
      </c>
      <c r="I3820" s="5" t="s">
        <v>9154</v>
      </c>
      <c r="J3820" s="12" t="str">
        <f>HYPERLINK("https://www.boe.es/gazeta/dias/1800/04/01/pdfs/GMD-1800-26.pdf#page=10","Abrir facsímil")</f>
        <v>Abrir facsímil</v>
      </c>
      <c r="K3820" s="15" t="s">
        <v>1346</v>
      </c>
    </row>
    <row r="3821" spans="1:11" ht="42" customHeight="1">
      <c r="A3821" s="4" t="s">
        <v>9141</v>
      </c>
      <c r="B3821" s="5" t="s">
        <v>9142</v>
      </c>
      <c r="C3821" s="5" t="s">
        <v>25</v>
      </c>
      <c r="D3821" s="5" t="s">
        <v>26</v>
      </c>
      <c r="E3821" s="5" t="s">
        <v>226</v>
      </c>
      <c r="F3821" s="9">
        <v>27</v>
      </c>
      <c r="G3821" s="9">
        <v>282</v>
      </c>
      <c r="H3821" s="5" t="s">
        <v>21</v>
      </c>
      <c r="I3821" s="5" t="s">
        <v>9155</v>
      </c>
      <c r="J3821" s="12" t="str">
        <f>HYPERLINK("https://www.boe.es/gazeta/dias/1800/04/04/pdfs/GMD-1800-27.pdf#page=10","Abrir facsímil")</f>
        <v>Abrir facsímil</v>
      </c>
      <c r="K3821" s="15" t="s">
        <v>1346</v>
      </c>
    </row>
    <row r="3822" spans="1:11" ht="42" customHeight="1">
      <c r="A3822" s="4" t="s">
        <v>9141</v>
      </c>
      <c r="B3822" s="5" t="s">
        <v>9142</v>
      </c>
      <c r="C3822" s="5" t="s">
        <v>25</v>
      </c>
      <c r="D3822" s="5" t="s">
        <v>26</v>
      </c>
      <c r="E3822" s="5" t="s">
        <v>105</v>
      </c>
      <c r="F3822" s="9">
        <v>28</v>
      </c>
      <c r="G3822" s="9">
        <v>290</v>
      </c>
      <c r="H3822" s="5" t="s">
        <v>21</v>
      </c>
      <c r="I3822" s="5" t="s">
        <v>9156</v>
      </c>
      <c r="J3822" s="12" t="str">
        <f>HYPERLINK("https://www.boe.es/gazeta/dias/1800/04/08/pdfs/GMD-1800-28.pdf#page=6","Abrir facsímil")</f>
        <v>Abrir facsímil</v>
      </c>
      <c r="K3822" s="15" t="s">
        <v>1346</v>
      </c>
    </row>
    <row r="3823" spans="1:11" ht="42" customHeight="1">
      <c r="A3823" s="4" t="s">
        <v>9141</v>
      </c>
      <c r="B3823" s="5" t="s">
        <v>9142</v>
      </c>
      <c r="C3823" s="5" t="s">
        <v>18</v>
      </c>
      <c r="D3823" s="5" t="s">
        <v>19</v>
      </c>
      <c r="E3823" s="5" t="s">
        <v>1231</v>
      </c>
      <c r="F3823" s="9">
        <v>36</v>
      </c>
      <c r="G3823" s="9">
        <v>367</v>
      </c>
      <c r="H3823" s="5" t="s">
        <v>21</v>
      </c>
      <c r="I3823" s="5" t="s">
        <v>9157</v>
      </c>
      <c r="J3823" s="12" t="str">
        <f>HYPERLINK("https://www.boe.es/gazeta/dias/1800/05/06/pdfs/GMD-1800-36.pdf#page=11","Abrir facsímil")</f>
        <v>Abrir facsímil</v>
      </c>
      <c r="K3823" s="15" t="s">
        <v>1346</v>
      </c>
    </row>
    <row r="3824" spans="1:11" ht="42" customHeight="1">
      <c r="A3824" s="4" t="s">
        <v>9141</v>
      </c>
      <c r="B3824" s="5" t="s">
        <v>9142</v>
      </c>
      <c r="C3824" s="5" t="s">
        <v>25</v>
      </c>
      <c r="D3824" s="5" t="s">
        <v>26</v>
      </c>
      <c r="E3824" s="5" t="s">
        <v>101</v>
      </c>
      <c r="F3824" s="9">
        <v>37</v>
      </c>
      <c r="G3824" s="9">
        <v>380</v>
      </c>
      <c r="H3824" s="5" t="s">
        <v>21</v>
      </c>
      <c r="I3824" s="5" t="s">
        <v>9158</v>
      </c>
      <c r="J3824" s="12" t="str">
        <f>HYPERLINK("https://www.boe.es/gazeta/dias/1800/05/09/pdfs/GMD-1800-37.pdf#page=12","Abrir facsímil")</f>
        <v>Abrir facsímil</v>
      </c>
      <c r="K3824" s="15" t="s">
        <v>1346</v>
      </c>
    </row>
    <row r="3825" spans="1:11" ht="42" customHeight="1">
      <c r="A3825" s="4" t="s">
        <v>9138</v>
      </c>
      <c r="B3825" s="5" t="s">
        <v>9139</v>
      </c>
      <c r="C3825" s="5" t="s">
        <v>84</v>
      </c>
      <c r="D3825" s="5" t="s">
        <v>85</v>
      </c>
      <c r="E3825" s="5" t="s">
        <v>43</v>
      </c>
      <c r="F3825" s="9">
        <v>46</v>
      </c>
      <c r="G3825" s="9">
        <v>492</v>
      </c>
      <c r="H3825" s="5" t="s">
        <v>21</v>
      </c>
      <c r="I3825" s="5" t="s">
        <v>9159</v>
      </c>
      <c r="J3825" s="12" t="str">
        <f>HYPERLINK("https://www.boe.es/gazeta/dias/1800/06/10/pdfs/GMD-1800-46.pdf#page=16","Abrir facsímil")</f>
        <v>Abrir facsímil</v>
      </c>
      <c r="K3825" s="15" t="s">
        <v>1346</v>
      </c>
    </row>
    <row r="3826" spans="1:11" ht="42" customHeight="1">
      <c r="A3826" s="4" t="s">
        <v>9141</v>
      </c>
      <c r="B3826" s="5" t="s">
        <v>9142</v>
      </c>
      <c r="C3826" s="5" t="s">
        <v>207</v>
      </c>
      <c r="D3826" s="5" t="s">
        <v>55</v>
      </c>
      <c r="E3826" s="5" t="s">
        <v>194</v>
      </c>
      <c r="F3826" s="9">
        <v>48</v>
      </c>
      <c r="G3826" s="9">
        <v>517</v>
      </c>
      <c r="H3826" s="5" t="s">
        <v>21</v>
      </c>
      <c r="I3826" s="5" t="s">
        <v>9160</v>
      </c>
      <c r="J3826" s="12" t="str">
        <f>HYPERLINK("https://www.boe.es/gazeta/dias/1800/06/17/pdfs/GMD-1800-48.pdf#page=9","Abrir facsímil")</f>
        <v>Abrir facsímil</v>
      </c>
      <c r="K3826" s="15" t="s">
        <v>1346</v>
      </c>
    </row>
    <row r="3827" spans="1:11" ht="42" customHeight="1">
      <c r="A3827" s="4" t="s">
        <v>9141</v>
      </c>
      <c r="B3827" s="5" t="s">
        <v>9142</v>
      </c>
      <c r="C3827" s="5" t="s">
        <v>1035</v>
      </c>
      <c r="D3827" s="5" t="s">
        <v>1036</v>
      </c>
      <c r="E3827" s="5" t="s">
        <v>50</v>
      </c>
      <c r="F3827" s="9">
        <v>81</v>
      </c>
      <c r="G3827" s="9">
        <v>941</v>
      </c>
      <c r="H3827" s="5" t="s">
        <v>21</v>
      </c>
      <c r="I3827" s="5" t="s">
        <v>9161</v>
      </c>
      <c r="J3827" s="12" t="str">
        <f>HYPERLINK("https://www.boe.es/gazeta/dias/1800/10/07/pdfs/GMD-C-1800-81.pdf#page=23","Abrir facsímil")</f>
        <v>Abrir facsímil</v>
      </c>
      <c r="K3827" s="15" t="s">
        <v>1346</v>
      </c>
    </row>
    <row r="3828" spans="1:11" ht="42" customHeight="1">
      <c r="A3828" s="4" t="s">
        <v>9141</v>
      </c>
      <c r="B3828" s="5" t="s">
        <v>9142</v>
      </c>
      <c r="C3828" s="5" t="s">
        <v>18</v>
      </c>
      <c r="D3828" s="5" t="s">
        <v>19</v>
      </c>
      <c r="E3828" s="5" t="s">
        <v>203</v>
      </c>
      <c r="F3828" s="9">
        <v>94</v>
      </c>
      <c r="G3828" s="9">
        <v>1078</v>
      </c>
      <c r="H3828" s="5" t="s">
        <v>21</v>
      </c>
      <c r="I3828" s="5" t="s">
        <v>9162</v>
      </c>
      <c r="J3828" s="12" t="str">
        <f>HYPERLINK("https://www.boe.es/gazeta/dias/1800/11/21/pdfs/GMD-1800-94.pdf#page=8","Abrir facsímil")</f>
        <v>Abrir facsímil</v>
      </c>
      <c r="K3828" s="15" t="s">
        <v>1346</v>
      </c>
    </row>
    <row r="3829" spans="1:11" ht="42" customHeight="1">
      <c r="A3829" s="4" t="s">
        <v>9163</v>
      </c>
      <c r="B3829" s="5" t="s">
        <v>9164</v>
      </c>
      <c r="C3829" s="5" t="s">
        <v>84</v>
      </c>
      <c r="D3829" s="5" t="s">
        <v>85</v>
      </c>
      <c r="E3829" s="5" t="s">
        <v>406</v>
      </c>
      <c r="F3829" s="9">
        <v>44</v>
      </c>
      <c r="G3829" s="9">
        <v>464</v>
      </c>
      <c r="H3829" s="5" t="s">
        <v>21</v>
      </c>
      <c r="I3829" s="5" t="s">
        <v>9165</v>
      </c>
      <c r="J3829" s="12" t="str">
        <f>HYPERLINK("https://www.boe.es/gazeta/dias/1800/06/03/pdfs/GMD-1800-44.pdf#page=12","Abrir facsímil")</f>
        <v>Abrir facsímil</v>
      </c>
      <c r="K3829" s="15" t="s">
        <v>1346</v>
      </c>
    </row>
    <row r="3830" spans="1:11" ht="42" customHeight="1">
      <c r="A3830" s="4" t="s">
        <v>9166</v>
      </c>
      <c r="B3830" s="5" t="s">
        <v>9167</v>
      </c>
      <c r="C3830" s="5" t="s">
        <v>41</v>
      </c>
      <c r="D3830" s="5" t="s">
        <v>42</v>
      </c>
      <c r="E3830" s="5" t="s">
        <v>143</v>
      </c>
      <c r="F3830" s="9">
        <v>22</v>
      </c>
      <c r="G3830" s="9">
        <v>210</v>
      </c>
      <c r="H3830" s="5" t="s">
        <v>21</v>
      </c>
      <c r="I3830" s="5" t="s">
        <v>9168</v>
      </c>
      <c r="J3830" s="12" t="str">
        <f>HYPERLINK("https://www.boe.es/gazeta/dias/1800/03/18/pdfs/GMD-1800-22.pdf#page=2","Abrir facsímil")</f>
        <v>Abrir facsímil</v>
      </c>
      <c r="K3830" s="15" t="s">
        <v>1346</v>
      </c>
    </row>
    <row r="3831" spans="1:11" ht="42" customHeight="1">
      <c r="A3831" s="4" t="s">
        <v>9169</v>
      </c>
      <c r="B3831" s="5" t="s">
        <v>9170</v>
      </c>
      <c r="C3831" s="5" t="s">
        <v>18</v>
      </c>
      <c r="D3831" s="5" t="s">
        <v>19</v>
      </c>
      <c r="E3831" s="5" t="s">
        <v>35</v>
      </c>
      <c r="F3831" s="9">
        <v>21</v>
      </c>
      <c r="G3831" s="9">
        <v>206</v>
      </c>
      <c r="H3831" s="5" t="s">
        <v>21</v>
      </c>
      <c r="I3831" s="5" t="s">
        <v>9171</v>
      </c>
      <c r="J3831" s="12" t="str">
        <f>HYPERLINK("https://www.boe.es/gazeta/dias/1800/03/14/pdfs/GMD-1800-21.pdf#page=10","Abrir facsímil")</f>
        <v>Abrir facsímil</v>
      </c>
      <c r="K3831" s="15" t="s">
        <v>23</v>
      </c>
    </row>
    <row r="3832" spans="1:11" ht="42" customHeight="1">
      <c r="A3832" s="4" t="s">
        <v>9172</v>
      </c>
      <c r="B3832" s="5" t="s">
        <v>9172</v>
      </c>
      <c r="C3832" s="5" t="s">
        <v>25</v>
      </c>
      <c r="D3832" s="5" t="s">
        <v>26</v>
      </c>
      <c r="E3832" s="5" t="s">
        <v>35</v>
      </c>
      <c r="F3832" s="9">
        <v>21</v>
      </c>
      <c r="G3832" s="9">
        <v>205</v>
      </c>
      <c r="H3832" s="5" t="s">
        <v>21</v>
      </c>
      <c r="I3832" s="5" t="s">
        <v>9173</v>
      </c>
      <c r="J3832" s="12" t="str">
        <f>HYPERLINK("https://www.boe.es/gazeta/dias/1800/03/14/pdfs/GMD-1800-21.pdf#page=9","Abrir facsímil")</f>
        <v>Abrir facsímil</v>
      </c>
      <c r="K3832" s="15" t="s">
        <v>23</v>
      </c>
    </row>
    <row r="3833" spans="1:11" ht="42" customHeight="1">
      <c r="A3833" s="4" t="s">
        <v>9174</v>
      </c>
      <c r="B3833" s="5" t="s">
        <v>9174</v>
      </c>
      <c r="C3833" s="5" t="s">
        <v>41</v>
      </c>
      <c r="D3833" s="5" t="s">
        <v>42</v>
      </c>
      <c r="E3833" s="5" t="s">
        <v>825</v>
      </c>
      <c r="F3833" s="9">
        <v>51</v>
      </c>
      <c r="G3833" s="9">
        <v>560</v>
      </c>
      <c r="H3833" s="5" t="s">
        <v>21</v>
      </c>
      <c r="I3833" s="5" t="s">
        <v>9175</v>
      </c>
      <c r="J3833" s="12" t="str">
        <f>HYPERLINK("https://www.boe.es/gazeta/dias/1800/06/27/pdfs/GMD-1800-51.pdf#page=12","Abrir facsímil")</f>
        <v>Abrir facsímil</v>
      </c>
      <c r="K3833" s="15" t="s">
        <v>23</v>
      </c>
    </row>
    <row r="3834" spans="1:11" ht="42" customHeight="1">
      <c r="A3834" s="4" t="s">
        <v>9176</v>
      </c>
      <c r="B3834" s="5" t="s">
        <v>9177</v>
      </c>
      <c r="C3834" s="5" t="s">
        <v>41</v>
      </c>
      <c r="D3834" s="5" t="s">
        <v>42</v>
      </c>
      <c r="E3834" s="5" t="s">
        <v>64</v>
      </c>
      <c r="F3834" s="9">
        <v>54</v>
      </c>
      <c r="G3834" s="9">
        <v>603</v>
      </c>
      <c r="H3834" s="5" t="s">
        <v>21</v>
      </c>
      <c r="I3834" s="5" t="s">
        <v>9178</v>
      </c>
      <c r="J3834" s="12" t="str">
        <f>HYPERLINK("https://www.boe.es/gazeta/dias/1800/07/08/pdfs/GMD-1800-54.pdf#page=7","Abrir facsímil")</f>
        <v>Abrir facsímil</v>
      </c>
      <c r="K3834" s="15" t="s">
        <v>23</v>
      </c>
    </row>
    <row r="3835" spans="1:11" ht="42" customHeight="1">
      <c r="A3835" s="4" t="s">
        <v>9179</v>
      </c>
      <c r="B3835" s="5" t="s">
        <v>9180</v>
      </c>
      <c r="C3835" s="5" t="s">
        <v>41</v>
      </c>
      <c r="D3835" s="5" t="s">
        <v>42</v>
      </c>
      <c r="E3835" s="5" t="s">
        <v>319</v>
      </c>
      <c r="F3835" s="9">
        <v>62</v>
      </c>
      <c r="G3835" s="9">
        <v>704</v>
      </c>
      <c r="H3835" s="5" t="s">
        <v>21</v>
      </c>
      <c r="I3835" s="5" t="s">
        <v>9181</v>
      </c>
      <c r="J3835" s="12" t="str">
        <f>HYPERLINK("https://www.boe.es/gazeta/dias/1800/08/05/pdfs/GMD-1800-62.pdf#page=4","Abrir facsímil")</f>
        <v>Abrir facsímil</v>
      </c>
      <c r="K3835" s="15" t="s">
        <v>23</v>
      </c>
    </row>
    <row r="3836" spans="1:11" ht="42" customHeight="1">
      <c r="A3836" s="4" t="s">
        <v>9182</v>
      </c>
      <c r="B3836" s="5" t="s">
        <v>9182</v>
      </c>
      <c r="C3836" s="5" t="s">
        <v>54</v>
      </c>
      <c r="D3836" s="5" t="s">
        <v>55</v>
      </c>
      <c r="E3836" s="5" t="s">
        <v>346</v>
      </c>
      <c r="F3836" s="9">
        <v>24</v>
      </c>
      <c r="G3836" s="9">
        <v>247</v>
      </c>
      <c r="H3836" s="5" t="s">
        <v>21</v>
      </c>
      <c r="I3836" s="5" t="s">
        <v>9183</v>
      </c>
      <c r="J3836" s="12" t="str">
        <f>HYPERLINK("https://www.boe.es/gazeta/dias/1800/03/25/pdfs/GMD-1800-24.pdf#page=11","Abrir facsímil")</f>
        <v>Abrir facsímil</v>
      </c>
      <c r="K3836" s="15" t="s">
        <v>23</v>
      </c>
    </row>
    <row r="3837" spans="1:11" ht="42" customHeight="1">
      <c r="A3837" s="4" t="s">
        <v>9184</v>
      </c>
      <c r="B3837" s="5" t="s">
        <v>9184</v>
      </c>
      <c r="C3837" s="5" t="s">
        <v>18</v>
      </c>
      <c r="D3837" s="5" t="s">
        <v>19</v>
      </c>
      <c r="E3837" s="5" t="s">
        <v>583</v>
      </c>
      <c r="F3837" s="9">
        <v>77</v>
      </c>
      <c r="G3837" s="9">
        <v>878</v>
      </c>
      <c r="H3837" s="5" t="s">
        <v>21</v>
      </c>
      <c r="I3837" s="5" t="s">
        <v>9185</v>
      </c>
      <c r="J3837" s="12" t="str">
        <f>HYPERLINK("https://www.boe.es/gazeta/dias/1800/09/23/pdfs/GMD-1800-77.pdf#page=8","Abrir facsímil")</f>
        <v>Abrir facsímil</v>
      </c>
      <c r="K3837" s="15" t="s">
        <v>23</v>
      </c>
    </row>
    <row r="3838" spans="1:11" ht="42" customHeight="1">
      <c r="A3838" s="4" t="s">
        <v>9186</v>
      </c>
      <c r="B3838" s="5" t="s">
        <v>9187</v>
      </c>
      <c r="C3838" s="5" t="s">
        <v>207</v>
      </c>
      <c r="D3838" s="5" t="s">
        <v>55</v>
      </c>
      <c r="E3838" s="5" t="s">
        <v>116</v>
      </c>
      <c r="F3838" s="9">
        <v>86</v>
      </c>
      <c r="G3838" s="9">
        <v>998</v>
      </c>
      <c r="H3838" s="5" t="s">
        <v>21</v>
      </c>
      <c r="I3838" s="5" t="s">
        <v>9188</v>
      </c>
      <c r="J3838" s="12" t="str">
        <f>HYPERLINK("https://www.boe.es/gazeta/dias/1800/10/24/pdfs/GMD-1800-86.pdf#page=8","Abrir facsímil")</f>
        <v>Abrir facsímil</v>
      </c>
      <c r="K3838" s="15" t="s">
        <v>23</v>
      </c>
    </row>
    <row r="3839" spans="1:11" ht="42" customHeight="1">
      <c r="A3839" s="4" t="s">
        <v>9189</v>
      </c>
      <c r="B3839" s="5" t="s">
        <v>9190</v>
      </c>
      <c r="C3839" s="5" t="s">
        <v>54</v>
      </c>
      <c r="D3839" s="5" t="s">
        <v>55</v>
      </c>
      <c r="E3839" s="5" t="s">
        <v>88</v>
      </c>
      <c r="F3839" s="9">
        <v>23</v>
      </c>
      <c r="G3839" s="9">
        <v>227</v>
      </c>
      <c r="H3839" s="5" t="s">
        <v>21</v>
      </c>
      <c r="I3839" s="5" t="s">
        <v>9191</v>
      </c>
      <c r="J3839" s="12" t="str">
        <f>HYPERLINK("https://www.boe.es/gazeta/dias/1800/03/21/pdfs/GMD-1800-23.pdf#page=3","Abrir facsímil")</f>
        <v>Abrir facsímil</v>
      </c>
      <c r="K3839" s="15" t="s">
        <v>23</v>
      </c>
    </row>
    <row r="3840" spans="1:11" ht="42" customHeight="1">
      <c r="A3840" s="4" t="s">
        <v>9192</v>
      </c>
      <c r="B3840" s="5" t="s">
        <v>9193</v>
      </c>
      <c r="C3840" s="5" t="s">
        <v>18</v>
      </c>
      <c r="D3840" s="5" t="s">
        <v>19</v>
      </c>
      <c r="E3840" s="5" t="s">
        <v>836</v>
      </c>
      <c r="F3840" s="9">
        <v>71</v>
      </c>
      <c r="G3840" s="9">
        <v>789</v>
      </c>
      <c r="H3840" s="5" t="s">
        <v>21</v>
      </c>
      <c r="I3840" s="5" t="s">
        <v>9194</v>
      </c>
      <c r="J3840" s="12" t="str">
        <f>HYPERLINK("https://www.boe.es/gazeta/dias/1800/09/02/pdfs/GMD-1800-71.pdf#page=7","Abrir facsímil")</f>
        <v>Abrir facsímil</v>
      </c>
      <c r="K3840" s="15" t="s">
        <v>23</v>
      </c>
    </row>
    <row r="3841" spans="1:11" ht="42" customHeight="1">
      <c r="A3841" s="4" t="s">
        <v>9195</v>
      </c>
      <c r="B3841" s="5" t="s">
        <v>9195</v>
      </c>
      <c r="C3841" s="5" t="s">
        <v>18</v>
      </c>
      <c r="D3841" s="5" t="s">
        <v>19</v>
      </c>
      <c r="E3841" s="5" t="s">
        <v>154</v>
      </c>
      <c r="F3841" s="9">
        <v>61</v>
      </c>
      <c r="G3841" s="9">
        <v>697</v>
      </c>
      <c r="H3841" s="5" t="s">
        <v>21</v>
      </c>
      <c r="I3841" s="5" t="s">
        <v>9196</v>
      </c>
      <c r="J3841" s="12" t="str">
        <f>HYPERLINK("https://www.boe.es/gazeta/dias/1800/08/01/pdfs/GMD-1800-61.pdf#page=9","Abrir facsímil")</f>
        <v>Abrir facsímil</v>
      </c>
      <c r="K3841" s="15" t="s">
        <v>23</v>
      </c>
    </row>
    <row r="3842" spans="1:11" ht="42" customHeight="1">
      <c r="A3842" s="4" t="s">
        <v>9197</v>
      </c>
      <c r="B3842" s="5" t="s">
        <v>9197</v>
      </c>
      <c r="C3842" s="5" t="s">
        <v>41</v>
      </c>
      <c r="D3842" s="5" t="s">
        <v>42</v>
      </c>
      <c r="E3842" s="5" t="s">
        <v>576</v>
      </c>
      <c r="F3842" s="9">
        <v>91</v>
      </c>
      <c r="G3842" s="9">
        <v>1059</v>
      </c>
      <c r="H3842" s="5" t="s">
        <v>21</v>
      </c>
      <c r="I3842" s="5" t="s">
        <v>9198</v>
      </c>
      <c r="J3842" s="12" t="str">
        <f>HYPERLINK("https://www.boe.es/gazeta/dias/1800/11/11/pdfs/GMD-1800-91.pdf#page=1","Abrir facsímil")</f>
        <v>Abrir facsímil</v>
      </c>
      <c r="K3842" s="15" t="s">
        <v>23</v>
      </c>
    </row>
    <row r="3843" spans="1:11" ht="42" customHeight="1">
      <c r="A3843" s="4" t="s">
        <v>9199</v>
      </c>
      <c r="B3843" s="5" t="s">
        <v>9199</v>
      </c>
      <c r="C3843" s="5" t="s">
        <v>25</v>
      </c>
      <c r="D3843" s="5" t="s">
        <v>26</v>
      </c>
      <c r="E3843" s="5" t="s">
        <v>75</v>
      </c>
      <c r="F3843" s="9">
        <v>64</v>
      </c>
      <c r="G3843" s="9">
        <v>735</v>
      </c>
      <c r="H3843" s="5" t="s">
        <v>21</v>
      </c>
      <c r="I3843" s="5" t="s">
        <v>9200</v>
      </c>
      <c r="J3843" s="12" t="str">
        <f>HYPERLINK("https://www.boe.es/gazeta/dias/1800/08/12/pdfs/GMD-1800-64.pdf#page=11","Abrir facsímil")</f>
        <v>Abrir facsímil</v>
      </c>
      <c r="K3843" s="15" t="s">
        <v>23</v>
      </c>
    </row>
    <row r="3844" spans="1:11" ht="42" customHeight="1">
      <c r="A3844" s="4" t="s">
        <v>9201</v>
      </c>
      <c r="B3844" s="5" t="s">
        <v>9202</v>
      </c>
      <c r="C3844" s="5" t="s">
        <v>18</v>
      </c>
      <c r="D3844" s="5" t="s">
        <v>19</v>
      </c>
      <c r="E3844" s="5" t="s">
        <v>190</v>
      </c>
      <c r="F3844" s="9">
        <v>93</v>
      </c>
      <c r="G3844" s="9">
        <v>1066</v>
      </c>
      <c r="H3844" s="5" t="s">
        <v>21</v>
      </c>
      <c r="I3844" s="5" t="s">
        <v>9203</v>
      </c>
      <c r="J3844" s="12" t="str">
        <f>HYPERLINK("https://www.boe.es/gazeta/dias/1800/11/18/pdfs/GMD-1800-93.pdf#page=12","Abrir facsímil")</f>
        <v>Abrir facsímil</v>
      </c>
      <c r="K3844" s="15" t="s">
        <v>23</v>
      </c>
    </row>
    <row r="3845" spans="1:11" ht="42" customHeight="1">
      <c r="A3845" s="4" t="s">
        <v>9204</v>
      </c>
      <c r="B3845" s="5" t="s">
        <v>9204</v>
      </c>
      <c r="C3845" s="5" t="s">
        <v>25</v>
      </c>
      <c r="D3845" s="5" t="s">
        <v>26</v>
      </c>
      <c r="E3845" s="5" t="s">
        <v>203</v>
      </c>
      <c r="F3845" s="9">
        <v>94</v>
      </c>
      <c r="G3845" s="9">
        <v>1081</v>
      </c>
      <c r="H3845" s="5" t="s">
        <v>21</v>
      </c>
      <c r="I3845" s="5" t="s">
        <v>9205</v>
      </c>
      <c r="J3845" s="12" t="str">
        <f>HYPERLINK("https://www.boe.es/gazeta/dias/1800/11/21/pdfs/GMD-1800-94.pdf#page=11","Abrir facsímil")</f>
        <v>Abrir facsímil</v>
      </c>
      <c r="K3845" s="15" t="s">
        <v>23</v>
      </c>
    </row>
    <row r="3846" spans="1:11" ht="42" customHeight="1">
      <c r="A3846" s="4" t="s">
        <v>9206</v>
      </c>
      <c r="B3846" s="5" t="s">
        <v>9206</v>
      </c>
      <c r="C3846" s="5" t="s">
        <v>54</v>
      </c>
      <c r="D3846" s="5" t="s">
        <v>55</v>
      </c>
      <c r="E3846" s="5" t="s">
        <v>823</v>
      </c>
      <c r="F3846" s="9">
        <v>50</v>
      </c>
      <c r="G3846" s="9">
        <v>547</v>
      </c>
      <c r="H3846" s="5" t="s">
        <v>21</v>
      </c>
      <c r="I3846" s="5" t="s">
        <v>9207</v>
      </c>
      <c r="J3846" s="12" t="str">
        <f>HYPERLINK("https://www.boe.es/gazeta/dias/1800/06/24/pdfs/GMD-1800-50.pdf#page=11","Abrir facsímil")</f>
        <v>Abrir facsímil</v>
      </c>
      <c r="K3846" s="15" t="s">
        <v>23</v>
      </c>
    </row>
    <row r="3847" spans="1:11" ht="42" customHeight="1">
      <c r="A3847" s="4" t="s">
        <v>9208</v>
      </c>
      <c r="B3847" s="5" t="s">
        <v>9208</v>
      </c>
      <c r="C3847" s="5" t="s">
        <v>84</v>
      </c>
      <c r="D3847" s="5" t="s">
        <v>85</v>
      </c>
      <c r="E3847" s="5" t="s">
        <v>90</v>
      </c>
      <c r="F3847" s="9">
        <v>58</v>
      </c>
      <c r="G3847" s="9">
        <v>663</v>
      </c>
      <c r="H3847" s="5" t="s">
        <v>21</v>
      </c>
      <c r="I3847" s="5" t="s">
        <v>9209</v>
      </c>
      <c r="J3847" s="12" t="str">
        <f>HYPERLINK("https://www.boe.es/gazeta/dias/1800/07/22/pdfs/GMD-1800-58.pdf#page=11","Abrir facsímil")</f>
        <v>Abrir facsímil</v>
      </c>
      <c r="K3847" s="15" t="s">
        <v>23</v>
      </c>
    </row>
    <row r="3848" spans="1:11" ht="42" customHeight="1">
      <c r="A3848" s="4" t="s">
        <v>9210</v>
      </c>
      <c r="B3848" s="5" t="s">
        <v>9210</v>
      </c>
      <c r="C3848" s="5" t="s">
        <v>41</v>
      </c>
      <c r="D3848" s="5" t="s">
        <v>42</v>
      </c>
      <c r="E3848" s="5" t="s">
        <v>101</v>
      </c>
      <c r="F3848" s="9">
        <v>37</v>
      </c>
      <c r="G3848" s="9">
        <v>376</v>
      </c>
      <c r="H3848" s="5" t="s">
        <v>21</v>
      </c>
      <c r="I3848" s="5" t="s">
        <v>9211</v>
      </c>
      <c r="J3848" s="12" t="str">
        <f>HYPERLINK("https://www.boe.es/gazeta/dias/1800/05/09/pdfs/GMD-1800-37.pdf#page=8","Abrir facsímil")</f>
        <v>Abrir facsímil</v>
      </c>
      <c r="K3848" s="15" t="s">
        <v>23</v>
      </c>
    </row>
    <row r="3849" spans="1:11" ht="42" customHeight="1">
      <c r="A3849" s="4" t="s">
        <v>9212</v>
      </c>
      <c r="B3849" s="5" t="s">
        <v>9213</v>
      </c>
      <c r="C3849" s="5" t="s">
        <v>18</v>
      </c>
      <c r="D3849" s="5" t="s">
        <v>19</v>
      </c>
      <c r="E3849" s="5" t="s">
        <v>422</v>
      </c>
      <c r="F3849" s="9">
        <v>85</v>
      </c>
      <c r="G3849" s="9">
        <v>985</v>
      </c>
      <c r="H3849" s="5" t="s">
        <v>21</v>
      </c>
      <c r="I3849" s="5" t="s">
        <v>9214</v>
      </c>
      <c r="J3849" s="12" t="str">
        <f>HYPERLINK("https://www.boe.es/gazeta/dias/1800/10/21/pdfs/GMD-1800-85.pdf#page=7","Abrir facsímil")</f>
        <v>Abrir facsímil</v>
      </c>
      <c r="K3849" s="15" t="s">
        <v>23</v>
      </c>
    </row>
    <row r="3850" spans="1:11" ht="42" customHeight="1">
      <c r="A3850" s="4" t="s">
        <v>9215</v>
      </c>
      <c r="B3850" s="5" t="s">
        <v>9216</v>
      </c>
      <c r="C3850" s="5" t="s">
        <v>207</v>
      </c>
      <c r="D3850" s="5" t="s">
        <v>55</v>
      </c>
      <c r="E3850" s="5" t="s">
        <v>31</v>
      </c>
      <c r="F3850" s="9">
        <v>20</v>
      </c>
      <c r="G3850" s="9">
        <v>191</v>
      </c>
      <c r="H3850" s="5" t="s">
        <v>21</v>
      </c>
      <c r="I3850" s="5" t="s">
        <v>9217</v>
      </c>
      <c r="J3850" s="12" t="str">
        <f>HYPERLINK("https://www.boe.es/gazeta/dias/1800/03/11/pdfs/GMD-1800-20.pdf#page=7","Abrir facsímil")</f>
        <v>Abrir facsímil</v>
      </c>
      <c r="K3850" s="15" t="s">
        <v>23</v>
      </c>
    </row>
    <row r="3851" spans="1:11" ht="42" customHeight="1">
      <c r="A3851" s="4" t="s">
        <v>9218</v>
      </c>
      <c r="B3851" s="5" t="s">
        <v>9219</v>
      </c>
      <c r="C3851" s="5" t="s">
        <v>207</v>
      </c>
      <c r="D3851" s="5" t="s">
        <v>55</v>
      </c>
      <c r="E3851" s="5" t="s">
        <v>20</v>
      </c>
      <c r="F3851" s="9">
        <v>104</v>
      </c>
      <c r="G3851" s="9">
        <v>1209</v>
      </c>
      <c r="H3851" s="5" t="s">
        <v>21</v>
      </c>
      <c r="I3851" s="5" t="s">
        <v>9220</v>
      </c>
      <c r="J3851" s="12" t="str">
        <f>HYPERLINK("https://www.boe.es/gazeta/dias/1800/12/26/pdfs/GMD-1800-104.pdf#page=9","Abrir facsímil")</f>
        <v>Abrir facsímil</v>
      </c>
      <c r="K3851" s="15" t="s">
        <v>23</v>
      </c>
    </row>
    <row r="3852" spans="1:11" ht="42" customHeight="1">
      <c r="A3852" s="4" t="s">
        <v>9221</v>
      </c>
      <c r="B3852" s="5" t="s">
        <v>9222</v>
      </c>
      <c r="C3852" s="5" t="s">
        <v>54</v>
      </c>
      <c r="D3852" s="5" t="s">
        <v>55</v>
      </c>
      <c r="E3852" s="5" t="s">
        <v>590</v>
      </c>
      <c r="F3852" s="9">
        <v>69</v>
      </c>
      <c r="G3852" s="9">
        <v>775</v>
      </c>
      <c r="H3852" s="5" t="s">
        <v>21</v>
      </c>
      <c r="I3852" s="5" t="s">
        <v>9223</v>
      </c>
      <c r="J3852" s="12" t="str">
        <f>HYPERLINK("https://www.boe.es/gazeta/dias/1800/08/29/pdfs/GMD-1800-69.pdf#page=7","Abrir facsímil")</f>
        <v>Abrir facsímil</v>
      </c>
      <c r="K3852" s="15" t="s">
        <v>23</v>
      </c>
    </row>
    <row r="3853" spans="1:11" ht="42" customHeight="1">
      <c r="A3853" s="4" t="s">
        <v>9224</v>
      </c>
      <c r="B3853" s="5" t="s">
        <v>9225</v>
      </c>
      <c r="C3853" s="5" t="s">
        <v>18</v>
      </c>
      <c r="D3853" s="5" t="s">
        <v>19</v>
      </c>
      <c r="E3853" s="5" t="s">
        <v>20</v>
      </c>
      <c r="F3853" s="9">
        <v>104</v>
      </c>
      <c r="G3853" s="9">
        <v>1210</v>
      </c>
      <c r="H3853" s="5" t="s">
        <v>21</v>
      </c>
      <c r="I3853" s="5" t="s">
        <v>9226</v>
      </c>
      <c r="J3853" s="12" t="str">
        <f>HYPERLINK("https://www.boe.es/gazeta/dias/1800/12/26/pdfs/GMD-1800-104.pdf#page=10","Abrir facsímil")</f>
        <v>Abrir facsímil</v>
      </c>
      <c r="K3853" s="15" t="s">
        <v>23</v>
      </c>
    </row>
    <row r="3854" spans="1:11" ht="42" customHeight="1">
      <c r="A3854" s="4" t="s">
        <v>9227</v>
      </c>
      <c r="B3854" s="5" t="s">
        <v>9228</v>
      </c>
      <c r="C3854" s="5" t="s">
        <v>18</v>
      </c>
      <c r="D3854" s="5" t="s">
        <v>19</v>
      </c>
      <c r="E3854" s="5" t="s">
        <v>139</v>
      </c>
      <c r="F3854" s="9">
        <v>2</v>
      </c>
      <c r="G3854" s="9">
        <v>18</v>
      </c>
      <c r="H3854" s="5" t="s">
        <v>21</v>
      </c>
      <c r="I3854" s="5" t="s">
        <v>9229</v>
      </c>
      <c r="J3854" s="12" t="str">
        <f>HYPERLINK("https://www.boe.es/gazeta/dias/1800/01/07/pdfs/GMD-1800-2.pdf#page=10","Abrir facsímil")</f>
        <v>Abrir facsímil</v>
      </c>
      <c r="K3854" s="15" t="s">
        <v>23</v>
      </c>
    </row>
    <row r="3855" spans="1:11" ht="42" customHeight="1">
      <c r="A3855" s="4" t="s">
        <v>9230</v>
      </c>
      <c r="B3855" s="5" t="s">
        <v>9231</v>
      </c>
      <c r="C3855" s="5" t="s">
        <v>18</v>
      </c>
      <c r="D3855" s="5" t="s">
        <v>19</v>
      </c>
      <c r="E3855" s="5" t="s">
        <v>454</v>
      </c>
      <c r="F3855" s="9">
        <v>63</v>
      </c>
      <c r="G3855" s="9">
        <v>721</v>
      </c>
      <c r="H3855" s="5" t="s">
        <v>21</v>
      </c>
      <c r="I3855" s="5" t="s">
        <v>9232</v>
      </c>
      <c r="J3855" s="12" t="str">
        <f>HYPERLINK("https://www.boe.es/gazeta/dias/1800/08/08/pdfs/GMD-1800-63.pdf#page=9","Abrir facsímil")</f>
        <v>Abrir facsímil</v>
      </c>
      <c r="K3855" s="15" t="s">
        <v>23</v>
      </c>
    </row>
    <row r="3856" spans="1:11" ht="42" customHeight="1">
      <c r="A3856" s="4" t="s">
        <v>9233</v>
      </c>
      <c r="B3856" s="5" t="s">
        <v>9234</v>
      </c>
      <c r="C3856" s="5" t="s">
        <v>18</v>
      </c>
      <c r="D3856" s="5" t="s">
        <v>19</v>
      </c>
      <c r="E3856" s="5" t="s">
        <v>534</v>
      </c>
      <c r="F3856" s="9">
        <v>100</v>
      </c>
      <c r="G3856" s="9">
        <v>1159</v>
      </c>
      <c r="H3856" s="5" t="s">
        <v>21</v>
      </c>
      <c r="I3856" s="5" t="s">
        <v>9235</v>
      </c>
      <c r="J3856" s="12" t="str">
        <f>HYPERLINK("https://www.boe.es/gazeta/dias/1800/12/12/pdfs/GMD-1800-100.pdf#page=11","Abrir facsímil")</f>
        <v>Abrir facsímil</v>
      </c>
      <c r="K3856" s="15" t="s">
        <v>23</v>
      </c>
    </row>
    <row r="3857" spans="1:11" ht="42" customHeight="1">
      <c r="A3857" s="4" t="s">
        <v>9236</v>
      </c>
      <c r="B3857" s="5" t="s">
        <v>9237</v>
      </c>
      <c r="C3857" s="5" t="s">
        <v>207</v>
      </c>
      <c r="D3857" s="5" t="s">
        <v>55</v>
      </c>
      <c r="E3857" s="5" t="s">
        <v>843</v>
      </c>
      <c r="F3857" s="9">
        <v>78</v>
      </c>
      <c r="G3857" s="9">
        <v>884</v>
      </c>
      <c r="H3857" s="5" t="s">
        <v>21</v>
      </c>
      <c r="I3857" s="5" t="s">
        <v>9238</v>
      </c>
      <c r="J3857" s="12" t="str">
        <f>HYPERLINK("https://www.boe.es/gazeta/dias/1800/09/26/pdfs/GMD-1800-78.pdf#page=2","Abrir facsímil")</f>
        <v>Abrir facsímil</v>
      </c>
      <c r="K3857" s="15" t="s">
        <v>23</v>
      </c>
    </row>
    <row r="3858" spans="1:11" ht="42" customHeight="1">
      <c r="A3858" s="4" t="s">
        <v>9239</v>
      </c>
      <c r="B3858" s="5" t="s">
        <v>9239</v>
      </c>
      <c r="C3858" s="5" t="s">
        <v>171</v>
      </c>
      <c r="D3858" s="5" t="s">
        <v>172</v>
      </c>
      <c r="E3858" s="5" t="s">
        <v>90</v>
      </c>
      <c r="F3858" s="9">
        <v>58</v>
      </c>
      <c r="G3858" s="9">
        <v>666</v>
      </c>
      <c r="H3858" s="5" t="s">
        <v>21</v>
      </c>
      <c r="I3858" s="5" t="s">
        <v>9240</v>
      </c>
      <c r="J3858" s="12" t="str">
        <f>HYPERLINK("https://www.boe.es/gazeta/dias/1800/07/22/pdfs/GMD-C-1800-58.pdf#page=2","Abrir facsímil")</f>
        <v>Abrir facsímil</v>
      </c>
      <c r="K3858" s="15" t="s">
        <v>23</v>
      </c>
    </row>
    <row r="3859" spans="1:11" ht="42" customHeight="1">
      <c r="A3859" s="4" t="s">
        <v>9241</v>
      </c>
      <c r="B3859" s="5" t="s">
        <v>9242</v>
      </c>
      <c r="C3859" s="5" t="s">
        <v>25</v>
      </c>
      <c r="D3859" s="5" t="s">
        <v>26</v>
      </c>
      <c r="E3859" s="5" t="s">
        <v>154</v>
      </c>
      <c r="F3859" s="9">
        <v>61</v>
      </c>
      <c r="G3859" s="9">
        <v>696</v>
      </c>
      <c r="H3859" s="5" t="s">
        <v>21</v>
      </c>
      <c r="I3859" s="5" t="s">
        <v>9243</v>
      </c>
      <c r="J3859" s="12" t="str">
        <f>HYPERLINK("https://www.boe.es/gazeta/dias/1800/08/01/pdfs/GMD-1800-61.pdf#page=8","Abrir facsímil")</f>
        <v>Abrir facsímil</v>
      </c>
      <c r="K3859" s="15" t="s">
        <v>23</v>
      </c>
    </row>
    <row r="3860" spans="1:11" ht="42" customHeight="1">
      <c r="A3860" s="4" t="s">
        <v>9244</v>
      </c>
      <c r="B3860" s="5" t="s">
        <v>9245</v>
      </c>
      <c r="C3860" s="5" t="s">
        <v>25</v>
      </c>
      <c r="D3860" s="5" t="s">
        <v>26</v>
      </c>
      <c r="E3860" s="5" t="s">
        <v>203</v>
      </c>
      <c r="F3860" s="9">
        <v>94</v>
      </c>
      <c r="G3860" s="9">
        <v>1077</v>
      </c>
      <c r="H3860" s="5" t="s">
        <v>21</v>
      </c>
      <c r="I3860" s="5" t="s">
        <v>9246</v>
      </c>
      <c r="J3860" s="12" t="str">
        <f>HYPERLINK("https://www.boe.es/gazeta/dias/1800/11/21/pdfs/GMD-1800-94.pdf#page=7","Abrir facsímil")</f>
        <v>Abrir facsímil</v>
      </c>
      <c r="K3860" s="15" t="s">
        <v>23</v>
      </c>
    </row>
    <row r="3861" spans="1:11" ht="42" customHeight="1">
      <c r="A3861" s="4" t="s">
        <v>9247</v>
      </c>
      <c r="B3861" s="5" t="s">
        <v>9248</v>
      </c>
      <c r="C3861" s="5" t="s">
        <v>18</v>
      </c>
      <c r="D3861" s="5" t="s">
        <v>19</v>
      </c>
      <c r="E3861" s="5" t="s">
        <v>31</v>
      </c>
      <c r="F3861" s="9">
        <v>20</v>
      </c>
      <c r="G3861" s="9">
        <v>191</v>
      </c>
      <c r="H3861" s="5" t="s">
        <v>21</v>
      </c>
      <c r="I3861" s="5" t="s">
        <v>9249</v>
      </c>
      <c r="J3861" s="12" t="str">
        <f>HYPERLINK("https://www.boe.es/gazeta/dias/1800/03/11/pdfs/GMD-1800-20.pdf#page=7","Abrir facsímil")</f>
        <v>Abrir facsímil</v>
      </c>
      <c r="K3861" s="15" t="s">
        <v>23</v>
      </c>
    </row>
    <row r="3862" spans="1:11" ht="42" customHeight="1">
      <c r="A3862" s="4" t="s">
        <v>9250</v>
      </c>
      <c r="B3862" s="5" t="s">
        <v>9250</v>
      </c>
      <c r="C3862" s="5" t="s">
        <v>18</v>
      </c>
      <c r="D3862" s="5" t="s">
        <v>19</v>
      </c>
      <c r="E3862" s="5" t="s">
        <v>262</v>
      </c>
      <c r="F3862" s="9">
        <v>39</v>
      </c>
      <c r="G3862" s="9">
        <v>397</v>
      </c>
      <c r="H3862" s="5" t="s">
        <v>21</v>
      </c>
      <c r="I3862" s="5" t="s">
        <v>9251</v>
      </c>
      <c r="J3862" s="12" t="str">
        <f>HYPERLINK("https://www.boe.es/gazeta/dias/1800/05/16/pdfs/GMD-1800-39.pdf#page=5","Abrir facsímil")</f>
        <v>Abrir facsímil</v>
      </c>
      <c r="K3862" s="15" t="s">
        <v>23</v>
      </c>
    </row>
    <row r="3863" spans="1:11" ht="42" customHeight="1">
      <c r="A3863" s="4" t="s">
        <v>9252</v>
      </c>
      <c r="B3863" s="5" t="s">
        <v>9252</v>
      </c>
      <c r="C3863" s="5" t="s">
        <v>18</v>
      </c>
      <c r="D3863" s="5" t="s">
        <v>19</v>
      </c>
      <c r="E3863" s="5" t="s">
        <v>31</v>
      </c>
      <c r="F3863" s="9">
        <v>20</v>
      </c>
      <c r="G3863" s="9">
        <v>192</v>
      </c>
      <c r="H3863" s="5" t="s">
        <v>21</v>
      </c>
      <c r="I3863" s="5" t="s">
        <v>9253</v>
      </c>
      <c r="J3863" s="12" t="str">
        <f>HYPERLINK("https://www.boe.es/gazeta/dias/1800/03/11/pdfs/GMD-1800-20.pdf#page=8","Abrir facsímil")</f>
        <v>Abrir facsímil</v>
      </c>
      <c r="K3863" s="15" t="s">
        <v>23</v>
      </c>
    </row>
    <row r="3864" spans="1:11" ht="42" customHeight="1">
      <c r="A3864" s="4" t="s">
        <v>9254</v>
      </c>
      <c r="B3864" s="5" t="s">
        <v>9254</v>
      </c>
      <c r="C3864" s="5" t="s">
        <v>18</v>
      </c>
      <c r="D3864" s="5" t="s">
        <v>19</v>
      </c>
      <c r="E3864" s="5" t="s">
        <v>406</v>
      </c>
      <c r="F3864" s="9">
        <v>44</v>
      </c>
      <c r="G3864" s="9">
        <v>462</v>
      </c>
      <c r="H3864" s="5" t="s">
        <v>21</v>
      </c>
      <c r="I3864" s="5" t="s">
        <v>9255</v>
      </c>
      <c r="J3864" s="12" t="str">
        <f>HYPERLINK("https://www.boe.es/gazeta/dias/1800/06/03/pdfs/GMD-1800-44.pdf#page=10","Abrir facsímil")</f>
        <v>Abrir facsímil</v>
      </c>
      <c r="K3864" s="15" t="s">
        <v>23</v>
      </c>
    </row>
    <row r="3865" spans="1:11" ht="42" customHeight="1">
      <c r="A3865" s="4" t="s">
        <v>9256</v>
      </c>
      <c r="B3865" s="5" t="s">
        <v>9256</v>
      </c>
      <c r="C3865" s="5" t="s">
        <v>207</v>
      </c>
      <c r="D3865" s="5" t="s">
        <v>55</v>
      </c>
      <c r="E3865" s="5" t="s">
        <v>226</v>
      </c>
      <c r="F3865" s="9">
        <v>27</v>
      </c>
      <c r="G3865" s="9">
        <v>283</v>
      </c>
      <c r="H3865" s="5" t="s">
        <v>21</v>
      </c>
      <c r="I3865" s="5" t="s">
        <v>9257</v>
      </c>
      <c r="J3865" s="12" t="str">
        <f>HYPERLINK("https://www.boe.es/gazeta/dias/1800/04/04/pdfs/GMD-1800-27.pdf#page=11","Abrir facsímil")</f>
        <v>Abrir facsímil</v>
      </c>
      <c r="K3865" s="15" t="s">
        <v>23</v>
      </c>
    </row>
    <row r="3866" spans="1:11" ht="42" customHeight="1">
      <c r="A3866" s="4" t="s">
        <v>9258</v>
      </c>
      <c r="B3866" s="5" t="s">
        <v>9258</v>
      </c>
      <c r="C3866" s="5" t="s">
        <v>114</v>
      </c>
      <c r="D3866" s="5" t="s">
        <v>115</v>
      </c>
      <c r="E3866" s="5" t="s">
        <v>116</v>
      </c>
      <c r="F3866" s="9">
        <v>86</v>
      </c>
      <c r="G3866" s="9" t="s">
        <v>117</v>
      </c>
      <c r="H3866" s="5" t="s">
        <v>21</v>
      </c>
      <c r="I3866" s="5" t="s">
        <v>9259</v>
      </c>
      <c r="J3866" s="12" t="str">
        <f>HYPERLINK("https://www.boe.es/gazeta/dias/1800/10/24/pdfs/GMD-D-1800-86.pdf#page=3","Abrir facsímil")</f>
        <v>Abrir facsímil</v>
      </c>
      <c r="K3866" s="15" t="s">
        <v>23</v>
      </c>
    </row>
    <row r="3867" spans="1:11" ht="42" customHeight="1">
      <c r="A3867" s="4" t="s">
        <v>9260</v>
      </c>
      <c r="B3867" s="5" t="s">
        <v>9260</v>
      </c>
      <c r="C3867" s="5" t="s">
        <v>207</v>
      </c>
      <c r="D3867" s="5" t="s">
        <v>55</v>
      </c>
      <c r="E3867" s="5" t="s">
        <v>240</v>
      </c>
      <c r="F3867" s="9">
        <v>26</v>
      </c>
      <c r="G3867" s="9">
        <v>268</v>
      </c>
      <c r="H3867" s="5" t="s">
        <v>21</v>
      </c>
      <c r="I3867" s="5" t="s">
        <v>9261</v>
      </c>
      <c r="J3867" s="12" t="str">
        <f>HYPERLINK("https://www.boe.es/gazeta/dias/1800/04/01/pdfs/GMD-1800-26.pdf#page=8","Abrir facsímil")</f>
        <v>Abrir facsímil</v>
      </c>
      <c r="K3867" s="15" t="s">
        <v>23</v>
      </c>
    </row>
    <row r="3868" spans="1:11" ht="42" customHeight="1">
      <c r="A3868" s="4" t="s">
        <v>9262</v>
      </c>
      <c r="B3868" s="5" t="s">
        <v>9262</v>
      </c>
      <c r="C3868" s="5" t="s">
        <v>25</v>
      </c>
      <c r="D3868" s="5" t="s">
        <v>26</v>
      </c>
      <c r="E3868" s="5" t="s">
        <v>1108</v>
      </c>
      <c r="F3868" s="9">
        <v>30</v>
      </c>
      <c r="G3868" s="9">
        <v>307</v>
      </c>
      <c r="H3868" s="5" t="s">
        <v>21</v>
      </c>
      <c r="I3868" s="5" t="s">
        <v>9263</v>
      </c>
      <c r="J3868" s="12" t="str">
        <f>HYPERLINK("https://www.boe.es/gazeta/dias/1800/04/15/pdfs/GMD-1800-30.pdf#page=7","Abrir facsímil")</f>
        <v>Abrir facsímil</v>
      </c>
      <c r="K3868" s="15" t="s">
        <v>23</v>
      </c>
    </row>
    <row r="3869" spans="1:11" ht="42" customHeight="1">
      <c r="A3869" s="4" t="s">
        <v>9264</v>
      </c>
      <c r="B3869" s="5" t="s">
        <v>9264</v>
      </c>
      <c r="C3869" s="5" t="s">
        <v>207</v>
      </c>
      <c r="D3869" s="5" t="s">
        <v>55</v>
      </c>
      <c r="E3869" s="5" t="s">
        <v>244</v>
      </c>
      <c r="F3869" s="9">
        <v>9</v>
      </c>
      <c r="G3869" s="9">
        <v>85</v>
      </c>
      <c r="H3869" s="5" t="s">
        <v>21</v>
      </c>
      <c r="I3869" s="5" t="s">
        <v>9265</v>
      </c>
      <c r="J3869" s="12" t="str">
        <f>HYPERLINK("https://www.boe.es/gazeta/dias/1800/01/31/pdfs/GMD-1800-9.pdf#page=9","Abrir facsímil")</f>
        <v>Abrir facsímil</v>
      </c>
      <c r="K3869" s="15" t="s">
        <v>23</v>
      </c>
    </row>
    <row r="3870" spans="1:11" ht="42" customHeight="1">
      <c r="A3870" s="4" t="s">
        <v>9264</v>
      </c>
      <c r="B3870" s="5" t="s">
        <v>9264</v>
      </c>
      <c r="C3870" s="5" t="s">
        <v>18</v>
      </c>
      <c r="D3870" s="5" t="s">
        <v>19</v>
      </c>
      <c r="E3870" s="5" t="s">
        <v>124</v>
      </c>
      <c r="F3870" s="9">
        <v>16</v>
      </c>
      <c r="G3870" s="9">
        <v>151</v>
      </c>
      <c r="H3870" s="5" t="s">
        <v>21</v>
      </c>
      <c r="I3870" s="5" t="s">
        <v>9266</v>
      </c>
      <c r="J3870" s="12" t="str">
        <f>HYPERLINK("https://www.boe.es/gazeta/dias/1800/02/25/pdfs/GMD-1800-16.pdf#page=7","Abrir facsímil")</f>
        <v>Abrir facsímil</v>
      </c>
      <c r="K3870" s="15" t="s">
        <v>23</v>
      </c>
    </row>
    <row r="3871" spans="1:11" ht="42" customHeight="1">
      <c r="A3871" s="4" t="s">
        <v>9267</v>
      </c>
      <c r="B3871" s="5" t="s">
        <v>9267</v>
      </c>
      <c r="C3871" s="5" t="s">
        <v>114</v>
      </c>
      <c r="D3871" s="5" t="s">
        <v>115</v>
      </c>
      <c r="E3871" s="5" t="s">
        <v>116</v>
      </c>
      <c r="F3871" s="9">
        <v>86</v>
      </c>
      <c r="G3871" s="9" t="s">
        <v>1501</v>
      </c>
      <c r="H3871" s="5" t="s">
        <v>21</v>
      </c>
      <c r="I3871" s="5" t="s">
        <v>9268</v>
      </c>
      <c r="J3871" s="12" t="str">
        <f>HYPERLINK("https://www.boe.es/gazeta/dias/1800/10/24/pdfs/GMD-D-1800-86.pdf#page=2","Abrir facsímil")</f>
        <v>Abrir facsímil</v>
      </c>
      <c r="K3871" s="15" t="s">
        <v>23</v>
      </c>
    </row>
    <row r="3872" spans="1:11" ht="42" customHeight="1">
      <c r="A3872" s="4" t="s">
        <v>9269</v>
      </c>
      <c r="B3872" s="5" t="s">
        <v>9269</v>
      </c>
      <c r="C3872" s="5" t="s">
        <v>114</v>
      </c>
      <c r="D3872" s="5" t="s">
        <v>115</v>
      </c>
      <c r="E3872" s="5" t="s">
        <v>116</v>
      </c>
      <c r="F3872" s="9">
        <v>86</v>
      </c>
      <c r="G3872" s="9" t="s">
        <v>991</v>
      </c>
      <c r="H3872" s="5" t="s">
        <v>21</v>
      </c>
      <c r="I3872" s="5" t="s">
        <v>9270</v>
      </c>
      <c r="J3872" s="12" t="str">
        <f>HYPERLINK("https://www.boe.es/gazeta/dias/1800/10/24/pdfs/GMD-D-1800-86.pdf#page=4","Abrir facsímil")</f>
        <v>Abrir facsímil</v>
      </c>
      <c r="K3872" s="15" t="s">
        <v>23</v>
      </c>
    </row>
    <row r="3873" spans="1:11" ht="42" customHeight="1">
      <c r="A3873" s="4" t="s">
        <v>9271</v>
      </c>
      <c r="B3873" s="5" t="s">
        <v>9271</v>
      </c>
      <c r="C3873" s="5" t="s">
        <v>18</v>
      </c>
      <c r="D3873" s="5" t="s">
        <v>19</v>
      </c>
      <c r="E3873" s="5" t="s">
        <v>194</v>
      </c>
      <c r="F3873" s="9">
        <v>48</v>
      </c>
      <c r="G3873" s="9">
        <v>518</v>
      </c>
      <c r="H3873" s="5" t="s">
        <v>21</v>
      </c>
      <c r="I3873" s="5" t="s">
        <v>9272</v>
      </c>
      <c r="J3873" s="12" t="str">
        <f>HYPERLINK("https://www.boe.es/gazeta/dias/1800/06/17/pdfs/GMD-1800-48.pdf#page=10","Abrir facsímil")</f>
        <v>Abrir facsímil</v>
      </c>
      <c r="K3873" s="15" t="s">
        <v>23</v>
      </c>
    </row>
    <row r="3874" spans="1:11" ht="42" customHeight="1">
      <c r="A3874" s="4" t="s">
        <v>9273</v>
      </c>
      <c r="B3874" s="5" t="s">
        <v>9274</v>
      </c>
      <c r="C3874" s="5" t="s">
        <v>207</v>
      </c>
      <c r="D3874" s="5" t="s">
        <v>55</v>
      </c>
      <c r="E3874" s="5" t="s">
        <v>184</v>
      </c>
      <c r="F3874" s="9">
        <v>82</v>
      </c>
      <c r="G3874" s="9">
        <v>949</v>
      </c>
      <c r="H3874" s="5" t="s">
        <v>21</v>
      </c>
      <c r="I3874" s="5" t="s">
        <v>9275</v>
      </c>
      <c r="J3874" s="12" t="str">
        <f>HYPERLINK("https://www.boe.es/gazeta/dias/1800/10/10/pdfs/GMD-1800-82.pdf#page=7","Abrir facsímil")</f>
        <v>Abrir facsímil</v>
      </c>
      <c r="K3874" s="15" t="s">
        <v>23</v>
      </c>
    </row>
    <row r="3875" spans="1:11" ht="42" customHeight="1">
      <c r="A3875" s="4" t="s">
        <v>9276</v>
      </c>
      <c r="B3875" s="5" t="s">
        <v>9277</v>
      </c>
      <c r="C3875" s="5" t="s">
        <v>18</v>
      </c>
      <c r="D3875" s="5" t="s">
        <v>19</v>
      </c>
      <c r="E3875" s="5" t="s">
        <v>86</v>
      </c>
      <c r="F3875" s="9">
        <v>17</v>
      </c>
      <c r="G3875" s="9">
        <v>154</v>
      </c>
      <c r="H3875" s="5" t="s">
        <v>21</v>
      </c>
      <c r="I3875" s="5" t="s">
        <v>9278</v>
      </c>
      <c r="J3875" s="12" t="str">
        <f>HYPERLINK("https://www.boe.es/gazeta/dias/1800/02/28/pdfs/GMD-1800-17.pdf#page=2","Abrir facsímil")</f>
        <v>Abrir facsímil</v>
      </c>
      <c r="K3875" s="15" t="s">
        <v>23</v>
      </c>
    </row>
    <row r="3876" spans="1:11" ht="42" customHeight="1">
      <c r="A3876" s="4" t="s">
        <v>9276</v>
      </c>
      <c r="B3876" s="5" t="s">
        <v>9277</v>
      </c>
      <c r="C3876" s="5" t="s">
        <v>41</v>
      </c>
      <c r="D3876" s="5" t="s">
        <v>42</v>
      </c>
      <c r="E3876" s="5" t="s">
        <v>64</v>
      </c>
      <c r="F3876" s="9">
        <v>54</v>
      </c>
      <c r="G3876" s="9">
        <v>599</v>
      </c>
      <c r="H3876" s="5" t="s">
        <v>21</v>
      </c>
      <c r="I3876" s="5" t="s">
        <v>9279</v>
      </c>
      <c r="J3876" s="12" t="str">
        <f>HYPERLINK("https://www.boe.es/gazeta/dias/1800/07/08/pdfs/GMD-1800-54.pdf#page=3","Abrir facsímil")</f>
        <v>Abrir facsímil</v>
      </c>
      <c r="K3876" s="15" t="s">
        <v>23</v>
      </c>
    </row>
    <row r="3877" spans="1:11" ht="42" customHeight="1">
      <c r="A3877" s="4" t="s">
        <v>9280</v>
      </c>
      <c r="B3877" s="5" t="s">
        <v>9281</v>
      </c>
      <c r="C3877" s="5" t="s">
        <v>18</v>
      </c>
      <c r="D3877" s="5" t="s">
        <v>19</v>
      </c>
      <c r="E3877" s="5" t="s">
        <v>203</v>
      </c>
      <c r="F3877" s="9">
        <v>94</v>
      </c>
      <c r="G3877" s="9">
        <v>1077</v>
      </c>
      <c r="H3877" s="5" t="s">
        <v>21</v>
      </c>
      <c r="I3877" s="5" t="s">
        <v>9282</v>
      </c>
      <c r="J3877" s="12" t="str">
        <f>HYPERLINK("https://www.boe.es/gazeta/dias/1800/11/21/pdfs/GMD-1800-94.pdf#page=7","Abrir facsímil")</f>
        <v>Abrir facsímil</v>
      </c>
      <c r="K3877" s="15" t="s">
        <v>23</v>
      </c>
    </row>
    <row r="3878" spans="1:11" ht="42" customHeight="1">
      <c r="A3878" s="4" t="s">
        <v>9283</v>
      </c>
      <c r="B3878" s="5" t="s">
        <v>9284</v>
      </c>
      <c r="C3878" s="5" t="s">
        <v>18</v>
      </c>
      <c r="D3878" s="5" t="s">
        <v>19</v>
      </c>
      <c r="E3878" s="5" t="s">
        <v>618</v>
      </c>
      <c r="F3878" s="9">
        <v>1</v>
      </c>
      <c r="G3878" s="9">
        <v>6</v>
      </c>
      <c r="H3878" s="5" t="s">
        <v>21</v>
      </c>
      <c r="I3878" s="5" t="s">
        <v>9285</v>
      </c>
      <c r="J3878" s="12" t="str">
        <f>HYPERLINK("https://www.boe.es/gazeta/dias/1800/01/03/pdfs/GMD-1800-1.pdf#page=6","Abrir facsímil")</f>
        <v>Abrir facsímil</v>
      </c>
      <c r="K3878" s="15" t="s">
        <v>23</v>
      </c>
    </row>
    <row r="3879" spans="1:11" ht="42" customHeight="1">
      <c r="A3879" s="4" t="s">
        <v>9286</v>
      </c>
      <c r="B3879" s="5" t="s">
        <v>9287</v>
      </c>
      <c r="C3879" s="5" t="s">
        <v>25</v>
      </c>
      <c r="D3879" s="5" t="s">
        <v>26</v>
      </c>
      <c r="E3879" s="5" t="s">
        <v>240</v>
      </c>
      <c r="F3879" s="9">
        <v>26</v>
      </c>
      <c r="G3879" s="9">
        <v>272</v>
      </c>
      <c r="H3879" s="5" t="s">
        <v>21</v>
      </c>
      <c r="I3879" s="5" t="s">
        <v>9288</v>
      </c>
      <c r="J3879" s="12" t="str">
        <f>HYPERLINK("https://www.boe.es/gazeta/dias/1800/04/01/pdfs/GMD-1800-26.pdf#page=12","Abrir facsímil")</f>
        <v>Abrir facsímil</v>
      </c>
      <c r="K3879" s="15" t="s">
        <v>1346</v>
      </c>
    </row>
    <row r="3880" spans="1:11" ht="42" customHeight="1">
      <c r="A3880" s="4" t="s">
        <v>9286</v>
      </c>
      <c r="B3880" s="5" t="s">
        <v>9287</v>
      </c>
      <c r="C3880" s="5" t="s">
        <v>207</v>
      </c>
      <c r="D3880" s="5" t="s">
        <v>55</v>
      </c>
      <c r="E3880" s="5" t="s">
        <v>194</v>
      </c>
      <c r="F3880" s="9">
        <v>48</v>
      </c>
      <c r="G3880" s="9">
        <v>517</v>
      </c>
      <c r="H3880" s="5" t="s">
        <v>21</v>
      </c>
      <c r="I3880" s="5" t="s">
        <v>9289</v>
      </c>
      <c r="J3880" s="12" t="str">
        <f>HYPERLINK("https://www.boe.es/gazeta/dias/1800/06/17/pdfs/GMD-1800-48.pdf#page=9","Abrir facsímil")</f>
        <v>Abrir facsímil</v>
      </c>
      <c r="K3880" s="15" t="s">
        <v>1346</v>
      </c>
    </row>
    <row r="3881" spans="1:11" ht="42" customHeight="1">
      <c r="A3881" s="4" t="s">
        <v>9290</v>
      </c>
      <c r="B3881" s="5" t="s">
        <v>9291</v>
      </c>
      <c r="C3881" s="5" t="s">
        <v>41</v>
      </c>
      <c r="D3881" s="5" t="s">
        <v>42</v>
      </c>
      <c r="E3881" s="5" t="s">
        <v>27</v>
      </c>
      <c r="F3881" s="9">
        <v>65</v>
      </c>
      <c r="G3881" s="9">
        <v>732</v>
      </c>
      <c r="H3881" s="5" t="s">
        <v>21</v>
      </c>
      <c r="I3881" s="5" t="s">
        <v>9292</v>
      </c>
      <c r="J3881" s="12" t="str">
        <f>HYPERLINK("https://www.boe.es/gazeta/dias/1800/08/15/pdfs/GMD-1800-65.pdf#page=8","Abrir facsímil")</f>
        <v>Abrir facsímil</v>
      </c>
      <c r="K3881" s="15" t="s">
        <v>1346</v>
      </c>
    </row>
    <row r="3882" spans="1:11" ht="42" customHeight="1">
      <c r="A3882" s="4" t="s">
        <v>9293</v>
      </c>
      <c r="B3882" s="5" t="s">
        <v>9293</v>
      </c>
      <c r="C3882" s="5" t="s">
        <v>54</v>
      </c>
      <c r="D3882" s="5" t="s">
        <v>55</v>
      </c>
      <c r="E3882" s="5" t="s">
        <v>162</v>
      </c>
      <c r="F3882" s="9">
        <v>15</v>
      </c>
      <c r="G3882" s="9">
        <v>143</v>
      </c>
      <c r="H3882" s="5" t="s">
        <v>21</v>
      </c>
      <c r="I3882" s="5" t="s">
        <v>9294</v>
      </c>
      <c r="J3882" s="12" t="str">
        <f>HYPERLINK("https://www.boe.es/gazeta/dias/1800/02/21/pdfs/GMD-1800-15.pdf#page=7","Abrir facsímil")</f>
        <v>Abrir facsímil</v>
      </c>
      <c r="K3882" s="15" t="s">
        <v>23</v>
      </c>
    </row>
    <row r="3883" spans="1:11" ht="42" customHeight="1">
      <c r="A3883" s="4" t="s">
        <v>9295</v>
      </c>
      <c r="B3883" s="5" t="s">
        <v>9296</v>
      </c>
      <c r="C3883" s="5" t="s">
        <v>18</v>
      </c>
      <c r="D3883" s="5" t="s">
        <v>19</v>
      </c>
      <c r="E3883" s="5" t="s">
        <v>319</v>
      </c>
      <c r="F3883" s="9">
        <v>62</v>
      </c>
      <c r="G3883" s="9">
        <v>708</v>
      </c>
      <c r="H3883" s="5" t="s">
        <v>21</v>
      </c>
      <c r="I3883" s="5" t="s">
        <v>9297</v>
      </c>
      <c r="J3883" s="12" t="str">
        <f>HYPERLINK("https://www.boe.es/gazeta/dias/1800/08/05/pdfs/GMD-1800-62.pdf#page=8","Abrir facsímil")</f>
        <v>Abrir facsímil</v>
      </c>
      <c r="K3883" s="15" t="s">
        <v>23</v>
      </c>
    </row>
    <row r="3884" spans="1:11" ht="42" customHeight="1">
      <c r="A3884" s="4" t="s">
        <v>9298</v>
      </c>
      <c r="B3884" s="5" t="s">
        <v>9299</v>
      </c>
      <c r="C3884" s="5" t="s">
        <v>18</v>
      </c>
      <c r="D3884" s="5" t="s">
        <v>19</v>
      </c>
      <c r="E3884" s="5" t="s">
        <v>319</v>
      </c>
      <c r="F3884" s="9">
        <v>62</v>
      </c>
      <c r="G3884" s="9">
        <v>708</v>
      </c>
      <c r="H3884" s="5" t="s">
        <v>21</v>
      </c>
      <c r="I3884" s="5" t="s">
        <v>9300</v>
      </c>
      <c r="J3884" s="12" t="str">
        <f>HYPERLINK("https://www.boe.es/gazeta/dias/1800/08/05/pdfs/GMD-1800-62.pdf#page=8","Abrir facsímil")</f>
        <v>Abrir facsímil</v>
      </c>
      <c r="K3884" s="15" t="s">
        <v>23</v>
      </c>
    </row>
    <row r="3885" spans="1:11" ht="42" customHeight="1">
      <c r="A3885" s="4" t="s">
        <v>9301</v>
      </c>
      <c r="B3885" s="5" t="s">
        <v>9302</v>
      </c>
      <c r="C3885" s="5" t="s">
        <v>18</v>
      </c>
      <c r="D3885" s="5" t="s">
        <v>19</v>
      </c>
      <c r="E3885" s="5" t="s">
        <v>534</v>
      </c>
      <c r="F3885" s="9">
        <v>100</v>
      </c>
      <c r="G3885" s="9">
        <v>1160</v>
      </c>
      <c r="H3885" s="5" t="s">
        <v>21</v>
      </c>
      <c r="I3885" s="5" t="s">
        <v>9303</v>
      </c>
      <c r="J3885" s="12" t="str">
        <f>HYPERLINK("https://www.boe.es/gazeta/dias/1800/12/12/pdfs/GMD-1800-100.pdf#page=12","Abrir facsímil")</f>
        <v>Abrir facsímil</v>
      </c>
      <c r="K3885" s="15" t="s">
        <v>23</v>
      </c>
    </row>
    <row r="3886" spans="1:11" ht="42" customHeight="1">
      <c r="A3886" s="4" t="s">
        <v>9304</v>
      </c>
      <c r="B3886" s="5" t="s">
        <v>9305</v>
      </c>
      <c r="C3886" s="5" t="s">
        <v>18</v>
      </c>
      <c r="D3886" s="5" t="s">
        <v>19</v>
      </c>
      <c r="E3886" s="5" t="s">
        <v>116</v>
      </c>
      <c r="F3886" s="9">
        <v>86</v>
      </c>
      <c r="G3886" s="9">
        <v>996</v>
      </c>
      <c r="H3886" s="5" t="s">
        <v>21</v>
      </c>
      <c r="I3886" s="5" t="s">
        <v>9306</v>
      </c>
      <c r="J3886" s="12" t="str">
        <f>HYPERLINK("https://www.boe.es/gazeta/dias/1800/10/24/pdfs/GMD-1800-86.pdf#page=6","Abrir facsímil")</f>
        <v>Abrir facsímil</v>
      </c>
      <c r="K3886" s="15" t="s">
        <v>23</v>
      </c>
    </row>
    <row r="3887" spans="1:11" ht="42" customHeight="1">
      <c r="A3887" s="4" t="s">
        <v>9307</v>
      </c>
      <c r="B3887" s="5" t="s">
        <v>9308</v>
      </c>
      <c r="C3887" s="5" t="s">
        <v>18</v>
      </c>
      <c r="D3887" s="5" t="s">
        <v>19</v>
      </c>
      <c r="E3887" s="5" t="s">
        <v>618</v>
      </c>
      <c r="F3887" s="9">
        <v>1</v>
      </c>
      <c r="G3887" s="9">
        <v>5</v>
      </c>
      <c r="H3887" s="5" t="s">
        <v>21</v>
      </c>
      <c r="I3887" s="5" t="s">
        <v>9309</v>
      </c>
      <c r="J3887" s="12" t="str">
        <f>HYPERLINK("https://www.boe.es/gazeta/dias/1800/01/03/pdfs/GMD-1800-1.pdf#page=5","Abrir facsímil")</f>
        <v>Abrir facsímil</v>
      </c>
      <c r="K3887" s="15" t="s">
        <v>23</v>
      </c>
    </row>
    <row r="3888" spans="1:11" ht="42" customHeight="1">
      <c r="A3888" s="4" t="s">
        <v>9310</v>
      </c>
      <c r="B3888" s="5" t="s">
        <v>9310</v>
      </c>
      <c r="C3888" s="5" t="s">
        <v>18</v>
      </c>
      <c r="D3888" s="5" t="s">
        <v>19</v>
      </c>
      <c r="E3888" s="5" t="s">
        <v>86</v>
      </c>
      <c r="F3888" s="9">
        <v>17</v>
      </c>
      <c r="G3888" s="9">
        <v>163</v>
      </c>
      <c r="H3888" s="5" t="s">
        <v>21</v>
      </c>
      <c r="I3888" s="5" t="s">
        <v>9311</v>
      </c>
      <c r="J3888" s="12" t="str">
        <f>HYPERLINK("https://www.boe.es/gazeta/dias/1800/02/28/pdfs/GMD-1800-17.pdf#page=11","Abrir facsímil")</f>
        <v>Abrir facsímil</v>
      </c>
      <c r="K3888" s="15" t="s">
        <v>23</v>
      </c>
    </row>
    <row r="3889" spans="1:11" ht="42" customHeight="1">
      <c r="A3889" s="4" t="s">
        <v>9312</v>
      </c>
      <c r="B3889" s="5" t="s">
        <v>9313</v>
      </c>
      <c r="C3889" s="5" t="s">
        <v>41</v>
      </c>
      <c r="D3889" s="5" t="s">
        <v>42</v>
      </c>
      <c r="E3889" s="5" t="s">
        <v>310</v>
      </c>
      <c r="F3889" s="9">
        <v>56</v>
      </c>
      <c r="G3889" s="9">
        <v>631</v>
      </c>
      <c r="H3889" s="5" t="s">
        <v>21</v>
      </c>
      <c r="I3889" s="5" t="s">
        <v>9314</v>
      </c>
      <c r="J3889" s="12" t="str">
        <f>HYPERLINK("https://www.boe.es/gazeta/dias/1800/07/15/pdfs/GMD-1800-56.pdf#page=7","Abrir facsímil")</f>
        <v>Abrir facsímil</v>
      </c>
      <c r="K3889" s="15" t="s">
        <v>23</v>
      </c>
    </row>
    <row r="3890" spans="1:11" ht="42" customHeight="1">
      <c r="A3890" s="4" t="s">
        <v>9312</v>
      </c>
      <c r="B3890" s="5" t="s">
        <v>9313</v>
      </c>
      <c r="C3890" s="5" t="s">
        <v>41</v>
      </c>
      <c r="D3890" s="5" t="s">
        <v>42</v>
      </c>
      <c r="E3890" s="5" t="s">
        <v>534</v>
      </c>
      <c r="F3890" s="9">
        <v>100</v>
      </c>
      <c r="G3890" s="9">
        <v>1155</v>
      </c>
      <c r="H3890" s="5" t="s">
        <v>21</v>
      </c>
      <c r="I3890" s="5" t="s">
        <v>9315</v>
      </c>
      <c r="J3890" s="12" t="str">
        <f>HYPERLINK("https://www.boe.es/gazeta/dias/1800/12/12/pdfs/GMD-1800-100.pdf#page=7","Abrir facsímil")</f>
        <v>Abrir facsímil</v>
      </c>
      <c r="K3890" s="15" t="s">
        <v>23</v>
      </c>
    </row>
    <row r="3891" spans="1:11" ht="42" customHeight="1">
      <c r="A3891" s="4" t="s">
        <v>9316</v>
      </c>
      <c r="B3891" s="5" t="s">
        <v>9316</v>
      </c>
      <c r="C3891" s="5" t="s">
        <v>171</v>
      </c>
      <c r="D3891" s="5" t="s">
        <v>172</v>
      </c>
      <c r="E3891" s="5" t="s">
        <v>90</v>
      </c>
      <c r="F3891" s="9">
        <v>58</v>
      </c>
      <c r="G3891" s="9">
        <v>667</v>
      </c>
      <c r="H3891" s="5" t="s">
        <v>21</v>
      </c>
      <c r="I3891" s="5" t="s">
        <v>9317</v>
      </c>
      <c r="J3891" s="12" t="str">
        <f>HYPERLINK("https://www.boe.es/gazeta/dias/1800/07/22/pdfs/GMD-C-1800-58.pdf#page=3","Abrir facsímil")</f>
        <v>Abrir facsímil</v>
      </c>
      <c r="K3891" s="15" t="s">
        <v>23</v>
      </c>
    </row>
    <row r="3892" spans="1:11" ht="42" customHeight="1">
      <c r="A3892" s="4" t="s">
        <v>9318</v>
      </c>
      <c r="B3892" s="5" t="s">
        <v>9318</v>
      </c>
      <c r="C3892" s="5" t="s">
        <v>18</v>
      </c>
      <c r="D3892" s="5" t="s">
        <v>19</v>
      </c>
      <c r="E3892" s="5" t="s">
        <v>314</v>
      </c>
      <c r="F3892" s="9">
        <v>74</v>
      </c>
      <c r="G3892" s="9">
        <v>831</v>
      </c>
      <c r="H3892" s="5" t="s">
        <v>21</v>
      </c>
      <c r="I3892" s="5" t="s">
        <v>9319</v>
      </c>
      <c r="J3892" s="12" t="str">
        <f>HYPERLINK("https://www.boe.es/gazeta/dias/1800/09/12/pdfs/GMD-1800-74.pdf#page=9","Abrir facsímil")</f>
        <v>Abrir facsímil</v>
      </c>
      <c r="K3892" s="15" t="s">
        <v>23</v>
      </c>
    </row>
    <row r="3893" spans="1:11" ht="42" customHeight="1">
      <c r="A3893" s="4" t="s">
        <v>9320</v>
      </c>
      <c r="B3893" s="5" t="s">
        <v>9320</v>
      </c>
      <c r="C3893" s="5" t="s">
        <v>18</v>
      </c>
      <c r="D3893" s="5" t="s">
        <v>19</v>
      </c>
      <c r="E3893" s="5" t="s">
        <v>60</v>
      </c>
      <c r="F3893" s="9">
        <v>105</v>
      </c>
      <c r="G3893" s="9">
        <v>1226</v>
      </c>
      <c r="H3893" s="5" t="s">
        <v>21</v>
      </c>
      <c r="I3893" s="5" t="s">
        <v>9321</v>
      </c>
      <c r="J3893" s="12" t="str">
        <f>HYPERLINK("https://www.boe.es/gazeta/dias/1800/12/30/pdfs/GMD-1800-105.pdf#page=10","Abrir facsímil")</f>
        <v>Abrir facsímil</v>
      </c>
      <c r="K3893" s="15" t="s">
        <v>23</v>
      </c>
    </row>
    <row r="3894" spans="1:11" ht="42" customHeight="1">
      <c r="A3894" s="4" t="s">
        <v>9322</v>
      </c>
      <c r="B3894" s="5" t="s">
        <v>9322</v>
      </c>
      <c r="C3894" s="5" t="s">
        <v>18</v>
      </c>
      <c r="D3894" s="5" t="s">
        <v>19</v>
      </c>
      <c r="E3894" s="5" t="s">
        <v>478</v>
      </c>
      <c r="F3894" s="9">
        <v>34</v>
      </c>
      <c r="G3894" s="9">
        <v>347</v>
      </c>
      <c r="H3894" s="5" t="s">
        <v>21</v>
      </c>
      <c r="I3894" s="5" t="s">
        <v>9323</v>
      </c>
      <c r="J3894" s="12" t="str">
        <f>HYPERLINK("https://www.boe.es/gazeta/dias/1800/04/29/pdfs/GMD-1800-34.pdf#page=11","Abrir facsímil")</f>
        <v>Abrir facsímil</v>
      </c>
      <c r="K3894" s="15" t="s">
        <v>23</v>
      </c>
    </row>
    <row r="3895" spans="1:11" ht="42" customHeight="1">
      <c r="A3895" s="4" t="s">
        <v>9324</v>
      </c>
      <c r="B3895" s="5" t="s">
        <v>9324</v>
      </c>
      <c r="C3895" s="5" t="s">
        <v>84</v>
      </c>
      <c r="D3895" s="5" t="s">
        <v>85</v>
      </c>
      <c r="E3895" s="5" t="s">
        <v>420</v>
      </c>
      <c r="F3895" s="9">
        <v>38</v>
      </c>
      <c r="G3895" s="9">
        <v>390</v>
      </c>
      <c r="H3895" s="5" t="s">
        <v>21</v>
      </c>
      <c r="I3895" s="5" t="s">
        <v>9325</v>
      </c>
      <c r="J3895" s="12" t="str">
        <f>HYPERLINK("https://www.boe.es/gazeta/dias/1800/05/13/pdfs/GMD-1800-38.pdf#page=10","Abrir facsímil")</f>
        <v>Abrir facsímil</v>
      </c>
      <c r="K3895" s="15" t="s">
        <v>23</v>
      </c>
    </row>
    <row r="3896" spans="1:11" ht="42" customHeight="1">
      <c r="A3896" s="4" t="s">
        <v>9324</v>
      </c>
      <c r="B3896" s="5" t="s">
        <v>9324</v>
      </c>
      <c r="C3896" s="5" t="s">
        <v>54</v>
      </c>
      <c r="D3896" s="5" t="s">
        <v>55</v>
      </c>
      <c r="E3896" s="5" t="s">
        <v>184</v>
      </c>
      <c r="F3896" s="9">
        <v>82</v>
      </c>
      <c r="G3896" s="9">
        <v>953</v>
      </c>
      <c r="H3896" s="5" t="s">
        <v>21</v>
      </c>
      <c r="I3896" s="5" t="s">
        <v>9326</v>
      </c>
      <c r="J3896" s="12" t="str">
        <f>HYPERLINK("https://www.boe.es/gazeta/dias/1800/10/10/pdfs/GMD-1800-82.pdf#page=11","Abrir facsímil")</f>
        <v>Abrir facsímil</v>
      </c>
      <c r="K3896" s="15" t="s">
        <v>23</v>
      </c>
    </row>
    <row r="3897" spans="1:11" ht="42" customHeight="1">
      <c r="A3897" s="4" t="s">
        <v>9327</v>
      </c>
      <c r="B3897" s="5" t="s">
        <v>9327</v>
      </c>
      <c r="C3897" s="5" t="s">
        <v>18</v>
      </c>
      <c r="D3897" s="5" t="s">
        <v>19</v>
      </c>
      <c r="E3897" s="5" t="s">
        <v>31</v>
      </c>
      <c r="F3897" s="9">
        <v>20</v>
      </c>
      <c r="G3897" s="9">
        <v>191</v>
      </c>
      <c r="H3897" s="5" t="s">
        <v>21</v>
      </c>
      <c r="I3897" s="5" t="s">
        <v>9328</v>
      </c>
      <c r="J3897" s="12" t="str">
        <f>HYPERLINK("https://www.boe.es/gazeta/dias/1800/03/11/pdfs/GMD-1800-20.pdf#page=7","Abrir facsímil")</f>
        <v>Abrir facsímil</v>
      </c>
      <c r="K3897" s="15" t="s">
        <v>23</v>
      </c>
    </row>
    <row r="3898" spans="1:11" ht="42" customHeight="1">
      <c r="A3898" s="4" t="s">
        <v>9329</v>
      </c>
      <c r="B3898" s="5" t="s">
        <v>9330</v>
      </c>
      <c r="C3898" s="5" t="s">
        <v>18</v>
      </c>
      <c r="D3898" s="5" t="s">
        <v>19</v>
      </c>
      <c r="E3898" s="5" t="s">
        <v>135</v>
      </c>
      <c r="F3898" s="9">
        <v>73</v>
      </c>
      <c r="G3898" s="9">
        <v>816</v>
      </c>
      <c r="H3898" s="5" t="s">
        <v>21</v>
      </c>
      <c r="I3898" s="5" t="s">
        <v>9331</v>
      </c>
      <c r="J3898" s="12" t="str">
        <f>HYPERLINK("https://www.boe.es/gazeta/dias/1800/09/09/pdfs/GMD-1800-73.pdf#page=10","Abrir facsímil")</f>
        <v>Abrir facsímil</v>
      </c>
      <c r="K3898" s="15" t="s">
        <v>23</v>
      </c>
    </row>
    <row r="3899" spans="1:11" ht="42" customHeight="1">
      <c r="A3899" s="4" t="s">
        <v>9332</v>
      </c>
      <c r="B3899" s="5" t="s">
        <v>9332</v>
      </c>
      <c r="C3899" s="5" t="s">
        <v>18</v>
      </c>
      <c r="D3899" s="5" t="s">
        <v>19</v>
      </c>
      <c r="E3899" s="5" t="s">
        <v>240</v>
      </c>
      <c r="F3899" s="9">
        <v>26</v>
      </c>
      <c r="G3899" s="9">
        <v>269</v>
      </c>
      <c r="H3899" s="5" t="s">
        <v>21</v>
      </c>
      <c r="I3899" s="5" t="s">
        <v>9333</v>
      </c>
      <c r="J3899" s="12" t="str">
        <f>HYPERLINK("https://www.boe.es/gazeta/dias/1800/04/01/pdfs/GMD-1800-26.pdf#page=9","Abrir facsímil")</f>
        <v>Abrir facsímil</v>
      </c>
      <c r="K3899" s="15" t="s">
        <v>23</v>
      </c>
    </row>
    <row r="3900" spans="1:11" ht="42" customHeight="1">
      <c r="A3900" s="4" t="s">
        <v>9334</v>
      </c>
      <c r="B3900" s="5" t="s">
        <v>9335</v>
      </c>
      <c r="C3900" s="5" t="s">
        <v>41</v>
      </c>
      <c r="D3900" s="5" t="s">
        <v>42</v>
      </c>
      <c r="E3900" s="5" t="s">
        <v>406</v>
      </c>
      <c r="F3900" s="9">
        <v>44</v>
      </c>
      <c r="G3900" s="9">
        <v>459</v>
      </c>
      <c r="H3900" s="5" t="s">
        <v>21</v>
      </c>
      <c r="I3900" s="5" t="s">
        <v>9336</v>
      </c>
      <c r="J3900" s="12" t="str">
        <f>HYPERLINK("https://www.boe.es/gazeta/dias/1800/06/03/pdfs/GMD-1800-44.pdf#page=7","Abrir facsímil")</f>
        <v>Abrir facsímil</v>
      </c>
      <c r="K3900" s="15" t="s">
        <v>23</v>
      </c>
    </row>
    <row r="3901" spans="1:11" ht="42" customHeight="1">
      <c r="A3901" s="4" t="s">
        <v>9337</v>
      </c>
      <c r="B3901" s="5" t="s">
        <v>9338</v>
      </c>
      <c r="C3901" s="5" t="s">
        <v>18</v>
      </c>
      <c r="D3901" s="5" t="s">
        <v>19</v>
      </c>
      <c r="E3901" s="5" t="s">
        <v>262</v>
      </c>
      <c r="F3901" s="9">
        <v>39</v>
      </c>
      <c r="G3901" s="9">
        <v>400</v>
      </c>
      <c r="H3901" s="5" t="s">
        <v>21</v>
      </c>
      <c r="I3901" s="5" t="s">
        <v>9339</v>
      </c>
      <c r="J3901" s="12" t="str">
        <f>HYPERLINK("https://www.boe.es/gazeta/dias/1800/05/16/pdfs/GMD-1800-39.pdf#page=8","Abrir facsímil")</f>
        <v>Abrir facsímil</v>
      </c>
      <c r="K3901" s="15" t="s">
        <v>23</v>
      </c>
    </row>
    <row r="3902" spans="1:11" ht="42" customHeight="1">
      <c r="A3902" s="4" t="s">
        <v>9340</v>
      </c>
      <c r="B3902" s="5" t="s">
        <v>9340</v>
      </c>
      <c r="C3902" s="5" t="s">
        <v>41</v>
      </c>
      <c r="D3902" s="5" t="s">
        <v>42</v>
      </c>
      <c r="E3902" s="5" t="s">
        <v>50</v>
      </c>
      <c r="F3902" s="9">
        <v>81</v>
      </c>
      <c r="G3902" s="9">
        <v>915</v>
      </c>
      <c r="H3902" s="5" t="s">
        <v>21</v>
      </c>
      <c r="I3902" s="5" t="s">
        <v>9341</v>
      </c>
      <c r="J3902" s="12" t="str">
        <f>HYPERLINK("https://www.boe.es/gazeta/dias/1800/10/07/pdfs/GMD-1800-81.pdf#page=5","Abrir facsímil")</f>
        <v>Abrir facsímil</v>
      </c>
      <c r="K3902" s="15" t="s">
        <v>23</v>
      </c>
    </row>
    <row r="3903" spans="1:11" ht="42" customHeight="1">
      <c r="A3903" s="4" t="s">
        <v>9340</v>
      </c>
      <c r="B3903" s="5" t="s">
        <v>9340</v>
      </c>
      <c r="C3903" s="5" t="s">
        <v>18</v>
      </c>
      <c r="D3903" s="5" t="s">
        <v>19</v>
      </c>
      <c r="E3903" s="5" t="s">
        <v>422</v>
      </c>
      <c r="F3903" s="9">
        <v>85</v>
      </c>
      <c r="G3903" s="9">
        <v>981</v>
      </c>
      <c r="H3903" s="5" t="s">
        <v>21</v>
      </c>
      <c r="I3903" s="5" t="s">
        <v>9342</v>
      </c>
      <c r="J3903" s="12" t="str">
        <f>HYPERLINK("https://www.boe.es/gazeta/dias/1800/10/21/pdfs/GMD-1800-85.pdf#page=3","Abrir facsímil")</f>
        <v>Abrir facsímil</v>
      </c>
      <c r="K3903" s="15" t="s">
        <v>23</v>
      </c>
    </row>
    <row r="3904" spans="1:11" ht="42" customHeight="1">
      <c r="A3904" s="4" t="s">
        <v>9343</v>
      </c>
      <c r="B3904" s="5" t="s">
        <v>9343</v>
      </c>
      <c r="C3904" s="5" t="s">
        <v>41</v>
      </c>
      <c r="D3904" s="5" t="s">
        <v>42</v>
      </c>
      <c r="E3904" s="5" t="s">
        <v>346</v>
      </c>
      <c r="F3904" s="9">
        <v>24</v>
      </c>
      <c r="G3904" s="9">
        <v>240</v>
      </c>
      <c r="H3904" s="5" t="s">
        <v>21</v>
      </c>
      <c r="I3904" s="5" t="s">
        <v>9344</v>
      </c>
      <c r="J3904" s="12" t="str">
        <f>HYPERLINK("https://www.boe.es/gazeta/dias/1800/03/25/pdfs/GMD-1800-24.pdf#page=4","Abrir facsímil")</f>
        <v>Abrir facsímil</v>
      </c>
      <c r="K3904" s="15" t="s">
        <v>23</v>
      </c>
    </row>
    <row r="3905" spans="1:11" ht="42" customHeight="1">
      <c r="A3905" s="4" t="s">
        <v>9345</v>
      </c>
      <c r="B3905" s="5" t="s">
        <v>9346</v>
      </c>
      <c r="C3905" s="5" t="s">
        <v>84</v>
      </c>
      <c r="D3905" s="5" t="s">
        <v>85</v>
      </c>
      <c r="E3905" s="5" t="s">
        <v>147</v>
      </c>
      <c r="F3905" s="9">
        <v>84</v>
      </c>
      <c r="G3905" s="9">
        <v>974</v>
      </c>
      <c r="H3905" s="5" t="s">
        <v>21</v>
      </c>
      <c r="I3905" s="5" t="s">
        <v>9347</v>
      </c>
      <c r="J3905" s="12" t="str">
        <f>HYPERLINK("https://www.boe.es/gazeta/dias/1800/10/17/pdfs/GMD-1800-84.pdf#page=8","Abrir facsímil")</f>
        <v>Abrir facsímil</v>
      </c>
      <c r="K3905" s="15" t="s">
        <v>23</v>
      </c>
    </row>
    <row r="3906" spans="1:11" ht="42" customHeight="1">
      <c r="A3906" s="4" t="s">
        <v>9348</v>
      </c>
      <c r="B3906" s="5" t="s">
        <v>9349</v>
      </c>
      <c r="C3906" s="5" t="s">
        <v>18</v>
      </c>
      <c r="D3906" s="5" t="s">
        <v>19</v>
      </c>
      <c r="E3906" s="5" t="s">
        <v>158</v>
      </c>
      <c r="F3906" s="9">
        <v>25</v>
      </c>
      <c r="G3906" s="9">
        <v>256</v>
      </c>
      <c r="H3906" s="5" t="s">
        <v>21</v>
      </c>
      <c r="I3906" s="5" t="s">
        <v>9350</v>
      </c>
      <c r="J3906" s="12" t="str">
        <f>HYPERLINK("https://www.boe.es/gazeta/dias/1800/03/28/pdfs/GMD-1800-25.pdf#page=8","Abrir facsímil")</f>
        <v>Abrir facsímil</v>
      </c>
      <c r="K3906" s="15" t="s">
        <v>23</v>
      </c>
    </row>
    <row r="3907" spans="1:11" ht="42" customHeight="1">
      <c r="A3907" s="4" t="s">
        <v>9351</v>
      </c>
      <c r="B3907" s="5" t="s">
        <v>9352</v>
      </c>
      <c r="C3907" s="5" t="s">
        <v>41</v>
      </c>
      <c r="D3907" s="5" t="s">
        <v>42</v>
      </c>
      <c r="E3907" s="5" t="s">
        <v>319</v>
      </c>
      <c r="F3907" s="9">
        <v>62</v>
      </c>
      <c r="G3907" s="9">
        <v>705</v>
      </c>
      <c r="H3907" s="5" t="s">
        <v>21</v>
      </c>
      <c r="I3907" s="5" t="s">
        <v>9353</v>
      </c>
      <c r="J3907" s="12" t="str">
        <f>HYPERLINK("https://www.boe.es/gazeta/dias/1800/08/05/pdfs/GMD-1800-62.pdf#page=5","Abrir facsímil")</f>
        <v>Abrir facsímil</v>
      </c>
      <c r="K3907" s="15" t="s">
        <v>23</v>
      </c>
    </row>
    <row r="3908" spans="1:11" ht="42" customHeight="1">
      <c r="A3908" s="4" t="s">
        <v>9354</v>
      </c>
      <c r="B3908" s="5" t="s">
        <v>9355</v>
      </c>
      <c r="C3908" s="5" t="s">
        <v>18</v>
      </c>
      <c r="D3908" s="5" t="s">
        <v>19</v>
      </c>
      <c r="E3908" s="5" t="s">
        <v>230</v>
      </c>
      <c r="F3908" s="9">
        <v>35</v>
      </c>
      <c r="G3908" s="9">
        <v>355</v>
      </c>
      <c r="H3908" s="5" t="s">
        <v>21</v>
      </c>
      <c r="I3908" s="5" t="s">
        <v>9356</v>
      </c>
      <c r="J3908" s="12" t="str">
        <f>HYPERLINK("https://www.boe.es/gazeta/dias/1800/05/02/pdfs/GMD-1800-35.pdf#page=7","Abrir facsímil")</f>
        <v>Abrir facsímil</v>
      </c>
      <c r="K3908" s="15" t="s">
        <v>23</v>
      </c>
    </row>
    <row r="3909" spans="1:11" ht="42" customHeight="1">
      <c r="A3909" s="4" t="s">
        <v>9357</v>
      </c>
      <c r="B3909" s="5" t="s">
        <v>9358</v>
      </c>
      <c r="C3909" s="5" t="s">
        <v>18</v>
      </c>
      <c r="D3909" s="5" t="s">
        <v>19</v>
      </c>
      <c r="E3909" s="5" t="s">
        <v>75</v>
      </c>
      <c r="F3909" s="9">
        <v>64</v>
      </c>
      <c r="G3909" s="9">
        <v>733</v>
      </c>
      <c r="H3909" s="5" t="s">
        <v>21</v>
      </c>
      <c r="I3909" s="5" t="s">
        <v>9359</v>
      </c>
      <c r="J3909" s="12" t="str">
        <f>HYPERLINK("https://www.boe.es/gazeta/dias/1800/08/12/pdfs/GMD-1800-64.pdf#page=9","Abrir facsímil")</f>
        <v>Abrir facsímil</v>
      </c>
      <c r="K3909" s="15" t="s">
        <v>23</v>
      </c>
    </row>
    <row r="3910" spans="1:11" ht="42" customHeight="1">
      <c r="A3910" s="4" t="s">
        <v>9360</v>
      </c>
      <c r="B3910" s="5" t="s">
        <v>9361</v>
      </c>
      <c r="C3910" s="5" t="s">
        <v>54</v>
      </c>
      <c r="D3910" s="5" t="s">
        <v>55</v>
      </c>
      <c r="E3910" s="5" t="s">
        <v>843</v>
      </c>
      <c r="F3910" s="9">
        <v>78</v>
      </c>
      <c r="G3910" s="9">
        <v>889</v>
      </c>
      <c r="H3910" s="5" t="s">
        <v>21</v>
      </c>
      <c r="I3910" s="5" t="s">
        <v>9362</v>
      </c>
      <c r="J3910" s="12" t="str">
        <f>HYPERLINK("https://www.boe.es/gazeta/dias/1800/09/26/pdfs/GMD-1800-78.pdf#page=7","Abrir facsímil")</f>
        <v>Abrir facsímil</v>
      </c>
      <c r="K3910" s="15" t="s">
        <v>23</v>
      </c>
    </row>
    <row r="3911" spans="1:11" ht="42" customHeight="1">
      <c r="A3911" s="4" t="s">
        <v>9363</v>
      </c>
      <c r="B3911" s="5" t="s">
        <v>9363</v>
      </c>
      <c r="C3911" s="5" t="s">
        <v>207</v>
      </c>
      <c r="D3911" s="5" t="s">
        <v>55</v>
      </c>
      <c r="E3911" s="5" t="s">
        <v>52</v>
      </c>
      <c r="F3911" s="9">
        <v>83</v>
      </c>
      <c r="G3911" s="9">
        <v>962</v>
      </c>
      <c r="H3911" s="5" t="s">
        <v>21</v>
      </c>
      <c r="I3911" s="5" t="s">
        <v>9364</v>
      </c>
      <c r="J3911" s="12" t="str">
        <f>HYPERLINK("https://www.boe.es/gazeta/dias/1800/10/14/pdfs/GMD-1800-83.pdf#page=8","Abrir facsímil")</f>
        <v>Abrir facsímil</v>
      </c>
      <c r="K3911" s="15" t="s">
        <v>23</v>
      </c>
    </row>
    <row r="3912" spans="1:11" ht="42" customHeight="1">
      <c r="A3912" s="4" t="s">
        <v>9365</v>
      </c>
      <c r="B3912" s="5" t="s">
        <v>9365</v>
      </c>
      <c r="C3912" s="5" t="s">
        <v>54</v>
      </c>
      <c r="D3912" s="5" t="s">
        <v>55</v>
      </c>
      <c r="E3912" s="5" t="s">
        <v>244</v>
      </c>
      <c r="F3912" s="9">
        <v>9</v>
      </c>
      <c r="G3912" s="9">
        <v>86</v>
      </c>
      <c r="H3912" s="5" t="s">
        <v>21</v>
      </c>
      <c r="I3912" s="5" t="s">
        <v>9366</v>
      </c>
      <c r="J3912" s="12" t="str">
        <f>HYPERLINK("https://www.boe.es/gazeta/dias/1800/01/31/pdfs/GMD-1800-9.pdf#page=10","Abrir facsímil")</f>
        <v>Abrir facsímil</v>
      </c>
      <c r="K3912" s="15" t="s">
        <v>23</v>
      </c>
    </row>
    <row r="3913" spans="1:11" ht="42" customHeight="1">
      <c r="A3913" s="4" t="s">
        <v>9367</v>
      </c>
      <c r="B3913" s="5" t="s">
        <v>9368</v>
      </c>
      <c r="C3913" s="5" t="s">
        <v>25</v>
      </c>
      <c r="D3913" s="5" t="s">
        <v>26</v>
      </c>
      <c r="E3913" s="5" t="s">
        <v>283</v>
      </c>
      <c r="F3913" s="9">
        <v>68</v>
      </c>
      <c r="G3913" s="9">
        <v>764</v>
      </c>
      <c r="H3913" s="5" t="s">
        <v>21</v>
      </c>
      <c r="I3913" s="5" t="s">
        <v>9369</v>
      </c>
      <c r="J3913" s="12" t="str">
        <f>HYPERLINK("https://www.boe.es/gazeta/dias/1800/08/26/pdfs/GMD-1800-68.pdf#page=8","Abrir facsímil")</f>
        <v>Abrir facsímil</v>
      </c>
      <c r="K3913" s="15" t="s">
        <v>23</v>
      </c>
    </row>
    <row r="3914" spans="1:11" ht="42" customHeight="1">
      <c r="A3914" s="4" t="s">
        <v>9370</v>
      </c>
      <c r="B3914" s="5" t="s">
        <v>9370</v>
      </c>
      <c r="C3914" s="5" t="s">
        <v>18</v>
      </c>
      <c r="D3914" s="5" t="s">
        <v>19</v>
      </c>
      <c r="E3914" s="5" t="s">
        <v>176</v>
      </c>
      <c r="F3914" s="9">
        <v>88</v>
      </c>
      <c r="G3914" s="9">
        <v>1031</v>
      </c>
      <c r="H3914" s="5" t="s">
        <v>21</v>
      </c>
      <c r="I3914" s="5" t="s">
        <v>9371</v>
      </c>
      <c r="J3914" s="12" t="str">
        <f>HYPERLINK("https://www.boe.es/gazeta/dias/1800/10/31/pdfs/GMD-1800-88.pdf#page=13","Abrir facsímil")</f>
        <v>Abrir facsímil</v>
      </c>
      <c r="K3914" s="15" t="s">
        <v>23</v>
      </c>
    </row>
    <row r="3915" spans="1:11" ht="42" customHeight="1">
      <c r="A3915" s="4" t="s">
        <v>9372</v>
      </c>
      <c r="B3915" s="5" t="s">
        <v>9372</v>
      </c>
      <c r="C3915" s="5" t="s">
        <v>171</v>
      </c>
      <c r="D3915" s="5" t="s">
        <v>172</v>
      </c>
      <c r="E3915" s="5" t="s">
        <v>90</v>
      </c>
      <c r="F3915" s="9">
        <v>58</v>
      </c>
      <c r="G3915" s="9">
        <v>667</v>
      </c>
      <c r="H3915" s="5" t="s">
        <v>21</v>
      </c>
      <c r="I3915" s="5" t="s">
        <v>9373</v>
      </c>
      <c r="J3915" s="12" t="str">
        <f>HYPERLINK("https://www.boe.es/gazeta/dias/1800/07/22/pdfs/GMD-C-1800-58.pdf#page=3","Abrir facsímil")</f>
        <v>Abrir facsímil</v>
      </c>
      <c r="K3915" s="15" t="s">
        <v>23</v>
      </c>
    </row>
    <row r="3916" spans="1:11" ht="42" customHeight="1">
      <c r="A3916" s="4" t="s">
        <v>9374</v>
      </c>
      <c r="B3916" s="5" t="s">
        <v>9374</v>
      </c>
      <c r="C3916" s="5" t="s">
        <v>25</v>
      </c>
      <c r="D3916" s="5" t="s">
        <v>26</v>
      </c>
      <c r="E3916" s="5" t="s">
        <v>420</v>
      </c>
      <c r="F3916" s="9">
        <v>38</v>
      </c>
      <c r="G3916" s="9">
        <v>391</v>
      </c>
      <c r="H3916" s="5" t="s">
        <v>21</v>
      </c>
      <c r="I3916" s="5" t="s">
        <v>9375</v>
      </c>
      <c r="J3916" s="12" t="str">
        <f>HYPERLINK("https://www.boe.es/gazeta/dias/1800/05/13/pdfs/GMD-1800-38.pdf#page=11","Abrir facsímil")</f>
        <v>Abrir facsímil</v>
      </c>
      <c r="K3916" s="15" t="s">
        <v>23</v>
      </c>
    </row>
    <row r="3917" spans="1:11" ht="42" customHeight="1">
      <c r="A3917" s="4" t="s">
        <v>9376</v>
      </c>
      <c r="B3917" s="5" t="s">
        <v>9376</v>
      </c>
      <c r="C3917" s="5" t="s">
        <v>18</v>
      </c>
      <c r="D3917" s="5" t="s">
        <v>19</v>
      </c>
      <c r="E3917" s="5" t="s">
        <v>673</v>
      </c>
      <c r="F3917" s="9">
        <v>89</v>
      </c>
      <c r="G3917" s="9">
        <v>1038</v>
      </c>
      <c r="H3917" s="5" t="s">
        <v>21</v>
      </c>
      <c r="I3917" s="5" t="s">
        <v>9377</v>
      </c>
      <c r="J3917" s="12" t="str">
        <f>HYPERLINK("https://www.boe.es/gazeta/dias/1800/11/04/pdfs/GMD-1800-89.pdf#page=4","Abrir facsímil")</f>
        <v>Abrir facsímil</v>
      </c>
      <c r="K3917" s="15" t="s">
        <v>23</v>
      </c>
    </row>
    <row r="3918" spans="1:11" ht="42" customHeight="1">
      <c r="A3918" s="4" t="s">
        <v>9378</v>
      </c>
      <c r="B3918" s="5" t="s">
        <v>9378</v>
      </c>
      <c r="C3918" s="5" t="s">
        <v>18</v>
      </c>
      <c r="D3918" s="5" t="s">
        <v>19</v>
      </c>
      <c r="E3918" s="5" t="s">
        <v>836</v>
      </c>
      <c r="F3918" s="9">
        <v>71</v>
      </c>
      <c r="G3918" s="9">
        <v>789</v>
      </c>
      <c r="H3918" s="5" t="s">
        <v>21</v>
      </c>
      <c r="I3918" s="5" t="s">
        <v>9379</v>
      </c>
      <c r="J3918" s="12" t="str">
        <f>HYPERLINK("https://www.boe.es/gazeta/dias/1800/09/02/pdfs/GMD-1800-71.pdf#page=7","Abrir facsímil")</f>
        <v>Abrir facsímil</v>
      </c>
      <c r="K3918" s="15" t="s">
        <v>23</v>
      </c>
    </row>
    <row r="3919" spans="1:11" ht="42" customHeight="1">
      <c r="A3919" s="4" t="s">
        <v>9380</v>
      </c>
      <c r="B3919" s="5" t="s">
        <v>9380</v>
      </c>
      <c r="C3919" s="5" t="s">
        <v>18</v>
      </c>
      <c r="D3919" s="5" t="s">
        <v>19</v>
      </c>
      <c r="E3919" s="5" t="s">
        <v>314</v>
      </c>
      <c r="F3919" s="9">
        <v>74</v>
      </c>
      <c r="G3919" s="9">
        <v>831</v>
      </c>
      <c r="H3919" s="5" t="s">
        <v>21</v>
      </c>
      <c r="I3919" s="5" t="s">
        <v>9381</v>
      </c>
      <c r="J3919" s="12" t="str">
        <f>HYPERLINK("https://www.boe.es/gazeta/dias/1800/09/12/pdfs/GMD-1800-74.pdf#page=9","Abrir facsímil")</f>
        <v>Abrir facsímil</v>
      </c>
      <c r="K3919" s="15" t="s">
        <v>23</v>
      </c>
    </row>
    <row r="3920" spans="1:11" ht="42" customHeight="1">
      <c r="A3920" s="4" t="s">
        <v>9382</v>
      </c>
      <c r="B3920" s="5" t="s">
        <v>9382</v>
      </c>
      <c r="C3920" s="5" t="s">
        <v>18</v>
      </c>
      <c r="D3920" s="5" t="s">
        <v>19</v>
      </c>
      <c r="E3920" s="5" t="s">
        <v>143</v>
      </c>
      <c r="F3920" s="9">
        <v>22</v>
      </c>
      <c r="G3920" s="9">
        <v>221</v>
      </c>
      <c r="H3920" s="5" t="s">
        <v>21</v>
      </c>
      <c r="I3920" s="5" t="s">
        <v>9383</v>
      </c>
      <c r="J3920" s="12" t="str">
        <f>HYPERLINK("https://www.boe.es/gazeta/dias/1800/03/18/pdfs/GMD-1800-22.pdf#page=13","Abrir facsímil")</f>
        <v>Abrir facsímil</v>
      </c>
      <c r="K3920" s="15" t="s">
        <v>23</v>
      </c>
    </row>
    <row r="3921" spans="1:11" ht="42" customHeight="1">
      <c r="A3921" s="4" t="s">
        <v>9384</v>
      </c>
      <c r="B3921" s="5" t="s">
        <v>9384</v>
      </c>
      <c r="C3921" s="5" t="s">
        <v>114</v>
      </c>
      <c r="D3921" s="5" t="s">
        <v>115</v>
      </c>
      <c r="E3921" s="5" t="s">
        <v>116</v>
      </c>
      <c r="F3921" s="9">
        <v>86</v>
      </c>
      <c r="G3921" s="9" t="s">
        <v>991</v>
      </c>
      <c r="H3921" s="5" t="s">
        <v>21</v>
      </c>
      <c r="I3921" s="5" t="s">
        <v>9385</v>
      </c>
      <c r="J3921" s="12" t="str">
        <f>HYPERLINK("https://www.boe.es/gazeta/dias/1800/10/24/pdfs/GMD-D-1800-86.pdf#page=4","Abrir facsímil")</f>
        <v>Abrir facsímil</v>
      </c>
      <c r="K3921" s="15" t="s">
        <v>23</v>
      </c>
    </row>
    <row r="3922" spans="1:11" ht="42" customHeight="1">
      <c r="A3922" s="4" t="s">
        <v>9386</v>
      </c>
      <c r="B3922" s="5" t="s">
        <v>9387</v>
      </c>
      <c r="C3922" s="5" t="s">
        <v>18</v>
      </c>
      <c r="D3922" s="5" t="s">
        <v>19</v>
      </c>
      <c r="E3922" s="5" t="s">
        <v>139</v>
      </c>
      <c r="F3922" s="9">
        <v>2</v>
      </c>
      <c r="G3922" s="9">
        <v>12</v>
      </c>
      <c r="H3922" s="5" t="s">
        <v>21</v>
      </c>
      <c r="I3922" s="5" t="s">
        <v>9388</v>
      </c>
      <c r="J3922" s="12" t="str">
        <f>HYPERLINK("https://www.boe.es/gazeta/dias/1800/01/07/pdfs/GMD-1800-2.pdf#page=4","Abrir facsímil")</f>
        <v>Abrir facsímil</v>
      </c>
      <c r="K3922" s="15" t="s">
        <v>23</v>
      </c>
    </row>
    <row r="3923" spans="1:11" ht="42" customHeight="1">
      <c r="A3923" s="4" t="s">
        <v>9389</v>
      </c>
      <c r="B3923" s="5" t="s">
        <v>9389</v>
      </c>
      <c r="C3923" s="5" t="s">
        <v>18</v>
      </c>
      <c r="D3923" s="5" t="s">
        <v>19</v>
      </c>
      <c r="E3923" s="5" t="s">
        <v>105</v>
      </c>
      <c r="F3923" s="9">
        <v>28</v>
      </c>
      <c r="G3923" s="9">
        <v>290</v>
      </c>
      <c r="H3923" s="5" t="s">
        <v>21</v>
      </c>
      <c r="I3923" s="5" t="s">
        <v>9390</v>
      </c>
      <c r="J3923" s="12" t="str">
        <f>HYPERLINK("https://www.boe.es/gazeta/dias/1800/04/08/pdfs/GMD-1800-28.pdf#page=6","Abrir facsímil")</f>
        <v>Abrir facsímil</v>
      </c>
      <c r="K3923" s="15" t="s">
        <v>23</v>
      </c>
    </row>
    <row r="3924" spans="1:11" ht="42" customHeight="1">
      <c r="A3924" s="4" t="s">
        <v>9391</v>
      </c>
      <c r="B3924" s="5" t="s">
        <v>9391</v>
      </c>
      <c r="C3924" s="5" t="s">
        <v>18</v>
      </c>
      <c r="D3924" s="5" t="s">
        <v>19</v>
      </c>
      <c r="E3924" s="5" t="s">
        <v>184</v>
      </c>
      <c r="F3924" s="9">
        <v>82</v>
      </c>
      <c r="G3924" s="9">
        <v>950</v>
      </c>
      <c r="H3924" s="5" t="s">
        <v>21</v>
      </c>
      <c r="I3924" s="5" t="s">
        <v>9392</v>
      </c>
      <c r="J3924" s="12" t="str">
        <f>HYPERLINK("https://www.boe.es/gazeta/dias/1800/10/10/pdfs/GMD-1800-82.pdf#page=8","Abrir facsímil")</f>
        <v>Abrir facsímil</v>
      </c>
      <c r="K3924" s="15" t="s">
        <v>23</v>
      </c>
    </row>
    <row r="3925" spans="1:11" ht="42" customHeight="1">
      <c r="A3925" s="4" t="s">
        <v>9393</v>
      </c>
      <c r="B3925" s="5" t="s">
        <v>9393</v>
      </c>
      <c r="C3925" s="5" t="s">
        <v>18</v>
      </c>
      <c r="D3925" s="5" t="s">
        <v>19</v>
      </c>
      <c r="E3925" s="5" t="s">
        <v>86</v>
      </c>
      <c r="F3925" s="9">
        <v>17</v>
      </c>
      <c r="G3925" s="9">
        <v>162</v>
      </c>
      <c r="H3925" s="5" t="s">
        <v>21</v>
      </c>
      <c r="I3925" s="5" t="s">
        <v>9394</v>
      </c>
      <c r="J3925" s="12" t="str">
        <f>HYPERLINK("https://www.boe.es/gazeta/dias/1800/02/28/pdfs/GMD-1800-17.pdf#page=10","Abrir facsímil")</f>
        <v>Abrir facsímil</v>
      </c>
      <c r="K3925" s="15" t="s">
        <v>23</v>
      </c>
    </row>
    <row r="3926" spans="1:11" ht="42" customHeight="1">
      <c r="A3926" s="4" t="s">
        <v>9395</v>
      </c>
      <c r="B3926" s="5" t="s">
        <v>9395</v>
      </c>
      <c r="C3926" s="5" t="s">
        <v>114</v>
      </c>
      <c r="D3926" s="5" t="s">
        <v>115</v>
      </c>
      <c r="E3926" s="5" t="s">
        <v>116</v>
      </c>
      <c r="F3926" s="9">
        <v>86</v>
      </c>
      <c r="G3926" s="9" t="s">
        <v>991</v>
      </c>
      <c r="H3926" s="5" t="s">
        <v>21</v>
      </c>
      <c r="I3926" s="5" t="s">
        <v>9396</v>
      </c>
      <c r="J3926" s="12" t="str">
        <f>HYPERLINK("https://www.boe.es/gazeta/dias/1800/10/24/pdfs/GMD-D-1800-86.pdf#page=4","Abrir facsímil")</f>
        <v>Abrir facsímil</v>
      </c>
      <c r="K3926" s="15" t="s">
        <v>23</v>
      </c>
    </row>
    <row r="3927" spans="1:11" ht="42" customHeight="1">
      <c r="A3927" s="4" t="s">
        <v>9397</v>
      </c>
      <c r="B3927" s="5" t="s">
        <v>9397</v>
      </c>
      <c r="C3927" s="5" t="s">
        <v>114</v>
      </c>
      <c r="D3927" s="5" t="s">
        <v>115</v>
      </c>
      <c r="E3927" s="5" t="s">
        <v>116</v>
      </c>
      <c r="F3927" s="9">
        <v>86</v>
      </c>
      <c r="G3927" s="9" t="s">
        <v>1501</v>
      </c>
      <c r="H3927" s="5" t="s">
        <v>21</v>
      </c>
      <c r="I3927" s="5" t="s">
        <v>9398</v>
      </c>
      <c r="J3927" s="12" t="str">
        <f>HYPERLINK("https://www.boe.es/gazeta/dias/1800/10/24/pdfs/GMD-D-1800-86.pdf#page=2","Abrir facsímil")</f>
        <v>Abrir facsímil</v>
      </c>
      <c r="K3927" s="15" t="s">
        <v>23</v>
      </c>
    </row>
    <row r="3928" spans="1:11" ht="42" customHeight="1">
      <c r="A3928" s="4" t="s">
        <v>9399</v>
      </c>
      <c r="B3928" s="5" t="s">
        <v>9399</v>
      </c>
      <c r="C3928" s="5" t="s">
        <v>114</v>
      </c>
      <c r="D3928" s="5" t="s">
        <v>115</v>
      </c>
      <c r="E3928" s="5" t="s">
        <v>116</v>
      </c>
      <c r="F3928" s="9">
        <v>86</v>
      </c>
      <c r="G3928" s="9" t="s">
        <v>1501</v>
      </c>
      <c r="H3928" s="5" t="s">
        <v>21</v>
      </c>
      <c r="I3928" s="5" t="s">
        <v>9400</v>
      </c>
      <c r="J3928" s="12" t="str">
        <f>HYPERLINK("https://www.boe.es/gazeta/dias/1800/10/24/pdfs/GMD-D-1800-86.pdf#page=2","Abrir facsímil")</f>
        <v>Abrir facsímil</v>
      </c>
      <c r="K3928" s="15" t="s">
        <v>23</v>
      </c>
    </row>
    <row r="3929" spans="1:11" ht="42" customHeight="1">
      <c r="A3929" s="4" t="s">
        <v>9401</v>
      </c>
      <c r="B3929" s="5" t="s">
        <v>9401</v>
      </c>
      <c r="C3929" s="5" t="s">
        <v>114</v>
      </c>
      <c r="D3929" s="5" t="s">
        <v>115</v>
      </c>
      <c r="E3929" s="5" t="s">
        <v>116</v>
      </c>
      <c r="F3929" s="9">
        <v>86</v>
      </c>
      <c r="G3929" s="9" t="s">
        <v>117</v>
      </c>
      <c r="H3929" s="5" t="s">
        <v>21</v>
      </c>
      <c r="I3929" s="5" t="s">
        <v>9402</v>
      </c>
      <c r="J3929" s="12" t="str">
        <f>HYPERLINK("https://www.boe.es/gazeta/dias/1800/10/24/pdfs/GMD-D-1800-86.pdf#page=3","Abrir facsímil")</f>
        <v>Abrir facsímil</v>
      </c>
      <c r="K3929" s="15" t="s">
        <v>23</v>
      </c>
    </row>
    <row r="3930" spans="1:11" ht="42" customHeight="1">
      <c r="A3930" s="4" t="s">
        <v>9403</v>
      </c>
      <c r="B3930" s="5" t="s">
        <v>9403</v>
      </c>
      <c r="C3930" s="5" t="s">
        <v>114</v>
      </c>
      <c r="D3930" s="5" t="s">
        <v>115</v>
      </c>
      <c r="E3930" s="5" t="s">
        <v>116</v>
      </c>
      <c r="F3930" s="9">
        <v>86</v>
      </c>
      <c r="G3930" s="9" t="s">
        <v>1501</v>
      </c>
      <c r="H3930" s="5" t="s">
        <v>21</v>
      </c>
      <c r="I3930" s="5" t="s">
        <v>9404</v>
      </c>
      <c r="J3930" s="12" t="str">
        <f>HYPERLINK("https://www.boe.es/gazeta/dias/1800/10/24/pdfs/GMD-D-1800-86.pdf#page=2","Abrir facsímil")</f>
        <v>Abrir facsímil</v>
      </c>
      <c r="K3930" s="15" t="s">
        <v>23</v>
      </c>
    </row>
    <row r="3931" spans="1:11" ht="42" customHeight="1">
      <c r="A3931" s="4" t="s">
        <v>9405</v>
      </c>
      <c r="B3931" s="5" t="s">
        <v>9405</v>
      </c>
      <c r="C3931" s="5" t="s">
        <v>114</v>
      </c>
      <c r="D3931" s="5" t="s">
        <v>115</v>
      </c>
      <c r="E3931" s="5" t="s">
        <v>116</v>
      </c>
      <c r="F3931" s="9">
        <v>86</v>
      </c>
      <c r="G3931" s="9" t="s">
        <v>1501</v>
      </c>
      <c r="H3931" s="5" t="s">
        <v>21</v>
      </c>
      <c r="I3931" s="5" t="s">
        <v>9406</v>
      </c>
      <c r="J3931" s="12" t="str">
        <f>HYPERLINK("https://www.boe.es/gazeta/dias/1800/10/24/pdfs/GMD-D-1800-86.pdf#page=2","Abrir facsímil")</f>
        <v>Abrir facsímil</v>
      </c>
      <c r="K3931" s="15" t="s">
        <v>23</v>
      </c>
    </row>
    <row r="3932" spans="1:11" ht="42" customHeight="1">
      <c r="A3932" s="4" t="s">
        <v>9407</v>
      </c>
      <c r="B3932" s="5" t="s">
        <v>9407</v>
      </c>
      <c r="C3932" s="5" t="s">
        <v>114</v>
      </c>
      <c r="D3932" s="5" t="s">
        <v>115</v>
      </c>
      <c r="E3932" s="5" t="s">
        <v>116</v>
      </c>
      <c r="F3932" s="9">
        <v>86</v>
      </c>
      <c r="G3932" s="9" t="s">
        <v>725</v>
      </c>
      <c r="H3932" s="5" t="s">
        <v>21</v>
      </c>
      <c r="I3932" s="5" t="s">
        <v>9408</v>
      </c>
      <c r="J3932" s="12" t="str">
        <f>HYPERLINK("https://www.boe.es/gazeta/dias/1800/10/24/pdfs/GMD-D-1800-86.pdf#page=1","Abrir facsímil")</f>
        <v>Abrir facsímil</v>
      </c>
      <c r="K3932" s="15" t="s">
        <v>23</v>
      </c>
    </row>
    <row r="3933" spans="1:11" ht="42" customHeight="1">
      <c r="A3933" s="4" t="s">
        <v>9409</v>
      </c>
      <c r="B3933" s="5" t="s">
        <v>9409</v>
      </c>
      <c r="C3933" s="5" t="s">
        <v>54</v>
      </c>
      <c r="D3933" s="5" t="s">
        <v>55</v>
      </c>
      <c r="E3933" s="5" t="s">
        <v>590</v>
      </c>
      <c r="F3933" s="9">
        <v>69</v>
      </c>
      <c r="G3933" s="9">
        <v>775</v>
      </c>
      <c r="H3933" s="5" t="s">
        <v>21</v>
      </c>
      <c r="I3933" s="5" t="s">
        <v>9410</v>
      </c>
      <c r="J3933" s="12" t="str">
        <f>HYPERLINK("https://www.boe.es/gazeta/dias/1800/08/29/pdfs/GMD-1800-69.pdf#page=7","Abrir facsímil")</f>
        <v>Abrir facsímil</v>
      </c>
      <c r="K3933" s="15" t="s">
        <v>23</v>
      </c>
    </row>
    <row r="3934" spans="1:11" ht="42" customHeight="1">
      <c r="A3934" s="4" t="s">
        <v>9411</v>
      </c>
      <c r="B3934" s="5" t="s">
        <v>9411</v>
      </c>
      <c r="C3934" s="5" t="s">
        <v>25</v>
      </c>
      <c r="D3934" s="5" t="s">
        <v>26</v>
      </c>
      <c r="E3934" s="5" t="s">
        <v>319</v>
      </c>
      <c r="F3934" s="9">
        <v>62</v>
      </c>
      <c r="G3934" s="9">
        <v>708</v>
      </c>
      <c r="H3934" s="5" t="s">
        <v>21</v>
      </c>
      <c r="I3934" s="5" t="s">
        <v>9412</v>
      </c>
      <c r="J3934" s="12" t="str">
        <f>HYPERLINK("https://www.boe.es/gazeta/dias/1800/08/05/pdfs/GMD-1800-62.pdf#page=8","Abrir facsímil")</f>
        <v>Abrir facsímil</v>
      </c>
      <c r="K3934" s="15" t="s">
        <v>23</v>
      </c>
    </row>
    <row r="3935" spans="1:11" ht="42" customHeight="1">
      <c r="A3935" s="4" t="s">
        <v>9413</v>
      </c>
      <c r="B3935" s="5" t="s">
        <v>9414</v>
      </c>
      <c r="C3935" s="5" t="s">
        <v>18</v>
      </c>
      <c r="D3935" s="5" t="s">
        <v>19</v>
      </c>
      <c r="E3935" s="5" t="s">
        <v>20</v>
      </c>
      <c r="F3935" s="9">
        <v>104</v>
      </c>
      <c r="G3935" s="9">
        <v>1210</v>
      </c>
      <c r="H3935" s="5" t="s">
        <v>21</v>
      </c>
      <c r="I3935" s="5" t="s">
        <v>9415</v>
      </c>
      <c r="J3935" s="12" t="str">
        <f>HYPERLINK("https://www.boe.es/gazeta/dias/1800/12/26/pdfs/GMD-1800-104.pdf#page=10","Abrir facsímil")</f>
        <v>Abrir facsímil</v>
      </c>
      <c r="K3935" s="15" t="s">
        <v>23</v>
      </c>
    </row>
    <row r="3936" spans="1:11" ht="42" customHeight="1">
      <c r="A3936" s="4" t="s">
        <v>9416</v>
      </c>
      <c r="B3936" s="5" t="s">
        <v>9417</v>
      </c>
      <c r="C3936" s="5" t="s">
        <v>18</v>
      </c>
      <c r="D3936" s="5" t="s">
        <v>19</v>
      </c>
      <c r="E3936" s="5" t="s">
        <v>620</v>
      </c>
      <c r="F3936" s="9">
        <v>19</v>
      </c>
      <c r="G3936" s="9">
        <v>182</v>
      </c>
      <c r="H3936" s="5" t="s">
        <v>21</v>
      </c>
      <c r="I3936" s="5" t="s">
        <v>9418</v>
      </c>
      <c r="J3936" s="12" t="str">
        <f>HYPERLINK("https://www.boe.es/gazeta/dias/1800/03/07/pdfs/GMD-1800-19.pdf#page=6","Abrir facsímil")</f>
        <v>Abrir facsímil</v>
      </c>
      <c r="K3936" s="15" t="s">
        <v>23</v>
      </c>
    </row>
    <row r="3937" spans="1:11" ht="42" customHeight="1">
      <c r="A3937" s="4" t="s">
        <v>9419</v>
      </c>
      <c r="B3937" s="5" t="s">
        <v>9420</v>
      </c>
      <c r="C3937" s="5" t="s">
        <v>41</v>
      </c>
      <c r="D3937" s="5" t="s">
        <v>42</v>
      </c>
      <c r="E3937" s="5" t="s">
        <v>52</v>
      </c>
      <c r="F3937" s="9">
        <v>83</v>
      </c>
      <c r="G3937" s="9">
        <v>959</v>
      </c>
      <c r="H3937" s="5" t="s">
        <v>21</v>
      </c>
      <c r="I3937" s="5" t="s">
        <v>9421</v>
      </c>
      <c r="J3937" s="12" t="str">
        <f>HYPERLINK("https://www.boe.es/gazeta/dias/1800/10/14/pdfs/GMD-1800-83.pdf#page=5","Abrir facsímil")</f>
        <v>Abrir facsímil</v>
      </c>
      <c r="K3937" s="15" t="s">
        <v>23</v>
      </c>
    </row>
    <row r="3938" spans="1:11" ht="42" customHeight="1">
      <c r="A3938" s="4" t="s">
        <v>9422</v>
      </c>
      <c r="B3938" s="5" t="s">
        <v>9422</v>
      </c>
      <c r="C3938" s="5" t="s">
        <v>41</v>
      </c>
      <c r="D3938" s="5" t="s">
        <v>42</v>
      </c>
      <c r="E3938" s="5" t="s">
        <v>534</v>
      </c>
      <c r="F3938" s="9">
        <v>100</v>
      </c>
      <c r="G3938" s="9">
        <v>1153</v>
      </c>
      <c r="H3938" s="5" t="s">
        <v>21</v>
      </c>
      <c r="I3938" s="5" t="s">
        <v>9423</v>
      </c>
      <c r="J3938" s="12" t="str">
        <f>HYPERLINK("https://www.boe.es/gazeta/dias/1800/12/12/pdfs/GMD-1800-100.pdf#page=5","Abrir facsímil")</f>
        <v>Abrir facsímil</v>
      </c>
      <c r="K3938" s="15" t="s">
        <v>23</v>
      </c>
    </row>
    <row r="3939" spans="1:11" ht="42" customHeight="1">
      <c r="A3939" s="4" t="s">
        <v>9424</v>
      </c>
      <c r="B3939" s="5" t="s">
        <v>9425</v>
      </c>
      <c r="C3939" s="5" t="s">
        <v>41</v>
      </c>
      <c r="D3939" s="5" t="s">
        <v>42</v>
      </c>
      <c r="E3939" s="5" t="s">
        <v>120</v>
      </c>
      <c r="F3939" s="9">
        <v>52</v>
      </c>
      <c r="G3939" s="9">
        <v>567</v>
      </c>
      <c r="H3939" s="5" t="s">
        <v>21</v>
      </c>
      <c r="I3939" s="5" t="s">
        <v>9426</v>
      </c>
      <c r="J3939" s="12" t="str">
        <f>HYPERLINK("https://www.boe.es/gazeta/dias/1800/07/01/pdfs/GMD-1800-52.pdf#page=3","Abrir facsímil")</f>
        <v>Abrir facsímil</v>
      </c>
      <c r="K3939" s="15" t="s">
        <v>23</v>
      </c>
    </row>
    <row r="3940" spans="1:11" ht="42" customHeight="1">
      <c r="A3940" s="4" t="s">
        <v>9427</v>
      </c>
      <c r="B3940" s="5" t="s">
        <v>9427</v>
      </c>
      <c r="C3940" s="5" t="s">
        <v>41</v>
      </c>
      <c r="D3940" s="5" t="s">
        <v>42</v>
      </c>
      <c r="E3940" s="5" t="s">
        <v>48</v>
      </c>
      <c r="F3940" s="9">
        <v>66</v>
      </c>
      <c r="G3940" s="9">
        <v>741</v>
      </c>
      <c r="H3940" s="5" t="s">
        <v>21</v>
      </c>
      <c r="I3940" s="5" t="s">
        <v>9428</v>
      </c>
      <c r="J3940" s="12" t="str">
        <f>HYPERLINK("https://www.boe.es/gazeta/dias/1800/08/19/pdfs/GMD-1800-66.pdf#page=5","Abrir facsímil")</f>
        <v>Abrir facsímil</v>
      </c>
      <c r="K3940" s="15" t="s">
        <v>23</v>
      </c>
    </row>
    <row r="3941" spans="1:11" ht="42" customHeight="1">
      <c r="A3941" s="4" t="s">
        <v>9429</v>
      </c>
      <c r="B3941" s="5" t="s">
        <v>9429</v>
      </c>
      <c r="C3941" s="5" t="s">
        <v>18</v>
      </c>
      <c r="D3941" s="5" t="s">
        <v>19</v>
      </c>
      <c r="E3941" s="5" t="s">
        <v>124</v>
      </c>
      <c r="F3941" s="9">
        <v>16</v>
      </c>
      <c r="G3941" s="9">
        <v>148</v>
      </c>
      <c r="H3941" s="5" t="s">
        <v>21</v>
      </c>
      <c r="I3941" s="5" t="s">
        <v>9430</v>
      </c>
      <c r="J3941" s="12" t="str">
        <f>HYPERLINK("https://www.boe.es/gazeta/dias/1800/02/25/pdfs/GMD-1800-16.pdf#page=4","Abrir facsímil")</f>
        <v>Abrir facsímil</v>
      </c>
      <c r="K3941" s="15" t="s">
        <v>23</v>
      </c>
    </row>
    <row r="3942" spans="1:11" ht="42" customHeight="1">
      <c r="A3942" s="4" t="s">
        <v>9429</v>
      </c>
      <c r="B3942" s="5" t="s">
        <v>9429</v>
      </c>
      <c r="C3942" s="5" t="s">
        <v>41</v>
      </c>
      <c r="D3942" s="5" t="s">
        <v>42</v>
      </c>
      <c r="E3942" s="5" t="s">
        <v>88</v>
      </c>
      <c r="F3942" s="9">
        <v>23</v>
      </c>
      <c r="G3942" s="9">
        <v>231</v>
      </c>
      <c r="H3942" s="5" t="s">
        <v>21</v>
      </c>
      <c r="I3942" s="5" t="s">
        <v>9431</v>
      </c>
      <c r="J3942" s="12" t="str">
        <f>HYPERLINK("https://www.boe.es/gazeta/dias/1800/03/21/pdfs/GMD-1800-23.pdf#page=7","Abrir facsímil")</f>
        <v>Abrir facsímil</v>
      </c>
      <c r="K3942" s="15" t="s">
        <v>23</v>
      </c>
    </row>
    <row r="3943" spans="1:11" ht="42" customHeight="1">
      <c r="A3943" s="4" t="s">
        <v>9432</v>
      </c>
      <c r="B3943" s="5" t="s">
        <v>9432</v>
      </c>
      <c r="C3943" s="5" t="s">
        <v>18</v>
      </c>
      <c r="D3943" s="5" t="s">
        <v>19</v>
      </c>
      <c r="E3943" s="5" t="s">
        <v>461</v>
      </c>
      <c r="F3943" s="9">
        <v>18</v>
      </c>
      <c r="G3943" s="9">
        <v>170</v>
      </c>
      <c r="H3943" s="5" t="s">
        <v>21</v>
      </c>
      <c r="I3943" s="5" t="s">
        <v>9433</v>
      </c>
      <c r="J3943" s="12" t="str">
        <f>HYPERLINK("https://www.boe.es/datos/pdfs/BOE//1800/018/C00173-00176.pdf#page=6","Abrir facsímil")</f>
        <v>Abrir facsímil</v>
      </c>
      <c r="K3943" s="15" t="s">
        <v>23</v>
      </c>
    </row>
    <row r="3944" spans="1:11" ht="42" customHeight="1">
      <c r="A3944" s="4" t="s">
        <v>9434</v>
      </c>
      <c r="B3944" s="5" t="s">
        <v>9434</v>
      </c>
      <c r="C3944" s="5" t="s">
        <v>54</v>
      </c>
      <c r="D3944" s="5" t="s">
        <v>55</v>
      </c>
      <c r="E3944" s="5" t="s">
        <v>346</v>
      </c>
      <c r="F3944" s="9">
        <v>24</v>
      </c>
      <c r="G3944" s="9">
        <v>240</v>
      </c>
      <c r="H3944" s="5" t="s">
        <v>21</v>
      </c>
      <c r="I3944" s="5" t="s">
        <v>9435</v>
      </c>
      <c r="J3944" s="12" t="str">
        <f>HYPERLINK("https://www.boe.es/gazeta/dias/1800/03/25/pdfs/GMD-1800-24.pdf#page=4","Abrir facsímil")</f>
        <v>Abrir facsímil</v>
      </c>
      <c r="K3944" s="15" t="s">
        <v>23</v>
      </c>
    </row>
    <row r="3945" spans="1:11" ht="42" customHeight="1">
      <c r="A3945" s="4" t="s">
        <v>9436</v>
      </c>
      <c r="B3945" s="5" t="s">
        <v>9437</v>
      </c>
      <c r="C3945" s="5" t="s">
        <v>18</v>
      </c>
      <c r="D3945" s="5" t="s">
        <v>19</v>
      </c>
      <c r="E3945" s="5" t="s">
        <v>56</v>
      </c>
      <c r="F3945" s="9">
        <v>90</v>
      </c>
      <c r="G3945" s="9">
        <v>1055</v>
      </c>
      <c r="H3945" s="5" t="s">
        <v>21</v>
      </c>
      <c r="I3945" s="5" t="s">
        <v>9438</v>
      </c>
      <c r="J3945" s="12" t="str">
        <f>HYPERLINK("https://www.boe.es/gazeta/dias/1800/11/07/pdfs/GMD-1800-90.pdf#page=9","Abrir facsímil")</f>
        <v>Abrir facsímil</v>
      </c>
      <c r="K3945" s="15" t="s">
        <v>23</v>
      </c>
    </row>
    <row r="3946" spans="1:11" ht="42" customHeight="1">
      <c r="A3946" s="4" t="s">
        <v>9439</v>
      </c>
      <c r="B3946" s="5" t="s">
        <v>9439</v>
      </c>
      <c r="C3946" s="5" t="s">
        <v>18</v>
      </c>
      <c r="D3946" s="5" t="s">
        <v>19</v>
      </c>
      <c r="E3946" s="5" t="s">
        <v>576</v>
      </c>
      <c r="F3946" s="9">
        <v>91</v>
      </c>
      <c r="G3946" s="9">
        <v>1069</v>
      </c>
      <c r="H3946" s="5" t="s">
        <v>21</v>
      </c>
      <c r="I3946" s="5" t="s">
        <v>9440</v>
      </c>
      <c r="J3946" s="12" t="str">
        <f>HYPERLINK("https://www.boe.es/gazeta/dias/1800/11/11/pdfs/GMD-1800-91.pdf#page=11","Abrir facsímil")</f>
        <v>Abrir facsímil</v>
      </c>
      <c r="K3946" s="15" t="s">
        <v>23</v>
      </c>
    </row>
    <row r="3947" spans="1:11" ht="42" customHeight="1">
      <c r="A3947" s="4" t="s">
        <v>9441</v>
      </c>
      <c r="B3947" s="5" t="s">
        <v>9441</v>
      </c>
      <c r="C3947" s="5" t="s">
        <v>25</v>
      </c>
      <c r="D3947" s="5" t="s">
        <v>26</v>
      </c>
      <c r="E3947" s="5" t="s">
        <v>618</v>
      </c>
      <c r="F3947" s="9">
        <v>1</v>
      </c>
      <c r="G3947" s="9">
        <v>6</v>
      </c>
      <c r="H3947" s="5" t="s">
        <v>21</v>
      </c>
      <c r="I3947" s="5" t="s">
        <v>9442</v>
      </c>
      <c r="J3947" s="12" t="str">
        <f>HYPERLINK("https://www.boe.es/gazeta/dias/1800/01/03/pdfs/GMD-1800-1.pdf#page=6","Abrir facsímil")</f>
        <v>Abrir facsímil</v>
      </c>
      <c r="K3947" s="15" t="s">
        <v>23</v>
      </c>
    </row>
    <row r="3948" spans="1:11" ht="42" customHeight="1">
      <c r="A3948" s="4" t="s">
        <v>9441</v>
      </c>
      <c r="B3948" s="5" t="s">
        <v>9441</v>
      </c>
      <c r="C3948" s="5" t="s">
        <v>18</v>
      </c>
      <c r="D3948" s="5" t="s">
        <v>19</v>
      </c>
      <c r="E3948" s="5" t="s">
        <v>1213</v>
      </c>
      <c r="F3948" s="9">
        <v>4</v>
      </c>
      <c r="G3948" s="9">
        <v>35</v>
      </c>
      <c r="H3948" s="5" t="s">
        <v>21</v>
      </c>
      <c r="I3948" s="5" t="s">
        <v>9443</v>
      </c>
      <c r="J3948" s="12" t="str">
        <f>HYPERLINK("https://www.boe.es/gazeta/dias/1800/01/14/pdfs/GMD-1800-4.pdf#page=7","Abrir facsímil")</f>
        <v>Abrir facsímil</v>
      </c>
      <c r="K3948" s="15" t="s">
        <v>23</v>
      </c>
    </row>
    <row r="3949" spans="1:11" ht="42" customHeight="1">
      <c r="A3949" s="4" t="s">
        <v>9441</v>
      </c>
      <c r="B3949" s="5" t="s">
        <v>9441</v>
      </c>
      <c r="C3949" s="5" t="s">
        <v>18</v>
      </c>
      <c r="D3949" s="5" t="s">
        <v>19</v>
      </c>
      <c r="E3949" s="5" t="s">
        <v>248</v>
      </c>
      <c r="F3949" s="9">
        <v>33</v>
      </c>
      <c r="G3949" s="9">
        <v>333</v>
      </c>
      <c r="H3949" s="5" t="s">
        <v>21</v>
      </c>
      <c r="I3949" s="5" t="s">
        <v>9444</v>
      </c>
      <c r="J3949" s="12" t="str">
        <f>HYPERLINK("https://www.boe.es/gazeta/dias/1800/04/25/pdfs/GMD-1800-33.pdf#page=9","Abrir facsímil")</f>
        <v>Abrir facsímil</v>
      </c>
      <c r="K3949" s="15" t="s">
        <v>23</v>
      </c>
    </row>
    <row r="3950" spans="1:11" ht="42" customHeight="1">
      <c r="A3950" s="4" t="s">
        <v>9445</v>
      </c>
      <c r="B3950" s="5" t="s">
        <v>9445</v>
      </c>
      <c r="C3950" s="5" t="s">
        <v>18</v>
      </c>
      <c r="D3950" s="5" t="s">
        <v>19</v>
      </c>
      <c r="E3950" s="5" t="s">
        <v>461</v>
      </c>
      <c r="F3950" s="9">
        <v>18</v>
      </c>
      <c r="G3950" s="9">
        <v>171</v>
      </c>
      <c r="H3950" s="5" t="s">
        <v>21</v>
      </c>
      <c r="I3950" s="5" t="s">
        <v>9446</v>
      </c>
      <c r="J3950" s="12" t="str">
        <f>HYPERLINK("https://www.boe.es/datos/pdfs/BOE//1800/018/C00173-00176.pdf#page=7","Abrir facsímil")</f>
        <v>Abrir facsímil</v>
      </c>
      <c r="K3950" s="15" t="s">
        <v>23</v>
      </c>
    </row>
    <row r="3951" spans="1:11" ht="42" customHeight="1">
      <c r="A3951" s="4" t="s">
        <v>9447</v>
      </c>
      <c r="B3951" s="5" t="s">
        <v>9447</v>
      </c>
      <c r="C3951" s="5" t="s">
        <v>25</v>
      </c>
      <c r="D3951" s="5" t="s">
        <v>26</v>
      </c>
      <c r="E3951" s="5" t="s">
        <v>420</v>
      </c>
      <c r="F3951" s="9">
        <v>38</v>
      </c>
      <c r="G3951" s="9">
        <v>391</v>
      </c>
      <c r="H3951" s="5" t="s">
        <v>21</v>
      </c>
      <c r="I3951" s="5" t="s">
        <v>9448</v>
      </c>
      <c r="J3951" s="12" t="str">
        <f>HYPERLINK("https://www.boe.es/gazeta/dias/1800/05/13/pdfs/GMD-1800-38.pdf#page=11","Abrir facsímil")</f>
        <v>Abrir facsímil</v>
      </c>
      <c r="K3951" s="15" t="s">
        <v>23</v>
      </c>
    </row>
    <row r="3952" spans="1:11" ht="42" customHeight="1">
      <c r="A3952" s="4" t="s">
        <v>9449</v>
      </c>
      <c r="B3952" s="5" t="s">
        <v>9449</v>
      </c>
      <c r="C3952" s="5" t="s">
        <v>18</v>
      </c>
      <c r="D3952" s="5" t="s">
        <v>19</v>
      </c>
      <c r="E3952" s="5" t="s">
        <v>162</v>
      </c>
      <c r="F3952" s="9">
        <v>15</v>
      </c>
      <c r="G3952" s="9">
        <v>143</v>
      </c>
      <c r="H3952" s="5" t="s">
        <v>21</v>
      </c>
      <c r="I3952" s="5" t="s">
        <v>9450</v>
      </c>
      <c r="J3952" s="12" t="str">
        <f>HYPERLINK("https://www.boe.es/gazeta/dias/1800/02/21/pdfs/GMD-1800-15.pdf#page=7","Abrir facsímil")</f>
        <v>Abrir facsímil</v>
      </c>
      <c r="K3952" s="15" t="s">
        <v>23</v>
      </c>
    </row>
    <row r="3953" spans="1:11" ht="42" customHeight="1">
      <c r="A3953" s="4" t="s">
        <v>9451</v>
      </c>
      <c r="B3953" s="5" t="s">
        <v>9451</v>
      </c>
      <c r="C3953" s="5" t="s">
        <v>84</v>
      </c>
      <c r="D3953" s="5" t="s">
        <v>85</v>
      </c>
      <c r="E3953" s="5" t="s">
        <v>534</v>
      </c>
      <c r="F3953" s="9">
        <v>100</v>
      </c>
      <c r="G3953" s="9">
        <v>1163</v>
      </c>
      <c r="H3953" s="5" t="s">
        <v>21</v>
      </c>
      <c r="I3953" s="5" t="s">
        <v>9452</v>
      </c>
      <c r="J3953" s="12" t="str">
        <f>HYPERLINK("https://www.boe.es/gazeta/dias/1800/12/12/pdfs/GMD-1800-100.pdf#page=15","Abrir facsímil")</f>
        <v>Abrir facsímil</v>
      </c>
      <c r="K3953" s="15" t="s">
        <v>23</v>
      </c>
    </row>
    <row r="3954" spans="1:11" ht="42" customHeight="1">
      <c r="A3954" s="4" t="s">
        <v>9453</v>
      </c>
      <c r="B3954" s="5" t="s">
        <v>9453</v>
      </c>
      <c r="C3954" s="5" t="s">
        <v>18</v>
      </c>
      <c r="D3954" s="5" t="s">
        <v>19</v>
      </c>
      <c r="E3954" s="5" t="s">
        <v>279</v>
      </c>
      <c r="F3954" s="9">
        <v>103</v>
      </c>
      <c r="G3954" s="9">
        <v>1197</v>
      </c>
      <c r="H3954" s="5" t="s">
        <v>21</v>
      </c>
      <c r="I3954" s="5" t="s">
        <v>9454</v>
      </c>
      <c r="J3954" s="12" t="str">
        <f>HYPERLINK("https://www.boe.es/gazeta/dias/1800/12/23/pdfs/GMD-1800-103.pdf#page=9","Abrir facsímil")</f>
        <v>Abrir facsímil</v>
      </c>
      <c r="K3954" s="15" t="s">
        <v>23</v>
      </c>
    </row>
    <row r="3955" spans="1:11" ht="42" customHeight="1">
      <c r="A3955" s="4" t="s">
        <v>9455</v>
      </c>
      <c r="B3955" s="5" t="s">
        <v>9455</v>
      </c>
      <c r="C3955" s="5" t="s">
        <v>18</v>
      </c>
      <c r="D3955" s="5" t="s">
        <v>19</v>
      </c>
      <c r="E3955" s="5" t="s">
        <v>595</v>
      </c>
      <c r="F3955" s="9">
        <v>72</v>
      </c>
      <c r="G3955" s="9">
        <v>797</v>
      </c>
      <c r="H3955" s="5" t="s">
        <v>21</v>
      </c>
      <c r="I3955" s="5" t="s">
        <v>9456</v>
      </c>
      <c r="J3955" s="12" t="str">
        <f>HYPERLINK("https://www.boe.es/gazeta/dias/1800/09/05/pdfs/GMD-1800-72.pdf#page=7","Abrir facsímil")</f>
        <v>Abrir facsímil</v>
      </c>
      <c r="K3955" s="15" t="s">
        <v>23</v>
      </c>
    </row>
    <row r="3956" spans="1:11" ht="42" customHeight="1">
      <c r="A3956" s="4" t="s">
        <v>9457</v>
      </c>
      <c r="B3956" s="5" t="s">
        <v>9457</v>
      </c>
      <c r="C3956" s="5" t="s">
        <v>18</v>
      </c>
      <c r="D3956" s="5" t="s">
        <v>19</v>
      </c>
      <c r="E3956" s="5" t="s">
        <v>43</v>
      </c>
      <c r="F3956" s="9">
        <v>46</v>
      </c>
      <c r="G3956" s="9">
        <v>492</v>
      </c>
      <c r="H3956" s="5" t="s">
        <v>21</v>
      </c>
      <c r="I3956" s="5" t="s">
        <v>9458</v>
      </c>
      <c r="J3956" s="12" t="str">
        <f>HYPERLINK("https://www.boe.es/gazeta/dias/1800/06/10/pdfs/GMD-1800-46.pdf#page=16","Abrir facsímil")</f>
        <v>Abrir facsímil</v>
      </c>
      <c r="K3956" s="15" t="s">
        <v>23</v>
      </c>
    </row>
    <row r="3957" spans="1:11" ht="42" customHeight="1">
      <c r="A3957" s="4" t="s">
        <v>9457</v>
      </c>
      <c r="B3957" s="5" t="s">
        <v>9457</v>
      </c>
      <c r="C3957" s="5" t="s">
        <v>84</v>
      </c>
      <c r="D3957" s="5" t="s">
        <v>85</v>
      </c>
      <c r="E3957" s="5" t="s">
        <v>576</v>
      </c>
      <c r="F3957" s="9">
        <v>91</v>
      </c>
      <c r="G3957" s="9">
        <v>1070</v>
      </c>
      <c r="H3957" s="5" t="s">
        <v>21</v>
      </c>
      <c r="I3957" s="5" t="s">
        <v>9459</v>
      </c>
      <c r="J3957" s="12" t="str">
        <f>HYPERLINK("https://www.boe.es/gazeta/dias/1800/11/11/pdfs/GMD-1800-91.pdf#page=12","Abrir facsímil")</f>
        <v>Abrir facsímil</v>
      </c>
      <c r="K3957" s="15" t="s">
        <v>23</v>
      </c>
    </row>
    <row r="3958" spans="1:11" ht="42" customHeight="1">
      <c r="A3958" s="4" t="s">
        <v>9460</v>
      </c>
      <c r="B3958" s="5" t="s">
        <v>9461</v>
      </c>
      <c r="C3958" s="5" t="s">
        <v>54</v>
      </c>
      <c r="D3958" s="5" t="s">
        <v>55</v>
      </c>
      <c r="E3958" s="5" t="s">
        <v>143</v>
      </c>
      <c r="F3958" s="9">
        <v>22</v>
      </c>
      <c r="G3958" s="9">
        <v>215</v>
      </c>
      <c r="H3958" s="5" t="s">
        <v>21</v>
      </c>
      <c r="I3958" s="5" t="s">
        <v>9462</v>
      </c>
      <c r="J3958" s="12" t="str">
        <f>HYPERLINK("https://www.boe.es/gazeta/dias/1800/03/18/pdfs/GMD-1800-22.pdf#page=7","Abrir facsímil")</f>
        <v>Abrir facsímil</v>
      </c>
      <c r="K3958" s="15" t="s">
        <v>23</v>
      </c>
    </row>
    <row r="3959" spans="1:11" ht="42" customHeight="1">
      <c r="A3959" s="4" t="s">
        <v>9463</v>
      </c>
      <c r="B3959" s="5" t="s">
        <v>9463</v>
      </c>
      <c r="C3959" s="5" t="s">
        <v>114</v>
      </c>
      <c r="D3959" s="5" t="s">
        <v>115</v>
      </c>
      <c r="E3959" s="5" t="s">
        <v>116</v>
      </c>
      <c r="F3959" s="9">
        <v>86</v>
      </c>
      <c r="G3959" s="9" t="s">
        <v>1501</v>
      </c>
      <c r="H3959" s="5" t="s">
        <v>21</v>
      </c>
      <c r="I3959" s="5" t="s">
        <v>9464</v>
      </c>
      <c r="J3959" s="12" t="str">
        <f>HYPERLINK("https://www.boe.es/gazeta/dias/1800/10/24/pdfs/GMD-D-1800-86.pdf#page=2","Abrir facsímil")</f>
        <v>Abrir facsímil</v>
      </c>
      <c r="K3959" s="15" t="s">
        <v>23</v>
      </c>
    </row>
    <row r="3960" spans="1:11" ht="42" customHeight="1">
      <c r="A3960" s="4" t="s">
        <v>9465</v>
      </c>
      <c r="B3960" s="5" t="s">
        <v>9465</v>
      </c>
      <c r="C3960" s="5" t="s">
        <v>41</v>
      </c>
      <c r="D3960" s="5" t="s">
        <v>42</v>
      </c>
      <c r="E3960" s="5" t="s">
        <v>620</v>
      </c>
      <c r="F3960" s="9">
        <v>19</v>
      </c>
      <c r="G3960" s="9">
        <v>180</v>
      </c>
      <c r="H3960" s="5" t="s">
        <v>21</v>
      </c>
      <c r="I3960" s="5" t="s">
        <v>9466</v>
      </c>
      <c r="J3960" s="12" t="str">
        <f>HYPERLINK("https://www.boe.es/gazeta/dias/1800/03/07/pdfs/GMD-1800-19.pdf#page=4","Abrir facsímil")</f>
        <v>Abrir facsímil</v>
      </c>
      <c r="K3960" s="15" t="s">
        <v>23</v>
      </c>
    </row>
    <row r="3961" spans="1:11" ht="42" customHeight="1">
      <c r="A3961" s="4" t="s">
        <v>9465</v>
      </c>
      <c r="B3961" s="5" t="s">
        <v>9465</v>
      </c>
      <c r="C3961" s="5" t="s">
        <v>41</v>
      </c>
      <c r="D3961" s="5" t="s">
        <v>42</v>
      </c>
      <c r="E3961" s="5" t="s">
        <v>43</v>
      </c>
      <c r="F3961" s="9">
        <v>46</v>
      </c>
      <c r="G3961" s="9">
        <v>481</v>
      </c>
      <c r="H3961" s="5" t="s">
        <v>21</v>
      </c>
      <c r="I3961" s="5" t="s">
        <v>9467</v>
      </c>
      <c r="J3961" s="12" t="str">
        <f>HYPERLINK("https://www.boe.es/gazeta/dias/1800/06/10/pdfs/GMD-1800-46.pdf#page=5","Abrir facsímil")</f>
        <v>Abrir facsímil</v>
      </c>
      <c r="K3961" s="15" t="s">
        <v>23</v>
      </c>
    </row>
    <row r="3962" spans="1:11" ht="42" customHeight="1">
      <c r="A3962" s="4" t="s">
        <v>9465</v>
      </c>
      <c r="B3962" s="5" t="s">
        <v>9465</v>
      </c>
      <c r="C3962" s="5" t="s">
        <v>41</v>
      </c>
      <c r="D3962" s="5" t="s">
        <v>42</v>
      </c>
      <c r="E3962" s="5" t="s">
        <v>275</v>
      </c>
      <c r="F3962" s="9">
        <v>60</v>
      </c>
      <c r="G3962" s="9">
        <v>683</v>
      </c>
      <c r="H3962" s="5" t="s">
        <v>21</v>
      </c>
      <c r="I3962" s="5" t="s">
        <v>9468</v>
      </c>
      <c r="J3962" s="12" t="str">
        <f>HYPERLINK("https://www.boe.es/gazeta/dias/1800/07/29/pdfs/GMD-1800-60.pdf#page=3","Abrir facsímil")</f>
        <v>Abrir facsímil</v>
      </c>
      <c r="K3962" s="15" t="s">
        <v>23</v>
      </c>
    </row>
    <row r="3963" spans="1:11" ht="42" customHeight="1">
      <c r="A3963" s="4" t="s">
        <v>9465</v>
      </c>
      <c r="B3963" s="5" t="s">
        <v>9465</v>
      </c>
      <c r="C3963" s="5" t="s">
        <v>41</v>
      </c>
      <c r="D3963" s="5" t="s">
        <v>42</v>
      </c>
      <c r="E3963" s="5" t="s">
        <v>454</v>
      </c>
      <c r="F3963" s="9">
        <v>63</v>
      </c>
      <c r="G3963" s="9">
        <v>715</v>
      </c>
      <c r="H3963" s="5" t="s">
        <v>21</v>
      </c>
      <c r="I3963" s="5" t="s">
        <v>9469</v>
      </c>
      <c r="J3963" s="12" t="str">
        <f>HYPERLINK("https://www.boe.es/gazeta/dias/1800/08/08/pdfs/GMD-1800-63.pdf#page=3","Abrir facsímil")</f>
        <v>Abrir facsímil</v>
      </c>
      <c r="K3963" s="15" t="s">
        <v>23</v>
      </c>
    </row>
    <row r="3964" spans="1:11" ht="42" customHeight="1">
      <c r="A3964" s="4" t="s">
        <v>9465</v>
      </c>
      <c r="B3964" s="5" t="s">
        <v>9465</v>
      </c>
      <c r="C3964" s="5" t="s">
        <v>41</v>
      </c>
      <c r="D3964" s="5" t="s">
        <v>42</v>
      </c>
      <c r="E3964" s="5" t="s">
        <v>454</v>
      </c>
      <c r="F3964" s="9">
        <v>63</v>
      </c>
      <c r="G3964" s="9">
        <v>716</v>
      </c>
      <c r="H3964" s="5" t="s">
        <v>21</v>
      </c>
      <c r="I3964" s="5" t="s">
        <v>9470</v>
      </c>
      <c r="J3964" s="12" t="str">
        <f>HYPERLINK("https://www.boe.es/gazeta/dias/1800/08/08/pdfs/GMD-1800-63.pdf#page=4","Abrir facsímil")</f>
        <v>Abrir facsímil</v>
      </c>
      <c r="K3964" s="15" t="s">
        <v>23</v>
      </c>
    </row>
    <row r="3965" spans="1:11" ht="42" customHeight="1">
      <c r="A3965" s="4" t="s">
        <v>9465</v>
      </c>
      <c r="B3965" s="5" t="s">
        <v>9465</v>
      </c>
      <c r="C3965" s="5" t="s">
        <v>84</v>
      </c>
      <c r="D3965" s="5" t="s">
        <v>85</v>
      </c>
      <c r="E3965" s="5" t="s">
        <v>283</v>
      </c>
      <c r="F3965" s="9">
        <v>68</v>
      </c>
      <c r="G3965" s="9">
        <v>761</v>
      </c>
      <c r="H3965" s="5" t="s">
        <v>21</v>
      </c>
      <c r="I3965" s="5" t="s">
        <v>9471</v>
      </c>
      <c r="J3965" s="12" t="str">
        <f>HYPERLINK("https://www.boe.es/gazeta/dias/1800/08/26/pdfs/GMD-1800-68.pdf#page=5","Abrir facsímil")</f>
        <v>Abrir facsímil</v>
      </c>
      <c r="K3965" s="15" t="s">
        <v>23</v>
      </c>
    </row>
    <row r="3966" spans="1:11" ht="42" customHeight="1">
      <c r="A3966" s="4" t="s">
        <v>9465</v>
      </c>
      <c r="B3966" s="5" t="s">
        <v>9465</v>
      </c>
      <c r="C3966" s="5" t="s">
        <v>54</v>
      </c>
      <c r="D3966" s="5" t="s">
        <v>55</v>
      </c>
      <c r="E3966" s="5" t="s">
        <v>590</v>
      </c>
      <c r="F3966" s="9">
        <v>69</v>
      </c>
      <c r="G3966" s="9">
        <v>771</v>
      </c>
      <c r="H3966" s="5" t="s">
        <v>21</v>
      </c>
      <c r="I3966" s="5" t="s">
        <v>9472</v>
      </c>
      <c r="J3966" s="12" t="str">
        <f>HYPERLINK("https://www.boe.es/gazeta/dias/1800/08/29/pdfs/GMD-1800-69.pdf#page=3","Abrir facsímil")</f>
        <v>Abrir facsímil</v>
      </c>
      <c r="K3966" s="15" t="s">
        <v>23</v>
      </c>
    </row>
    <row r="3967" spans="1:11" ht="42" customHeight="1">
      <c r="A3967" s="4" t="s">
        <v>9465</v>
      </c>
      <c r="B3967" s="5" t="s">
        <v>9465</v>
      </c>
      <c r="C3967" s="5" t="s">
        <v>41</v>
      </c>
      <c r="D3967" s="5" t="s">
        <v>42</v>
      </c>
      <c r="E3967" s="5" t="s">
        <v>279</v>
      </c>
      <c r="F3967" s="9">
        <v>103</v>
      </c>
      <c r="G3967" s="9">
        <v>1193</v>
      </c>
      <c r="H3967" s="5" t="s">
        <v>21</v>
      </c>
      <c r="I3967" s="5" t="s">
        <v>9473</v>
      </c>
      <c r="J3967" s="12" t="str">
        <f>HYPERLINK("https://www.boe.es/gazeta/dias/1800/12/23/pdfs/GMD-1800-103.pdf#page=5","Abrir facsímil")</f>
        <v>Abrir facsímil</v>
      </c>
      <c r="K3967" s="15" t="s">
        <v>23</v>
      </c>
    </row>
    <row r="3968" spans="1:11" ht="42" customHeight="1">
      <c r="A3968" s="4" t="s">
        <v>9465</v>
      </c>
      <c r="B3968" s="5" t="s">
        <v>9465</v>
      </c>
      <c r="C3968" s="5" t="s">
        <v>41</v>
      </c>
      <c r="D3968" s="5" t="s">
        <v>42</v>
      </c>
      <c r="E3968" s="5" t="s">
        <v>20</v>
      </c>
      <c r="F3968" s="9">
        <v>104</v>
      </c>
      <c r="G3968" s="9">
        <v>1205</v>
      </c>
      <c r="H3968" s="5" t="s">
        <v>21</v>
      </c>
      <c r="I3968" s="5" t="s">
        <v>9474</v>
      </c>
      <c r="J3968" s="12" t="str">
        <f>HYPERLINK("https://www.boe.es/gazeta/dias/1800/12/26/pdfs/GMD-1800-104.pdf#page=5","Abrir facsímil")</f>
        <v>Abrir facsímil</v>
      </c>
      <c r="K3968" s="15" t="s">
        <v>23</v>
      </c>
    </row>
    <row r="3969" spans="1:11" ht="42" customHeight="1">
      <c r="A3969" s="4" t="s">
        <v>9475</v>
      </c>
      <c r="B3969" s="5" t="s">
        <v>9476</v>
      </c>
      <c r="C3969" s="5" t="s">
        <v>18</v>
      </c>
      <c r="D3969" s="5" t="s">
        <v>19</v>
      </c>
      <c r="E3969" s="5" t="s">
        <v>190</v>
      </c>
      <c r="F3969" s="9">
        <v>93</v>
      </c>
      <c r="G3969" s="9">
        <v>1067</v>
      </c>
      <c r="H3969" s="5" t="s">
        <v>21</v>
      </c>
      <c r="I3969" s="5" t="s">
        <v>9477</v>
      </c>
      <c r="J3969" s="12" t="str">
        <f>HYPERLINK("https://www.boe.es/gazeta/dias/1800/11/18/pdfs/GMD-1800-93.pdf#page=13","Abrir facsímil")</f>
        <v>Abrir facsímil</v>
      </c>
      <c r="K3969" s="15" t="s">
        <v>23</v>
      </c>
    </row>
    <row r="3970" spans="1:11" ht="42" customHeight="1">
      <c r="A3970" s="4" t="s">
        <v>9478</v>
      </c>
      <c r="B3970" s="5" t="s">
        <v>9478</v>
      </c>
      <c r="C3970" s="5" t="s">
        <v>84</v>
      </c>
      <c r="D3970" s="5" t="s">
        <v>85</v>
      </c>
      <c r="E3970" s="5" t="s">
        <v>787</v>
      </c>
      <c r="F3970" s="9">
        <v>6</v>
      </c>
      <c r="G3970" s="9">
        <v>56</v>
      </c>
      <c r="H3970" s="5" t="s">
        <v>21</v>
      </c>
      <c r="I3970" s="5" t="s">
        <v>9479</v>
      </c>
      <c r="J3970" s="12" t="str">
        <f>HYPERLINK("https://www.boe.es/gazeta/dias/1800/01/21/pdfs/GMD-1800-6.pdf#page=8","Abrir facsímil")</f>
        <v>Abrir facsímil</v>
      </c>
      <c r="K3970" s="15" t="s">
        <v>23</v>
      </c>
    </row>
    <row r="3971" spans="1:11" ht="42" customHeight="1">
      <c r="A3971" s="4" t="s">
        <v>9480</v>
      </c>
      <c r="B3971" s="5" t="s">
        <v>9480</v>
      </c>
      <c r="C3971" s="5" t="s">
        <v>1035</v>
      </c>
      <c r="D3971" s="5" t="s">
        <v>1036</v>
      </c>
      <c r="E3971" s="5" t="s">
        <v>50</v>
      </c>
      <c r="F3971" s="9">
        <v>81</v>
      </c>
      <c r="G3971" s="9">
        <v>942</v>
      </c>
      <c r="H3971" s="5" t="s">
        <v>21</v>
      </c>
      <c r="I3971" s="5" t="s">
        <v>9481</v>
      </c>
      <c r="J3971" s="12" t="str">
        <f>HYPERLINK("https://www.boe.es/gazeta/dias/1800/10/07/pdfs/GMD-C-1800-81.pdf#page=24","Abrir facsímil")</f>
        <v>Abrir facsímil</v>
      </c>
      <c r="K3971" s="15" t="s">
        <v>23</v>
      </c>
    </row>
    <row r="3972" spans="1:11" ht="42" customHeight="1">
      <c r="A3972" s="4" t="s">
        <v>9482</v>
      </c>
      <c r="B3972" s="5" t="s">
        <v>9482</v>
      </c>
      <c r="C3972" s="5" t="s">
        <v>1035</v>
      </c>
      <c r="D3972" s="5" t="s">
        <v>1036</v>
      </c>
      <c r="E3972" s="5" t="s">
        <v>50</v>
      </c>
      <c r="F3972" s="9">
        <v>81</v>
      </c>
      <c r="G3972" s="9">
        <v>942</v>
      </c>
      <c r="H3972" s="5" t="s">
        <v>21</v>
      </c>
      <c r="I3972" s="5" t="s">
        <v>9483</v>
      </c>
      <c r="J3972" s="12" t="str">
        <f>HYPERLINK("https://www.boe.es/gazeta/dias/1800/10/07/pdfs/GMD-C-1800-81.pdf#page=24","Abrir facsímil")</f>
        <v>Abrir facsímil</v>
      </c>
      <c r="K3972" s="15" t="s">
        <v>23</v>
      </c>
    </row>
    <row r="3973" spans="1:11" ht="42" customHeight="1">
      <c r="A3973" s="4" t="s">
        <v>9484</v>
      </c>
      <c r="B3973" s="5" t="s">
        <v>9484</v>
      </c>
      <c r="C3973" s="5" t="s">
        <v>1035</v>
      </c>
      <c r="D3973" s="5" t="s">
        <v>1036</v>
      </c>
      <c r="E3973" s="5" t="s">
        <v>50</v>
      </c>
      <c r="F3973" s="9">
        <v>81</v>
      </c>
      <c r="G3973" s="9">
        <v>941</v>
      </c>
      <c r="H3973" s="5" t="s">
        <v>21</v>
      </c>
      <c r="I3973" s="5" t="s">
        <v>9485</v>
      </c>
      <c r="J3973" s="12" t="str">
        <f>HYPERLINK("https://www.boe.es/gazeta/dias/1800/10/07/pdfs/GMD-C-1800-81.pdf#page=23","Abrir facsímil")</f>
        <v>Abrir facsímil</v>
      </c>
      <c r="K3973" s="15" t="s">
        <v>23</v>
      </c>
    </row>
    <row r="3974" spans="1:11" ht="42" customHeight="1">
      <c r="A3974" s="4" t="s">
        <v>9486</v>
      </c>
      <c r="B3974" s="5" t="s">
        <v>9486</v>
      </c>
      <c r="C3974" s="5" t="s">
        <v>1035</v>
      </c>
      <c r="D3974" s="5" t="s">
        <v>1036</v>
      </c>
      <c r="E3974" s="5" t="s">
        <v>50</v>
      </c>
      <c r="F3974" s="9">
        <v>81</v>
      </c>
      <c r="G3974" s="9">
        <v>942</v>
      </c>
      <c r="H3974" s="5" t="s">
        <v>21</v>
      </c>
      <c r="I3974" s="5" t="s">
        <v>9487</v>
      </c>
      <c r="J3974" s="12" t="str">
        <f>HYPERLINK("https://www.boe.es/gazeta/dias/1800/10/07/pdfs/GMD-C-1800-81.pdf#page=24","Abrir facsímil")</f>
        <v>Abrir facsímil</v>
      </c>
      <c r="K3974" s="15" t="s">
        <v>23</v>
      </c>
    </row>
    <row r="3975" spans="1:11" ht="42" customHeight="1">
      <c r="A3975" s="4" t="s">
        <v>9488</v>
      </c>
      <c r="B3975" s="5" t="s">
        <v>9488</v>
      </c>
      <c r="C3975" s="5" t="s">
        <v>114</v>
      </c>
      <c r="D3975" s="5" t="s">
        <v>115</v>
      </c>
      <c r="E3975" s="5" t="s">
        <v>116</v>
      </c>
      <c r="F3975" s="9">
        <v>86</v>
      </c>
      <c r="G3975" s="9" t="s">
        <v>725</v>
      </c>
      <c r="H3975" s="5" t="s">
        <v>21</v>
      </c>
      <c r="I3975" s="5" t="s">
        <v>9489</v>
      </c>
      <c r="J3975" s="12" t="str">
        <f>HYPERLINK("https://www.boe.es/gazeta/dias/1800/10/24/pdfs/GMD-D-1800-86.pdf#page=1","Abrir facsímil")</f>
        <v>Abrir facsímil</v>
      </c>
      <c r="K3975" s="15" t="s">
        <v>23</v>
      </c>
    </row>
    <row r="3976" spans="1:11" ht="42" customHeight="1">
      <c r="A3976" s="4" t="s">
        <v>9490</v>
      </c>
      <c r="B3976" s="5" t="s">
        <v>9491</v>
      </c>
      <c r="C3976" s="5" t="s">
        <v>41</v>
      </c>
      <c r="D3976" s="5" t="s">
        <v>42</v>
      </c>
      <c r="E3976" s="5" t="s">
        <v>43</v>
      </c>
      <c r="F3976" s="9">
        <v>46</v>
      </c>
      <c r="G3976" s="9">
        <v>478</v>
      </c>
      <c r="H3976" s="5" t="s">
        <v>21</v>
      </c>
      <c r="I3976" s="5" t="s">
        <v>9492</v>
      </c>
      <c r="J3976" s="12" t="str">
        <f>HYPERLINK("https://www.boe.es/gazeta/dias/1800/06/10/pdfs/GMD-1800-46.pdf#page=2","Abrir facsímil")</f>
        <v>Abrir facsímil</v>
      </c>
      <c r="K3976" s="15" t="s">
        <v>23</v>
      </c>
    </row>
    <row r="3977" spans="1:11" ht="42" customHeight="1">
      <c r="A3977" s="4" t="s">
        <v>9493</v>
      </c>
      <c r="B3977" s="5" t="s">
        <v>9494</v>
      </c>
      <c r="C3977" s="5" t="s">
        <v>25</v>
      </c>
      <c r="D3977" s="5" t="s">
        <v>26</v>
      </c>
      <c r="E3977" s="5" t="s">
        <v>406</v>
      </c>
      <c r="F3977" s="9">
        <v>44</v>
      </c>
      <c r="G3977" s="9">
        <v>463</v>
      </c>
      <c r="H3977" s="5" t="s">
        <v>21</v>
      </c>
      <c r="I3977" s="5" t="s">
        <v>9495</v>
      </c>
      <c r="J3977" s="12" t="str">
        <f>HYPERLINK("https://www.boe.es/gazeta/dias/1800/06/03/pdfs/GMD-1800-44.pdf#page=11","Abrir facsímil")</f>
        <v>Abrir facsímil</v>
      </c>
      <c r="K3977" s="15" t="s">
        <v>23</v>
      </c>
    </row>
    <row r="3978" spans="1:11" ht="42" customHeight="1">
      <c r="A3978" s="4" t="s">
        <v>9496</v>
      </c>
      <c r="B3978" s="5" t="s">
        <v>9496</v>
      </c>
      <c r="C3978" s="5" t="s">
        <v>18</v>
      </c>
      <c r="D3978" s="5" t="s">
        <v>19</v>
      </c>
      <c r="E3978" s="5" t="s">
        <v>35</v>
      </c>
      <c r="F3978" s="9">
        <v>21</v>
      </c>
      <c r="G3978" s="9">
        <v>205</v>
      </c>
      <c r="H3978" s="5" t="s">
        <v>21</v>
      </c>
      <c r="I3978" s="5" t="s">
        <v>9497</v>
      </c>
      <c r="J3978" s="12" t="str">
        <f>HYPERLINK("https://www.boe.es/gazeta/dias/1800/03/14/pdfs/GMD-1800-21.pdf#page=9","Abrir facsímil")</f>
        <v>Abrir facsímil</v>
      </c>
      <c r="K3978" s="15" t="s">
        <v>23</v>
      </c>
    </row>
    <row r="3979" spans="1:11" ht="42" customHeight="1">
      <c r="A3979" s="4" t="s">
        <v>9498</v>
      </c>
      <c r="B3979" s="5" t="s">
        <v>9498</v>
      </c>
      <c r="C3979" s="5" t="s">
        <v>84</v>
      </c>
      <c r="D3979" s="5" t="s">
        <v>85</v>
      </c>
      <c r="E3979" s="5" t="s">
        <v>244</v>
      </c>
      <c r="F3979" s="9">
        <v>9</v>
      </c>
      <c r="G3979" s="9">
        <v>87</v>
      </c>
      <c r="H3979" s="5" t="s">
        <v>21</v>
      </c>
      <c r="I3979" s="5" t="s">
        <v>9499</v>
      </c>
      <c r="J3979" s="12" t="str">
        <f>HYPERLINK("https://www.boe.es/gazeta/dias/1800/01/31/pdfs/GMD-1800-9.pdf#page=11","Abrir facsímil")</f>
        <v>Abrir facsímil</v>
      </c>
      <c r="K3979" s="15" t="s">
        <v>23</v>
      </c>
    </row>
    <row r="3980" spans="1:11" ht="42" customHeight="1">
      <c r="A3980" s="4" t="s">
        <v>9500</v>
      </c>
      <c r="B3980" s="5" t="s">
        <v>9500</v>
      </c>
      <c r="C3980" s="5" t="s">
        <v>18</v>
      </c>
      <c r="D3980" s="5" t="s">
        <v>19</v>
      </c>
      <c r="E3980" s="5" t="s">
        <v>154</v>
      </c>
      <c r="F3980" s="9">
        <v>61</v>
      </c>
      <c r="G3980" s="9">
        <v>697</v>
      </c>
      <c r="H3980" s="5" t="s">
        <v>21</v>
      </c>
      <c r="I3980" s="5" t="s">
        <v>9501</v>
      </c>
      <c r="J3980" s="12" t="str">
        <f>HYPERLINK("https://www.boe.es/gazeta/dias/1800/08/01/pdfs/GMD-1800-61.pdf#page=9","Abrir facsímil")</f>
        <v>Abrir facsímil</v>
      </c>
      <c r="K3980" s="15" t="s">
        <v>23</v>
      </c>
    </row>
    <row r="3981" spans="1:11" ht="42" customHeight="1">
      <c r="A3981" s="4" t="s">
        <v>9502</v>
      </c>
      <c r="B3981" s="5" t="s">
        <v>9503</v>
      </c>
      <c r="C3981" s="5" t="s">
        <v>41</v>
      </c>
      <c r="D3981" s="5" t="s">
        <v>42</v>
      </c>
      <c r="E3981" s="5" t="s">
        <v>147</v>
      </c>
      <c r="F3981" s="9">
        <v>84</v>
      </c>
      <c r="G3981" s="9">
        <v>968</v>
      </c>
      <c r="H3981" s="5" t="s">
        <v>21</v>
      </c>
      <c r="I3981" s="5" t="s">
        <v>9504</v>
      </c>
      <c r="J3981" s="12" t="str">
        <f>HYPERLINK("https://www.boe.es/gazeta/dias/1800/10/17/pdfs/GMD-1800-84.pdf#page=2","Abrir facsímil")</f>
        <v>Abrir facsímil</v>
      </c>
      <c r="K3981" s="15" t="s">
        <v>23</v>
      </c>
    </row>
    <row r="3982" spans="1:11" ht="42" customHeight="1">
      <c r="A3982" s="4" t="s">
        <v>9505</v>
      </c>
      <c r="B3982" s="5" t="s">
        <v>9505</v>
      </c>
      <c r="C3982" s="5" t="s">
        <v>114</v>
      </c>
      <c r="D3982" s="5" t="s">
        <v>115</v>
      </c>
      <c r="E3982" s="5" t="s">
        <v>116</v>
      </c>
      <c r="F3982" s="9">
        <v>86</v>
      </c>
      <c r="G3982" s="9" t="s">
        <v>1501</v>
      </c>
      <c r="H3982" s="5" t="s">
        <v>21</v>
      </c>
      <c r="I3982" s="5" t="s">
        <v>9506</v>
      </c>
      <c r="J3982" s="12" t="str">
        <f>HYPERLINK("https://www.boe.es/gazeta/dias/1800/10/24/pdfs/GMD-D-1800-86.pdf#page=2","Abrir facsímil")</f>
        <v>Abrir facsímil</v>
      </c>
      <c r="K3982" s="15" t="s">
        <v>23</v>
      </c>
    </row>
    <row r="3983" spans="1:11" ht="42" customHeight="1">
      <c r="A3983" s="4" t="s">
        <v>9507</v>
      </c>
      <c r="B3983" s="5" t="s">
        <v>9507</v>
      </c>
      <c r="C3983" s="5" t="s">
        <v>25</v>
      </c>
      <c r="D3983" s="5" t="s">
        <v>26</v>
      </c>
      <c r="E3983" s="5" t="s">
        <v>1213</v>
      </c>
      <c r="F3983" s="9">
        <v>4</v>
      </c>
      <c r="G3983" s="9">
        <v>40</v>
      </c>
      <c r="H3983" s="5" t="s">
        <v>21</v>
      </c>
      <c r="I3983" s="5" t="s">
        <v>9508</v>
      </c>
      <c r="J3983" s="12" t="str">
        <f>HYPERLINK("https://www.boe.es/gazeta/dias/1800/01/14/pdfs/GMD-1800-4.pdf#page=12","Abrir facsímil")</f>
        <v>Abrir facsímil</v>
      </c>
      <c r="K3983" s="15" t="s">
        <v>23</v>
      </c>
    </row>
    <row r="3984" spans="1:11" ht="42" customHeight="1">
      <c r="A3984" s="4" t="s">
        <v>9509</v>
      </c>
      <c r="B3984" s="5" t="s">
        <v>9509</v>
      </c>
      <c r="C3984" s="5" t="s">
        <v>18</v>
      </c>
      <c r="D3984" s="5" t="s">
        <v>19</v>
      </c>
      <c r="E3984" s="5" t="s">
        <v>491</v>
      </c>
      <c r="F3984" s="9">
        <v>29</v>
      </c>
      <c r="G3984" s="9">
        <v>300</v>
      </c>
      <c r="H3984" s="5" t="s">
        <v>21</v>
      </c>
      <c r="I3984" s="5" t="s">
        <v>9510</v>
      </c>
      <c r="J3984" s="12" t="str">
        <f>HYPERLINK("https://www.boe.es/gazeta/dias/1800/04/11/pdfs/GMD-1800-29.pdf#page=8","Abrir facsímil")</f>
        <v>Abrir facsímil</v>
      </c>
      <c r="K3984" s="15" t="s">
        <v>23</v>
      </c>
    </row>
    <row r="3985" spans="1:11" ht="42" customHeight="1">
      <c r="A3985" s="4" t="s">
        <v>9511</v>
      </c>
      <c r="B3985" s="5" t="s">
        <v>9511</v>
      </c>
      <c r="C3985" s="5" t="s">
        <v>25</v>
      </c>
      <c r="D3985" s="5" t="s">
        <v>26</v>
      </c>
      <c r="E3985" s="5" t="s">
        <v>1213</v>
      </c>
      <c r="F3985" s="9">
        <v>4</v>
      </c>
      <c r="G3985" s="9">
        <v>40</v>
      </c>
      <c r="H3985" s="5" t="s">
        <v>21</v>
      </c>
      <c r="I3985" s="5" t="s">
        <v>9512</v>
      </c>
      <c r="J3985" s="12" t="str">
        <f>HYPERLINK("https://www.boe.es/gazeta/dias/1800/01/14/pdfs/GMD-1800-4.pdf#page=12","Abrir facsímil")</f>
        <v>Abrir facsímil</v>
      </c>
      <c r="K3985" s="15" t="s">
        <v>23</v>
      </c>
    </row>
    <row r="3986" spans="1:11" ht="42" customHeight="1">
      <c r="A3986" s="4" t="s">
        <v>9513</v>
      </c>
      <c r="B3986" s="5" t="s">
        <v>9513</v>
      </c>
      <c r="C3986" s="5" t="s">
        <v>171</v>
      </c>
      <c r="D3986" s="5" t="s">
        <v>172</v>
      </c>
      <c r="E3986" s="5" t="s">
        <v>90</v>
      </c>
      <c r="F3986" s="9">
        <v>58</v>
      </c>
      <c r="G3986" s="9">
        <v>666</v>
      </c>
      <c r="H3986" s="5" t="s">
        <v>21</v>
      </c>
      <c r="I3986" s="5" t="s">
        <v>9514</v>
      </c>
      <c r="J3986" s="12" t="str">
        <f>HYPERLINK("https://www.boe.es/gazeta/dias/1800/07/22/pdfs/GMD-C-1800-58.pdf#page=2","Abrir facsímil")</f>
        <v>Abrir facsímil</v>
      </c>
      <c r="K3986" s="15" t="s">
        <v>23</v>
      </c>
    </row>
    <row r="3987" spans="1:11" ht="42" customHeight="1">
      <c r="A3987" s="4" t="s">
        <v>9515</v>
      </c>
      <c r="B3987" s="5" t="s">
        <v>9515</v>
      </c>
      <c r="C3987" s="5" t="s">
        <v>171</v>
      </c>
      <c r="D3987" s="5" t="s">
        <v>172</v>
      </c>
      <c r="E3987" s="5" t="s">
        <v>2338</v>
      </c>
      <c r="F3987" s="9">
        <v>42</v>
      </c>
      <c r="G3987" s="9">
        <v>439</v>
      </c>
      <c r="H3987" s="5" t="s">
        <v>21</v>
      </c>
      <c r="I3987" s="5" t="s">
        <v>9516</v>
      </c>
      <c r="J3987" s="12" t="str">
        <f>HYPERLINK("https://www.boe.es/gazeta/dias/1800/05/27/pdfs/GMD-C-1800-42.pdf#page=3","Abrir facsímil")</f>
        <v>Abrir facsímil</v>
      </c>
      <c r="K3987" s="15" t="s">
        <v>23</v>
      </c>
    </row>
    <row r="3988" spans="1:11" ht="42" customHeight="1">
      <c r="A3988" s="4" t="s">
        <v>9517</v>
      </c>
      <c r="B3988" s="5" t="s">
        <v>9517</v>
      </c>
      <c r="C3988" s="5" t="s">
        <v>25</v>
      </c>
      <c r="D3988" s="5" t="s">
        <v>26</v>
      </c>
      <c r="E3988" s="5" t="s">
        <v>1213</v>
      </c>
      <c r="F3988" s="9">
        <v>4</v>
      </c>
      <c r="G3988" s="9">
        <v>38</v>
      </c>
      <c r="H3988" s="5" t="s">
        <v>21</v>
      </c>
      <c r="I3988" s="5" t="s">
        <v>9518</v>
      </c>
      <c r="J3988" s="12" t="str">
        <f>HYPERLINK("https://www.boe.es/gazeta/dias/1800/01/14/pdfs/GMD-1800-4.pdf#page=10","Abrir facsímil")</f>
        <v>Abrir facsímil</v>
      </c>
      <c r="K3988" s="15" t="s">
        <v>23</v>
      </c>
    </row>
    <row r="3989" spans="1:11" ht="42" customHeight="1">
      <c r="A3989" s="4" t="s">
        <v>9519</v>
      </c>
      <c r="B3989" s="5" t="s">
        <v>9520</v>
      </c>
      <c r="C3989" s="5" t="s">
        <v>25</v>
      </c>
      <c r="D3989" s="5" t="s">
        <v>26</v>
      </c>
      <c r="E3989" s="5" t="s">
        <v>39</v>
      </c>
      <c r="F3989" s="9">
        <v>43</v>
      </c>
      <c r="G3989" s="9">
        <v>450</v>
      </c>
      <c r="H3989" s="5" t="s">
        <v>21</v>
      </c>
      <c r="I3989" s="5" t="s">
        <v>9521</v>
      </c>
      <c r="J3989" s="12" t="str">
        <f>HYPERLINK("https://www.boe.es/gazeta/dias/1800/05/30/pdfs/GMD-1800-43.pdf#page=10","Abrir facsímil")</f>
        <v>Abrir facsímil</v>
      </c>
      <c r="K3989" s="15" t="s">
        <v>23</v>
      </c>
    </row>
    <row r="3990" spans="1:11" ht="42" customHeight="1">
      <c r="A3990" s="4" t="s">
        <v>9522</v>
      </c>
      <c r="B3990" s="5" t="s">
        <v>9523</v>
      </c>
      <c r="C3990" s="5" t="s">
        <v>207</v>
      </c>
      <c r="D3990" s="5" t="s">
        <v>55</v>
      </c>
      <c r="E3990" s="5" t="s">
        <v>299</v>
      </c>
      <c r="F3990" s="9">
        <v>40</v>
      </c>
      <c r="G3990" s="9">
        <v>413</v>
      </c>
      <c r="H3990" s="5" t="s">
        <v>21</v>
      </c>
      <c r="I3990" s="5" t="s">
        <v>9524</v>
      </c>
      <c r="J3990" s="12" t="str">
        <f>HYPERLINK("https://www.boe.es/gazeta/dias/1800/05/20/pdfs/GMD-1800-40.pdf#page=9","Abrir facsímil")</f>
        <v>Abrir facsímil</v>
      </c>
      <c r="K3990" s="15" t="s">
        <v>23</v>
      </c>
    </row>
    <row r="3991" spans="1:11" ht="42" customHeight="1">
      <c r="A3991" s="4" t="s">
        <v>9522</v>
      </c>
      <c r="B3991" s="5" t="s">
        <v>9523</v>
      </c>
      <c r="C3991" s="5" t="s">
        <v>25</v>
      </c>
      <c r="D3991" s="5" t="s">
        <v>26</v>
      </c>
      <c r="E3991" s="5" t="s">
        <v>1287</v>
      </c>
      <c r="F3991" s="9">
        <v>57</v>
      </c>
      <c r="G3991" s="9">
        <v>648</v>
      </c>
      <c r="H3991" s="5" t="s">
        <v>21</v>
      </c>
      <c r="I3991" s="5" t="s">
        <v>9525</v>
      </c>
      <c r="J3991" s="12" t="str">
        <f>HYPERLINK("https://www.boe.es/gazeta/dias/1800/07/18/pdfs/GMD-1800-57.pdf#page=12","Abrir facsímil")</f>
        <v>Abrir facsímil</v>
      </c>
      <c r="K3991" s="15" t="s">
        <v>23</v>
      </c>
    </row>
    <row r="3992" spans="1:11" ht="42" customHeight="1">
      <c r="A3992" s="4" t="s">
        <v>9526</v>
      </c>
      <c r="B3992" s="5" t="s">
        <v>9526</v>
      </c>
      <c r="C3992" s="5" t="s">
        <v>207</v>
      </c>
      <c r="D3992" s="5" t="s">
        <v>55</v>
      </c>
      <c r="E3992" s="5" t="s">
        <v>329</v>
      </c>
      <c r="F3992" s="9">
        <v>99</v>
      </c>
      <c r="G3992" s="9">
        <v>1138</v>
      </c>
      <c r="H3992" s="5" t="s">
        <v>21</v>
      </c>
      <c r="I3992" s="5" t="s">
        <v>9527</v>
      </c>
      <c r="J3992" s="12" t="str">
        <f>HYPERLINK("https://www.boe.es/gazeta/dias/1800/12/09/pdfs/GMD-1800-99.pdf#page=6","Abrir facsímil")</f>
        <v>Abrir facsímil</v>
      </c>
      <c r="K3992" s="15" t="s">
        <v>23</v>
      </c>
    </row>
    <row r="3993" spans="1:11" ht="42" customHeight="1">
      <c r="A3993" s="4" t="s">
        <v>9528</v>
      </c>
      <c r="B3993" s="5" t="s">
        <v>9528</v>
      </c>
      <c r="C3993" s="5" t="s">
        <v>18</v>
      </c>
      <c r="D3993" s="5" t="s">
        <v>19</v>
      </c>
      <c r="E3993" s="5" t="s">
        <v>329</v>
      </c>
      <c r="F3993" s="9">
        <v>99</v>
      </c>
      <c r="G3993" s="9">
        <v>1137</v>
      </c>
      <c r="H3993" s="5" t="s">
        <v>21</v>
      </c>
      <c r="I3993" s="5" t="s">
        <v>9529</v>
      </c>
      <c r="J3993" s="12" t="str">
        <f>HYPERLINK("https://www.boe.es/gazeta/dias/1800/12/09/pdfs/GMD-1800-99.pdf#page=5","Abrir facsímil")</f>
        <v>Abrir facsímil</v>
      </c>
      <c r="K3993" s="15" t="s">
        <v>23</v>
      </c>
    </row>
    <row r="3994" spans="1:11" ht="42" customHeight="1">
      <c r="A3994" s="4" t="s">
        <v>9530</v>
      </c>
      <c r="B3994" s="5" t="s">
        <v>9530</v>
      </c>
      <c r="C3994" s="5" t="s">
        <v>18</v>
      </c>
      <c r="D3994" s="5" t="s">
        <v>19</v>
      </c>
      <c r="E3994" s="5" t="s">
        <v>530</v>
      </c>
      <c r="F3994" s="9">
        <v>55</v>
      </c>
      <c r="G3994" s="9">
        <v>622</v>
      </c>
      <c r="H3994" s="5" t="s">
        <v>21</v>
      </c>
      <c r="I3994" s="5" t="s">
        <v>9531</v>
      </c>
      <c r="J3994" s="12" t="str">
        <f>HYPERLINK("https://www.boe.es/gazeta/dias/1800/07/11/pdfs/GMD-1800-55.pdf#page=10","Abrir facsímil")</f>
        <v>Abrir facsímil</v>
      </c>
      <c r="K3994" s="15" t="s">
        <v>23</v>
      </c>
    </row>
    <row r="3995" spans="1:11" ht="42" customHeight="1">
      <c r="A3995" s="4" t="s">
        <v>9532</v>
      </c>
      <c r="B3995" s="5" t="s">
        <v>9532</v>
      </c>
      <c r="C3995" s="5" t="s">
        <v>41</v>
      </c>
      <c r="D3995" s="5" t="s">
        <v>42</v>
      </c>
      <c r="E3995" s="5" t="s">
        <v>454</v>
      </c>
      <c r="F3995" s="9">
        <v>63</v>
      </c>
      <c r="G3995" s="9">
        <v>717</v>
      </c>
      <c r="H3995" s="5" t="s">
        <v>21</v>
      </c>
      <c r="I3995" s="5" t="s">
        <v>9533</v>
      </c>
      <c r="J3995" s="12" t="str">
        <f>HYPERLINK("https://www.boe.es/gazeta/dias/1800/08/08/pdfs/GMD-1800-63.pdf#page=5","Abrir facsímil")</f>
        <v>Abrir facsímil</v>
      </c>
      <c r="K3995" s="15" t="s">
        <v>23</v>
      </c>
    </row>
    <row r="3996" spans="1:11" ht="42" customHeight="1">
      <c r="A3996" s="4" t="s">
        <v>9534</v>
      </c>
      <c r="B3996" s="5" t="s">
        <v>9534</v>
      </c>
      <c r="C3996" s="5" t="s">
        <v>207</v>
      </c>
      <c r="D3996" s="5" t="s">
        <v>55</v>
      </c>
      <c r="E3996" s="5" t="s">
        <v>422</v>
      </c>
      <c r="F3996" s="9">
        <v>85</v>
      </c>
      <c r="G3996" s="9">
        <v>984</v>
      </c>
      <c r="H3996" s="5" t="s">
        <v>21</v>
      </c>
      <c r="I3996" s="5" t="s">
        <v>9535</v>
      </c>
      <c r="J3996" s="12" t="str">
        <f>HYPERLINK("https://www.boe.es/gazeta/dias/1800/10/21/pdfs/GMD-1800-85.pdf#page=6","Abrir facsímil")</f>
        <v>Abrir facsímil</v>
      </c>
      <c r="K3996" s="15" t="s">
        <v>23</v>
      </c>
    </row>
    <row r="3997" spans="1:11" ht="42" customHeight="1">
      <c r="A3997" s="4" t="s">
        <v>9536</v>
      </c>
      <c r="B3997" s="5" t="s">
        <v>9536</v>
      </c>
      <c r="C3997" s="5" t="s">
        <v>18</v>
      </c>
      <c r="D3997" s="5" t="s">
        <v>19</v>
      </c>
      <c r="E3997" s="5" t="s">
        <v>461</v>
      </c>
      <c r="F3997" s="9">
        <v>18</v>
      </c>
      <c r="G3997" s="9">
        <v>170</v>
      </c>
      <c r="H3997" s="5" t="s">
        <v>21</v>
      </c>
      <c r="I3997" s="5" t="s">
        <v>9537</v>
      </c>
      <c r="J3997" s="12" t="str">
        <f>HYPERLINK("https://www.boe.es/datos/pdfs/BOE//1800/018/C00173-00176.pdf#page=6","Abrir facsímil")</f>
        <v>Abrir facsímil</v>
      </c>
      <c r="K3997" s="15" t="s">
        <v>23</v>
      </c>
    </row>
    <row r="3998" spans="1:11" ht="42" customHeight="1">
      <c r="A3998" s="4" t="s">
        <v>9538</v>
      </c>
      <c r="B3998" s="5" t="s">
        <v>9538</v>
      </c>
      <c r="C3998" s="5" t="s">
        <v>18</v>
      </c>
      <c r="D3998" s="5" t="s">
        <v>19</v>
      </c>
      <c r="E3998" s="5" t="s">
        <v>180</v>
      </c>
      <c r="F3998" s="9">
        <v>102</v>
      </c>
      <c r="G3998" s="9">
        <v>1185</v>
      </c>
      <c r="H3998" s="5" t="s">
        <v>21</v>
      </c>
      <c r="I3998" s="5" t="s">
        <v>9539</v>
      </c>
      <c r="J3998" s="12" t="str">
        <f>HYPERLINK("https://www.boe.es/gazeta/dias/1800/12/19/pdfs/GMD-1800-102.pdf#page=9","Abrir facsímil")</f>
        <v>Abrir facsímil</v>
      </c>
      <c r="K3998" s="15" t="s">
        <v>23</v>
      </c>
    </row>
    <row r="3999" spans="1:11" ht="42" customHeight="1">
      <c r="A3999" s="4" t="s">
        <v>9540</v>
      </c>
      <c r="B3999" s="5" t="s">
        <v>9540</v>
      </c>
      <c r="C3999" s="5" t="s">
        <v>207</v>
      </c>
      <c r="D3999" s="5" t="s">
        <v>55</v>
      </c>
      <c r="E3999" s="5" t="s">
        <v>615</v>
      </c>
      <c r="F3999" s="9">
        <v>95</v>
      </c>
      <c r="G3999" s="9">
        <v>1088</v>
      </c>
      <c r="H3999" s="5" t="s">
        <v>21</v>
      </c>
      <c r="I3999" s="5" t="s">
        <v>9541</v>
      </c>
      <c r="J3999" s="12" t="str">
        <f>HYPERLINK("https://www.boe.es/gazeta/dias/1800/11/25/pdfs/GMD-1800-95.pdf#page=6","Abrir facsímil")</f>
        <v>Abrir facsímil</v>
      </c>
      <c r="K3999" s="15" t="s">
        <v>23</v>
      </c>
    </row>
    <row r="4000" spans="1:11" ht="42" customHeight="1">
      <c r="A4000" s="4" t="s">
        <v>9542</v>
      </c>
      <c r="B4000" s="5" t="s">
        <v>9543</v>
      </c>
      <c r="C4000" s="5" t="s">
        <v>18</v>
      </c>
      <c r="D4000" s="5" t="s">
        <v>19</v>
      </c>
      <c r="E4000" s="5" t="s">
        <v>48</v>
      </c>
      <c r="F4000" s="9">
        <v>66</v>
      </c>
      <c r="G4000" s="9">
        <v>744</v>
      </c>
      <c r="H4000" s="5" t="s">
        <v>21</v>
      </c>
      <c r="I4000" s="5" t="s">
        <v>9544</v>
      </c>
      <c r="J4000" s="12" t="str">
        <f>HYPERLINK("https://www.boe.es/gazeta/dias/1800/08/19/pdfs/GMD-1800-66.pdf#page=8","Abrir facsímil")</f>
        <v>Abrir facsímil</v>
      </c>
      <c r="K4000" s="15" t="s">
        <v>23</v>
      </c>
    </row>
    <row r="4001" spans="1:11" ht="42" customHeight="1">
      <c r="A4001" s="4" t="s">
        <v>9542</v>
      </c>
      <c r="B4001" s="5" t="s">
        <v>9543</v>
      </c>
      <c r="C4001" s="5" t="s">
        <v>41</v>
      </c>
      <c r="D4001" s="5" t="s">
        <v>42</v>
      </c>
      <c r="E4001" s="5" t="s">
        <v>255</v>
      </c>
      <c r="F4001" s="9">
        <v>75</v>
      </c>
      <c r="G4001" s="9">
        <v>853</v>
      </c>
      <c r="H4001" s="5" t="s">
        <v>21</v>
      </c>
      <c r="I4001" s="5" t="s">
        <v>9545</v>
      </c>
      <c r="J4001" s="12" t="str">
        <f>HYPERLINK("https://www.boe.es/gazeta/dias/1800/09/16/pdfs/GMD-1800-75.pdf#page=7","Abrir facsímil")</f>
        <v>Abrir facsímil</v>
      </c>
      <c r="K4001" s="15" t="s">
        <v>23</v>
      </c>
    </row>
    <row r="4002" spans="1:11" ht="42" customHeight="1">
      <c r="A4002" s="4" t="s">
        <v>9542</v>
      </c>
      <c r="B4002" s="5" t="s">
        <v>9543</v>
      </c>
      <c r="C4002" s="5" t="s">
        <v>25</v>
      </c>
      <c r="D4002" s="5" t="s">
        <v>26</v>
      </c>
      <c r="E4002" s="5" t="s">
        <v>306</v>
      </c>
      <c r="F4002" s="9">
        <v>79</v>
      </c>
      <c r="G4002" s="9">
        <v>898</v>
      </c>
      <c r="H4002" s="5" t="s">
        <v>21</v>
      </c>
      <c r="I4002" s="5" t="s">
        <v>9546</v>
      </c>
      <c r="J4002" s="12" t="str">
        <f>HYPERLINK("https://www.boe.es/gazeta/dias/1800/09/30/pdfs/GMD-1800-79.pdf#page=8","Abrir facsímil")</f>
        <v>Abrir facsímil</v>
      </c>
      <c r="K4002" s="15" t="s">
        <v>23</v>
      </c>
    </row>
    <row r="4003" spans="1:11" ht="42" customHeight="1">
      <c r="A4003" s="4" t="s">
        <v>9542</v>
      </c>
      <c r="B4003" s="5" t="s">
        <v>9543</v>
      </c>
      <c r="C4003" s="5" t="s">
        <v>41</v>
      </c>
      <c r="D4003" s="5" t="s">
        <v>42</v>
      </c>
      <c r="E4003" s="5" t="s">
        <v>56</v>
      </c>
      <c r="F4003" s="9">
        <v>90</v>
      </c>
      <c r="G4003" s="9">
        <v>1051</v>
      </c>
      <c r="H4003" s="5" t="s">
        <v>21</v>
      </c>
      <c r="I4003" s="5" t="s">
        <v>9547</v>
      </c>
      <c r="J4003" s="12" t="str">
        <f>HYPERLINK("https://www.boe.es/gazeta/dias/1800/11/07/pdfs/GMD-1800-90.pdf#page=5","Abrir facsímil")</f>
        <v>Abrir facsímil</v>
      </c>
      <c r="K4003" s="15" t="s">
        <v>23</v>
      </c>
    </row>
    <row r="4004" spans="1:11" ht="42" customHeight="1">
      <c r="A4004" s="4" t="s">
        <v>9548</v>
      </c>
      <c r="B4004" s="5" t="s">
        <v>9548</v>
      </c>
      <c r="C4004" s="5" t="s">
        <v>18</v>
      </c>
      <c r="D4004" s="5" t="s">
        <v>19</v>
      </c>
      <c r="E4004" s="5" t="s">
        <v>194</v>
      </c>
      <c r="F4004" s="9">
        <v>48</v>
      </c>
      <c r="G4004" s="9">
        <v>519</v>
      </c>
      <c r="H4004" s="5" t="s">
        <v>21</v>
      </c>
      <c r="I4004" s="5" t="s">
        <v>9549</v>
      </c>
      <c r="J4004" s="12" t="str">
        <f>HYPERLINK("https://www.boe.es/gazeta/dias/1800/06/17/pdfs/GMD-1800-48.pdf#page=11","Abrir facsímil")</f>
        <v>Abrir facsímil</v>
      </c>
      <c r="K4004" s="15" t="s">
        <v>23</v>
      </c>
    </row>
    <row r="4005" spans="1:11" ht="42" customHeight="1">
      <c r="A4005" s="4" t="s">
        <v>9550</v>
      </c>
      <c r="B4005" s="5" t="s">
        <v>9550</v>
      </c>
      <c r="C4005" s="5" t="s">
        <v>25</v>
      </c>
      <c r="D4005" s="5" t="s">
        <v>26</v>
      </c>
      <c r="E4005" s="5" t="s">
        <v>52</v>
      </c>
      <c r="F4005" s="9">
        <v>83</v>
      </c>
      <c r="G4005" s="9">
        <v>964</v>
      </c>
      <c r="H4005" s="5" t="s">
        <v>21</v>
      </c>
      <c r="I4005" s="5" t="s">
        <v>9551</v>
      </c>
      <c r="J4005" s="12" t="str">
        <f>HYPERLINK("https://www.boe.es/gazeta/dias/1800/10/14/pdfs/GMD-1800-83.pdf#page=10","Abrir facsímil")</f>
        <v>Abrir facsímil</v>
      </c>
      <c r="K4005" s="15" t="s">
        <v>23</v>
      </c>
    </row>
    <row r="4006" spans="1:11" ht="42" customHeight="1">
      <c r="A4006" s="4" t="s">
        <v>9552</v>
      </c>
      <c r="B4006" s="5" t="s">
        <v>9552</v>
      </c>
      <c r="C4006" s="5" t="s">
        <v>54</v>
      </c>
      <c r="D4006" s="5" t="s">
        <v>55</v>
      </c>
      <c r="E4006" s="5" t="s">
        <v>52</v>
      </c>
      <c r="F4006" s="9">
        <v>83</v>
      </c>
      <c r="G4006" s="9">
        <v>964</v>
      </c>
      <c r="H4006" s="5" t="s">
        <v>21</v>
      </c>
      <c r="I4006" s="5" t="s">
        <v>9553</v>
      </c>
      <c r="J4006" s="12" t="str">
        <f>HYPERLINK("https://www.boe.es/gazeta/dias/1800/10/14/pdfs/GMD-1800-83.pdf#page=10","Abrir facsímil")</f>
        <v>Abrir facsímil</v>
      </c>
      <c r="K4006" s="15" t="s">
        <v>23</v>
      </c>
    </row>
    <row r="4007" spans="1:11" ht="42" customHeight="1">
      <c r="A4007" s="4" t="s">
        <v>9554</v>
      </c>
      <c r="B4007" s="5" t="s">
        <v>9554</v>
      </c>
      <c r="C4007" s="5" t="s">
        <v>41</v>
      </c>
      <c r="D4007" s="5" t="s">
        <v>42</v>
      </c>
      <c r="E4007" s="5" t="s">
        <v>31</v>
      </c>
      <c r="F4007" s="9">
        <v>20</v>
      </c>
      <c r="G4007" s="9">
        <v>187</v>
      </c>
      <c r="H4007" s="5" t="s">
        <v>21</v>
      </c>
      <c r="I4007" s="5" t="s">
        <v>9555</v>
      </c>
      <c r="J4007" s="12" t="str">
        <f>HYPERLINK("https://www.boe.es/gazeta/dias/1800/03/11/pdfs/GMD-1800-20.pdf#page=3","Abrir facsímil")</f>
        <v>Abrir facsímil</v>
      </c>
      <c r="K4007" s="15" t="s">
        <v>23</v>
      </c>
    </row>
    <row r="4008" spans="1:11" ht="42" customHeight="1">
      <c r="A4008" s="4" t="s">
        <v>9556</v>
      </c>
      <c r="B4008" s="5" t="s">
        <v>9556</v>
      </c>
      <c r="C4008" s="5" t="s">
        <v>207</v>
      </c>
      <c r="D4008" s="5" t="s">
        <v>55</v>
      </c>
      <c r="E4008" s="5" t="s">
        <v>845</v>
      </c>
      <c r="F4008" s="9">
        <v>80</v>
      </c>
      <c r="G4008" s="9">
        <v>910</v>
      </c>
      <c r="H4008" s="5" t="s">
        <v>21</v>
      </c>
      <c r="I4008" s="5" t="s">
        <v>9557</v>
      </c>
      <c r="J4008" s="12" t="str">
        <f>HYPERLINK("https://www.boe.es/gazeta/dias/1800/10/03/pdfs/GMD-1800-80.pdf#page=8","Abrir facsímil")</f>
        <v>Abrir facsímil</v>
      </c>
      <c r="K4008" s="15" t="s">
        <v>23</v>
      </c>
    </row>
    <row r="4009" spans="1:11" ht="42" customHeight="1">
      <c r="A4009" s="4" t="s">
        <v>9558</v>
      </c>
      <c r="B4009" s="5" t="s">
        <v>9558</v>
      </c>
      <c r="C4009" s="5" t="s">
        <v>84</v>
      </c>
      <c r="D4009" s="5" t="s">
        <v>85</v>
      </c>
      <c r="E4009" s="5" t="s">
        <v>306</v>
      </c>
      <c r="F4009" s="9">
        <v>79</v>
      </c>
      <c r="G4009" s="9">
        <v>901</v>
      </c>
      <c r="H4009" s="5" t="s">
        <v>21</v>
      </c>
      <c r="I4009" s="5" t="s">
        <v>9559</v>
      </c>
      <c r="J4009" s="12" t="str">
        <f>HYPERLINK("https://www.boe.es/gazeta/dias/1800/09/30/pdfs/GMD-1800-79.pdf#page=11","Abrir facsímil")</f>
        <v>Abrir facsímil</v>
      </c>
      <c r="K4009" s="15" t="s">
        <v>23</v>
      </c>
    </row>
    <row r="4010" spans="1:11" ht="42" customHeight="1">
      <c r="A4010" s="4" t="s">
        <v>9558</v>
      </c>
      <c r="B4010" s="5" t="s">
        <v>9558</v>
      </c>
      <c r="C4010" s="5" t="s">
        <v>18</v>
      </c>
      <c r="D4010" s="5" t="s">
        <v>19</v>
      </c>
      <c r="E4010" s="5" t="s">
        <v>422</v>
      </c>
      <c r="F4010" s="9">
        <v>85</v>
      </c>
      <c r="G4010" s="9">
        <v>985</v>
      </c>
      <c r="H4010" s="5" t="s">
        <v>21</v>
      </c>
      <c r="I4010" s="5" t="s">
        <v>9560</v>
      </c>
      <c r="J4010" s="12" t="str">
        <f>HYPERLINK("https://www.boe.es/gazeta/dias/1800/10/21/pdfs/GMD-1800-85.pdf#page=7","Abrir facsímil")</f>
        <v>Abrir facsímil</v>
      </c>
      <c r="K4010" s="15" t="s">
        <v>23</v>
      </c>
    </row>
    <row r="4011" spans="1:11" ht="42" customHeight="1">
      <c r="A4011" s="4" t="s">
        <v>9561</v>
      </c>
      <c r="B4011" s="5" t="s">
        <v>9561</v>
      </c>
      <c r="C4011" s="5" t="s">
        <v>25</v>
      </c>
      <c r="D4011" s="5" t="s">
        <v>26</v>
      </c>
      <c r="E4011" s="5" t="s">
        <v>139</v>
      </c>
      <c r="F4011" s="9">
        <v>2</v>
      </c>
      <c r="G4011" s="9">
        <v>19</v>
      </c>
      <c r="H4011" s="5" t="s">
        <v>21</v>
      </c>
      <c r="I4011" s="5" t="s">
        <v>9562</v>
      </c>
      <c r="J4011" s="12" t="str">
        <f>HYPERLINK("https://www.boe.es/gazeta/dias/1800/01/07/pdfs/GMD-1800-2.pdf#page=11","Abrir facsímil")</f>
        <v>Abrir facsímil</v>
      </c>
      <c r="K4011" s="15" t="s">
        <v>23</v>
      </c>
    </row>
    <row r="4012" spans="1:11" ht="42" customHeight="1">
      <c r="A4012" s="4" t="s">
        <v>9561</v>
      </c>
      <c r="B4012" s="5" t="s">
        <v>9561</v>
      </c>
      <c r="C4012" s="5" t="s">
        <v>18</v>
      </c>
      <c r="D4012" s="5" t="s">
        <v>19</v>
      </c>
      <c r="E4012" s="5" t="s">
        <v>244</v>
      </c>
      <c r="F4012" s="9">
        <v>9</v>
      </c>
      <c r="G4012" s="9">
        <v>85</v>
      </c>
      <c r="H4012" s="5" t="s">
        <v>21</v>
      </c>
      <c r="I4012" s="5" t="s">
        <v>9563</v>
      </c>
      <c r="J4012" s="12" t="str">
        <f>HYPERLINK("https://www.boe.es/gazeta/dias/1800/01/31/pdfs/GMD-1800-9.pdf#page=9","Abrir facsímil")</f>
        <v>Abrir facsímil</v>
      </c>
      <c r="K4012" s="15" t="s">
        <v>23</v>
      </c>
    </row>
    <row r="4013" spans="1:11" ht="42" customHeight="1">
      <c r="A4013" s="4" t="s">
        <v>9564</v>
      </c>
      <c r="B4013" s="5" t="s">
        <v>9564</v>
      </c>
      <c r="C4013" s="5" t="s">
        <v>54</v>
      </c>
      <c r="D4013" s="5" t="s">
        <v>55</v>
      </c>
      <c r="E4013" s="5" t="s">
        <v>310</v>
      </c>
      <c r="F4013" s="9">
        <v>56</v>
      </c>
      <c r="G4013" s="9">
        <v>634</v>
      </c>
      <c r="H4013" s="5" t="s">
        <v>21</v>
      </c>
      <c r="I4013" s="5" t="s">
        <v>9565</v>
      </c>
      <c r="J4013" s="12" t="str">
        <f>HYPERLINK("https://www.boe.es/gazeta/dias/1800/07/15/pdfs/GMD-1800-56.pdf#page=10","Abrir facsímil")</f>
        <v>Abrir facsímil</v>
      </c>
      <c r="K4013" s="15" t="s">
        <v>23</v>
      </c>
    </row>
    <row r="4014" spans="1:11" ht="42" customHeight="1">
      <c r="A4014" s="4" t="s">
        <v>9566</v>
      </c>
      <c r="B4014" s="5" t="s">
        <v>9566</v>
      </c>
      <c r="C4014" s="5" t="s">
        <v>54</v>
      </c>
      <c r="D4014" s="5" t="s">
        <v>55</v>
      </c>
      <c r="E4014" s="5" t="s">
        <v>158</v>
      </c>
      <c r="F4014" s="9">
        <v>25</v>
      </c>
      <c r="G4014" s="9">
        <v>258</v>
      </c>
      <c r="H4014" s="5" t="s">
        <v>21</v>
      </c>
      <c r="I4014" s="5" t="s">
        <v>9567</v>
      </c>
      <c r="J4014" s="12" t="str">
        <f>HYPERLINK("https://www.boe.es/gazeta/dias/1800/03/28/pdfs/GMD-1800-25.pdf#page=10","Abrir facsímil")</f>
        <v>Abrir facsímil</v>
      </c>
      <c r="K4014" s="15" t="s">
        <v>23</v>
      </c>
    </row>
    <row r="4015" spans="1:11" ht="42" customHeight="1">
      <c r="A4015" s="4" t="s">
        <v>9568</v>
      </c>
      <c r="B4015" s="5" t="s">
        <v>9568</v>
      </c>
      <c r="C4015" s="5" t="s">
        <v>25</v>
      </c>
      <c r="D4015" s="5" t="s">
        <v>26</v>
      </c>
      <c r="E4015" s="5" t="s">
        <v>283</v>
      </c>
      <c r="F4015" s="9">
        <v>68</v>
      </c>
      <c r="G4015" s="9">
        <v>766</v>
      </c>
      <c r="H4015" s="5" t="s">
        <v>21</v>
      </c>
      <c r="I4015" s="5" t="s">
        <v>9569</v>
      </c>
      <c r="J4015" s="12" t="str">
        <f>HYPERLINK("https://www.boe.es/gazeta/dias/1800/08/26/pdfs/GMD-1800-68.pdf#page=10","Abrir facsímil")</f>
        <v>Abrir facsímil</v>
      </c>
      <c r="K4015" s="15" t="s">
        <v>23</v>
      </c>
    </row>
    <row r="4016" spans="1:11" ht="42" customHeight="1">
      <c r="A4016" s="4" t="s">
        <v>9570</v>
      </c>
      <c r="B4016" s="5" t="s">
        <v>9571</v>
      </c>
      <c r="C4016" s="5" t="s">
        <v>41</v>
      </c>
      <c r="D4016" s="5" t="s">
        <v>42</v>
      </c>
      <c r="E4016" s="5" t="s">
        <v>491</v>
      </c>
      <c r="F4016" s="9">
        <v>29</v>
      </c>
      <c r="G4016" s="9">
        <v>294</v>
      </c>
      <c r="H4016" s="5" t="s">
        <v>21</v>
      </c>
      <c r="I4016" s="5" t="s">
        <v>9572</v>
      </c>
      <c r="J4016" s="12" t="str">
        <f>HYPERLINK("https://www.boe.es/gazeta/dias/1800/04/11/pdfs/GMD-1800-29.pdf#page=2","Abrir facsímil")</f>
        <v>Abrir facsímil</v>
      </c>
      <c r="K4016" s="15" t="s">
        <v>23</v>
      </c>
    </row>
    <row r="4017" spans="1:11" ht="42" customHeight="1">
      <c r="A4017" s="4" t="s">
        <v>9570</v>
      </c>
      <c r="B4017" s="5" t="s">
        <v>9571</v>
      </c>
      <c r="C4017" s="5" t="s">
        <v>41</v>
      </c>
      <c r="D4017" s="5" t="s">
        <v>42</v>
      </c>
      <c r="E4017" s="5" t="s">
        <v>356</v>
      </c>
      <c r="F4017" s="9">
        <v>31</v>
      </c>
      <c r="G4017" s="9">
        <v>309</v>
      </c>
      <c r="H4017" s="5" t="s">
        <v>21</v>
      </c>
      <c r="I4017" s="5" t="s">
        <v>9573</v>
      </c>
      <c r="J4017" s="12" t="str">
        <f>HYPERLINK("https://www.boe.es/gazeta/dias/1800/04/18/pdfs/GMD-1800-31.pdf#page=1","Abrir facsímil")</f>
        <v>Abrir facsímil</v>
      </c>
      <c r="K4017" s="15" t="s">
        <v>23</v>
      </c>
    </row>
    <row r="4018" spans="1:11" ht="42" customHeight="1">
      <c r="A4018" s="4" t="s">
        <v>9570</v>
      </c>
      <c r="B4018" s="5" t="s">
        <v>9571</v>
      </c>
      <c r="C4018" s="5" t="s">
        <v>18</v>
      </c>
      <c r="D4018" s="5" t="s">
        <v>19</v>
      </c>
      <c r="E4018" s="5" t="s">
        <v>248</v>
      </c>
      <c r="F4018" s="9">
        <v>33</v>
      </c>
      <c r="G4018" s="9">
        <v>327</v>
      </c>
      <c r="H4018" s="5" t="s">
        <v>21</v>
      </c>
      <c r="I4018" s="5" t="s">
        <v>9574</v>
      </c>
      <c r="J4018" s="12" t="str">
        <f>HYPERLINK("https://www.boe.es/gazeta/dias/1800/04/25/pdfs/GMD-1800-33.pdf#page=3","Abrir facsímil")</f>
        <v>Abrir facsímil</v>
      </c>
      <c r="K4018" s="15" t="s">
        <v>23</v>
      </c>
    </row>
    <row r="4019" spans="1:11" ht="42" customHeight="1">
      <c r="A4019" s="4" t="s">
        <v>9570</v>
      </c>
      <c r="B4019" s="5" t="s">
        <v>9571</v>
      </c>
      <c r="C4019" s="5" t="s">
        <v>18</v>
      </c>
      <c r="D4019" s="5" t="s">
        <v>19</v>
      </c>
      <c r="E4019" s="5" t="s">
        <v>478</v>
      </c>
      <c r="F4019" s="9">
        <v>34</v>
      </c>
      <c r="G4019" s="9">
        <v>339</v>
      </c>
      <c r="H4019" s="5" t="s">
        <v>21</v>
      </c>
      <c r="I4019" s="5" t="s">
        <v>9575</v>
      </c>
      <c r="J4019" s="12" t="str">
        <f>HYPERLINK("https://www.boe.es/gazeta/dias/1800/04/29/pdfs/GMD-1800-34.pdf#page=3","Abrir facsímil")</f>
        <v>Abrir facsímil</v>
      </c>
      <c r="K4019" s="15" t="s">
        <v>23</v>
      </c>
    </row>
    <row r="4020" spans="1:11" ht="42" customHeight="1">
      <c r="A4020" s="4" t="s">
        <v>9570</v>
      </c>
      <c r="B4020" s="5" t="s">
        <v>9571</v>
      </c>
      <c r="C4020" s="5" t="s">
        <v>41</v>
      </c>
      <c r="D4020" s="5" t="s">
        <v>42</v>
      </c>
      <c r="E4020" s="5" t="s">
        <v>184</v>
      </c>
      <c r="F4020" s="9">
        <v>82</v>
      </c>
      <c r="G4020" s="9">
        <v>944</v>
      </c>
      <c r="H4020" s="5" t="s">
        <v>21</v>
      </c>
      <c r="I4020" s="5" t="s">
        <v>9576</v>
      </c>
      <c r="J4020" s="12" t="str">
        <f>HYPERLINK("https://www.boe.es/gazeta/dias/1800/10/10/pdfs/GMD-1800-82.pdf#page=2","Abrir facsímil")</f>
        <v>Abrir facsímil</v>
      </c>
      <c r="K4020" s="15" t="s">
        <v>23</v>
      </c>
    </row>
    <row r="4021" spans="1:11" ht="42" customHeight="1">
      <c r="A4021" s="4" t="s">
        <v>9570</v>
      </c>
      <c r="B4021" s="5" t="s">
        <v>9571</v>
      </c>
      <c r="C4021" s="5" t="s">
        <v>41</v>
      </c>
      <c r="D4021" s="5" t="s">
        <v>42</v>
      </c>
      <c r="E4021" s="5" t="s">
        <v>52</v>
      </c>
      <c r="F4021" s="9">
        <v>83</v>
      </c>
      <c r="G4021" s="9">
        <v>956</v>
      </c>
      <c r="H4021" s="5" t="s">
        <v>21</v>
      </c>
      <c r="I4021" s="5" t="s">
        <v>9577</v>
      </c>
      <c r="J4021" s="12" t="str">
        <f>HYPERLINK("https://www.boe.es/gazeta/dias/1800/10/14/pdfs/GMD-1800-83.pdf#page=2","Abrir facsímil")</f>
        <v>Abrir facsímil</v>
      </c>
      <c r="K4021" s="15" t="s">
        <v>23</v>
      </c>
    </row>
    <row r="4022" spans="1:11" ht="42" customHeight="1">
      <c r="A4022" s="4" t="s">
        <v>9570</v>
      </c>
      <c r="B4022" s="5" t="s">
        <v>9571</v>
      </c>
      <c r="C4022" s="5" t="s">
        <v>41</v>
      </c>
      <c r="D4022" s="5" t="s">
        <v>42</v>
      </c>
      <c r="E4022" s="5" t="s">
        <v>147</v>
      </c>
      <c r="F4022" s="9">
        <v>84</v>
      </c>
      <c r="G4022" s="9">
        <v>970</v>
      </c>
      <c r="H4022" s="5" t="s">
        <v>21</v>
      </c>
      <c r="I4022" s="5" t="s">
        <v>9578</v>
      </c>
      <c r="J4022" s="12" t="str">
        <f>HYPERLINK("https://www.boe.es/gazeta/dias/1800/10/17/pdfs/GMD-1800-84.pdf#page=4","Abrir facsímil")</f>
        <v>Abrir facsímil</v>
      </c>
      <c r="K4022" s="15" t="s">
        <v>23</v>
      </c>
    </row>
    <row r="4023" spans="1:11" ht="42" customHeight="1">
      <c r="A4023" s="4" t="s">
        <v>9570</v>
      </c>
      <c r="B4023" s="5" t="s">
        <v>9571</v>
      </c>
      <c r="C4023" s="5" t="s">
        <v>41</v>
      </c>
      <c r="D4023" s="5" t="s">
        <v>42</v>
      </c>
      <c r="E4023" s="5" t="s">
        <v>410</v>
      </c>
      <c r="F4023" s="9">
        <v>87</v>
      </c>
      <c r="G4023" s="9">
        <v>1004</v>
      </c>
      <c r="H4023" s="5" t="s">
        <v>21</v>
      </c>
      <c r="I4023" s="5" t="s">
        <v>9579</v>
      </c>
      <c r="J4023" s="12" t="str">
        <f>HYPERLINK("https://www.boe.es/gazeta/dias/1800/10/28/pdfs/GMD-1800-87.pdf#page=2","Abrir facsímil")</f>
        <v>Abrir facsímil</v>
      </c>
      <c r="K4023" s="15" t="s">
        <v>23</v>
      </c>
    </row>
    <row r="4024" spans="1:11" ht="42" customHeight="1">
      <c r="A4024" s="4" t="s">
        <v>9570</v>
      </c>
      <c r="B4024" s="5" t="s">
        <v>9571</v>
      </c>
      <c r="C4024" s="5" t="s">
        <v>41</v>
      </c>
      <c r="D4024" s="5" t="s">
        <v>42</v>
      </c>
      <c r="E4024" s="5" t="s">
        <v>56</v>
      </c>
      <c r="F4024" s="9">
        <v>90</v>
      </c>
      <c r="G4024" s="9">
        <v>1049</v>
      </c>
      <c r="H4024" s="5" t="s">
        <v>21</v>
      </c>
      <c r="I4024" s="5" t="s">
        <v>9580</v>
      </c>
      <c r="J4024" s="12" t="str">
        <f>HYPERLINK("https://www.boe.es/gazeta/dias/1800/11/07/pdfs/GMD-1800-90.pdf#page=3","Abrir facsímil")</f>
        <v>Abrir facsímil</v>
      </c>
      <c r="K4024" s="15" t="s">
        <v>23</v>
      </c>
    </row>
    <row r="4025" spans="1:11" ht="42" customHeight="1">
      <c r="A4025" s="4" t="s">
        <v>9570</v>
      </c>
      <c r="B4025" s="5" t="s">
        <v>9571</v>
      </c>
      <c r="C4025" s="5" t="s">
        <v>41</v>
      </c>
      <c r="D4025" s="5" t="s">
        <v>42</v>
      </c>
      <c r="E4025" s="5" t="s">
        <v>203</v>
      </c>
      <c r="F4025" s="9">
        <v>94</v>
      </c>
      <c r="G4025" s="9">
        <v>1073</v>
      </c>
      <c r="H4025" s="5" t="s">
        <v>21</v>
      </c>
      <c r="I4025" s="5" t="s">
        <v>9581</v>
      </c>
      <c r="J4025" s="12" t="str">
        <f>HYPERLINK("https://www.boe.es/gazeta/dias/1800/11/21/pdfs/GMD-1800-94.pdf#page=3","Abrir facsímil")</f>
        <v>Abrir facsímil</v>
      </c>
      <c r="K4025" s="15" t="s">
        <v>23</v>
      </c>
    </row>
    <row r="4026" spans="1:11" ht="42" customHeight="1">
      <c r="A4026" s="4" t="s">
        <v>9570</v>
      </c>
      <c r="B4026" s="5" t="s">
        <v>9571</v>
      </c>
      <c r="C4026" s="5" t="s">
        <v>41</v>
      </c>
      <c r="D4026" s="5" t="s">
        <v>42</v>
      </c>
      <c r="E4026" s="5" t="s">
        <v>615</v>
      </c>
      <c r="F4026" s="9">
        <v>95</v>
      </c>
      <c r="G4026" s="9">
        <v>1084</v>
      </c>
      <c r="H4026" s="5" t="s">
        <v>21</v>
      </c>
      <c r="I4026" s="5" t="s">
        <v>9582</v>
      </c>
      <c r="J4026" s="12" t="str">
        <f>HYPERLINK("https://www.boe.es/gazeta/dias/1800/11/25/pdfs/GMD-1800-95.pdf#page=2","Abrir facsímil")</f>
        <v>Abrir facsímil</v>
      </c>
      <c r="K4026" s="15" t="s">
        <v>23</v>
      </c>
    </row>
    <row r="4027" spans="1:11" ht="42" customHeight="1">
      <c r="A4027" s="4" t="s">
        <v>9570</v>
      </c>
      <c r="B4027" s="5" t="s">
        <v>9571</v>
      </c>
      <c r="C4027" s="5" t="s">
        <v>41</v>
      </c>
      <c r="D4027" s="5" t="s">
        <v>42</v>
      </c>
      <c r="E4027" s="5" t="s">
        <v>196</v>
      </c>
      <c r="F4027" s="9">
        <v>97</v>
      </c>
      <c r="G4027" s="9">
        <v>1112</v>
      </c>
      <c r="H4027" s="5" t="s">
        <v>21</v>
      </c>
      <c r="I4027" s="5" t="s">
        <v>9583</v>
      </c>
      <c r="J4027" s="12" t="str">
        <f>HYPERLINK("https://www.boe.es/gazeta/dias/1800/12/02/pdfs/GMD-1800-97.pdf#page=4","Abrir facsímil")</f>
        <v>Abrir facsímil</v>
      </c>
      <c r="K4027" s="15" t="s">
        <v>23</v>
      </c>
    </row>
    <row r="4028" spans="1:11" ht="42" customHeight="1">
      <c r="A4028" s="4" t="s">
        <v>9570</v>
      </c>
      <c r="B4028" s="5" t="s">
        <v>9571</v>
      </c>
      <c r="C4028" s="5" t="s">
        <v>41</v>
      </c>
      <c r="D4028" s="5" t="s">
        <v>42</v>
      </c>
      <c r="E4028" s="5" t="s">
        <v>534</v>
      </c>
      <c r="F4028" s="9">
        <v>100</v>
      </c>
      <c r="G4028" s="9">
        <v>1151</v>
      </c>
      <c r="H4028" s="5" t="s">
        <v>21</v>
      </c>
      <c r="I4028" s="5" t="s">
        <v>9584</v>
      </c>
      <c r="J4028" s="12" t="str">
        <f>HYPERLINK("https://www.boe.es/gazeta/dias/1800/12/12/pdfs/GMD-1800-100.pdf#page=3","Abrir facsímil")</f>
        <v>Abrir facsímil</v>
      </c>
      <c r="K4028" s="15" t="s">
        <v>23</v>
      </c>
    </row>
    <row r="4029" spans="1:11" ht="42" customHeight="1">
      <c r="A4029" s="4" t="s">
        <v>9570</v>
      </c>
      <c r="B4029" s="5" t="s">
        <v>9571</v>
      </c>
      <c r="C4029" s="5" t="s">
        <v>41</v>
      </c>
      <c r="D4029" s="5" t="s">
        <v>42</v>
      </c>
      <c r="E4029" s="5" t="s">
        <v>279</v>
      </c>
      <c r="F4029" s="9">
        <v>103</v>
      </c>
      <c r="G4029" s="9">
        <v>1191</v>
      </c>
      <c r="H4029" s="5" t="s">
        <v>21</v>
      </c>
      <c r="I4029" s="5" t="s">
        <v>9585</v>
      </c>
      <c r="J4029" s="12" t="str">
        <f>HYPERLINK("https://www.boe.es/gazeta/dias/1800/12/23/pdfs/GMD-1800-103.pdf#page=3","Abrir facsímil")</f>
        <v>Abrir facsímil</v>
      </c>
      <c r="K4029" s="15" t="s">
        <v>23</v>
      </c>
    </row>
    <row r="4030" spans="1:11" ht="42" customHeight="1">
      <c r="A4030" s="4" t="s">
        <v>9570</v>
      </c>
      <c r="B4030" s="5" t="s">
        <v>9571</v>
      </c>
      <c r="C4030" s="5" t="s">
        <v>18</v>
      </c>
      <c r="D4030" s="5" t="s">
        <v>19</v>
      </c>
      <c r="E4030" s="5" t="s">
        <v>60</v>
      </c>
      <c r="F4030" s="9">
        <v>105</v>
      </c>
      <c r="G4030" s="9">
        <v>1220</v>
      </c>
      <c r="H4030" s="5" t="s">
        <v>21</v>
      </c>
      <c r="I4030" s="5" t="s">
        <v>9586</v>
      </c>
      <c r="J4030" s="12" t="str">
        <f>HYPERLINK("https://www.boe.es/gazeta/dias/1800/12/30/pdfs/GMD-1800-105.pdf#page=4","Abrir facsímil")</f>
        <v>Abrir facsímil</v>
      </c>
      <c r="K4030" s="15" t="s">
        <v>23</v>
      </c>
    </row>
    <row r="4031" spans="1:11" ht="42" customHeight="1">
      <c r="A4031" s="4" t="s">
        <v>9570</v>
      </c>
      <c r="B4031" s="5" t="s">
        <v>9571</v>
      </c>
      <c r="C4031" s="5" t="s">
        <v>41</v>
      </c>
      <c r="D4031" s="5" t="s">
        <v>42</v>
      </c>
      <c r="E4031" s="5" t="s">
        <v>60</v>
      </c>
      <c r="F4031" s="9">
        <v>105</v>
      </c>
      <c r="G4031" s="9">
        <v>1223</v>
      </c>
      <c r="H4031" s="5" t="s">
        <v>21</v>
      </c>
      <c r="I4031" s="5" t="s">
        <v>9587</v>
      </c>
      <c r="J4031" s="12" t="str">
        <f>HYPERLINK("https://www.boe.es/gazeta/dias/1800/12/30/pdfs/GMD-1800-105.pdf#page=7","Abrir facsímil")</f>
        <v>Abrir facsímil</v>
      </c>
      <c r="K4031" s="15" t="s">
        <v>23</v>
      </c>
    </row>
    <row r="4032" spans="1:11" ht="42" customHeight="1">
      <c r="A4032" s="4" t="s">
        <v>9588</v>
      </c>
      <c r="B4032" s="5" t="s">
        <v>9589</v>
      </c>
      <c r="C4032" s="5" t="s">
        <v>41</v>
      </c>
      <c r="D4032" s="5" t="s">
        <v>42</v>
      </c>
      <c r="E4032" s="5" t="s">
        <v>48</v>
      </c>
      <c r="F4032" s="9">
        <v>66</v>
      </c>
      <c r="G4032" s="9">
        <v>741</v>
      </c>
      <c r="H4032" s="5" t="s">
        <v>21</v>
      </c>
      <c r="I4032" s="5" t="s">
        <v>9590</v>
      </c>
      <c r="J4032" s="12" t="str">
        <f>HYPERLINK("https://www.boe.es/gazeta/dias/1800/08/19/pdfs/GMD-1800-66.pdf#page=5","Abrir facsímil")</f>
        <v>Abrir facsímil</v>
      </c>
      <c r="K4032" s="15" t="s">
        <v>23</v>
      </c>
    </row>
    <row r="4033" spans="1:11" ht="42" customHeight="1">
      <c r="A4033" s="4" t="s">
        <v>9591</v>
      </c>
      <c r="B4033" s="5" t="s">
        <v>9591</v>
      </c>
      <c r="C4033" s="5" t="s">
        <v>171</v>
      </c>
      <c r="D4033" s="5" t="s">
        <v>172</v>
      </c>
      <c r="E4033" s="5" t="s">
        <v>461</v>
      </c>
      <c r="F4033" s="9">
        <v>18</v>
      </c>
      <c r="G4033" s="9">
        <v>175</v>
      </c>
      <c r="H4033" s="5" t="s">
        <v>21</v>
      </c>
      <c r="I4033" s="5" t="s">
        <v>9592</v>
      </c>
      <c r="J4033" s="12" t="str">
        <f>HYPERLINK("https://www.boe.es/datos/pdfs/BOE//1800/018/C00173-00176.pdf#page=3","Abrir facsímil")</f>
        <v>Abrir facsímil</v>
      </c>
      <c r="K4033" s="15" t="s">
        <v>23</v>
      </c>
    </row>
    <row r="4034" spans="1:11" ht="42" customHeight="1">
      <c r="A4034" s="4" t="s">
        <v>9593</v>
      </c>
      <c r="B4034" s="5" t="s">
        <v>9593</v>
      </c>
      <c r="C4034" s="5" t="s">
        <v>54</v>
      </c>
      <c r="D4034" s="5" t="s">
        <v>55</v>
      </c>
      <c r="E4034" s="5" t="s">
        <v>420</v>
      </c>
      <c r="F4034" s="9">
        <v>38</v>
      </c>
      <c r="G4034" s="9">
        <v>390</v>
      </c>
      <c r="H4034" s="5" t="s">
        <v>21</v>
      </c>
      <c r="I4034" s="5" t="s">
        <v>9594</v>
      </c>
      <c r="J4034" s="12" t="str">
        <f>HYPERLINK("https://www.boe.es/gazeta/dias/1800/05/13/pdfs/GMD-1800-38.pdf#page=10","Abrir facsímil")</f>
        <v>Abrir facsímil</v>
      </c>
      <c r="K4034" s="15" t="s">
        <v>23</v>
      </c>
    </row>
    <row r="4035" spans="1:11" ht="42" customHeight="1">
      <c r="A4035" s="4" t="s">
        <v>9595</v>
      </c>
      <c r="B4035" s="5" t="s">
        <v>9595</v>
      </c>
      <c r="C4035" s="5" t="s">
        <v>171</v>
      </c>
      <c r="D4035" s="5" t="s">
        <v>172</v>
      </c>
      <c r="E4035" s="5" t="s">
        <v>120</v>
      </c>
      <c r="F4035" s="9">
        <v>52</v>
      </c>
      <c r="G4035" s="9">
        <v>577</v>
      </c>
      <c r="H4035" s="5" t="s">
        <v>21</v>
      </c>
      <c r="I4035" s="5" t="s">
        <v>9596</v>
      </c>
      <c r="J4035" s="12" t="str">
        <f>HYPERLINK("https://www.boe.es/gazeta/dias/1800/07/01/pdfs/GMD-C-1800-52.pdf#page=1","Abrir facsímil")</f>
        <v>Abrir facsímil</v>
      </c>
      <c r="K4035" s="15" t="s">
        <v>23</v>
      </c>
    </row>
    <row r="4036" spans="1:11" ht="42" customHeight="1">
      <c r="A4036" s="4" t="s">
        <v>9597</v>
      </c>
      <c r="B4036" s="5" t="s">
        <v>9598</v>
      </c>
      <c r="C4036" s="5" t="s">
        <v>207</v>
      </c>
      <c r="D4036" s="5" t="s">
        <v>55</v>
      </c>
      <c r="E4036" s="5" t="s">
        <v>465</v>
      </c>
      <c r="F4036" s="9">
        <v>49</v>
      </c>
      <c r="G4036" s="9">
        <v>532</v>
      </c>
      <c r="H4036" s="5" t="s">
        <v>21</v>
      </c>
      <c r="I4036" s="5" t="s">
        <v>9599</v>
      </c>
      <c r="J4036" s="12" t="str">
        <f>HYPERLINK("https://www.boe.es/gazeta/dias/1800/06/20/pdfs/GMD-1800-49.pdf#page=8","Abrir facsímil")</f>
        <v>Abrir facsímil</v>
      </c>
      <c r="K4036" s="15" t="s">
        <v>23</v>
      </c>
    </row>
    <row r="4037" spans="1:11" ht="42" customHeight="1">
      <c r="A4037" s="4" t="s">
        <v>9600</v>
      </c>
      <c r="B4037" s="5" t="s">
        <v>9600</v>
      </c>
      <c r="C4037" s="5" t="s">
        <v>84</v>
      </c>
      <c r="D4037" s="5" t="s">
        <v>85</v>
      </c>
      <c r="E4037" s="5" t="s">
        <v>176</v>
      </c>
      <c r="F4037" s="9">
        <v>88</v>
      </c>
      <c r="G4037" s="9">
        <v>1034</v>
      </c>
      <c r="H4037" s="5" t="s">
        <v>21</v>
      </c>
      <c r="I4037" s="5" t="s">
        <v>9601</v>
      </c>
      <c r="J4037" s="12" t="str">
        <f>HYPERLINK("https://www.boe.es/gazeta/dias/1800/10/31/pdfs/GMD-1800-88.pdf#page=16","Abrir facsímil")</f>
        <v>Abrir facsímil</v>
      </c>
      <c r="K4037" s="15" t="s">
        <v>23</v>
      </c>
    </row>
    <row r="4038" spans="1:11" ht="42" customHeight="1">
      <c r="A4038" s="4" t="s">
        <v>9602</v>
      </c>
      <c r="B4038" s="5" t="s">
        <v>9603</v>
      </c>
      <c r="C4038" s="5" t="s">
        <v>18</v>
      </c>
      <c r="D4038" s="5" t="s">
        <v>19</v>
      </c>
      <c r="E4038" s="5" t="s">
        <v>56</v>
      </c>
      <c r="F4038" s="9">
        <v>90</v>
      </c>
      <c r="G4038" s="9">
        <v>1056</v>
      </c>
      <c r="H4038" s="5" t="s">
        <v>21</v>
      </c>
      <c r="I4038" s="5" t="s">
        <v>9604</v>
      </c>
      <c r="J4038" s="12" t="str">
        <f>HYPERLINK("https://www.boe.es/gazeta/dias/1800/11/07/pdfs/GMD-1800-90.pdf#page=10","Abrir facsímil")</f>
        <v>Abrir facsímil</v>
      </c>
      <c r="K4038" s="15" t="s">
        <v>23</v>
      </c>
    </row>
    <row r="4039" spans="1:11" ht="42" customHeight="1">
      <c r="A4039" s="4" t="s">
        <v>9602</v>
      </c>
      <c r="B4039" s="5" t="s">
        <v>9603</v>
      </c>
      <c r="C4039" s="5" t="s">
        <v>18</v>
      </c>
      <c r="D4039" s="5" t="s">
        <v>19</v>
      </c>
      <c r="E4039" s="5" t="s">
        <v>534</v>
      </c>
      <c r="F4039" s="9">
        <v>100</v>
      </c>
      <c r="G4039" s="9">
        <v>1160</v>
      </c>
      <c r="H4039" s="5" t="s">
        <v>21</v>
      </c>
      <c r="I4039" s="5" t="s">
        <v>9605</v>
      </c>
      <c r="J4039" s="12" t="str">
        <f>HYPERLINK("https://www.boe.es/gazeta/dias/1800/12/12/pdfs/GMD-1800-100.pdf#page=12","Abrir facsímil")</f>
        <v>Abrir facsímil</v>
      </c>
      <c r="K4039" s="15" t="s">
        <v>23</v>
      </c>
    </row>
    <row r="4040" spans="1:11" ht="42" customHeight="1">
      <c r="A4040" s="4" t="s">
        <v>9606</v>
      </c>
      <c r="B4040" s="5" t="s">
        <v>9606</v>
      </c>
      <c r="C4040" s="5" t="s">
        <v>41</v>
      </c>
      <c r="D4040" s="5" t="s">
        <v>42</v>
      </c>
      <c r="E4040" s="5" t="s">
        <v>39</v>
      </c>
      <c r="F4040" s="9">
        <v>43</v>
      </c>
      <c r="G4040" s="9">
        <v>441</v>
      </c>
      <c r="H4040" s="5" t="s">
        <v>21</v>
      </c>
      <c r="I4040" s="5" t="s">
        <v>6162</v>
      </c>
      <c r="J4040" s="12" t="str">
        <f>HYPERLINK("https://www.boe.es/gazeta/dias/1800/05/30/pdfs/GMD-1800-43.pdf#page=1","Abrir facsímil")</f>
        <v>Abrir facsímil</v>
      </c>
      <c r="K4040" s="15" t="s">
        <v>23</v>
      </c>
    </row>
    <row r="4041" spans="1:11" ht="42" customHeight="1">
      <c r="A4041" s="4" t="s">
        <v>9607</v>
      </c>
      <c r="B4041" s="5" t="s">
        <v>9607</v>
      </c>
      <c r="C4041" s="5" t="s">
        <v>207</v>
      </c>
      <c r="D4041" s="5" t="s">
        <v>55</v>
      </c>
      <c r="E4041" s="5" t="s">
        <v>88</v>
      </c>
      <c r="F4041" s="9">
        <v>23</v>
      </c>
      <c r="G4041" s="9">
        <v>234</v>
      </c>
      <c r="H4041" s="5" t="s">
        <v>21</v>
      </c>
      <c r="I4041" s="5" t="s">
        <v>9608</v>
      </c>
      <c r="J4041" s="12" t="str">
        <f>HYPERLINK("https://www.boe.es/gazeta/dias/1800/03/21/pdfs/GMD-1800-23.pdf#page=10","Abrir facsímil")</f>
        <v>Abrir facsímil</v>
      </c>
      <c r="K4041" s="15" t="s">
        <v>23</v>
      </c>
    </row>
    <row r="4042" spans="1:11" ht="42" customHeight="1">
      <c r="A4042" s="4" t="s">
        <v>9609</v>
      </c>
      <c r="B4042" s="5" t="s">
        <v>9609</v>
      </c>
      <c r="C4042" s="5" t="s">
        <v>54</v>
      </c>
      <c r="D4042" s="5" t="s">
        <v>55</v>
      </c>
      <c r="E4042" s="5" t="s">
        <v>79</v>
      </c>
      <c r="F4042" s="9">
        <v>7</v>
      </c>
      <c r="G4042" s="9">
        <v>67</v>
      </c>
      <c r="H4042" s="5" t="s">
        <v>21</v>
      </c>
      <c r="I4042" s="5" t="s">
        <v>9610</v>
      </c>
      <c r="J4042" s="12" t="str">
        <f>HYPERLINK("https://www.boe.es/gazeta/dias/1800/01/24/pdfs/GMD-1800-7.pdf#page=7","Abrir facsímil")</f>
        <v>Abrir facsímil</v>
      </c>
      <c r="K4042" s="15" t="s">
        <v>23</v>
      </c>
    </row>
    <row r="4043" spans="1:11" ht="42" customHeight="1">
      <c r="A4043" s="4" t="s">
        <v>9611</v>
      </c>
      <c r="B4043" s="5" t="s">
        <v>9611</v>
      </c>
      <c r="C4043" s="5" t="s">
        <v>114</v>
      </c>
      <c r="D4043" s="5" t="s">
        <v>115</v>
      </c>
      <c r="E4043" s="5" t="s">
        <v>116</v>
      </c>
      <c r="F4043" s="9">
        <v>86</v>
      </c>
      <c r="G4043" s="9" t="s">
        <v>117</v>
      </c>
      <c r="H4043" s="5" t="s">
        <v>21</v>
      </c>
      <c r="I4043" s="5" t="s">
        <v>9612</v>
      </c>
      <c r="J4043" s="12" t="str">
        <f>HYPERLINK("https://www.boe.es/gazeta/dias/1800/10/24/pdfs/GMD-D-1800-86.pdf#page=3","Abrir facsímil")</f>
        <v>Abrir facsímil</v>
      </c>
      <c r="K4043" s="15" t="s">
        <v>23</v>
      </c>
    </row>
    <row r="4044" spans="1:11" ht="42" customHeight="1">
      <c r="A4044" s="4" t="s">
        <v>9613</v>
      </c>
      <c r="B4044" s="5" t="s">
        <v>9613</v>
      </c>
      <c r="C4044" s="5" t="s">
        <v>18</v>
      </c>
      <c r="D4044" s="5" t="s">
        <v>19</v>
      </c>
      <c r="E4044" s="5" t="s">
        <v>196</v>
      </c>
      <c r="F4044" s="9">
        <v>97</v>
      </c>
      <c r="G4044" s="9">
        <v>1117</v>
      </c>
      <c r="H4044" s="5" t="s">
        <v>21</v>
      </c>
      <c r="I4044" s="5" t="s">
        <v>9614</v>
      </c>
      <c r="J4044" s="12" t="str">
        <f>HYPERLINK("https://www.boe.es/gazeta/dias/1800/12/02/pdfs/GMD-1800-97.pdf#page=9","Abrir facsímil")</f>
        <v>Abrir facsímil</v>
      </c>
      <c r="K4044" s="15" t="s">
        <v>23</v>
      </c>
    </row>
    <row r="4045" spans="1:11" ht="42" customHeight="1">
      <c r="A4045" s="4" t="s">
        <v>9615</v>
      </c>
      <c r="B4045" s="5" t="s">
        <v>9615</v>
      </c>
      <c r="C4045" s="5" t="s">
        <v>18</v>
      </c>
      <c r="D4045" s="5" t="s">
        <v>19</v>
      </c>
      <c r="E4045" s="5" t="s">
        <v>135</v>
      </c>
      <c r="F4045" s="9">
        <v>73</v>
      </c>
      <c r="G4045" s="9">
        <v>816</v>
      </c>
      <c r="H4045" s="5" t="s">
        <v>21</v>
      </c>
      <c r="I4045" s="5" t="s">
        <v>9616</v>
      </c>
      <c r="J4045" s="12" t="str">
        <f>HYPERLINK("https://www.boe.es/gazeta/dias/1800/09/09/pdfs/GMD-1800-73.pdf#page=10","Abrir facsímil")</f>
        <v>Abrir facsímil</v>
      </c>
      <c r="K4045" s="15" t="s">
        <v>23</v>
      </c>
    </row>
    <row r="4046" spans="1:11" ht="42" customHeight="1">
      <c r="A4046" s="4" t="s">
        <v>9617</v>
      </c>
      <c r="B4046" s="5" t="s">
        <v>9617</v>
      </c>
      <c r="C4046" s="5" t="s">
        <v>41</v>
      </c>
      <c r="D4046" s="5" t="s">
        <v>42</v>
      </c>
      <c r="E4046" s="5" t="s">
        <v>88</v>
      </c>
      <c r="F4046" s="9">
        <v>23</v>
      </c>
      <c r="G4046" s="9">
        <v>230</v>
      </c>
      <c r="H4046" s="5" t="s">
        <v>21</v>
      </c>
      <c r="I4046" s="5" t="s">
        <v>9618</v>
      </c>
      <c r="J4046" s="12" t="str">
        <f>HYPERLINK("https://www.boe.es/gazeta/dias/1800/03/21/pdfs/GMD-1800-23.pdf#page=6","Abrir facsímil")</f>
        <v>Abrir facsímil</v>
      </c>
      <c r="K4046" s="15" t="s">
        <v>23</v>
      </c>
    </row>
    <row r="4047" spans="1:11" ht="42" customHeight="1">
      <c r="A4047" s="4" t="s">
        <v>9619</v>
      </c>
      <c r="B4047" s="5" t="s">
        <v>9620</v>
      </c>
      <c r="C4047" s="5" t="s">
        <v>84</v>
      </c>
      <c r="D4047" s="5" t="s">
        <v>85</v>
      </c>
      <c r="E4047" s="5" t="s">
        <v>176</v>
      </c>
      <c r="F4047" s="9">
        <v>88</v>
      </c>
      <c r="G4047" s="9">
        <v>1034</v>
      </c>
      <c r="H4047" s="5" t="s">
        <v>21</v>
      </c>
      <c r="I4047" s="5" t="s">
        <v>9621</v>
      </c>
      <c r="J4047" s="12" t="str">
        <f>HYPERLINK("https://www.boe.es/gazeta/dias/1800/10/31/pdfs/GMD-1800-88.pdf#page=16","Abrir facsímil")</f>
        <v>Abrir facsímil</v>
      </c>
      <c r="K4047" s="15" t="s">
        <v>23</v>
      </c>
    </row>
    <row r="4048" spans="1:11" ht="42" customHeight="1">
      <c r="A4048" s="4" t="s">
        <v>9622</v>
      </c>
      <c r="B4048" s="5" t="s">
        <v>9623</v>
      </c>
      <c r="C4048" s="5" t="s">
        <v>18</v>
      </c>
      <c r="D4048" s="5" t="s">
        <v>19</v>
      </c>
      <c r="E4048" s="5" t="s">
        <v>595</v>
      </c>
      <c r="F4048" s="9">
        <v>72</v>
      </c>
      <c r="G4048" s="9">
        <v>797</v>
      </c>
      <c r="H4048" s="5" t="s">
        <v>21</v>
      </c>
      <c r="I4048" s="5" t="s">
        <v>9624</v>
      </c>
      <c r="J4048" s="12" t="str">
        <f>HYPERLINK("https://www.boe.es/gazeta/dias/1800/09/05/pdfs/GMD-1800-72.pdf#page=7","Abrir facsímil")</f>
        <v>Abrir facsímil</v>
      </c>
      <c r="K4048" s="15" t="s">
        <v>23</v>
      </c>
    </row>
    <row r="4049" spans="1:11" ht="42" customHeight="1">
      <c r="A4049" s="4" t="s">
        <v>9625</v>
      </c>
      <c r="B4049" s="5" t="s">
        <v>9626</v>
      </c>
      <c r="C4049" s="5" t="s">
        <v>207</v>
      </c>
      <c r="D4049" s="5" t="s">
        <v>55</v>
      </c>
      <c r="E4049" s="5" t="s">
        <v>184</v>
      </c>
      <c r="F4049" s="9">
        <v>82</v>
      </c>
      <c r="G4049" s="9">
        <v>950</v>
      </c>
      <c r="H4049" s="5" t="s">
        <v>21</v>
      </c>
      <c r="I4049" s="5" t="s">
        <v>9627</v>
      </c>
      <c r="J4049" s="12" t="str">
        <f>HYPERLINK("https://www.boe.es/gazeta/dias/1800/10/10/pdfs/GMD-1800-82.pdf#page=8","Abrir facsímil")</f>
        <v>Abrir facsímil</v>
      </c>
      <c r="K4049" s="15" t="s">
        <v>23</v>
      </c>
    </row>
    <row r="4050" spans="1:11" ht="42" customHeight="1">
      <c r="A4050" s="4" t="s">
        <v>9628</v>
      </c>
      <c r="B4050" s="5" t="s">
        <v>9628</v>
      </c>
      <c r="C4050" s="5" t="s">
        <v>25</v>
      </c>
      <c r="D4050" s="5" t="s">
        <v>26</v>
      </c>
      <c r="E4050" s="5" t="s">
        <v>45</v>
      </c>
      <c r="F4050" s="9">
        <v>47</v>
      </c>
      <c r="G4050" s="9">
        <v>502</v>
      </c>
      <c r="H4050" s="5" t="s">
        <v>21</v>
      </c>
      <c r="I4050" s="5" t="s">
        <v>9629</v>
      </c>
      <c r="J4050" s="12" t="str">
        <f>HYPERLINK("https://www.boe.es/gazeta/dias/1800/06/13/pdfs/GMD-1800-47.pdf#page=10","Abrir facsímil")</f>
        <v>Abrir facsímil</v>
      </c>
      <c r="K4050" s="15" t="s">
        <v>23</v>
      </c>
    </row>
    <row r="4051" spans="1:11" ht="42" customHeight="1">
      <c r="A4051" s="4" t="s">
        <v>9630</v>
      </c>
      <c r="B4051" s="5" t="s">
        <v>9630</v>
      </c>
      <c r="C4051" s="5" t="s">
        <v>18</v>
      </c>
      <c r="D4051" s="5" t="s">
        <v>19</v>
      </c>
      <c r="E4051" s="5" t="s">
        <v>595</v>
      </c>
      <c r="F4051" s="9">
        <v>72</v>
      </c>
      <c r="G4051" s="9">
        <v>797</v>
      </c>
      <c r="H4051" s="5" t="s">
        <v>21</v>
      </c>
      <c r="I4051" s="5" t="s">
        <v>9631</v>
      </c>
      <c r="J4051" s="12" t="str">
        <f>HYPERLINK("https://www.boe.es/gazeta/dias/1800/09/05/pdfs/GMD-1800-72.pdf#page=7","Abrir facsímil")</f>
        <v>Abrir facsímil</v>
      </c>
      <c r="K4051" s="15" t="s">
        <v>23</v>
      </c>
    </row>
    <row r="4052" spans="1:11" ht="42" customHeight="1">
      <c r="A4052" s="4" t="s">
        <v>9632</v>
      </c>
      <c r="B4052" s="5" t="s">
        <v>9632</v>
      </c>
      <c r="C4052" s="5" t="s">
        <v>114</v>
      </c>
      <c r="D4052" s="5" t="s">
        <v>115</v>
      </c>
      <c r="E4052" s="5" t="s">
        <v>116</v>
      </c>
      <c r="F4052" s="9">
        <v>86</v>
      </c>
      <c r="G4052" s="9" t="s">
        <v>1501</v>
      </c>
      <c r="H4052" s="5" t="s">
        <v>21</v>
      </c>
      <c r="I4052" s="5" t="s">
        <v>9633</v>
      </c>
      <c r="J4052" s="12" t="str">
        <f>HYPERLINK("https://www.boe.es/gazeta/dias/1800/10/24/pdfs/GMD-D-1800-86.pdf#page=2","Abrir facsímil")</f>
        <v>Abrir facsímil</v>
      </c>
      <c r="K4052" s="15" t="s">
        <v>23</v>
      </c>
    </row>
    <row r="4053" spans="1:11" ht="42" customHeight="1">
      <c r="A4053" s="4" t="s">
        <v>9634</v>
      </c>
      <c r="B4053" s="5" t="s">
        <v>9634</v>
      </c>
      <c r="C4053" s="5" t="s">
        <v>41</v>
      </c>
      <c r="D4053" s="5" t="s">
        <v>42</v>
      </c>
      <c r="E4053" s="5" t="s">
        <v>154</v>
      </c>
      <c r="F4053" s="9">
        <v>61</v>
      </c>
      <c r="G4053" s="9">
        <v>690</v>
      </c>
      <c r="H4053" s="5" t="s">
        <v>21</v>
      </c>
      <c r="I4053" s="5" t="s">
        <v>8758</v>
      </c>
      <c r="J4053" s="12" t="str">
        <f>HYPERLINK("https://www.boe.es/gazeta/dias/1800/08/01/pdfs/GMD-1800-61.pdf#page=2","Abrir facsímil")</f>
        <v>Abrir facsímil</v>
      </c>
      <c r="K4053" s="15" t="s">
        <v>23</v>
      </c>
    </row>
    <row r="4054" spans="1:11" ht="42" customHeight="1">
      <c r="A4054" s="4" t="s">
        <v>9635</v>
      </c>
      <c r="B4054" s="5" t="s">
        <v>9636</v>
      </c>
      <c r="C4054" s="5" t="s">
        <v>41</v>
      </c>
      <c r="D4054" s="5" t="s">
        <v>42</v>
      </c>
      <c r="E4054" s="5" t="s">
        <v>319</v>
      </c>
      <c r="F4054" s="9">
        <v>62</v>
      </c>
      <c r="G4054" s="9">
        <v>701</v>
      </c>
      <c r="H4054" s="5" t="s">
        <v>21</v>
      </c>
      <c r="I4054" s="5" t="s">
        <v>9637</v>
      </c>
      <c r="J4054" s="12" t="str">
        <f>HYPERLINK("https://www.boe.es/gazeta/dias/1800/08/05/pdfs/GMD-1800-62.pdf#page=1","Abrir facsímil")</f>
        <v>Abrir facsímil</v>
      </c>
      <c r="K4054" s="15" t="s">
        <v>23</v>
      </c>
    </row>
    <row r="4055" spans="1:11" ht="42" customHeight="1">
      <c r="A4055" s="4" t="s">
        <v>9638</v>
      </c>
      <c r="B4055" s="5" t="s">
        <v>9639</v>
      </c>
      <c r="C4055" s="5" t="s">
        <v>25</v>
      </c>
      <c r="D4055" s="5" t="s">
        <v>26</v>
      </c>
      <c r="E4055" s="5" t="s">
        <v>131</v>
      </c>
      <c r="F4055" s="9">
        <v>8</v>
      </c>
      <c r="G4055" s="9">
        <v>74</v>
      </c>
      <c r="H4055" s="5" t="s">
        <v>21</v>
      </c>
      <c r="I4055" s="5" t="s">
        <v>9640</v>
      </c>
      <c r="J4055" s="12" t="str">
        <f>HYPERLINK("https://www.boe.es/gazeta/dias/1800/01/28/pdfs/GMD-1800-8.pdf#page=6","Abrir facsímil")</f>
        <v>Abrir facsímil</v>
      </c>
      <c r="K4055" s="15" t="s">
        <v>23</v>
      </c>
    </row>
    <row r="4056" spans="1:11" ht="42" customHeight="1">
      <c r="A4056" s="4" t="s">
        <v>9638</v>
      </c>
      <c r="B4056" s="5" t="s">
        <v>9639</v>
      </c>
      <c r="C4056" s="5" t="s">
        <v>41</v>
      </c>
      <c r="D4056" s="5" t="s">
        <v>42</v>
      </c>
      <c r="E4056" s="5" t="s">
        <v>2338</v>
      </c>
      <c r="F4056" s="9">
        <v>42</v>
      </c>
      <c r="G4056" s="9">
        <v>432</v>
      </c>
      <c r="H4056" s="5" t="s">
        <v>21</v>
      </c>
      <c r="I4056" s="5" t="s">
        <v>9641</v>
      </c>
      <c r="J4056" s="12" t="str">
        <f>HYPERLINK("https://www.boe.es/gazeta/dias/1800/05/27/pdfs/GMD-1800-42.pdf#page=4","Abrir facsímil")</f>
        <v>Abrir facsímil</v>
      </c>
      <c r="K4056" s="15" t="s">
        <v>23</v>
      </c>
    </row>
    <row r="4057" spans="1:11" ht="42" customHeight="1">
      <c r="A4057" s="4" t="s">
        <v>9642</v>
      </c>
      <c r="B4057" s="5" t="s">
        <v>9643</v>
      </c>
      <c r="C4057" s="5" t="s">
        <v>18</v>
      </c>
      <c r="D4057" s="5" t="s">
        <v>19</v>
      </c>
      <c r="E4057" s="5" t="s">
        <v>530</v>
      </c>
      <c r="F4057" s="9">
        <v>55</v>
      </c>
      <c r="G4057" s="9">
        <v>619</v>
      </c>
      <c r="H4057" s="5" t="s">
        <v>21</v>
      </c>
      <c r="I4057" s="5" t="s">
        <v>9644</v>
      </c>
      <c r="J4057" s="12" t="str">
        <f>HYPERLINK("https://www.boe.es/gazeta/dias/1800/07/11/pdfs/GMD-1800-55.pdf#page=7","Abrir facsímil")</f>
        <v>Abrir facsímil</v>
      </c>
      <c r="K4057" s="15" t="s">
        <v>23</v>
      </c>
    </row>
    <row r="4058" spans="1:11" ht="42" customHeight="1">
      <c r="A4058" s="4" t="s">
        <v>9645</v>
      </c>
      <c r="B4058" s="5" t="s">
        <v>9646</v>
      </c>
      <c r="C4058" s="5" t="s">
        <v>41</v>
      </c>
      <c r="D4058" s="5" t="s">
        <v>42</v>
      </c>
      <c r="E4058" s="5" t="s">
        <v>120</v>
      </c>
      <c r="F4058" s="9">
        <v>52</v>
      </c>
      <c r="G4058" s="9">
        <v>565</v>
      </c>
      <c r="H4058" s="5" t="s">
        <v>21</v>
      </c>
      <c r="I4058" s="5" t="s">
        <v>9647</v>
      </c>
      <c r="J4058" s="12" t="str">
        <f>HYPERLINK("https://www.boe.es/gazeta/dias/1800/07/01/pdfs/GMD-1800-52.pdf#page=1","Abrir facsímil")</f>
        <v>Abrir facsímil</v>
      </c>
      <c r="K4058" s="15" t="s">
        <v>23</v>
      </c>
    </row>
    <row r="4059" spans="1:11" ht="42" customHeight="1">
      <c r="A4059" s="4" t="s">
        <v>9648</v>
      </c>
      <c r="B4059" s="5" t="s">
        <v>9648</v>
      </c>
      <c r="C4059" s="5" t="s">
        <v>18</v>
      </c>
      <c r="D4059" s="5" t="s">
        <v>19</v>
      </c>
      <c r="E4059" s="5" t="s">
        <v>255</v>
      </c>
      <c r="F4059" s="9">
        <v>75</v>
      </c>
      <c r="G4059" s="9">
        <v>849</v>
      </c>
      <c r="H4059" s="5" t="s">
        <v>21</v>
      </c>
      <c r="I4059" s="5" t="s">
        <v>9649</v>
      </c>
      <c r="J4059" s="12" t="str">
        <f>HYPERLINK("https://www.boe.es/gazeta/dias/1800/09/16/pdfs/GMD-1800-75.pdf#page=3","Abrir facsímil")</f>
        <v>Abrir facsímil</v>
      </c>
      <c r="K4059" s="15" t="s">
        <v>23</v>
      </c>
    </row>
    <row r="4060" spans="1:11" ht="42" customHeight="1">
      <c r="A4060" s="4" t="s">
        <v>9650</v>
      </c>
      <c r="B4060" s="5" t="s">
        <v>9650</v>
      </c>
      <c r="C4060" s="5" t="s">
        <v>41</v>
      </c>
      <c r="D4060" s="5" t="s">
        <v>42</v>
      </c>
      <c r="E4060" s="5" t="s">
        <v>823</v>
      </c>
      <c r="F4060" s="9">
        <v>50</v>
      </c>
      <c r="G4060" s="9">
        <v>537</v>
      </c>
      <c r="H4060" s="5" t="s">
        <v>21</v>
      </c>
      <c r="I4060" s="5" t="s">
        <v>9651</v>
      </c>
      <c r="J4060" s="12" t="str">
        <f>HYPERLINK("https://www.boe.es/gazeta/dias/1800/06/24/pdfs/GMD-1800-50.pdf#page=1","Abrir facsímil")</f>
        <v>Abrir facsímil</v>
      </c>
      <c r="K4060" s="15" t="s">
        <v>23</v>
      </c>
    </row>
    <row r="4061" spans="1:11" ht="42" customHeight="1">
      <c r="A4061" s="4" t="s">
        <v>9652</v>
      </c>
      <c r="B4061" s="5" t="s">
        <v>9653</v>
      </c>
      <c r="C4061" s="5" t="s">
        <v>18</v>
      </c>
      <c r="D4061" s="5" t="s">
        <v>19</v>
      </c>
      <c r="E4061" s="5" t="s">
        <v>534</v>
      </c>
      <c r="F4061" s="9">
        <v>100</v>
      </c>
      <c r="G4061" s="9">
        <v>1160</v>
      </c>
      <c r="H4061" s="5" t="s">
        <v>21</v>
      </c>
      <c r="I4061" s="5" t="s">
        <v>9654</v>
      </c>
      <c r="J4061" s="12" t="str">
        <f>HYPERLINK("https://www.boe.es/gazeta/dias/1800/12/12/pdfs/GMD-1800-100.pdf#page=12","Abrir facsímil")</f>
        <v>Abrir facsímil</v>
      </c>
      <c r="K4061" s="15" t="s">
        <v>23</v>
      </c>
    </row>
    <row r="4062" spans="1:11" ht="42" customHeight="1">
      <c r="A4062" s="4" t="s">
        <v>9655</v>
      </c>
      <c r="B4062" s="5" t="s">
        <v>9656</v>
      </c>
      <c r="C4062" s="5" t="s">
        <v>18</v>
      </c>
      <c r="D4062" s="5" t="s">
        <v>19</v>
      </c>
      <c r="E4062" s="5" t="s">
        <v>184</v>
      </c>
      <c r="F4062" s="9">
        <v>82</v>
      </c>
      <c r="G4062" s="9">
        <v>950</v>
      </c>
      <c r="H4062" s="5" t="s">
        <v>21</v>
      </c>
      <c r="I4062" s="5" t="s">
        <v>9657</v>
      </c>
      <c r="J4062" s="12" t="str">
        <f>HYPERLINK("https://www.boe.es/gazeta/dias/1800/10/10/pdfs/GMD-1800-82.pdf#page=8","Abrir facsímil")</f>
        <v>Abrir facsímil</v>
      </c>
      <c r="K4062" s="15" t="s">
        <v>23</v>
      </c>
    </row>
    <row r="4063" spans="1:11" ht="42" customHeight="1">
      <c r="A4063" s="4" t="s">
        <v>9658</v>
      </c>
      <c r="B4063" s="5" t="s">
        <v>9658</v>
      </c>
      <c r="C4063" s="5" t="s">
        <v>18</v>
      </c>
      <c r="D4063" s="5" t="s">
        <v>19</v>
      </c>
      <c r="E4063" s="5" t="s">
        <v>465</v>
      </c>
      <c r="F4063" s="9">
        <v>49</v>
      </c>
      <c r="G4063" s="9">
        <v>526</v>
      </c>
      <c r="H4063" s="5" t="s">
        <v>21</v>
      </c>
      <c r="I4063" s="5" t="s">
        <v>9659</v>
      </c>
      <c r="J4063" s="12" t="str">
        <f>HYPERLINK("https://www.boe.es/gazeta/dias/1800/06/20/pdfs/GMD-1800-49.pdf#page=2","Abrir facsímil")</f>
        <v>Abrir facsímil</v>
      </c>
      <c r="K4063" s="15" t="s">
        <v>23</v>
      </c>
    </row>
    <row r="4064" spans="1:11" ht="42" customHeight="1">
      <c r="A4064" s="4" t="s">
        <v>9660</v>
      </c>
      <c r="B4064" s="5" t="s">
        <v>9661</v>
      </c>
      <c r="C4064" s="5" t="s">
        <v>18</v>
      </c>
      <c r="D4064" s="5" t="s">
        <v>19</v>
      </c>
      <c r="E4064" s="5" t="s">
        <v>184</v>
      </c>
      <c r="F4064" s="9">
        <v>82</v>
      </c>
      <c r="G4064" s="9">
        <v>950</v>
      </c>
      <c r="H4064" s="5" t="s">
        <v>21</v>
      </c>
      <c r="I4064" s="5" t="s">
        <v>9662</v>
      </c>
      <c r="J4064" s="12" t="str">
        <f>HYPERLINK("https://www.boe.es/gazeta/dias/1800/10/10/pdfs/GMD-1800-82.pdf#page=8","Abrir facsímil")</f>
        <v>Abrir facsímil</v>
      </c>
      <c r="K4064" s="15" t="s">
        <v>23</v>
      </c>
    </row>
    <row r="4065" spans="1:11" ht="42" customHeight="1">
      <c r="A4065" s="4" t="s">
        <v>9663</v>
      </c>
      <c r="B4065" s="5" t="s">
        <v>9664</v>
      </c>
      <c r="C4065" s="5" t="s">
        <v>18</v>
      </c>
      <c r="D4065" s="5" t="s">
        <v>19</v>
      </c>
      <c r="E4065" s="5" t="s">
        <v>314</v>
      </c>
      <c r="F4065" s="9">
        <v>74</v>
      </c>
      <c r="G4065" s="9">
        <v>832</v>
      </c>
      <c r="H4065" s="5" t="s">
        <v>21</v>
      </c>
      <c r="I4065" s="5" t="s">
        <v>9665</v>
      </c>
      <c r="J4065" s="12" t="str">
        <f>HYPERLINK("https://www.boe.es/gazeta/dias/1800/09/12/pdfs/GMD-1800-74.pdf#page=10","Abrir facsímil")</f>
        <v>Abrir facsímil</v>
      </c>
      <c r="K4065" s="15" t="s">
        <v>23</v>
      </c>
    </row>
    <row r="4066" spans="1:11" ht="42" customHeight="1">
      <c r="A4066" s="4" t="s">
        <v>9666</v>
      </c>
      <c r="B4066" s="5" t="s">
        <v>9667</v>
      </c>
      <c r="C4066" s="5" t="s">
        <v>18</v>
      </c>
      <c r="D4066" s="5" t="s">
        <v>19</v>
      </c>
      <c r="E4066" s="5" t="s">
        <v>478</v>
      </c>
      <c r="F4066" s="9">
        <v>34</v>
      </c>
      <c r="G4066" s="9">
        <v>347</v>
      </c>
      <c r="H4066" s="5" t="s">
        <v>21</v>
      </c>
      <c r="I4066" s="5" t="s">
        <v>9668</v>
      </c>
      <c r="J4066" s="12" t="str">
        <f>HYPERLINK("https://www.boe.es/gazeta/dias/1800/04/29/pdfs/GMD-1800-34.pdf#page=11","Abrir facsímil")</f>
        <v>Abrir facsímil</v>
      </c>
      <c r="K4066" s="15" t="s">
        <v>23</v>
      </c>
    </row>
    <row r="4067" spans="1:11" ht="42" customHeight="1">
      <c r="A4067" s="4" t="s">
        <v>9666</v>
      </c>
      <c r="B4067" s="5" t="s">
        <v>9667</v>
      </c>
      <c r="C4067" s="5" t="s">
        <v>18</v>
      </c>
      <c r="D4067" s="5" t="s">
        <v>19</v>
      </c>
      <c r="E4067" s="5" t="s">
        <v>135</v>
      </c>
      <c r="F4067" s="9">
        <v>73</v>
      </c>
      <c r="G4067" s="9">
        <v>816</v>
      </c>
      <c r="H4067" s="5" t="s">
        <v>21</v>
      </c>
      <c r="I4067" s="5" t="s">
        <v>9669</v>
      </c>
      <c r="J4067" s="12" t="str">
        <f>HYPERLINK("https://www.boe.es/gazeta/dias/1800/09/09/pdfs/GMD-1800-73.pdf#page=10","Abrir facsímil")</f>
        <v>Abrir facsímil</v>
      </c>
      <c r="K4067" s="15" t="s">
        <v>23</v>
      </c>
    </row>
    <row r="4068" spans="1:11" ht="42" customHeight="1">
      <c r="A4068" s="4" t="s">
        <v>9670</v>
      </c>
      <c r="B4068" s="5" t="s">
        <v>9671</v>
      </c>
      <c r="C4068" s="5" t="s">
        <v>41</v>
      </c>
      <c r="D4068" s="5" t="s">
        <v>42</v>
      </c>
      <c r="E4068" s="5" t="s">
        <v>139</v>
      </c>
      <c r="F4068" s="9">
        <v>2</v>
      </c>
      <c r="G4068" s="9">
        <v>15</v>
      </c>
      <c r="H4068" s="5" t="s">
        <v>21</v>
      </c>
      <c r="I4068" s="5" t="s">
        <v>9672</v>
      </c>
      <c r="J4068" s="12" t="str">
        <f>HYPERLINK("https://www.boe.es/gazeta/dias/1800/01/07/pdfs/GMD-1800-2.pdf#page=7","Abrir facsímil")</f>
        <v>Abrir facsímil</v>
      </c>
      <c r="K4068" s="15" t="s">
        <v>23</v>
      </c>
    </row>
    <row r="4069" spans="1:11" ht="42" customHeight="1">
      <c r="A4069" s="4" t="s">
        <v>9673</v>
      </c>
      <c r="B4069" s="5" t="s">
        <v>9674</v>
      </c>
      <c r="C4069" s="5" t="s">
        <v>41</v>
      </c>
      <c r="D4069" s="5" t="s">
        <v>42</v>
      </c>
      <c r="E4069" s="5" t="s">
        <v>478</v>
      </c>
      <c r="F4069" s="9">
        <v>34</v>
      </c>
      <c r="G4069" s="9">
        <v>338</v>
      </c>
      <c r="H4069" s="5" t="s">
        <v>21</v>
      </c>
      <c r="I4069" s="5" t="s">
        <v>9675</v>
      </c>
      <c r="J4069" s="12" t="str">
        <f>HYPERLINK("https://www.boe.es/gazeta/dias/1800/04/29/pdfs/GMD-1800-34.pdf#page=2","Abrir facsímil")</f>
        <v>Abrir facsímil</v>
      </c>
      <c r="K4069" s="15" t="s">
        <v>23</v>
      </c>
    </row>
    <row r="4070" spans="1:11" ht="42" customHeight="1">
      <c r="A4070" s="4" t="s">
        <v>9676</v>
      </c>
      <c r="B4070" s="5" t="s">
        <v>9676</v>
      </c>
      <c r="C4070" s="5" t="s">
        <v>41</v>
      </c>
      <c r="D4070" s="5" t="s">
        <v>42</v>
      </c>
      <c r="E4070" s="5" t="s">
        <v>39</v>
      </c>
      <c r="F4070" s="9">
        <v>43</v>
      </c>
      <c r="G4070" s="9">
        <v>448</v>
      </c>
      <c r="H4070" s="5" t="s">
        <v>21</v>
      </c>
      <c r="I4070" s="5" t="s">
        <v>9677</v>
      </c>
      <c r="J4070" s="12" t="str">
        <f>HYPERLINK("https://www.boe.es/gazeta/dias/1800/05/30/pdfs/GMD-1800-43.pdf#page=8","Abrir facsímil")</f>
        <v>Abrir facsímil</v>
      </c>
      <c r="K4070" s="15" t="s">
        <v>23</v>
      </c>
    </row>
    <row r="4071" spans="1:11" ht="42" customHeight="1">
      <c r="A4071" s="4" t="s">
        <v>9678</v>
      </c>
      <c r="B4071" s="5" t="s">
        <v>9679</v>
      </c>
      <c r="C4071" s="5" t="s">
        <v>25</v>
      </c>
      <c r="D4071" s="5" t="s">
        <v>26</v>
      </c>
      <c r="E4071" s="5" t="s">
        <v>230</v>
      </c>
      <c r="F4071" s="9">
        <v>35</v>
      </c>
      <c r="G4071" s="9">
        <v>354</v>
      </c>
      <c r="H4071" s="5" t="s">
        <v>21</v>
      </c>
      <c r="I4071" s="5" t="s">
        <v>9680</v>
      </c>
      <c r="J4071" s="12" t="str">
        <f>HYPERLINK("https://www.boe.es/gazeta/dias/1800/05/02/pdfs/GMD-1800-35.pdf#page=6","Abrir facsímil")</f>
        <v>Abrir facsímil</v>
      </c>
      <c r="K4071" s="15" t="s">
        <v>23</v>
      </c>
    </row>
    <row r="4072" spans="1:11" ht="42" customHeight="1">
      <c r="A4072" s="4" t="s">
        <v>9678</v>
      </c>
      <c r="B4072" s="5" t="s">
        <v>9679</v>
      </c>
      <c r="C4072" s="5" t="s">
        <v>41</v>
      </c>
      <c r="D4072" s="5" t="s">
        <v>42</v>
      </c>
      <c r="E4072" s="5" t="s">
        <v>262</v>
      </c>
      <c r="F4072" s="9">
        <v>39</v>
      </c>
      <c r="G4072" s="9">
        <v>396</v>
      </c>
      <c r="H4072" s="5" t="s">
        <v>21</v>
      </c>
      <c r="I4072" s="5" t="s">
        <v>9681</v>
      </c>
      <c r="J4072" s="12" t="str">
        <f>HYPERLINK("https://www.boe.es/gazeta/dias/1800/05/16/pdfs/GMD-1800-39.pdf#page=4","Abrir facsímil")</f>
        <v>Abrir facsímil</v>
      </c>
      <c r="K4072" s="15" t="s">
        <v>23</v>
      </c>
    </row>
    <row r="4073" spans="1:11" ht="42" customHeight="1">
      <c r="A4073" s="4" t="s">
        <v>9678</v>
      </c>
      <c r="B4073" s="5" t="s">
        <v>9679</v>
      </c>
      <c r="C4073" s="5" t="s">
        <v>41</v>
      </c>
      <c r="D4073" s="5" t="s">
        <v>42</v>
      </c>
      <c r="E4073" s="5" t="s">
        <v>39</v>
      </c>
      <c r="F4073" s="9">
        <v>43</v>
      </c>
      <c r="G4073" s="9">
        <v>448</v>
      </c>
      <c r="H4073" s="5" t="s">
        <v>21</v>
      </c>
      <c r="I4073" s="5" t="s">
        <v>9682</v>
      </c>
      <c r="J4073" s="12" t="str">
        <f>HYPERLINK("https://www.boe.es/gazeta/dias/1800/05/30/pdfs/GMD-1800-43.pdf#page=8","Abrir facsímil")</f>
        <v>Abrir facsímil</v>
      </c>
      <c r="K4073" s="15" t="s">
        <v>23</v>
      </c>
    </row>
    <row r="4074" spans="1:11" ht="42" customHeight="1">
      <c r="A4074" s="4" t="s">
        <v>9678</v>
      </c>
      <c r="B4074" s="5" t="s">
        <v>9679</v>
      </c>
      <c r="C4074" s="5" t="s">
        <v>54</v>
      </c>
      <c r="D4074" s="5" t="s">
        <v>55</v>
      </c>
      <c r="E4074" s="5" t="s">
        <v>45</v>
      </c>
      <c r="F4074" s="9">
        <v>47</v>
      </c>
      <c r="G4074" s="9">
        <v>497</v>
      </c>
      <c r="H4074" s="5" t="s">
        <v>21</v>
      </c>
      <c r="I4074" s="5" t="s">
        <v>9683</v>
      </c>
      <c r="J4074" s="12" t="str">
        <f>HYPERLINK("https://www.boe.es/gazeta/dias/1800/06/13/pdfs/GMD-1800-47.pdf#page=5","Abrir facsímil")</f>
        <v>Abrir facsímil</v>
      </c>
      <c r="K4074" s="15" t="s">
        <v>23</v>
      </c>
    </row>
    <row r="4075" spans="1:11" ht="42" customHeight="1">
      <c r="A4075" s="4" t="s">
        <v>9678</v>
      </c>
      <c r="B4075" s="5" t="s">
        <v>9679</v>
      </c>
      <c r="C4075" s="5" t="s">
        <v>41</v>
      </c>
      <c r="D4075" s="5" t="s">
        <v>42</v>
      </c>
      <c r="E4075" s="5" t="s">
        <v>45</v>
      </c>
      <c r="F4075" s="9">
        <v>47</v>
      </c>
      <c r="G4075" s="9">
        <v>500</v>
      </c>
      <c r="H4075" s="5" t="s">
        <v>21</v>
      </c>
      <c r="I4075" s="5" t="s">
        <v>9684</v>
      </c>
      <c r="J4075" s="12" t="str">
        <f>HYPERLINK("https://www.boe.es/gazeta/dias/1800/06/13/pdfs/GMD-1800-47.pdf#page=8","Abrir facsímil")</f>
        <v>Abrir facsímil</v>
      </c>
      <c r="K4075" s="15" t="s">
        <v>23</v>
      </c>
    </row>
    <row r="4076" spans="1:11" ht="42" customHeight="1">
      <c r="A4076" s="4" t="s">
        <v>9678</v>
      </c>
      <c r="B4076" s="5" t="s">
        <v>9679</v>
      </c>
      <c r="C4076" s="5" t="s">
        <v>41</v>
      </c>
      <c r="D4076" s="5" t="s">
        <v>42</v>
      </c>
      <c r="E4076" s="5" t="s">
        <v>823</v>
      </c>
      <c r="F4076" s="9">
        <v>50</v>
      </c>
      <c r="G4076" s="9">
        <v>544</v>
      </c>
      <c r="H4076" s="5" t="s">
        <v>21</v>
      </c>
      <c r="I4076" s="5" t="s">
        <v>9685</v>
      </c>
      <c r="J4076" s="12" t="str">
        <f>HYPERLINK("https://www.boe.es/gazeta/dias/1800/06/24/pdfs/GMD-1800-50.pdf#page=8","Abrir facsímil")</f>
        <v>Abrir facsímil</v>
      </c>
      <c r="K4076" s="15" t="s">
        <v>23</v>
      </c>
    </row>
    <row r="4077" spans="1:11" ht="42" customHeight="1">
      <c r="A4077" s="4" t="s">
        <v>9678</v>
      </c>
      <c r="B4077" s="5" t="s">
        <v>9679</v>
      </c>
      <c r="C4077" s="5" t="s">
        <v>25</v>
      </c>
      <c r="D4077" s="5" t="s">
        <v>26</v>
      </c>
      <c r="E4077" s="5" t="s">
        <v>120</v>
      </c>
      <c r="F4077" s="9">
        <v>52</v>
      </c>
      <c r="G4077" s="9">
        <v>572</v>
      </c>
      <c r="H4077" s="5" t="s">
        <v>21</v>
      </c>
      <c r="I4077" s="5" t="s">
        <v>9686</v>
      </c>
      <c r="J4077" s="12" t="str">
        <f>HYPERLINK("https://www.boe.es/gazeta/dias/1800/07/01/pdfs/GMD-1800-52.pdf#page=8","Abrir facsímil")</f>
        <v>Abrir facsímil</v>
      </c>
      <c r="K4077" s="15" t="s">
        <v>23</v>
      </c>
    </row>
    <row r="4078" spans="1:11" ht="42" customHeight="1">
      <c r="A4078" s="4" t="s">
        <v>9678</v>
      </c>
      <c r="B4078" s="5" t="s">
        <v>9679</v>
      </c>
      <c r="C4078" s="5" t="s">
        <v>41</v>
      </c>
      <c r="D4078" s="5" t="s">
        <v>42</v>
      </c>
      <c r="E4078" s="5" t="s">
        <v>530</v>
      </c>
      <c r="F4078" s="9">
        <v>55</v>
      </c>
      <c r="G4078" s="9">
        <v>616</v>
      </c>
      <c r="H4078" s="5" t="s">
        <v>21</v>
      </c>
      <c r="I4078" s="5" t="s">
        <v>9687</v>
      </c>
      <c r="J4078" s="12" t="str">
        <f>HYPERLINK("https://www.boe.es/gazeta/dias/1800/07/11/pdfs/GMD-1800-55.pdf#page=4","Abrir facsímil")</f>
        <v>Abrir facsímil</v>
      </c>
      <c r="K4078" s="15" t="s">
        <v>23</v>
      </c>
    </row>
    <row r="4079" spans="1:11" ht="42" customHeight="1">
      <c r="A4079" s="4" t="s">
        <v>9688</v>
      </c>
      <c r="B4079" s="5" t="s">
        <v>9689</v>
      </c>
      <c r="C4079" s="5" t="s">
        <v>41</v>
      </c>
      <c r="D4079" s="5" t="s">
        <v>42</v>
      </c>
      <c r="E4079" s="5" t="s">
        <v>1287</v>
      </c>
      <c r="F4079" s="9">
        <v>57</v>
      </c>
      <c r="G4079" s="9">
        <v>646</v>
      </c>
      <c r="H4079" s="5" t="s">
        <v>21</v>
      </c>
      <c r="I4079" s="5" t="s">
        <v>9690</v>
      </c>
      <c r="J4079" s="12" t="str">
        <f>HYPERLINK("https://www.boe.es/gazeta/dias/1800/07/18/pdfs/GMD-1800-57.pdf#page=10","Abrir facsímil")</f>
        <v>Abrir facsímil</v>
      </c>
      <c r="K4079" s="15" t="s">
        <v>23</v>
      </c>
    </row>
    <row r="4080" spans="1:11" ht="42" customHeight="1">
      <c r="A4080" s="4" t="s">
        <v>9678</v>
      </c>
      <c r="B4080" s="5" t="s">
        <v>9679</v>
      </c>
      <c r="C4080" s="5" t="s">
        <v>84</v>
      </c>
      <c r="D4080" s="5" t="s">
        <v>85</v>
      </c>
      <c r="E4080" s="5" t="s">
        <v>90</v>
      </c>
      <c r="F4080" s="9">
        <v>58</v>
      </c>
      <c r="G4080" s="9">
        <v>653</v>
      </c>
      <c r="H4080" s="5" t="s">
        <v>21</v>
      </c>
      <c r="I4080" s="5" t="s">
        <v>9691</v>
      </c>
      <c r="J4080" s="12" t="str">
        <f>HYPERLINK("https://www.boe.es/gazeta/dias/1800/07/22/pdfs/GMD-1800-58.pdf#page=1","Abrir facsímil")</f>
        <v>Abrir facsímil</v>
      </c>
      <c r="K4080" s="15" t="s">
        <v>23</v>
      </c>
    </row>
    <row r="4081" spans="1:11" ht="42" customHeight="1">
      <c r="A4081" s="4" t="s">
        <v>9678</v>
      </c>
      <c r="B4081" s="5" t="s">
        <v>9679</v>
      </c>
      <c r="C4081" s="5" t="s">
        <v>41</v>
      </c>
      <c r="D4081" s="5" t="s">
        <v>42</v>
      </c>
      <c r="E4081" s="5" t="s">
        <v>90</v>
      </c>
      <c r="F4081" s="9">
        <v>58</v>
      </c>
      <c r="G4081" s="9">
        <v>660</v>
      </c>
      <c r="H4081" s="5" t="s">
        <v>21</v>
      </c>
      <c r="I4081" s="5" t="s">
        <v>9692</v>
      </c>
      <c r="J4081" s="12" t="str">
        <f>HYPERLINK("https://www.boe.es/gazeta/dias/1800/07/22/pdfs/GMD-1800-58.pdf#page=8","Abrir facsímil")</f>
        <v>Abrir facsímil</v>
      </c>
      <c r="K4081" s="15" t="s">
        <v>23</v>
      </c>
    </row>
    <row r="4082" spans="1:11" ht="42" customHeight="1">
      <c r="A4082" s="4" t="s">
        <v>9678</v>
      </c>
      <c r="B4082" s="5" t="s">
        <v>9679</v>
      </c>
      <c r="C4082" s="5" t="s">
        <v>41</v>
      </c>
      <c r="D4082" s="5" t="s">
        <v>42</v>
      </c>
      <c r="E4082" s="5" t="s">
        <v>154</v>
      </c>
      <c r="F4082" s="9">
        <v>61</v>
      </c>
      <c r="G4082" s="9">
        <v>695</v>
      </c>
      <c r="H4082" s="5" t="s">
        <v>21</v>
      </c>
      <c r="I4082" s="5" t="s">
        <v>9693</v>
      </c>
      <c r="J4082" s="12" t="str">
        <f>HYPERLINK("https://www.boe.es/gazeta/dias/1800/08/01/pdfs/GMD-1800-61.pdf#page=7","Abrir facsímil")</f>
        <v>Abrir facsímil</v>
      </c>
      <c r="K4082" s="15" t="s">
        <v>23</v>
      </c>
    </row>
    <row r="4083" spans="1:11" ht="42" customHeight="1">
      <c r="A4083" s="4" t="s">
        <v>9678</v>
      </c>
      <c r="B4083" s="5" t="s">
        <v>9679</v>
      </c>
      <c r="C4083" s="5" t="s">
        <v>18</v>
      </c>
      <c r="D4083" s="5" t="s">
        <v>19</v>
      </c>
      <c r="E4083" s="5" t="s">
        <v>454</v>
      </c>
      <c r="F4083" s="9">
        <v>63</v>
      </c>
      <c r="G4083" s="9">
        <v>715</v>
      </c>
      <c r="H4083" s="5" t="s">
        <v>21</v>
      </c>
      <c r="I4083" s="5" t="s">
        <v>9694</v>
      </c>
      <c r="J4083" s="12" t="str">
        <f>HYPERLINK("https://www.boe.es/gazeta/dias/1800/08/08/pdfs/GMD-1800-63.pdf#page=3","Abrir facsímil")</f>
        <v>Abrir facsímil</v>
      </c>
      <c r="K4083" s="15" t="s">
        <v>23</v>
      </c>
    </row>
    <row r="4084" spans="1:11" ht="42" customHeight="1">
      <c r="A4084" s="4" t="s">
        <v>9678</v>
      </c>
      <c r="B4084" s="5" t="s">
        <v>9679</v>
      </c>
      <c r="C4084" s="5" t="s">
        <v>41</v>
      </c>
      <c r="D4084" s="5" t="s">
        <v>42</v>
      </c>
      <c r="E4084" s="5" t="s">
        <v>27</v>
      </c>
      <c r="F4084" s="9">
        <v>65</v>
      </c>
      <c r="G4084" s="9">
        <v>731</v>
      </c>
      <c r="H4084" s="5" t="s">
        <v>21</v>
      </c>
      <c r="I4084" s="5" t="s">
        <v>9695</v>
      </c>
      <c r="J4084" s="12" t="str">
        <f>HYPERLINK("https://www.boe.es/gazeta/dias/1800/08/15/pdfs/GMD-1800-65.pdf#page=7","Abrir facsímil")</f>
        <v>Abrir facsímil</v>
      </c>
      <c r="K4084" s="15" t="s">
        <v>23</v>
      </c>
    </row>
    <row r="4085" spans="1:11" ht="42" customHeight="1">
      <c r="A4085" s="4" t="s">
        <v>9688</v>
      </c>
      <c r="B4085" s="5" t="s">
        <v>9689</v>
      </c>
      <c r="C4085" s="5" t="s">
        <v>25</v>
      </c>
      <c r="D4085" s="5" t="s">
        <v>26</v>
      </c>
      <c r="E4085" s="5" t="s">
        <v>68</v>
      </c>
      <c r="F4085" s="9">
        <v>67</v>
      </c>
      <c r="G4085" s="9">
        <v>755</v>
      </c>
      <c r="H4085" s="5" t="s">
        <v>21</v>
      </c>
      <c r="I4085" s="5" t="s">
        <v>9696</v>
      </c>
      <c r="J4085" s="12" t="str">
        <f>HYPERLINK("https://www.boe.es/gazeta/dias/1800/08/22/pdfs/GMD-1800-67.pdf#page=7","Abrir facsímil")</f>
        <v>Abrir facsímil</v>
      </c>
      <c r="K4085" s="15" t="s">
        <v>23</v>
      </c>
    </row>
    <row r="4086" spans="1:11" ht="42" customHeight="1">
      <c r="A4086" s="4" t="s">
        <v>9678</v>
      </c>
      <c r="B4086" s="5" t="s">
        <v>9679</v>
      </c>
      <c r="C4086" s="5" t="s">
        <v>54</v>
      </c>
      <c r="D4086" s="5" t="s">
        <v>55</v>
      </c>
      <c r="E4086" s="5" t="s">
        <v>583</v>
      </c>
      <c r="F4086" s="9">
        <v>77</v>
      </c>
      <c r="G4086" s="9">
        <v>876</v>
      </c>
      <c r="H4086" s="5" t="s">
        <v>21</v>
      </c>
      <c r="I4086" s="5" t="s">
        <v>9697</v>
      </c>
      <c r="J4086" s="12" t="str">
        <f>HYPERLINK("https://www.boe.es/gazeta/dias/1800/09/23/pdfs/GMD-1800-77.pdf#page=6","Abrir facsímil")</f>
        <v>Abrir facsímil</v>
      </c>
      <c r="K4086" s="15" t="s">
        <v>23</v>
      </c>
    </row>
    <row r="4087" spans="1:11" ht="42" customHeight="1">
      <c r="A4087" s="4" t="s">
        <v>9678</v>
      </c>
      <c r="B4087" s="5" t="s">
        <v>9679</v>
      </c>
      <c r="C4087" s="5" t="s">
        <v>41</v>
      </c>
      <c r="D4087" s="5" t="s">
        <v>42</v>
      </c>
      <c r="E4087" s="5" t="s">
        <v>583</v>
      </c>
      <c r="F4087" s="9">
        <v>77</v>
      </c>
      <c r="G4087" s="9">
        <v>877</v>
      </c>
      <c r="H4087" s="5" t="s">
        <v>21</v>
      </c>
      <c r="I4087" s="5" t="s">
        <v>9698</v>
      </c>
      <c r="J4087" s="12" t="str">
        <f>HYPERLINK("https://www.boe.es/gazeta/dias/1800/09/23/pdfs/GMD-1800-77.pdf#page=7","Abrir facsímil")</f>
        <v>Abrir facsímil</v>
      </c>
      <c r="K4087" s="15" t="s">
        <v>23</v>
      </c>
    </row>
    <row r="4088" spans="1:11" ht="42" customHeight="1">
      <c r="A4088" s="4" t="s">
        <v>9678</v>
      </c>
      <c r="B4088" s="5" t="s">
        <v>9679</v>
      </c>
      <c r="C4088" s="5" t="s">
        <v>25</v>
      </c>
      <c r="D4088" s="5" t="s">
        <v>26</v>
      </c>
      <c r="E4088" s="5" t="s">
        <v>583</v>
      </c>
      <c r="F4088" s="9">
        <v>77</v>
      </c>
      <c r="G4088" s="9">
        <v>878</v>
      </c>
      <c r="H4088" s="5" t="s">
        <v>21</v>
      </c>
      <c r="I4088" s="5" t="s">
        <v>9699</v>
      </c>
      <c r="J4088" s="12" t="str">
        <f>HYPERLINK("https://www.boe.es/gazeta/dias/1800/09/23/pdfs/GMD-1800-77.pdf#page=8","Abrir facsímil")</f>
        <v>Abrir facsímil</v>
      </c>
      <c r="K4088" s="15" t="s">
        <v>23</v>
      </c>
    </row>
    <row r="4089" spans="1:11" ht="42" customHeight="1">
      <c r="A4089" s="4" t="s">
        <v>9678</v>
      </c>
      <c r="B4089" s="5" t="s">
        <v>9679</v>
      </c>
      <c r="C4089" s="5" t="s">
        <v>41</v>
      </c>
      <c r="D4089" s="5" t="s">
        <v>42</v>
      </c>
      <c r="E4089" s="5" t="s">
        <v>843</v>
      </c>
      <c r="F4089" s="9">
        <v>78</v>
      </c>
      <c r="G4089" s="9">
        <v>888</v>
      </c>
      <c r="H4089" s="5" t="s">
        <v>21</v>
      </c>
      <c r="I4089" s="5" t="s">
        <v>9700</v>
      </c>
      <c r="J4089" s="12" t="str">
        <f>HYPERLINK("https://www.boe.es/gazeta/dias/1800/09/26/pdfs/GMD-1800-78.pdf#page=6","Abrir facsímil")</f>
        <v>Abrir facsímil</v>
      </c>
      <c r="K4089" s="15" t="s">
        <v>23</v>
      </c>
    </row>
    <row r="4090" spans="1:11" ht="42" customHeight="1">
      <c r="A4090" s="4" t="s">
        <v>9678</v>
      </c>
      <c r="B4090" s="5" t="s">
        <v>9679</v>
      </c>
      <c r="C4090" s="5" t="s">
        <v>41</v>
      </c>
      <c r="D4090" s="5" t="s">
        <v>42</v>
      </c>
      <c r="E4090" s="5" t="s">
        <v>176</v>
      </c>
      <c r="F4090" s="9">
        <v>88</v>
      </c>
      <c r="G4090" s="9">
        <v>1019</v>
      </c>
      <c r="H4090" s="5" t="s">
        <v>21</v>
      </c>
      <c r="I4090" s="5" t="s">
        <v>9701</v>
      </c>
      <c r="J4090" s="12" t="str">
        <f>HYPERLINK("https://www.boe.es/gazeta/dias/1800/10/31/pdfs/GMD-1800-88.pdf#page=1","Abrir facsímil")</f>
        <v>Abrir facsímil</v>
      </c>
      <c r="K4090" s="15" t="s">
        <v>23</v>
      </c>
    </row>
    <row r="4091" spans="1:11" ht="42" customHeight="1">
      <c r="A4091" s="4" t="s">
        <v>9702</v>
      </c>
      <c r="B4091" s="5" t="s">
        <v>9703</v>
      </c>
      <c r="C4091" s="5" t="s">
        <v>41</v>
      </c>
      <c r="D4091" s="5" t="s">
        <v>42</v>
      </c>
      <c r="E4091" s="5" t="s">
        <v>131</v>
      </c>
      <c r="F4091" s="9">
        <v>8</v>
      </c>
      <c r="G4091" s="9">
        <v>71</v>
      </c>
      <c r="H4091" s="5" t="s">
        <v>21</v>
      </c>
      <c r="I4091" s="5" t="s">
        <v>9704</v>
      </c>
      <c r="J4091" s="12" t="str">
        <f>HYPERLINK("https://www.boe.es/gazeta/dias/1800/01/28/pdfs/GMD-1800-8.pdf#page=3","Abrir facsímil")</f>
        <v>Abrir facsímil</v>
      </c>
      <c r="K4091" s="15" t="s">
        <v>23</v>
      </c>
    </row>
    <row r="4092" spans="1:11" ht="42" customHeight="1">
      <c r="A4092" s="4" t="s">
        <v>9702</v>
      </c>
      <c r="B4092" s="5" t="s">
        <v>9703</v>
      </c>
      <c r="C4092" s="5" t="s">
        <v>18</v>
      </c>
      <c r="D4092" s="5" t="s">
        <v>19</v>
      </c>
      <c r="E4092" s="5" t="s">
        <v>478</v>
      </c>
      <c r="F4092" s="9">
        <v>34</v>
      </c>
      <c r="G4092" s="9">
        <v>338</v>
      </c>
      <c r="H4092" s="5" t="s">
        <v>21</v>
      </c>
      <c r="I4092" s="5" t="s">
        <v>9705</v>
      </c>
      <c r="J4092" s="12" t="str">
        <f>HYPERLINK("https://www.boe.es/gazeta/dias/1800/04/29/pdfs/GMD-1800-34.pdf#page=2","Abrir facsímil")</f>
        <v>Abrir facsímil</v>
      </c>
      <c r="K4092" s="15" t="s">
        <v>23</v>
      </c>
    </row>
    <row r="4093" spans="1:11" ht="42" customHeight="1">
      <c r="A4093" s="4" t="s">
        <v>9702</v>
      </c>
      <c r="B4093" s="5" t="s">
        <v>9703</v>
      </c>
      <c r="C4093" s="5" t="s">
        <v>41</v>
      </c>
      <c r="D4093" s="5" t="s">
        <v>42</v>
      </c>
      <c r="E4093" s="5" t="s">
        <v>230</v>
      </c>
      <c r="F4093" s="9">
        <v>35</v>
      </c>
      <c r="G4093" s="9">
        <v>351</v>
      </c>
      <c r="H4093" s="5" t="s">
        <v>21</v>
      </c>
      <c r="I4093" s="5" t="s">
        <v>9706</v>
      </c>
      <c r="J4093" s="12" t="str">
        <f>HYPERLINK("https://www.boe.es/gazeta/dias/1800/05/02/pdfs/GMD-1800-35.pdf#page=3","Abrir facsímil")</f>
        <v>Abrir facsímil</v>
      </c>
      <c r="K4093" s="15" t="s">
        <v>23</v>
      </c>
    </row>
    <row r="4094" spans="1:11" ht="42" customHeight="1">
      <c r="A4094" s="4" t="s">
        <v>9702</v>
      </c>
      <c r="B4094" s="5" t="s">
        <v>9703</v>
      </c>
      <c r="C4094" s="5" t="s">
        <v>41</v>
      </c>
      <c r="D4094" s="5" t="s">
        <v>42</v>
      </c>
      <c r="E4094" s="5" t="s">
        <v>1231</v>
      </c>
      <c r="F4094" s="9">
        <v>36</v>
      </c>
      <c r="G4094" s="9">
        <v>360</v>
      </c>
      <c r="H4094" s="5" t="s">
        <v>21</v>
      </c>
      <c r="I4094" s="5" t="s">
        <v>9707</v>
      </c>
      <c r="J4094" s="12" t="str">
        <f>HYPERLINK("https://www.boe.es/gazeta/dias/1800/05/06/pdfs/GMD-1800-36.pdf#page=4","Abrir facsímil")</f>
        <v>Abrir facsímil</v>
      </c>
      <c r="K4094" s="15" t="s">
        <v>23</v>
      </c>
    </row>
    <row r="4095" spans="1:11" ht="42" customHeight="1">
      <c r="A4095" s="4" t="s">
        <v>9702</v>
      </c>
      <c r="B4095" s="5" t="s">
        <v>9703</v>
      </c>
      <c r="C4095" s="5" t="s">
        <v>41</v>
      </c>
      <c r="D4095" s="5" t="s">
        <v>42</v>
      </c>
      <c r="E4095" s="5" t="s">
        <v>262</v>
      </c>
      <c r="F4095" s="9">
        <v>39</v>
      </c>
      <c r="G4095" s="9">
        <v>396</v>
      </c>
      <c r="H4095" s="5" t="s">
        <v>21</v>
      </c>
      <c r="I4095" s="5" t="s">
        <v>9708</v>
      </c>
      <c r="J4095" s="12" t="str">
        <f>HYPERLINK("https://www.boe.es/gazeta/dias/1800/05/16/pdfs/GMD-1800-39.pdf#page=4","Abrir facsímil")</f>
        <v>Abrir facsímil</v>
      </c>
      <c r="K4095" s="15" t="s">
        <v>23</v>
      </c>
    </row>
    <row r="4096" spans="1:11" ht="42" customHeight="1">
      <c r="A4096" s="4" t="s">
        <v>9702</v>
      </c>
      <c r="B4096" s="5" t="s">
        <v>9703</v>
      </c>
      <c r="C4096" s="5" t="s">
        <v>18</v>
      </c>
      <c r="D4096" s="5" t="s">
        <v>19</v>
      </c>
      <c r="E4096" s="5" t="s">
        <v>39</v>
      </c>
      <c r="F4096" s="9">
        <v>43</v>
      </c>
      <c r="G4096" s="9">
        <v>448</v>
      </c>
      <c r="H4096" s="5" t="s">
        <v>21</v>
      </c>
      <c r="I4096" s="5" t="s">
        <v>9709</v>
      </c>
      <c r="J4096" s="12" t="str">
        <f>HYPERLINK("https://www.boe.es/gazeta/dias/1800/05/30/pdfs/GMD-1800-43.pdf#page=8","Abrir facsímil")</f>
        <v>Abrir facsímil</v>
      </c>
      <c r="K4096" s="15" t="s">
        <v>23</v>
      </c>
    </row>
    <row r="4097" spans="1:11" ht="42" customHeight="1">
      <c r="A4097" s="4" t="s">
        <v>9702</v>
      </c>
      <c r="B4097" s="5" t="s">
        <v>9703</v>
      </c>
      <c r="C4097" s="5" t="s">
        <v>41</v>
      </c>
      <c r="D4097" s="5" t="s">
        <v>42</v>
      </c>
      <c r="E4097" s="5" t="s">
        <v>43</v>
      </c>
      <c r="F4097" s="9">
        <v>46</v>
      </c>
      <c r="G4097" s="9">
        <v>479</v>
      </c>
      <c r="H4097" s="5" t="s">
        <v>21</v>
      </c>
      <c r="I4097" s="5" t="s">
        <v>9710</v>
      </c>
      <c r="J4097" s="12" t="str">
        <f>HYPERLINK("https://www.boe.es/gazeta/dias/1800/06/10/pdfs/GMD-1800-46.pdf#page=3","Abrir facsímil")</f>
        <v>Abrir facsímil</v>
      </c>
      <c r="K4097" s="15" t="s">
        <v>23</v>
      </c>
    </row>
    <row r="4098" spans="1:11" ht="42" customHeight="1">
      <c r="A4098" s="4" t="s">
        <v>9702</v>
      </c>
      <c r="B4098" s="5" t="s">
        <v>9703</v>
      </c>
      <c r="C4098" s="5" t="s">
        <v>18</v>
      </c>
      <c r="D4098" s="5" t="s">
        <v>19</v>
      </c>
      <c r="E4098" s="5" t="s">
        <v>530</v>
      </c>
      <c r="F4098" s="9">
        <v>55</v>
      </c>
      <c r="G4098" s="9">
        <v>615</v>
      </c>
      <c r="H4098" s="5" t="s">
        <v>21</v>
      </c>
      <c r="I4098" s="5" t="s">
        <v>9711</v>
      </c>
      <c r="J4098" s="12" t="str">
        <f>HYPERLINK("https://www.boe.es/gazeta/dias/1800/07/11/pdfs/GMD-1800-55.pdf#page=3","Abrir facsímil")</f>
        <v>Abrir facsímil</v>
      </c>
      <c r="K4098" s="15" t="s">
        <v>23</v>
      </c>
    </row>
    <row r="4099" spans="1:11" ht="42" customHeight="1">
      <c r="A4099" s="4" t="s">
        <v>9702</v>
      </c>
      <c r="B4099" s="5" t="s">
        <v>9703</v>
      </c>
      <c r="C4099" s="5" t="s">
        <v>41</v>
      </c>
      <c r="D4099" s="5" t="s">
        <v>42</v>
      </c>
      <c r="E4099" s="5" t="s">
        <v>530</v>
      </c>
      <c r="F4099" s="9">
        <v>55</v>
      </c>
      <c r="G4099" s="9">
        <v>616</v>
      </c>
      <c r="H4099" s="5" t="s">
        <v>21</v>
      </c>
      <c r="I4099" s="5" t="s">
        <v>9712</v>
      </c>
      <c r="J4099" s="12" t="str">
        <f>HYPERLINK("https://www.boe.es/gazeta/dias/1800/07/11/pdfs/GMD-1800-55.pdf#page=4","Abrir facsímil")</f>
        <v>Abrir facsímil</v>
      </c>
      <c r="K4099" s="15" t="s">
        <v>23</v>
      </c>
    </row>
    <row r="4100" spans="1:11" ht="42" customHeight="1">
      <c r="A4100" s="4" t="s">
        <v>9702</v>
      </c>
      <c r="B4100" s="5" t="s">
        <v>9703</v>
      </c>
      <c r="C4100" s="5" t="s">
        <v>25</v>
      </c>
      <c r="D4100" s="5" t="s">
        <v>26</v>
      </c>
      <c r="E4100" s="5" t="s">
        <v>90</v>
      </c>
      <c r="F4100" s="9">
        <v>58</v>
      </c>
      <c r="G4100" s="9">
        <v>662</v>
      </c>
      <c r="H4100" s="5" t="s">
        <v>21</v>
      </c>
      <c r="I4100" s="5" t="s">
        <v>9713</v>
      </c>
      <c r="J4100" s="12" t="str">
        <f>HYPERLINK("https://www.boe.es/gazeta/dias/1800/07/22/pdfs/GMD-1800-58.pdf#page=10","Abrir facsímil")</f>
        <v>Abrir facsímil</v>
      </c>
      <c r="K4100" s="15" t="s">
        <v>23</v>
      </c>
    </row>
    <row r="4101" spans="1:11" ht="42" customHeight="1">
      <c r="A4101" s="4" t="s">
        <v>9702</v>
      </c>
      <c r="B4101" s="5" t="s">
        <v>9703</v>
      </c>
      <c r="C4101" s="5" t="s">
        <v>41</v>
      </c>
      <c r="D4101" s="5" t="s">
        <v>42</v>
      </c>
      <c r="E4101" s="5" t="s">
        <v>275</v>
      </c>
      <c r="F4101" s="9">
        <v>60</v>
      </c>
      <c r="G4101" s="9">
        <v>682</v>
      </c>
      <c r="H4101" s="5" t="s">
        <v>21</v>
      </c>
      <c r="I4101" s="5" t="s">
        <v>9714</v>
      </c>
      <c r="J4101" s="12" t="str">
        <f>HYPERLINK("https://www.boe.es/gazeta/dias/1800/07/29/pdfs/GMD-1800-60.pdf#page=2","Abrir facsímil")</f>
        <v>Abrir facsímil</v>
      </c>
      <c r="K4101" s="15" t="s">
        <v>23</v>
      </c>
    </row>
    <row r="4102" spans="1:11" ht="42" customHeight="1">
      <c r="A4102" s="4" t="s">
        <v>9702</v>
      </c>
      <c r="B4102" s="5" t="s">
        <v>9703</v>
      </c>
      <c r="C4102" s="5" t="s">
        <v>41</v>
      </c>
      <c r="D4102" s="5" t="s">
        <v>42</v>
      </c>
      <c r="E4102" s="5" t="s">
        <v>454</v>
      </c>
      <c r="F4102" s="9">
        <v>63</v>
      </c>
      <c r="G4102" s="9">
        <v>715</v>
      </c>
      <c r="H4102" s="5" t="s">
        <v>21</v>
      </c>
      <c r="I4102" s="5" t="s">
        <v>9715</v>
      </c>
      <c r="J4102" s="12" t="str">
        <f>HYPERLINK("https://www.boe.es/gazeta/dias/1800/08/08/pdfs/GMD-1800-63.pdf#page=3","Abrir facsímil")</f>
        <v>Abrir facsímil</v>
      </c>
      <c r="K4102" s="15" t="s">
        <v>23</v>
      </c>
    </row>
    <row r="4103" spans="1:11" ht="42" customHeight="1">
      <c r="A4103" s="4" t="s">
        <v>9702</v>
      </c>
      <c r="B4103" s="5" t="s">
        <v>9703</v>
      </c>
      <c r="C4103" s="5" t="s">
        <v>41</v>
      </c>
      <c r="D4103" s="5" t="s">
        <v>42</v>
      </c>
      <c r="E4103" s="5" t="s">
        <v>283</v>
      </c>
      <c r="F4103" s="9">
        <v>68</v>
      </c>
      <c r="G4103" s="9">
        <v>761</v>
      </c>
      <c r="H4103" s="5" t="s">
        <v>21</v>
      </c>
      <c r="I4103" s="5" t="s">
        <v>9716</v>
      </c>
      <c r="J4103" s="12" t="str">
        <f>HYPERLINK("https://www.boe.es/gazeta/dias/1800/08/26/pdfs/GMD-1800-68.pdf#page=5","Abrir facsímil")</f>
        <v>Abrir facsímil</v>
      </c>
      <c r="K4103" s="15" t="s">
        <v>23</v>
      </c>
    </row>
    <row r="4104" spans="1:11" ht="42" customHeight="1">
      <c r="A4104" s="4" t="s">
        <v>9702</v>
      </c>
      <c r="B4104" s="5" t="s">
        <v>9703</v>
      </c>
      <c r="C4104" s="5" t="s">
        <v>41</v>
      </c>
      <c r="D4104" s="5" t="s">
        <v>42</v>
      </c>
      <c r="E4104" s="5" t="s">
        <v>306</v>
      </c>
      <c r="F4104" s="9">
        <v>79</v>
      </c>
      <c r="G4104" s="9">
        <v>896</v>
      </c>
      <c r="H4104" s="5" t="s">
        <v>21</v>
      </c>
      <c r="I4104" s="5" t="s">
        <v>9717</v>
      </c>
      <c r="J4104" s="12" t="str">
        <f>HYPERLINK("https://www.boe.es/gazeta/dias/1800/09/30/pdfs/GMD-1800-79.pdf#page=6","Abrir facsímil")</f>
        <v>Abrir facsímil</v>
      </c>
      <c r="K4104" s="15" t="s">
        <v>23</v>
      </c>
    </row>
    <row r="4105" spans="1:11" ht="42" customHeight="1">
      <c r="A4105" s="4" t="s">
        <v>9702</v>
      </c>
      <c r="B4105" s="5" t="s">
        <v>9703</v>
      </c>
      <c r="C4105" s="5" t="s">
        <v>41</v>
      </c>
      <c r="D4105" s="5" t="s">
        <v>42</v>
      </c>
      <c r="E4105" s="5" t="s">
        <v>52</v>
      </c>
      <c r="F4105" s="9">
        <v>83</v>
      </c>
      <c r="G4105" s="9">
        <v>961</v>
      </c>
      <c r="H4105" s="5" t="s">
        <v>21</v>
      </c>
      <c r="I4105" s="5" t="s">
        <v>9718</v>
      </c>
      <c r="J4105" s="12" t="str">
        <f>HYPERLINK("https://www.boe.es/gazeta/dias/1800/10/14/pdfs/GMD-1800-83.pdf#page=7","Abrir facsímil")</f>
        <v>Abrir facsímil</v>
      </c>
      <c r="K4105" s="15" t="s">
        <v>23</v>
      </c>
    </row>
    <row r="4106" spans="1:11" ht="42" customHeight="1">
      <c r="A4106" s="4" t="s">
        <v>9702</v>
      </c>
      <c r="B4106" s="5" t="s">
        <v>9703</v>
      </c>
      <c r="C4106" s="5" t="s">
        <v>41</v>
      </c>
      <c r="D4106" s="5" t="s">
        <v>42</v>
      </c>
      <c r="E4106" s="5" t="s">
        <v>615</v>
      </c>
      <c r="F4106" s="9">
        <v>95</v>
      </c>
      <c r="G4106" s="9">
        <v>1085</v>
      </c>
      <c r="H4106" s="5" t="s">
        <v>21</v>
      </c>
      <c r="I4106" s="5" t="s">
        <v>9719</v>
      </c>
      <c r="J4106" s="12" t="str">
        <f>HYPERLINK("https://www.boe.es/gazeta/dias/1800/11/25/pdfs/GMD-1800-95.pdf#page=3","Abrir facsímil")</f>
        <v>Abrir facsímil</v>
      </c>
      <c r="K4106" s="15" t="s">
        <v>23</v>
      </c>
    </row>
    <row r="4107" spans="1:11" ht="42" customHeight="1">
      <c r="A4107" s="4" t="s">
        <v>9702</v>
      </c>
      <c r="B4107" s="5" t="s">
        <v>9703</v>
      </c>
      <c r="C4107" s="5" t="s">
        <v>41</v>
      </c>
      <c r="D4107" s="5" t="s">
        <v>42</v>
      </c>
      <c r="E4107" s="5" t="s">
        <v>534</v>
      </c>
      <c r="F4107" s="9">
        <v>100</v>
      </c>
      <c r="G4107" s="9">
        <v>1154</v>
      </c>
      <c r="H4107" s="5" t="s">
        <v>21</v>
      </c>
      <c r="I4107" s="5" t="s">
        <v>9720</v>
      </c>
      <c r="J4107" s="12" t="str">
        <f>HYPERLINK("https://www.boe.es/gazeta/dias/1800/12/12/pdfs/GMD-1800-100.pdf#page=6","Abrir facsímil")</f>
        <v>Abrir facsímil</v>
      </c>
      <c r="K4107" s="15" t="s">
        <v>23</v>
      </c>
    </row>
    <row r="4108" spans="1:11" ht="42" customHeight="1">
      <c r="A4108" s="4" t="s">
        <v>9721</v>
      </c>
      <c r="B4108" s="5" t="s">
        <v>9722</v>
      </c>
      <c r="C4108" s="5" t="s">
        <v>84</v>
      </c>
      <c r="D4108" s="5" t="s">
        <v>85</v>
      </c>
      <c r="E4108" s="5" t="s">
        <v>27</v>
      </c>
      <c r="F4108" s="9">
        <v>65</v>
      </c>
      <c r="G4108" s="9">
        <v>732</v>
      </c>
      <c r="H4108" s="5" t="s">
        <v>21</v>
      </c>
      <c r="I4108" s="5" t="s">
        <v>9723</v>
      </c>
      <c r="J4108" s="12" t="str">
        <f>HYPERLINK("https://www.boe.es/gazeta/dias/1800/08/15/pdfs/GMD-1800-65.pdf#page=8","Abrir facsímil")</f>
        <v>Abrir facsímil</v>
      </c>
      <c r="K4108" s="15" t="s">
        <v>23</v>
      </c>
    </row>
    <row r="4109" spans="1:11" ht="42" customHeight="1">
      <c r="A4109" s="4" t="s">
        <v>9724</v>
      </c>
      <c r="B4109" s="5" t="s">
        <v>9725</v>
      </c>
      <c r="C4109" s="5" t="s">
        <v>41</v>
      </c>
      <c r="D4109" s="5" t="s">
        <v>42</v>
      </c>
      <c r="E4109" s="5" t="s">
        <v>1294</v>
      </c>
      <c r="F4109" s="9">
        <v>59</v>
      </c>
      <c r="G4109" s="9">
        <v>676</v>
      </c>
      <c r="H4109" s="5" t="s">
        <v>21</v>
      </c>
      <c r="I4109" s="5" t="s">
        <v>9726</v>
      </c>
      <c r="J4109" s="12" t="str">
        <f>HYPERLINK("https://www.boe.es/gazeta/dias/1800/07/25/pdfs/GMD-1800-59.pdf#page=8","Abrir facsímil")</f>
        <v>Abrir facsímil</v>
      </c>
      <c r="K4109" s="15" t="s">
        <v>23</v>
      </c>
    </row>
    <row r="4110" spans="1:11" ht="42" customHeight="1">
      <c r="A4110" s="4" t="s">
        <v>9727</v>
      </c>
      <c r="B4110" s="5" t="s">
        <v>9727</v>
      </c>
      <c r="C4110" s="5" t="s">
        <v>41</v>
      </c>
      <c r="D4110" s="5" t="s">
        <v>42</v>
      </c>
      <c r="E4110" s="5" t="s">
        <v>139</v>
      </c>
      <c r="F4110" s="9">
        <v>2</v>
      </c>
      <c r="G4110" s="9">
        <v>9</v>
      </c>
      <c r="H4110" s="5" t="s">
        <v>21</v>
      </c>
      <c r="I4110" s="5" t="s">
        <v>9728</v>
      </c>
      <c r="J4110" s="12" t="str">
        <f>HYPERLINK("https://www.boe.es/gazeta/dias/1800/01/07/pdfs/GMD-1800-2.pdf#page=1","Abrir facsímil")</f>
        <v>Abrir facsímil</v>
      </c>
      <c r="K4110" s="15" t="s">
        <v>23</v>
      </c>
    </row>
    <row r="4111" spans="1:11" ht="42" customHeight="1">
      <c r="A4111" s="4" t="s">
        <v>9729</v>
      </c>
      <c r="B4111" s="5" t="s">
        <v>9730</v>
      </c>
      <c r="C4111" s="5" t="s">
        <v>41</v>
      </c>
      <c r="D4111" s="5" t="s">
        <v>42</v>
      </c>
      <c r="E4111" s="5" t="s">
        <v>139</v>
      </c>
      <c r="F4111" s="9">
        <v>2</v>
      </c>
      <c r="G4111" s="9">
        <v>13</v>
      </c>
      <c r="H4111" s="5" t="s">
        <v>21</v>
      </c>
      <c r="I4111" s="5" t="s">
        <v>9731</v>
      </c>
      <c r="J4111" s="12" t="str">
        <f>HYPERLINK("https://www.boe.es/gazeta/dias/1800/01/07/pdfs/GMD-1800-2.pdf#page=5","Abrir facsímil")</f>
        <v>Abrir facsímil</v>
      </c>
      <c r="K4111" s="15" t="s">
        <v>23</v>
      </c>
    </row>
    <row r="4112" spans="1:11" ht="42" customHeight="1">
      <c r="A4112" s="4" t="s">
        <v>9729</v>
      </c>
      <c r="B4112" s="5" t="s">
        <v>9730</v>
      </c>
      <c r="C4112" s="5" t="s">
        <v>84</v>
      </c>
      <c r="D4112" s="5" t="s">
        <v>85</v>
      </c>
      <c r="E4112" s="5" t="s">
        <v>1287</v>
      </c>
      <c r="F4112" s="9">
        <v>57</v>
      </c>
      <c r="G4112" s="9">
        <v>642</v>
      </c>
      <c r="H4112" s="5" t="s">
        <v>21</v>
      </c>
      <c r="I4112" s="5" t="s">
        <v>9732</v>
      </c>
      <c r="J4112" s="12" t="str">
        <f>HYPERLINK("https://www.boe.es/gazeta/dias/1800/07/18/pdfs/GMD-1800-57.pdf#page=6","Abrir facsímil")</f>
        <v>Abrir facsímil</v>
      </c>
      <c r="K4112" s="15" t="s">
        <v>23</v>
      </c>
    </row>
    <row r="4113" spans="1:11" ht="42" customHeight="1">
      <c r="A4113" s="4" t="s">
        <v>9729</v>
      </c>
      <c r="B4113" s="5" t="s">
        <v>9730</v>
      </c>
      <c r="C4113" s="5" t="s">
        <v>54</v>
      </c>
      <c r="D4113" s="5" t="s">
        <v>55</v>
      </c>
      <c r="E4113" s="5" t="s">
        <v>1287</v>
      </c>
      <c r="F4113" s="9">
        <v>57</v>
      </c>
      <c r="G4113" s="9">
        <v>643</v>
      </c>
      <c r="H4113" s="5" t="s">
        <v>21</v>
      </c>
      <c r="I4113" s="5" t="s">
        <v>9733</v>
      </c>
      <c r="J4113" s="12" t="str">
        <f>HYPERLINK("https://www.boe.es/gazeta/dias/1800/07/18/pdfs/GMD-1800-57.pdf#page=7","Abrir facsímil")</f>
        <v>Abrir facsímil</v>
      </c>
      <c r="K4113" s="15" t="s">
        <v>23</v>
      </c>
    </row>
    <row r="4114" spans="1:11" ht="42" customHeight="1">
      <c r="A4114" s="4" t="s">
        <v>9729</v>
      </c>
      <c r="B4114" s="5" t="s">
        <v>9730</v>
      </c>
      <c r="C4114" s="5" t="s">
        <v>41</v>
      </c>
      <c r="D4114" s="5" t="s">
        <v>42</v>
      </c>
      <c r="E4114" s="5" t="s">
        <v>1287</v>
      </c>
      <c r="F4114" s="9">
        <v>57</v>
      </c>
      <c r="G4114" s="9">
        <v>644</v>
      </c>
      <c r="H4114" s="5" t="s">
        <v>21</v>
      </c>
      <c r="I4114" s="5" t="s">
        <v>9734</v>
      </c>
      <c r="J4114" s="12" t="str">
        <f>HYPERLINK("https://www.boe.es/gazeta/dias/1800/07/18/pdfs/GMD-1800-57.pdf#page=8","Abrir facsímil")</f>
        <v>Abrir facsímil</v>
      </c>
      <c r="K4114" s="15" t="s">
        <v>23</v>
      </c>
    </row>
    <row r="4115" spans="1:11" ht="42" customHeight="1">
      <c r="A4115" s="4" t="s">
        <v>9735</v>
      </c>
      <c r="B4115" s="5" t="s">
        <v>9736</v>
      </c>
      <c r="C4115" s="5" t="s">
        <v>41</v>
      </c>
      <c r="D4115" s="5" t="s">
        <v>42</v>
      </c>
      <c r="E4115" s="5" t="s">
        <v>310</v>
      </c>
      <c r="F4115" s="9">
        <v>56</v>
      </c>
      <c r="G4115" s="9">
        <v>628</v>
      </c>
      <c r="H4115" s="5" t="s">
        <v>21</v>
      </c>
      <c r="I4115" s="5" t="s">
        <v>9737</v>
      </c>
      <c r="J4115" s="12" t="str">
        <f>HYPERLINK("https://www.boe.es/gazeta/dias/1800/07/15/pdfs/GMD-1800-56.pdf#page=4","Abrir facsímil")</f>
        <v>Abrir facsímil</v>
      </c>
      <c r="K4115" s="15" t="s">
        <v>23</v>
      </c>
    </row>
    <row r="4116" spans="1:11" ht="42" customHeight="1">
      <c r="A4116" s="4" t="s">
        <v>9738</v>
      </c>
      <c r="B4116" s="5" t="s">
        <v>9739</v>
      </c>
      <c r="C4116" s="5" t="s">
        <v>41</v>
      </c>
      <c r="D4116" s="5" t="s">
        <v>42</v>
      </c>
      <c r="E4116" s="5" t="s">
        <v>823</v>
      </c>
      <c r="F4116" s="9">
        <v>50</v>
      </c>
      <c r="G4116" s="9">
        <v>539</v>
      </c>
      <c r="H4116" s="5" t="s">
        <v>21</v>
      </c>
      <c r="I4116" s="5" t="s">
        <v>9740</v>
      </c>
      <c r="J4116" s="12" t="str">
        <f>HYPERLINK("https://www.boe.es/gazeta/dias/1800/06/24/pdfs/GMD-1800-50.pdf#page=3","Abrir facsímil")</f>
        <v>Abrir facsímil</v>
      </c>
      <c r="K4116" s="15" t="s">
        <v>23</v>
      </c>
    </row>
    <row r="4117" spans="1:11" ht="42" customHeight="1">
      <c r="A4117" s="4" t="s">
        <v>9741</v>
      </c>
      <c r="B4117" s="5" t="s">
        <v>9742</v>
      </c>
      <c r="C4117" s="5" t="s">
        <v>18</v>
      </c>
      <c r="D4117" s="5" t="s">
        <v>19</v>
      </c>
      <c r="E4117" s="5" t="s">
        <v>503</v>
      </c>
      <c r="F4117" s="9">
        <v>13</v>
      </c>
      <c r="G4117" s="9">
        <v>121</v>
      </c>
      <c r="H4117" s="5" t="s">
        <v>21</v>
      </c>
      <c r="I4117" s="5" t="s">
        <v>9743</v>
      </c>
      <c r="J4117" s="12" t="str">
        <f>HYPERLINK("https://www.boe.es/gazeta/dias/1800/02/14/pdfs/GMD-1800-13.pdf#page=5","Abrir facsímil")</f>
        <v>Abrir facsímil</v>
      </c>
      <c r="K4117" s="15" t="s">
        <v>23</v>
      </c>
    </row>
    <row r="4118" spans="1:11" ht="42" customHeight="1">
      <c r="A4118" s="4" t="s">
        <v>9744</v>
      </c>
      <c r="B4118" s="5" t="s">
        <v>9744</v>
      </c>
      <c r="C4118" s="5" t="s">
        <v>41</v>
      </c>
      <c r="D4118" s="5" t="s">
        <v>42</v>
      </c>
      <c r="E4118" s="5" t="s">
        <v>143</v>
      </c>
      <c r="F4118" s="9">
        <v>22</v>
      </c>
      <c r="G4118" s="9">
        <v>210</v>
      </c>
      <c r="H4118" s="5" t="s">
        <v>21</v>
      </c>
      <c r="I4118" s="5" t="s">
        <v>9745</v>
      </c>
      <c r="J4118" s="12" t="str">
        <f>HYPERLINK("https://www.boe.es/gazeta/dias/1800/03/18/pdfs/GMD-1800-22.pdf#page=2","Abrir facsímil")</f>
        <v>Abrir facsímil</v>
      </c>
      <c r="K4118" s="15" t="s">
        <v>23</v>
      </c>
    </row>
    <row r="4119" spans="1:11" ht="42" customHeight="1">
      <c r="A4119" s="4" t="s">
        <v>9746</v>
      </c>
      <c r="B4119" s="5" t="s">
        <v>9747</v>
      </c>
      <c r="C4119" s="5" t="s">
        <v>41</v>
      </c>
      <c r="D4119" s="5" t="s">
        <v>42</v>
      </c>
      <c r="E4119" s="5" t="s">
        <v>244</v>
      </c>
      <c r="F4119" s="9">
        <v>9</v>
      </c>
      <c r="G4119" s="9">
        <v>79</v>
      </c>
      <c r="H4119" s="5" t="s">
        <v>21</v>
      </c>
      <c r="I4119" s="5" t="s">
        <v>9748</v>
      </c>
      <c r="J4119" s="12" t="str">
        <f>HYPERLINK("https://www.boe.es/gazeta/dias/1800/01/31/pdfs/GMD-1800-9.pdf#page=3","Abrir facsímil")</f>
        <v>Abrir facsímil</v>
      </c>
      <c r="K4119" s="15" t="s">
        <v>23</v>
      </c>
    </row>
    <row r="4120" spans="1:11" ht="42" customHeight="1">
      <c r="A4120" s="4" t="s">
        <v>9749</v>
      </c>
      <c r="B4120" s="5" t="s">
        <v>9750</v>
      </c>
      <c r="C4120" s="5" t="s">
        <v>41</v>
      </c>
      <c r="D4120" s="5" t="s">
        <v>42</v>
      </c>
      <c r="E4120" s="5" t="s">
        <v>445</v>
      </c>
      <c r="F4120" s="9">
        <v>96</v>
      </c>
      <c r="G4120" s="9">
        <v>1100</v>
      </c>
      <c r="H4120" s="5" t="s">
        <v>21</v>
      </c>
      <c r="I4120" s="5" t="s">
        <v>9751</v>
      </c>
      <c r="J4120" s="12" t="str">
        <f>HYPERLINK("https://www.boe.es/gazeta/dias/1800/11/28/pdfs/GMD-1800-96.pdf#page=4","Abrir facsímil")</f>
        <v>Abrir facsímil</v>
      </c>
      <c r="K4120" s="15" t="s">
        <v>23</v>
      </c>
    </row>
    <row r="4121" spans="1:11" ht="42" customHeight="1">
      <c r="A4121" s="4" t="s">
        <v>9752</v>
      </c>
      <c r="B4121" s="5" t="s">
        <v>9753</v>
      </c>
      <c r="C4121" s="5" t="s">
        <v>18</v>
      </c>
      <c r="D4121" s="5" t="s">
        <v>19</v>
      </c>
      <c r="E4121" s="5" t="s">
        <v>244</v>
      </c>
      <c r="F4121" s="9">
        <v>9</v>
      </c>
      <c r="G4121" s="9">
        <v>85</v>
      </c>
      <c r="H4121" s="5" t="s">
        <v>21</v>
      </c>
      <c r="I4121" s="5" t="s">
        <v>9754</v>
      </c>
      <c r="J4121" s="12" t="str">
        <f>HYPERLINK("https://www.boe.es/gazeta/dias/1800/01/31/pdfs/GMD-1800-9.pdf#page=9","Abrir facsímil")</f>
        <v>Abrir facsímil</v>
      </c>
      <c r="K4121" s="15" t="s">
        <v>23</v>
      </c>
    </row>
    <row r="4122" spans="1:11" ht="42" customHeight="1">
      <c r="A4122" s="4" t="s">
        <v>9755</v>
      </c>
      <c r="B4122" s="5" t="s">
        <v>9756</v>
      </c>
      <c r="C4122" s="5" t="s">
        <v>25</v>
      </c>
      <c r="D4122" s="5" t="s">
        <v>26</v>
      </c>
      <c r="E4122" s="5" t="s">
        <v>101</v>
      </c>
      <c r="F4122" s="9">
        <v>37</v>
      </c>
      <c r="G4122" s="9">
        <v>377</v>
      </c>
      <c r="H4122" s="5" t="s">
        <v>21</v>
      </c>
      <c r="I4122" s="5" t="s">
        <v>9757</v>
      </c>
      <c r="J4122" s="12" t="str">
        <f>HYPERLINK("https://www.boe.es/gazeta/dias/1800/05/09/pdfs/GMD-1800-37.pdf#page=9","Abrir facsímil")</f>
        <v>Abrir facsímil</v>
      </c>
      <c r="K4122" s="15" t="s">
        <v>23</v>
      </c>
    </row>
    <row r="4123" spans="1:11" ht="42" customHeight="1">
      <c r="A4123" s="4" t="s">
        <v>9758</v>
      </c>
      <c r="B4123" s="5" t="s">
        <v>9759</v>
      </c>
      <c r="C4123" s="5" t="s">
        <v>18</v>
      </c>
      <c r="D4123" s="5" t="s">
        <v>19</v>
      </c>
      <c r="E4123" s="5" t="s">
        <v>101</v>
      </c>
      <c r="F4123" s="9">
        <v>37</v>
      </c>
      <c r="G4123" s="9">
        <v>377</v>
      </c>
      <c r="H4123" s="5" t="s">
        <v>21</v>
      </c>
      <c r="I4123" s="5" t="s">
        <v>9760</v>
      </c>
      <c r="J4123" s="12" t="str">
        <f>HYPERLINK("https://www.boe.es/gazeta/dias/1800/05/09/pdfs/GMD-1800-37.pdf#page=9","Abrir facsímil")</f>
        <v>Abrir facsímil</v>
      </c>
      <c r="K4123" s="15" t="s">
        <v>23</v>
      </c>
    </row>
    <row r="4124" spans="1:11" ht="42" customHeight="1">
      <c r="A4124" s="4" t="s">
        <v>9761</v>
      </c>
      <c r="B4124" s="5" t="s">
        <v>9762</v>
      </c>
      <c r="C4124" s="5" t="s">
        <v>41</v>
      </c>
      <c r="D4124" s="5" t="s">
        <v>42</v>
      </c>
      <c r="E4124" s="5" t="s">
        <v>1213</v>
      </c>
      <c r="F4124" s="9">
        <v>4</v>
      </c>
      <c r="G4124" s="9">
        <v>31</v>
      </c>
      <c r="H4124" s="5" t="s">
        <v>21</v>
      </c>
      <c r="I4124" s="5" t="s">
        <v>9763</v>
      </c>
      <c r="J4124" s="12" t="str">
        <f>HYPERLINK("https://www.boe.es/gazeta/dias/1800/01/14/pdfs/GMD-1800-4.pdf#page=3","Abrir facsímil")</f>
        <v>Abrir facsímil</v>
      </c>
      <c r="K4124" s="15" t="s">
        <v>23</v>
      </c>
    </row>
    <row r="4125" spans="1:11" ht="42" customHeight="1">
      <c r="A4125" s="4" t="s">
        <v>9764</v>
      </c>
      <c r="B4125" s="5" t="s">
        <v>9765</v>
      </c>
      <c r="C4125" s="5" t="s">
        <v>41</v>
      </c>
      <c r="D4125" s="5" t="s">
        <v>42</v>
      </c>
      <c r="E4125" s="5" t="s">
        <v>461</v>
      </c>
      <c r="F4125" s="9">
        <v>18</v>
      </c>
      <c r="G4125" s="9">
        <v>166</v>
      </c>
      <c r="H4125" s="5" t="s">
        <v>21</v>
      </c>
      <c r="I4125" s="5" t="s">
        <v>9766</v>
      </c>
      <c r="J4125" s="12" t="str">
        <f>HYPERLINK("https://www.boe.es/datos/pdfs/BOE//1800/018/C00173-00176.pdf#page=2","Abrir facsímil")</f>
        <v>Abrir facsímil</v>
      </c>
      <c r="K4125" s="15" t="s">
        <v>23</v>
      </c>
    </row>
    <row r="4126" spans="1:11" ht="42" customHeight="1">
      <c r="A4126" s="4" t="s">
        <v>9767</v>
      </c>
      <c r="B4126" s="5" t="s">
        <v>9768</v>
      </c>
      <c r="C4126" s="5" t="s">
        <v>41</v>
      </c>
      <c r="D4126" s="5" t="s">
        <v>42</v>
      </c>
      <c r="E4126" s="5" t="s">
        <v>75</v>
      </c>
      <c r="F4126" s="9">
        <v>64</v>
      </c>
      <c r="G4126" s="9">
        <v>725</v>
      </c>
      <c r="H4126" s="5" t="s">
        <v>21</v>
      </c>
      <c r="I4126" s="5" t="s">
        <v>9769</v>
      </c>
      <c r="J4126" s="12" t="str">
        <f>HYPERLINK("https://www.boe.es/gazeta/dias/1800/08/12/pdfs/GMD-1800-64.pdf#page=1","Abrir facsímil")</f>
        <v>Abrir facsímil</v>
      </c>
      <c r="K4126" s="15" t="s">
        <v>23</v>
      </c>
    </row>
    <row r="4127" spans="1:11" ht="42" customHeight="1">
      <c r="A4127" s="4" t="s">
        <v>9770</v>
      </c>
      <c r="B4127" s="5" t="s">
        <v>9771</v>
      </c>
      <c r="C4127" s="5" t="s">
        <v>41</v>
      </c>
      <c r="D4127" s="5" t="s">
        <v>42</v>
      </c>
      <c r="E4127" s="5" t="s">
        <v>203</v>
      </c>
      <c r="F4127" s="9">
        <v>94</v>
      </c>
      <c r="G4127" s="9">
        <v>1076</v>
      </c>
      <c r="H4127" s="5" t="s">
        <v>21</v>
      </c>
      <c r="I4127" s="5" t="s">
        <v>9772</v>
      </c>
      <c r="J4127" s="12" t="str">
        <f>HYPERLINK("https://www.boe.es/gazeta/dias/1800/11/21/pdfs/GMD-1800-94.pdf#page=6","Abrir facsímil")</f>
        <v>Abrir facsímil</v>
      </c>
      <c r="K4127" s="15" t="s">
        <v>23</v>
      </c>
    </row>
    <row r="4128" spans="1:11" ht="42" customHeight="1">
      <c r="A4128" s="4" t="s">
        <v>9773</v>
      </c>
      <c r="B4128" s="5" t="s">
        <v>9774</v>
      </c>
      <c r="C4128" s="5" t="s">
        <v>41</v>
      </c>
      <c r="D4128" s="5" t="s">
        <v>42</v>
      </c>
      <c r="E4128" s="5" t="s">
        <v>180</v>
      </c>
      <c r="F4128" s="9">
        <v>102</v>
      </c>
      <c r="G4128" s="9">
        <v>1179</v>
      </c>
      <c r="H4128" s="5" t="s">
        <v>21</v>
      </c>
      <c r="I4128" s="5" t="s">
        <v>9775</v>
      </c>
      <c r="J4128" s="12" t="str">
        <f>HYPERLINK("https://www.boe.es/gazeta/dias/1800/12/19/pdfs/GMD-1800-102.pdf#page=3","Abrir facsímil")</f>
        <v>Abrir facsímil</v>
      </c>
      <c r="K4128" s="15" t="s">
        <v>23</v>
      </c>
    </row>
    <row r="4129" spans="1:11" ht="42" customHeight="1">
      <c r="A4129" s="4" t="s">
        <v>9776</v>
      </c>
      <c r="B4129" s="5" t="s">
        <v>9776</v>
      </c>
      <c r="C4129" s="5" t="s">
        <v>18</v>
      </c>
      <c r="D4129" s="5" t="s">
        <v>19</v>
      </c>
      <c r="E4129" s="5" t="s">
        <v>162</v>
      </c>
      <c r="F4129" s="9">
        <v>15</v>
      </c>
      <c r="G4129" s="9">
        <v>141</v>
      </c>
      <c r="H4129" s="5" t="s">
        <v>21</v>
      </c>
      <c r="I4129" s="5" t="s">
        <v>9777</v>
      </c>
      <c r="J4129" s="12" t="str">
        <f>HYPERLINK("https://www.boe.es/gazeta/dias/1800/02/21/pdfs/GMD-1800-15.pdf#page=5","Abrir facsímil")</f>
        <v>Abrir facsímil</v>
      </c>
      <c r="K4129" s="15" t="s">
        <v>23</v>
      </c>
    </row>
    <row r="4130" spans="1:11" ht="42" customHeight="1">
      <c r="A4130" s="4" t="s">
        <v>9778</v>
      </c>
      <c r="B4130" s="5" t="s">
        <v>9779</v>
      </c>
      <c r="C4130" s="5" t="s">
        <v>41</v>
      </c>
      <c r="D4130" s="5" t="s">
        <v>42</v>
      </c>
      <c r="E4130" s="5" t="s">
        <v>244</v>
      </c>
      <c r="F4130" s="9">
        <v>9</v>
      </c>
      <c r="G4130" s="9">
        <v>83</v>
      </c>
      <c r="H4130" s="5" t="s">
        <v>21</v>
      </c>
      <c r="I4130" s="5" t="s">
        <v>9780</v>
      </c>
      <c r="J4130" s="12" t="str">
        <f>HYPERLINK("https://www.boe.es/gazeta/dias/1800/01/31/pdfs/GMD-1800-9.pdf#page=7","Abrir facsímil")</f>
        <v>Abrir facsímil</v>
      </c>
      <c r="K4130" s="15" t="s">
        <v>23</v>
      </c>
    </row>
    <row r="4131" spans="1:11" ht="42" customHeight="1">
      <c r="A4131" s="4" t="s">
        <v>9778</v>
      </c>
      <c r="B4131" s="5" t="s">
        <v>9779</v>
      </c>
      <c r="C4131" s="5" t="s">
        <v>41</v>
      </c>
      <c r="D4131" s="5" t="s">
        <v>42</v>
      </c>
      <c r="E4131" s="5" t="s">
        <v>1433</v>
      </c>
      <c r="F4131" s="9">
        <v>12</v>
      </c>
      <c r="G4131" s="9">
        <v>109</v>
      </c>
      <c r="H4131" s="5" t="s">
        <v>21</v>
      </c>
      <c r="I4131" s="5" t="s">
        <v>9781</v>
      </c>
      <c r="J4131" s="12" t="str">
        <f>HYPERLINK("https://www.boe.es/gazeta/dias/1800/02/11/pdfs/GMD-1800-12.pdf#page=1","Abrir facsímil")</f>
        <v>Abrir facsímil</v>
      </c>
      <c r="K4131" s="15" t="s">
        <v>23</v>
      </c>
    </row>
    <row r="4132" spans="1:11" ht="42" customHeight="1">
      <c r="A4132" s="4" t="s">
        <v>9778</v>
      </c>
      <c r="B4132" s="5" t="s">
        <v>9779</v>
      </c>
      <c r="C4132" s="5" t="s">
        <v>41</v>
      </c>
      <c r="D4132" s="5" t="s">
        <v>42</v>
      </c>
      <c r="E4132" s="5" t="s">
        <v>1433</v>
      </c>
      <c r="F4132" s="9">
        <v>12</v>
      </c>
      <c r="G4132" s="9">
        <v>113</v>
      </c>
      <c r="H4132" s="5" t="s">
        <v>21</v>
      </c>
      <c r="I4132" s="5" t="s">
        <v>9782</v>
      </c>
      <c r="J4132" s="12" t="str">
        <f>HYPERLINK("https://www.boe.es/gazeta/dias/1800/02/11/pdfs/GMD-1800-12.pdf#page=5","Abrir facsímil")</f>
        <v>Abrir facsímil</v>
      </c>
      <c r="K4132" s="15" t="s">
        <v>23</v>
      </c>
    </row>
    <row r="4133" spans="1:11" ht="42" customHeight="1">
      <c r="A4133" s="4" t="s">
        <v>9778</v>
      </c>
      <c r="B4133" s="5" t="s">
        <v>9779</v>
      </c>
      <c r="C4133" s="5" t="s">
        <v>41</v>
      </c>
      <c r="D4133" s="5" t="s">
        <v>42</v>
      </c>
      <c r="E4133" s="5" t="s">
        <v>503</v>
      </c>
      <c r="F4133" s="9">
        <v>13</v>
      </c>
      <c r="G4133" s="9">
        <v>123</v>
      </c>
      <c r="H4133" s="5" t="s">
        <v>21</v>
      </c>
      <c r="I4133" s="5" t="s">
        <v>9783</v>
      </c>
      <c r="J4133" s="12" t="str">
        <f>HYPERLINK("https://www.boe.es/gazeta/dias/1800/02/14/pdfs/GMD-1800-13.pdf#page=7","Abrir facsímil")</f>
        <v>Abrir facsímil</v>
      </c>
      <c r="K4133" s="15" t="s">
        <v>23</v>
      </c>
    </row>
    <row r="4134" spans="1:11" ht="42" customHeight="1">
      <c r="A4134" s="4" t="s">
        <v>9778</v>
      </c>
      <c r="B4134" s="5" t="s">
        <v>9779</v>
      </c>
      <c r="C4134" s="5" t="s">
        <v>18</v>
      </c>
      <c r="D4134" s="5" t="s">
        <v>19</v>
      </c>
      <c r="E4134" s="5" t="s">
        <v>124</v>
      </c>
      <c r="F4134" s="9">
        <v>16</v>
      </c>
      <c r="G4134" s="9">
        <v>149</v>
      </c>
      <c r="H4134" s="5" t="s">
        <v>21</v>
      </c>
      <c r="I4134" s="5" t="s">
        <v>9784</v>
      </c>
      <c r="J4134" s="12" t="str">
        <f>HYPERLINK("https://www.boe.es/gazeta/dias/1800/02/25/pdfs/GMD-1800-16.pdf#page=5","Abrir facsímil")</f>
        <v>Abrir facsímil</v>
      </c>
      <c r="K4134" s="15" t="s">
        <v>23</v>
      </c>
    </row>
    <row r="4135" spans="1:11" ht="42" customHeight="1">
      <c r="A4135" s="4" t="s">
        <v>9778</v>
      </c>
      <c r="B4135" s="5" t="s">
        <v>9779</v>
      </c>
      <c r="C4135" s="5" t="s">
        <v>41</v>
      </c>
      <c r="D4135" s="5" t="s">
        <v>42</v>
      </c>
      <c r="E4135" s="5" t="s">
        <v>86</v>
      </c>
      <c r="F4135" s="9">
        <v>17</v>
      </c>
      <c r="G4135" s="9">
        <v>159</v>
      </c>
      <c r="H4135" s="5" t="s">
        <v>21</v>
      </c>
      <c r="I4135" s="5" t="s">
        <v>9785</v>
      </c>
      <c r="J4135" s="12" t="str">
        <f>HYPERLINK("https://www.boe.es/gazeta/dias/1800/02/28/pdfs/GMD-1800-17.pdf#page=7","Abrir facsímil")</f>
        <v>Abrir facsímil</v>
      </c>
      <c r="K4135" s="15" t="s">
        <v>23</v>
      </c>
    </row>
    <row r="4136" spans="1:11" ht="42" customHeight="1">
      <c r="A4136" s="4" t="s">
        <v>9778</v>
      </c>
      <c r="B4136" s="5" t="s">
        <v>9779</v>
      </c>
      <c r="C4136" s="5" t="s">
        <v>84</v>
      </c>
      <c r="D4136" s="5" t="s">
        <v>85</v>
      </c>
      <c r="E4136" s="5" t="s">
        <v>86</v>
      </c>
      <c r="F4136" s="9">
        <v>17</v>
      </c>
      <c r="G4136" s="9">
        <v>160</v>
      </c>
      <c r="H4136" s="5" t="s">
        <v>21</v>
      </c>
      <c r="I4136" s="5" t="s">
        <v>9786</v>
      </c>
      <c r="J4136" s="12" t="str">
        <f>HYPERLINK("https://www.boe.es/gazeta/dias/1800/02/28/pdfs/GMD-1800-17.pdf#page=8","Abrir facsímil")</f>
        <v>Abrir facsímil</v>
      </c>
      <c r="K4136" s="15" t="s">
        <v>23</v>
      </c>
    </row>
    <row r="4137" spans="1:11" ht="42" customHeight="1">
      <c r="A4137" s="4" t="s">
        <v>9778</v>
      </c>
      <c r="B4137" s="5" t="s">
        <v>9779</v>
      </c>
      <c r="C4137" s="5" t="s">
        <v>41</v>
      </c>
      <c r="D4137" s="5" t="s">
        <v>42</v>
      </c>
      <c r="E4137" s="5" t="s">
        <v>240</v>
      </c>
      <c r="F4137" s="9">
        <v>26</v>
      </c>
      <c r="G4137" s="9">
        <v>261</v>
      </c>
      <c r="H4137" s="5" t="s">
        <v>21</v>
      </c>
      <c r="I4137" s="5" t="s">
        <v>9787</v>
      </c>
      <c r="J4137" s="12" t="str">
        <f>HYPERLINK("https://www.boe.es/gazeta/dias/1800/04/01/pdfs/GMD-1800-26.pdf#page=1","Abrir facsímil")</f>
        <v>Abrir facsímil</v>
      </c>
      <c r="K4137" s="15" t="s">
        <v>23</v>
      </c>
    </row>
    <row r="4138" spans="1:11" ht="42" customHeight="1">
      <c r="A4138" s="4" t="s">
        <v>9778</v>
      </c>
      <c r="B4138" s="5" t="s">
        <v>9779</v>
      </c>
      <c r="C4138" s="5" t="s">
        <v>41</v>
      </c>
      <c r="D4138" s="5" t="s">
        <v>42</v>
      </c>
      <c r="E4138" s="5" t="s">
        <v>491</v>
      </c>
      <c r="F4138" s="9">
        <v>29</v>
      </c>
      <c r="G4138" s="9">
        <v>294</v>
      </c>
      <c r="H4138" s="5" t="s">
        <v>21</v>
      </c>
      <c r="I4138" s="5" t="s">
        <v>9788</v>
      </c>
      <c r="J4138" s="12" t="str">
        <f>HYPERLINK("https://www.boe.es/gazeta/dias/1800/04/11/pdfs/GMD-1800-29.pdf#page=2","Abrir facsímil")</f>
        <v>Abrir facsímil</v>
      </c>
      <c r="K4138" s="15" t="s">
        <v>23</v>
      </c>
    </row>
    <row r="4139" spans="1:11" ht="42" customHeight="1">
      <c r="A4139" s="4" t="s">
        <v>9778</v>
      </c>
      <c r="B4139" s="5" t="s">
        <v>9779</v>
      </c>
      <c r="C4139" s="5" t="s">
        <v>41</v>
      </c>
      <c r="D4139" s="5" t="s">
        <v>42</v>
      </c>
      <c r="E4139" s="5" t="s">
        <v>356</v>
      </c>
      <c r="F4139" s="9">
        <v>31</v>
      </c>
      <c r="G4139" s="9">
        <v>309</v>
      </c>
      <c r="H4139" s="5" t="s">
        <v>21</v>
      </c>
      <c r="I4139" s="5" t="s">
        <v>9789</v>
      </c>
      <c r="J4139" s="12" t="str">
        <f>HYPERLINK("https://www.boe.es/gazeta/dias/1800/04/18/pdfs/GMD-1800-31.pdf#page=1","Abrir facsímil")</f>
        <v>Abrir facsímil</v>
      </c>
      <c r="K4139" s="15" t="s">
        <v>23</v>
      </c>
    </row>
    <row r="4140" spans="1:11" ht="42" customHeight="1">
      <c r="A4140" s="4" t="s">
        <v>9778</v>
      </c>
      <c r="B4140" s="5" t="s">
        <v>9779</v>
      </c>
      <c r="C4140" s="5" t="s">
        <v>41</v>
      </c>
      <c r="D4140" s="5" t="s">
        <v>42</v>
      </c>
      <c r="E4140" s="5" t="s">
        <v>248</v>
      </c>
      <c r="F4140" s="9">
        <v>33</v>
      </c>
      <c r="G4140" s="9">
        <v>326</v>
      </c>
      <c r="H4140" s="5" t="s">
        <v>21</v>
      </c>
      <c r="I4140" s="5" t="s">
        <v>9790</v>
      </c>
      <c r="J4140" s="12" t="str">
        <f>HYPERLINK("https://www.boe.es/gazeta/dias/1800/04/25/pdfs/GMD-1800-33.pdf#page=2","Abrir facsímil")</f>
        <v>Abrir facsímil</v>
      </c>
      <c r="K4140" s="15" t="s">
        <v>23</v>
      </c>
    </row>
    <row r="4141" spans="1:11" ht="42" customHeight="1">
      <c r="A4141" s="4" t="s">
        <v>9778</v>
      </c>
      <c r="B4141" s="5" t="s">
        <v>9779</v>
      </c>
      <c r="C4141" s="5" t="s">
        <v>41</v>
      </c>
      <c r="D4141" s="5" t="s">
        <v>42</v>
      </c>
      <c r="E4141" s="5" t="s">
        <v>248</v>
      </c>
      <c r="F4141" s="9">
        <v>33</v>
      </c>
      <c r="G4141" s="9">
        <v>328</v>
      </c>
      <c r="H4141" s="5" t="s">
        <v>21</v>
      </c>
      <c r="I4141" s="5" t="s">
        <v>9791</v>
      </c>
      <c r="J4141" s="12" t="str">
        <f>HYPERLINK("https://www.boe.es/gazeta/dias/1800/04/25/pdfs/GMD-1800-33.pdf#page=4","Abrir facsímil")</f>
        <v>Abrir facsímil</v>
      </c>
      <c r="K4141" s="15" t="s">
        <v>23</v>
      </c>
    </row>
    <row r="4142" spans="1:11" ht="42" customHeight="1">
      <c r="A4142" s="4" t="s">
        <v>9778</v>
      </c>
      <c r="B4142" s="5" t="s">
        <v>9779</v>
      </c>
      <c r="C4142" s="5" t="s">
        <v>41</v>
      </c>
      <c r="D4142" s="5" t="s">
        <v>42</v>
      </c>
      <c r="E4142" s="5" t="s">
        <v>248</v>
      </c>
      <c r="F4142" s="9">
        <v>33</v>
      </c>
      <c r="G4142" s="9">
        <v>330</v>
      </c>
      <c r="H4142" s="5" t="s">
        <v>21</v>
      </c>
      <c r="I4142" s="5" t="s">
        <v>9792</v>
      </c>
      <c r="J4142" s="12" t="str">
        <f>HYPERLINK("https://www.boe.es/gazeta/dias/1800/04/25/pdfs/GMD-1800-33.pdf#page=6","Abrir facsímil")</f>
        <v>Abrir facsímil</v>
      </c>
      <c r="K4142" s="15" t="s">
        <v>23</v>
      </c>
    </row>
    <row r="4143" spans="1:11" ht="42" customHeight="1">
      <c r="A4143" s="4" t="s">
        <v>9778</v>
      </c>
      <c r="B4143" s="5" t="s">
        <v>9779</v>
      </c>
      <c r="C4143" s="5" t="s">
        <v>41</v>
      </c>
      <c r="D4143" s="5" t="s">
        <v>42</v>
      </c>
      <c r="E4143" s="5" t="s">
        <v>1231</v>
      </c>
      <c r="F4143" s="9">
        <v>36</v>
      </c>
      <c r="G4143" s="9">
        <v>361</v>
      </c>
      <c r="H4143" s="5" t="s">
        <v>21</v>
      </c>
      <c r="I4143" s="5" t="s">
        <v>9793</v>
      </c>
      <c r="J4143" s="12" t="str">
        <f>HYPERLINK("https://www.boe.es/gazeta/dias/1800/05/06/pdfs/GMD-1800-36.pdf#page=5","Abrir facsímil")</f>
        <v>Abrir facsímil</v>
      </c>
      <c r="K4143" s="15" t="s">
        <v>23</v>
      </c>
    </row>
    <row r="4144" spans="1:11" ht="42" customHeight="1">
      <c r="A4144" s="4" t="s">
        <v>9778</v>
      </c>
      <c r="B4144" s="5" t="s">
        <v>9779</v>
      </c>
      <c r="C4144" s="5" t="s">
        <v>41</v>
      </c>
      <c r="D4144" s="5" t="s">
        <v>42</v>
      </c>
      <c r="E4144" s="5" t="s">
        <v>101</v>
      </c>
      <c r="F4144" s="9">
        <v>37</v>
      </c>
      <c r="G4144" s="9">
        <v>374</v>
      </c>
      <c r="H4144" s="5" t="s">
        <v>21</v>
      </c>
      <c r="I4144" s="5" t="s">
        <v>9794</v>
      </c>
      <c r="J4144" s="12" t="str">
        <f>HYPERLINK("https://www.boe.es/gazeta/dias/1800/05/09/pdfs/GMD-1800-37.pdf#page=6","Abrir facsímil")</f>
        <v>Abrir facsímil</v>
      </c>
      <c r="K4144" s="15" t="s">
        <v>23</v>
      </c>
    </row>
    <row r="4145" spans="1:11" ht="42" customHeight="1">
      <c r="A4145" s="4" t="s">
        <v>9778</v>
      </c>
      <c r="B4145" s="5" t="s">
        <v>9779</v>
      </c>
      <c r="C4145" s="5" t="s">
        <v>41</v>
      </c>
      <c r="D4145" s="5" t="s">
        <v>42</v>
      </c>
      <c r="E4145" s="5" t="s">
        <v>101</v>
      </c>
      <c r="F4145" s="9">
        <v>37</v>
      </c>
      <c r="G4145" s="9">
        <v>375</v>
      </c>
      <c r="H4145" s="5" t="s">
        <v>21</v>
      </c>
      <c r="I4145" s="5" t="s">
        <v>9795</v>
      </c>
      <c r="J4145" s="12" t="str">
        <f>HYPERLINK("https://www.boe.es/gazeta/dias/1800/05/09/pdfs/GMD-1800-37.pdf#page=7","Abrir facsímil")</f>
        <v>Abrir facsímil</v>
      </c>
      <c r="K4145" s="15" t="s">
        <v>23</v>
      </c>
    </row>
    <row r="4146" spans="1:11" ht="42" customHeight="1">
      <c r="A4146" s="4" t="s">
        <v>9778</v>
      </c>
      <c r="B4146" s="5" t="s">
        <v>9779</v>
      </c>
      <c r="C4146" s="5" t="s">
        <v>41</v>
      </c>
      <c r="D4146" s="5" t="s">
        <v>42</v>
      </c>
      <c r="E4146" s="5" t="s">
        <v>420</v>
      </c>
      <c r="F4146" s="9">
        <v>38</v>
      </c>
      <c r="G4146" s="9">
        <v>383</v>
      </c>
      <c r="H4146" s="5" t="s">
        <v>21</v>
      </c>
      <c r="I4146" s="5" t="s">
        <v>9796</v>
      </c>
      <c r="J4146" s="12" t="str">
        <f>HYPERLINK("https://www.boe.es/gazeta/dias/1800/05/13/pdfs/GMD-1800-38.pdf#page=3","Abrir facsímil")</f>
        <v>Abrir facsímil</v>
      </c>
      <c r="K4146" s="15" t="s">
        <v>23</v>
      </c>
    </row>
    <row r="4147" spans="1:11" ht="42" customHeight="1">
      <c r="A4147" s="4" t="s">
        <v>9778</v>
      </c>
      <c r="B4147" s="5" t="s">
        <v>9779</v>
      </c>
      <c r="C4147" s="5" t="s">
        <v>41</v>
      </c>
      <c r="D4147" s="5" t="s">
        <v>42</v>
      </c>
      <c r="E4147" s="5" t="s">
        <v>420</v>
      </c>
      <c r="F4147" s="9">
        <v>38</v>
      </c>
      <c r="G4147" s="9">
        <v>384</v>
      </c>
      <c r="H4147" s="5" t="s">
        <v>21</v>
      </c>
      <c r="I4147" s="5" t="s">
        <v>9797</v>
      </c>
      <c r="J4147" s="12" t="str">
        <f>HYPERLINK("https://www.boe.es/gazeta/dias/1800/05/13/pdfs/GMD-1800-38.pdf#page=4","Abrir facsímil")</f>
        <v>Abrir facsímil</v>
      </c>
      <c r="K4147" s="15" t="s">
        <v>23</v>
      </c>
    </row>
    <row r="4148" spans="1:11" ht="42" customHeight="1">
      <c r="A4148" s="4" t="s">
        <v>9778</v>
      </c>
      <c r="B4148" s="5" t="s">
        <v>9779</v>
      </c>
      <c r="C4148" s="5" t="s">
        <v>41</v>
      </c>
      <c r="D4148" s="5" t="s">
        <v>42</v>
      </c>
      <c r="E4148" s="5" t="s">
        <v>299</v>
      </c>
      <c r="F4148" s="9">
        <v>40</v>
      </c>
      <c r="G4148" s="9">
        <v>407</v>
      </c>
      <c r="H4148" s="5" t="s">
        <v>21</v>
      </c>
      <c r="I4148" s="5" t="s">
        <v>9798</v>
      </c>
      <c r="J4148" s="12" t="str">
        <f>HYPERLINK("https://www.boe.es/gazeta/dias/1800/05/20/pdfs/GMD-1800-40.pdf#page=3","Abrir facsímil")</f>
        <v>Abrir facsímil</v>
      </c>
      <c r="K4148" s="15" t="s">
        <v>23</v>
      </c>
    </row>
    <row r="4149" spans="1:11" ht="42" customHeight="1">
      <c r="A4149" s="4" t="s">
        <v>9778</v>
      </c>
      <c r="B4149" s="5" t="s">
        <v>9779</v>
      </c>
      <c r="C4149" s="5" t="s">
        <v>41</v>
      </c>
      <c r="D4149" s="5" t="s">
        <v>42</v>
      </c>
      <c r="E4149" s="5" t="s">
        <v>43</v>
      </c>
      <c r="F4149" s="9">
        <v>46</v>
      </c>
      <c r="G4149" s="9">
        <v>484</v>
      </c>
      <c r="H4149" s="5" t="s">
        <v>21</v>
      </c>
      <c r="I4149" s="5" t="s">
        <v>9799</v>
      </c>
      <c r="J4149" s="12" t="str">
        <f>HYPERLINK("https://www.boe.es/gazeta/dias/1800/06/10/pdfs/GMD-1800-46.pdf#page=8","Abrir facsímil")</f>
        <v>Abrir facsímil</v>
      </c>
      <c r="K4149" s="15" t="s">
        <v>23</v>
      </c>
    </row>
    <row r="4150" spans="1:11" ht="42" customHeight="1">
      <c r="A4150" s="4" t="s">
        <v>9778</v>
      </c>
      <c r="B4150" s="5" t="s">
        <v>9779</v>
      </c>
      <c r="C4150" s="5" t="s">
        <v>41</v>
      </c>
      <c r="D4150" s="5" t="s">
        <v>42</v>
      </c>
      <c r="E4150" s="5" t="s">
        <v>45</v>
      </c>
      <c r="F4150" s="9">
        <v>47</v>
      </c>
      <c r="G4150" s="9">
        <v>497</v>
      </c>
      <c r="H4150" s="5" t="s">
        <v>21</v>
      </c>
      <c r="I4150" s="5" t="s">
        <v>9800</v>
      </c>
      <c r="J4150" s="12" t="str">
        <f>HYPERLINK("https://www.boe.es/gazeta/dias/1800/06/13/pdfs/GMD-1800-47.pdf#page=5","Abrir facsímil")</f>
        <v>Abrir facsímil</v>
      </c>
      <c r="K4150" s="15" t="s">
        <v>23</v>
      </c>
    </row>
    <row r="4151" spans="1:11" ht="42" customHeight="1">
      <c r="A4151" s="4" t="s">
        <v>9778</v>
      </c>
      <c r="B4151" s="5" t="s">
        <v>9779</v>
      </c>
      <c r="C4151" s="5" t="s">
        <v>84</v>
      </c>
      <c r="D4151" s="5" t="s">
        <v>85</v>
      </c>
      <c r="E4151" s="5" t="s">
        <v>194</v>
      </c>
      <c r="F4151" s="9">
        <v>48</v>
      </c>
      <c r="G4151" s="9">
        <v>514</v>
      </c>
      <c r="H4151" s="5" t="s">
        <v>21</v>
      </c>
      <c r="I4151" s="5" t="s">
        <v>9801</v>
      </c>
      <c r="J4151" s="12" t="str">
        <f>HYPERLINK("https://www.boe.es/gazeta/dias/1800/06/17/pdfs/GMD-1800-48.pdf#page=6","Abrir facsímil")</f>
        <v>Abrir facsímil</v>
      </c>
      <c r="K4151" s="15" t="s">
        <v>23</v>
      </c>
    </row>
    <row r="4152" spans="1:11" ht="42" customHeight="1">
      <c r="A4152" s="4" t="s">
        <v>9778</v>
      </c>
      <c r="B4152" s="5" t="s">
        <v>9779</v>
      </c>
      <c r="C4152" s="5" t="s">
        <v>41</v>
      </c>
      <c r="D4152" s="5" t="s">
        <v>42</v>
      </c>
      <c r="E4152" s="5" t="s">
        <v>823</v>
      </c>
      <c r="F4152" s="9">
        <v>50</v>
      </c>
      <c r="G4152" s="9">
        <v>537</v>
      </c>
      <c r="H4152" s="5" t="s">
        <v>21</v>
      </c>
      <c r="I4152" s="5" t="s">
        <v>9802</v>
      </c>
      <c r="J4152" s="12" t="str">
        <f>HYPERLINK("https://www.boe.es/gazeta/dias/1800/06/24/pdfs/GMD-1800-50.pdf#page=1","Abrir facsímil")</f>
        <v>Abrir facsímil</v>
      </c>
      <c r="K4152" s="15" t="s">
        <v>23</v>
      </c>
    </row>
    <row r="4153" spans="1:11" ht="42" customHeight="1">
      <c r="A4153" s="4" t="s">
        <v>9778</v>
      </c>
      <c r="B4153" s="5" t="s">
        <v>9779</v>
      </c>
      <c r="C4153" s="5" t="s">
        <v>41</v>
      </c>
      <c r="D4153" s="5" t="s">
        <v>42</v>
      </c>
      <c r="E4153" s="5" t="s">
        <v>825</v>
      </c>
      <c r="F4153" s="9">
        <v>51</v>
      </c>
      <c r="G4153" s="9">
        <v>550</v>
      </c>
      <c r="H4153" s="5" t="s">
        <v>21</v>
      </c>
      <c r="I4153" s="5" t="s">
        <v>9803</v>
      </c>
      <c r="J4153" s="12" t="str">
        <f>HYPERLINK("https://www.boe.es/gazeta/dias/1800/06/27/pdfs/GMD-1800-51.pdf#page=2","Abrir facsímil")</f>
        <v>Abrir facsímil</v>
      </c>
      <c r="K4153" s="15" t="s">
        <v>23</v>
      </c>
    </row>
    <row r="4154" spans="1:11" ht="42" customHeight="1">
      <c r="A4154" s="4" t="s">
        <v>9778</v>
      </c>
      <c r="B4154" s="5" t="s">
        <v>9779</v>
      </c>
      <c r="C4154" s="5" t="s">
        <v>54</v>
      </c>
      <c r="D4154" s="5" t="s">
        <v>55</v>
      </c>
      <c r="E4154" s="5" t="s">
        <v>828</v>
      </c>
      <c r="F4154" s="9">
        <v>53</v>
      </c>
      <c r="G4154" s="9">
        <v>581</v>
      </c>
      <c r="H4154" s="5" t="s">
        <v>21</v>
      </c>
      <c r="I4154" s="5" t="s">
        <v>9804</v>
      </c>
      <c r="J4154" s="12" t="str">
        <f>HYPERLINK("https://www.boe.es/gazeta/dias/1800/07/04/pdfs/GMD-1800-53.pdf#page=1","Abrir facsímil")</f>
        <v>Abrir facsímil</v>
      </c>
      <c r="K4154" s="15" t="s">
        <v>23</v>
      </c>
    </row>
    <row r="4155" spans="1:11" ht="42" customHeight="1">
      <c r="A4155" s="4" t="s">
        <v>9778</v>
      </c>
      <c r="B4155" s="5" t="s">
        <v>9779</v>
      </c>
      <c r="C4155" s="5" t="s">
        <v>41</v>
      </c>
      <c r="D4155" s="5" t="s">
        <v>42</v>
      </c>
      <c r="E4155" s="5" t="s">
        <v>530</v>
      </c>
      <c r="F4155" s="9">
        <v>55</v>
      </c>
      <c r="G4155" s="9">
        <v>616</v>
      </c>
      <c r="H4155" s="5" t="s">
        <v>21</v>
      </c>
      <c r="I4155" s="5" t="s">
        <v>9805</v>
      </c>
      <c r="J4155" s="12" t="str">
        <f>HYPERLINK("https://www.boe.es/gazeta/dias/1800/07/11/pdfs/GMD-1800-55.pdf#page=4","Abrir facsímil")</f>
        <v>Abrir facsímil</v>
      </c>
      <c r="K4155" s="15" t="s">
        <v>23</v>
      </c>
    </row>
    <row r="4156" spans="1:11" ht="42" customHeight="1">
      <c r="A4156" s="4" t="s">
        <v>9778</v>
      </c>
      <c r="B4156" s="5" t="s">
        <v>9779</v>
      </c>
      <c r="C4156" s="5" t="s">
        <v>41</v>
      </c>
      <c r="D4156" s="5" t="s">
        <v>42</v>
      </c>
      <c r="E4156" s="5" t="s">
        <v>1287</v>
      </c>
      <c r="F4156" s="9">
        <v>57</v>
      </c>
      <c r="G4156" s="9">
        <v>637</v>
      </c>
      <c r="H4156" s="5" t="s">
        <v>21</v>
      </c>
      <c r="I4156" s="5" t="s">
        <v>9806</v>
      </c>
      <c r="J4156" s="12" t="str">
        <f>HYPERLINK("https://www.boe.es/gazeta/dias/1800/07/18/pdfs/GMD-1800-57.pdf#page=1","Abrir facsímil")</f>
        <v>Abrir facsímil</v>
      </c>
      <c r="K4156" s="15" t="s">
        <v>23</v>
      </c>
    </row>
    <row r="4157" spans="1:11" ht="42" customHeight="1">
      <c r="A4157" s="4" t="s">
        <v>9778</v>
      </c>
      <c r="B4157" s="5" t="s">
        <v>9779</v>
      </c>
      <c r="C4157" s="5" t="s">
        <v>84</v>
      </c>
      <c r="D4157" s="5" t="s">
        <v>85</v>
      </c>
      <c r="E4157" s="5" t="s">
        <v>90</v>
      </c>
      <c r="F4157" s="9">
        <v>58</v>
      </c>
      <c r="G4157" s="9">
        <v>653</v>
      </c>
      <c r="H4157" s="5" t="s">
        <v>21</v>
      </c>
      <c r="I4157" s="5" t="s">
        <v>9807</v>
      </c>
      <c r="J4157" s="12" t="str">
        <f>HYPERLINK("https://www.boe.es/gazeta/dias/1800/07/22/pdfs/GMD-1800-58.pdf#page=1","Abrir facsímil")</f>
        <v>Abrir facsímil</v>
      </c>
      <c r="K4157" s="15" t="s">
        <v>23</v>
      </c>
    </row>
    <row r="4158" spans="1:11" ht="42" customHeight="1">
      <c r="A4158" s="4" t="s">
        <v>9778</v>
      </c>
      <c r="B4158" s="5" t="s">
        <v>9779</v>
      </c>
      <c r="C4158" s="5" t="s">
        <v>41</v>
      </c>
      <c r="D4158" s="5" t="s">
        <v>42</v>
      </c>
      <c r="E4158" s="5" t="s">
        <v>90</v>
      </c>
      <c r="F4158" s="9">
        <v>58</v>
      </c>
      <c r="G4158" s="9">
        <v>654</v>
      </c>
      <c r="H4158" s="5" t="s">
        <v>21</v>
      </c>
      <c r="I4158" s="5" t="s">
        <v>9808</v>
      </c>
      <c r="J4158" s="12" t="str">
        <f>HYPERLINK("https://www.boe.es/gazeta/dias/1800/07/22/pdfs/GMD-1800-58.pdf#page=2","Abrir facsímil")</f>
        <v>Abrir facsímil</v>
      </c>
      <c r="K4158" s="15" t="s">
        <v>23</v>
      </c>
    </row>
    <row r="4159" spans="1:11" ht="42" customHeight="1">
      <c r="A4159" s="4" t="s">
        <v>9778</v>
      </c>
      <c r="B4159" s="5" t="s">
        <v>9779</v>
      </c>
      <c r="C4159" s="5" t="s">
        <v>41</v>
      </c>
      <c r="D4159" s="5" t="s">
        <v>42</v>
      </c>
      <c r="E4159" s="5" t="s">
        <v>454</v>
      </c>
      <c r="F4159" s="9">
        <v>63</v>
      </c>
      <c r="G4159" s="9">
        <v>715</v>
      </c>
      <c r="H4159" s="5" t="s">
        <v>21</v>
      </c>
      <c r="I4159" s="5" t="s">
        <v>9809</v>
      </c>
      <c r="J4159" s="12" t="str">
        <f>HYPERLINK("https://www.boe.es/gazeta/dias/1800/08/08/pdfs/GMD-1800-63.pdf#page=3","Abrir facsímil")</f>
        <v>Abrir facsímil</v>
      </c>
      <c r="K4159" s="15" t="s">
        <v>23</v>
      </c>
    </row>
    <row r="4160" spans="1:11" ht="42" customHeight="1">
      <c r="A4160" s="4" t="s">
        <v>9778</v>
      </c>
      <c r="B4160" s="5" t="s">
        <v>9779</v>
      </c>
      <c r="C4160" s="5" t="s">
        <v>41</v>
      </c>
      <c r="D4160" s="5" t="s">
        <v>42</v>
      </c>
      <c r="E4160" s="5" t="s">
        <v>68</v>
      </c>
      <c r="F4160" s="9">
        <v>67</v>
      </c>
      <c r="G4160" s="9">
        <v>750</v>
      </c>
      <c r="H4160" s="5" t="s">
        <v>21</v>
      </c>
      <c r="I4160" s="5" t="s">
        <v>9810</v>
      </c>
      <c r="J4160" s="12" t="str">
        <f>HYPERLINK("https://www.boe.es/gazeta/dias/1800/08/22/pdfs/GMD-1800-67.pdf#page=2","Abrir facsímil")</f>
        <v>Abrir facsímil</v>
      </c>
      <c r="K4160" s="15" t="s">
        <v>23</v>
      </c>
    </row>
    <row r="4161" spans="1:11" ht="42" customHeight="1">
      <c r="A4161" s="4" t="s">
        <v>9778</v>
      </c>
      <c r="B4161" s="5" t="s">
        <v>9779</v>
      </c>
      <c r="C4161" s="5" t="s">
        <v>41</v>
      </c>
      <c r="D4161" s="5" t="s">
        <v>42</v>
      </c>
      <c r="E4161" s="5" t="s">
        <v>283</v>
      </c>
      <c r="F4161" s="9">
        <v>68</v>
      </c>
      <c r="G4161" s="9">
        <v>761</v>
      </c>
      <c r="H4161" s="5" t="s">
        <v>21</v>
      </c>
      <c r="I4161" s="5" t="s">
        <v>9811</v>
      </c>
      <c r="J4161" s="12" t="str">
        <f>HYPERLINK("https://www.boe.es/gazeta/dias/1800/08/26/pdfs/GMD-1800-68.pdf#page=5","Abrir facsímil")</f>
        <v>Abrir facsímil</v>
      </c>
      <c r="K4161" s="15" t="s">
        <v>23</v>
      </c>
    </row>
    <row r="4162" spans="1:11" ht="42" customHeight="1">
      <c r="A4162" s="4" t="s">
        <v>9778</v>
      </c>
      <c r="B4162" s="5" t="s">
        <v>9779</v>
      </c>
      <c r="C4162" s="5" t="s">
        <v>54</v>
      </c>
      <c r="D4162" s="5" t="s">
        <v>55</v>
      </c>
      <c r="E4162" s="5" t="s">
        <v>590</v>
      </c>
      <c r="F4162" s="9">
        <v>69</v>
      </c>
      <c r="G4162" s="9">
        <v>769</v>
      </c>
      <c r="H4162" s="5" t="s">
        <v>21</v>
      </c>
      <c r="I4162" s="5" t="s">
        <v>9812</v>
      </c>
      <c r="J4162" s="12" t="str">
        <f>HYPERLINK("https://www.boe.es/gazeta/dias/1800/08/29/pdfs/GMD-1800-69.pdf#page=1","Abrir facsímil")</f>
        <v>Abrir facsímil</v>
      </c>
      <c r="K4162" s="15" t="s">
        <v>23</v>
      </c>
    </row>
    <row r="4163" spans="1:11" ht="42" customHeight="1">
      <c r="A4163" s="4" t="s">
        <v>9778</v>
      </c>
      <c r="B4163" s="5" t="s">
        <v>9779</v>
      </c>
      <c r="C4163" s="5" t="s">
        <v>41</v>
      </c>
      <c r="D4163" s="5" t="s">
        <v>42</v>
      </c>
      <c r="E4163" s="5" t="s">
        <v>255</v>
      </c>
      <c r="F4163" s="9">
        <v>75</v>
      </c>
      <c r="G4163" s="9">
        <v>848</v>
      </c>
      <c r="H4163" s="5" t="s">
        <v>21</v>
      </c>
      <c r="I4163" s="5" t="s">
        <v>9813</v>
      </c>
      <c r="J4163" s="12" t="str">
        <f>HYPERLINK("https://www.boe.es/gazeta/dias/1800/09/16/pdfs/GMD-1800-75.pdf#page=2","Abrir facsímil")</f>
        <v>Abrir facsímil</v>
      </c>
      <c r="K4163" s="15" t="s">
        <v>23</v>
      </c>
    </row>
    <row r="4164" spans="1:11" ht="42" customHeight="1">
      <c r="A4164" s="4" t="s">
        <v>9778</v>
      </c>
      <c r="B4164" s="5" t="s">
        <v>9779</v>
      </c>
      <c r="C4164" s="5" t="s">
        <v>41</v>
      </c>
      <c r="D4164" s="5" t="s">
        <v>42</v>
      </c>
      <c r="E4164" s="5" t="s">
        <v>255</v>
      </c>
      <c r="F4164" s="9">
        <v>75</v>
      </c>
      <c r="G4164" s="9">
        <v>850</v>
      </c>
      <c r="H4164" s="5" t="s">
        <v>21</v>
      </c>
      <c r="I4164" s="5" t="s">
        <v>9814</v>
      </c>
      <c r="J4164" s="12" t="str">
        <f>HYPERLINK("https://www.boe.es/gazeta/dias/1800/09/16/pdfs/GMD-1800-75.pdf#page=4","Abrir facsímil")</f>
        <v>Abrir facsímil</v>
      </c>
      <c r="K4164" s="15" t="s">
        <v>23</v>
      </c>
    </row>
    <row r="4165" spans="1:11" ht="42" customHeight="1">
      <c r="A4165" s="4" t="s">
        <v>9778</v>
      </c>
      <c r="B4165" s="5" t="s">
        <v>9779</v>
      </c>
      <c r="C4165" s="5" t="s">
        <v>41</v>
      </c>
      <c r="D4165" s="5" t="s">
        <v>42</v>
      </c>
      <c r="E4165" s="5" t="s">
        <v>572</v>
      </c>
      <c r="F4165" s="9">
        <v>76</v>
      </c>
      <c r="G4165" s="9">
        <v>864</v>
      </c>
      <c r="H4165" s="5" t="s">
        <v>21</v>
      </c>
      <c r="I4165" s="5" t="s">
        <v>9815</v>
      </c>
      <c r="J4165" s="12" t="str">
        <f>HYPERLINK("https://www.boe.es/gazeta/dias/1800/09/19/pdfs/GMD-1800-76.pdf#page=6","Abrir facsímil")</f>
        <v>Abrir facsímil</v>
      </c>
      <c r="K4165" s="15" t="s">
        <v>23</v>
      </c>
    </row>
    <row r="4166" spans="1:11" ht="42" customHeight="1">
      <c r="A4166" s="4" t="s">
        <v>9778</v>
      </c>
      <c r="B4166" s="5" t="s">
        <v>9779</v>
      </c>
      <c r="C4166" s="5" t="s">
        <v>41</v>
      </c>
      <c r="D4166" s="5" t="s">
        <v>42</v>
      </c>
      <c r="E4166" s="5" t="s">
        <v>572</v>
      </c>
      <c r="F4166" s="9">
        <v>76</v>
      </c>
      <c r="G4166" s="9">
        <v>865</v>
      </c>
      <c r="H4166" s="5" t="s">
        <v>21</v>
      </c>
      <c r="I4166" s="5" t="s">
        <v>9816</v>
      </c>
      <c r="J4166" s="12" t="str">
        <f>HYPERLINK("https://www.boe.es/gazeta/dias/1800/09/19/pdfs/GMD-1800-76.pdf#page=7","Abrir facsímil")</f>
        <v>Abrir facsímil</v>
      </c>
      <c r="K4166" s="15" t="s">
        <v>23</v>
      </c>
    </row>
    <row r="4167" spans="1:11" ht="42" customHeight="1">
      <c r="A4167" s="4" t="s">
        <v>9778</v>
      </c>
      <c r="B4167" s="5" t="s">
        <v>9779</v>
      </c>
      <c r="C4167" s="5" t="s">
        <v>41</v>
      </c>
      <c r="D4167" s="5" t="s">
        <v>42</v>
      </c>
      <c r="E4167" s="5" t="s">
        <v>583</v>
      </c>
      <c r="F4167" s="9">
        <v>77</v>
      </c>
      <c r="G4167" s="9">
        <v>875</v>
      </c>
      <c r="H4167" s="5" t="s">
        <v>21</v>
      </c>
      <c r="I4167" s="5" t="s">
        <v>9817</v>
      </c>
      <c r="J4167" s="12" t="str">
        <f>HYPERLINK("https://www.boe.es/gazeta/dias/1800/09/23/pdfs/GMD-1800-77.pdf#page=5","Abrir facsímil")</f>
        <v>Abrir facsímil</v>
      </c>
      <c r="K4167" s="15" t="s">
        <v>23</v>
      </c>
    </row>
    <row r="4168" spans="1:11" ht="42" customHeight="1">
      <c r="A4168" s="4" t="s">
        <v>9778</v>
      </c>
      <c r="B4168" s="5" t="s">
        <v>9779</v>
      </c>
      <c r="C4168" s="5" t="s">
        <v>41</v>
      </c>
      <c r="D4168" s="5" t="s">
        <v>42</v>
      </c>
      <c r="E4168" s="5" t="s">
        <v>583</v>
      </c>
      <c r="F4168" s="9">
        <v>77</v>
      </c>
      <c r="G4168" s="9">
        <v>876</v>
      </c>
      <c r="H4168" s="5" t="s">
        <v>21</v>
      </c>
      <c r="I4168" s="5" t="s">
        <v>9818</v>
      </c>
      <c r="J4168" s="12" t="str">
        <f>HYPERLINK("https://www.boe.es/gazeta/dias/1800/09/23/pdfs/GMD-1800-77.pdf#page=6","Abrir facsímil")</f>
        <v>Abrir facsímil</v>
      </c>
      <c r="K4168" s="15" t="s">
        <v>23</v>
      </c>
    </row>
    <row r="4169" spans="1:11" ht="42" customHeight="1">
      <c r="A4169" s="4" t="s">
        <v>9778</v>
      </c>
      <c r="B4169" s="5" t="s">
        <v>9779</v>
      </c>
      <c r="C4169" s="5" t="s">
        <v>41</v>
      </c>
      <c r="D4169" s="5" t="s">
        <v>42</v>
      </c>
      <c r="E4169" s="5" t="s">
        <v>306</v>
      </c>
      <c r="F4169" s="9">
        <v>79</v>
      </c>
      <c r="G4169" s="9">
        <v>895</v>
      </c>
      <c r="H4169" s="5" t="s">
        <v>21</v>
      </c>
      <c r="I4169" s="5" t="s">
        <v>9819</v>
      </c>
      <c r="J4169" s="12" t="str">
        <f>HYPERLINK("https://www.boe.es/gazeta/dias/1800/09/30/pdfs/GMD-1800-79.pdf#page=5","Abrir facsímil")</f>
        <v>Abrir facsímil</v>
      </c>
      <c r="K4169" s="15" t="s">
        <v>23</v>
      </c>
    </row>
    <row r="4170" spans="1:11" ht="42" customHeight="1">
      <c r="A4170" s="4" t="s">
        <v>9778</v>
      </c>
      <c r="B4170" s="5" t="s">
        <v>9779</v>
      </c>
      <c r="C4170" s="5" t="s">
        <v>41</v>
      </c>
      <c r="D4170" s="5" t="s">
        <v>42</v>
      </c>
      <c r="E4170" s="5" t="s">
        <v>306</v>
      </c>
      <c r="F4170" s="9">
        <v>79</v>
      </c>
      <c r="G4170" s="9">
        <v>896</v>
      </c>
      <c r="H4170" s="5" t="s">
        <v>21</v>
      </c>
      <c r="I4170" s="5" t="s">
        <v>9820</v>
      </c>
      <c r="J4170" s="12" t="str">
        <f>HYPERLINK("https://www.boe.es/gazeta/dias/1800/09/30/pdfs/GMD-1800-79.pdf#page=6","Abrir facsímil")</f>
        <v>Abrir facsímil</v>
      </c>
      <c r="K4170" s="15" t="s">
        <v>23</v>
      </c>
    </row>
    <row r="4171" spans="1:11" ht="42" customHeight="1">
      <c r="A4171" s="4" t="s">
        <v>9778</v>
      </c>
      <c r="B4171" s="5" t="s">
        <v>9779</v>
      </c>
      <c r="C4171" s="5" t="s">
        <v>41</v>
      </c>
      <c r="D4171" s="5" t="s">
        <v>42</v>
      </c>
      <c r="E4171" s="5" t="s">
        <v>306</v>
      </c>
      <c r="F4171" s="9">
        <v>79</v>
      </c>
      <c r="G4171" s="9">
        <v>897</v>
      </c>
      <c r="H4171" s="5" t="s">
        <v>21</v>
      </c>
      <c r="I4171" s="5" t="s">
        <v>9821</v>
      </c>
      <c r="J4171" s="12" t="str">
        <f>HYPERLINK("https://www.boe.es/gazeta/dias/1800/09/30/pdfs/GMD-1800-79.pdf#page=7","Abrir facsímil")</f>
        <v>Abrir facsímil</v>
      </c>
      <c r="K4171" s="15" t="s">
        <v>23</v>
      </c>
    </row>
    <row r="4172" spans="1:11" ht="42" customHeight="1">
      <c r="A4172" s="4" t="s">
        <v>9778</v>
      </c>
      <c r="B4172" s="5" t="s">
        <v>9779</v>
      </c>
      <c r="C4172" s="5" t="s">
        <v>41</v>
      </c>
      <c r="D4172" s="5" t="s">
        <v>42</v>
      </c>
      <c r="E4172" s="5" t="s">
        <v>184</v>
      </c>
      <c r="F4172" s="9">
        <v>82</v>
      </c>
      <c r="G4172" s="9">
        <v>948</v>
      </c>
      <c r="H4172" s="5" t="s">
        <v>21</v>
      </c>
      <c r="I4172" s="5" t="s">
        <v>5984</v>
      </c>
      <c r="J4172" s="12" t="str">
        <f>HYPERLINK("https://www.boe.es/gazeta/dias/1800/10/10/pdfs/GMD-1800-82.pdf#page=6","Abrir facsímil")</f>
        <v>Abrir facsímil</v>
      </c>
      <c r="K4172" s="15" t="s">
        <v>23</v>
      </c>
    </row>
    <row r="4173" spans="1:11" ht="42" customHeight="1">
      <c r="A4173" s="4" t="s">
        <v>9778</v>
      </c>
      <c r="B4173" s="5" t="s">
        <v>9779</v>
      </c>
      <c r="C4173" s="5" t="s">
        <v>41</v>
      </c>
      <c r="D4173" s="5" t="s">
        <v>42</v>
      </c>
      <c r="E4173" s="5" t="s">
        <v>52</v>
      </c>
      <c r="F4173" s="9">
        <v>83</v>
      </c>
      <c r="G4173" s="9">
        <v>961</v>
      </c>
      <c r="H4173" s="5" t="s">
        <v>21</v>
      </c>
      <c r="I4173" s="5" t="s">
        <v>9822</v>
      </c>
      <c r="J4173" s="12" t="str">
        <f>HYPERLINK("https://www.boe.es/gazeta/dias/1800/10/14/pdfs/GMD-1800-83.pdf#page=7","Abrir facsímil")</f>
        <v>Abrir facsímil</v>
      </c>
      <c r="K4173" s="15" t="s">
        <v>23</v>
      </c>
    </row>
    <row r="4174" spans="1:11" ht="42" customHeight="1">
      <c r="A4174" s="4" t="s">
        <v>9823</v>
      </c>
      <c r="B4174" s="5" t="s">
        <v>9824</v>
      </c>
      <c r="C4174" s="5" t="s">
        <v>41</v>
      </c>
      <c r="D4174" s="5" t="s">
        <v>42</v>
      </c>
      <c r="E4174" s="5" t="s">
        <v>196</v>
      </c>
      <c r="F4174" s="9">
        <v>97</v>
      </c>
      <c r="G4174" s="9">
        <v>1110</v>
      </c>
      <c r="H4174" s="5" t="s">
        <v>21</v>
      </c>
      <c r="I4174" s="5" t="s">
        <v>9825</v>
      </c>
      <c r="J4174" s="12" t="str">
        <f>HYPERLINK("https://www.boe.es/gazeta/dias/1800/12/02/pdfs/GMD-1800-97.pdf#page=2","Abrir facsímil")</f>
        <v>Abrir facsímil</v>
      </c>
      <c r="K4174" s="15" t="s">
        <v>23</v>
      </c>
    </row>
    <row r="4175" spans="1:11" ht="42" customHeight="1">
      <c r="A4175" s="4" t="s">
        <v>9826</v>
      </c>
      <c r="B4175" s="5" t="s">
        <v>9827</v>
      </c>
      <c r="C4175" s="5" t="s">
        <v>18</v>
      </c>
      <c r="D4175" s="5" t="s">
        <v>19</v>
      </c>
      <c r="E4175" s="5" t="s">
        <v>406</v>
      </c>
      <c r="F4175" s="9">
        <v>44</v>
      </c>
      <c r="G4175" s="9">
        <v>457</v>
      </c>
      <c r="H4175" s="5" t="s">
        <v>21</v>
      </c>
      <c r="I4175" s="5" t="s">
        <v>9828</v>
      </c>
      <c r="J4175" s="12" t="str">
        <f>HYPERLINK("https://www.boe.es/gazeta/dias/1800/06/03/pdfs/GMD-1800-44.pdf#page=5","Abrir facsímil")</f>
        <v>Abrir facsímil</v>
      </c>
      <c r="K4175" s="15" t="s">
        <v>23</v>
      </c>
    </row>
    <row r="4176" spans="1:11" ht="42" customHeight="1">
      <c r="A4176" s="4" t="s">
        <v>9826</v>
      </c>
      <c r="B4176" s="5" t="s">
        <v>9827</v>
      </c>
      <c r="C4176" s="5" t="s">
        <v>54</v>
      </c>
      <c r="D4176" s="5" t="s">
        <v>55</v>
      </c>
      <c r="E4176" s="5" t="s">
        <v>275</v>
      </c>
      <c r="F4176" s="9">
        <v>60</v>
      </c>
      <c r="G4176" s="9">
        <v>684</v>
      </c>
      <c r="H4176" s="5" t="s">
        <v>21</v>
      </c>
      <c r="I4176" s="5" t="s">
        <v>9829</v>
      </c>
      <c r="J4176" s="12" t="str">
        <f>HYPERLINK("https://www.boe.es/gazeta/dias/1800/07/29/pdfs/GMD-1800-60.pdf#page=4","Abrir facsímil")</f>
        <v>Abrir facsímil</v>
      </c>
      <c r="K4176" s="15" t="s">
        <v>23</v>
      </c>
    </row>
    <row r="4177" spans="1:11" ht="42" customHeight="1">
      <c r="A4177" s="4" t="s">
        <v>9826</v>
      </c>
      <c r="B4177" s="5" t="s">
        <v>9827</v>
      </c>
      <c r="C4177" s="5" t="s">
        <v>41</v>
      </c>
      <c r="D4177" s="5" t="s">
        <v>42</v>
      </c>
      <c r="E4177" s="5" t="s">
        <v>422</v>
      </c>
      <c r="F4177" s="9">
        <v>85</v>
      </c>
      <c r="G4177" s="9">
        <v>982</v>
      </c>
      <c r="H4177" s="5" t="s">
        <v>21</v>
      </c>
      <c r="I4177" s="5" t="s">
        <v>9830</v>
      </c>
      <c r="J4177" s="12" t="str">
        <f>HYPERLINK("https://www.boe.es/gazeta/dias/1800/10/21/pdfs/GMD-1800-85.pdf#page=4","Abrir facsímil")</f>
        <v>Abrir facsímil</v>
      </c>
      <c r="K4177" s="15" t="s">
        <v>23</v>
      </c>
    </row>
    <row r="4178" spans="1:11" ht="42" customHeight="1">
      <c r="A4178" s="4" t="s">
        <v>9826</v>
      </c>
      <c r="B4178" s="5" t="s">
        <v>9827</v>
      </c>
      <c r="C4178" s="5" t="s">
        <v>41</v>
      </c>
      <c r="D4178" s="5" t="s">
        <v>42</v>
      </c>
      <c r="E4178" s="5" t="s">
        <v>445</v>
      </c>
      <c r="F4178" s="9">
        <v>96</v>
      </c>
      <c r="G4178" s="9">
        <v>1103</v>
      </c>
      <c r="H4178" s="5" t="s">
        <v>21</v>
      </c>
      <c r="I4178" s="5" t="s">
        <v>9831</v>
      </c>
      <c r="J4178" s="12" t="str">
        <f>HYPERLINK("https://www.boe.es/gazeta/dias/1800/11/28/pdfs/GMD-1800-96.pdf#page=7","Abrir facsímil")</f>
        <v>Abrir facsímil</v>
      </c>
      <c r="K4178" s="15" t="s">
        <v>23</v>
      </c>
    </row>
    <row r="4179" spans="1:11" ht="42" customHeight="1">
      <c r="A4179" s="4" t="s">
        <v>9826</v>
      </c>
      <c r="B4179" s="5" t="s">
        <v>9827</v>
      </c>
      <c r="C4179" s="5" t="s">
        <v>41</v>
      </c>
      <c r="D4179" s="5" t="s">
        <v>42</v>
      </c>
      <c r="E4179" s="5" t="s">
        <v>534</v>
      </c>
      <c r="F4179" s="9">
        <v>100</v>
      </c>
      <c r="G4179" s="9">
        <v>1152</v>
      </c>
      <c r="H4179" s="5" t="s">
        <v>21</v>
      </c>
      <c r="I4179" s="5" t="s">
        <v>9832</v>
      </c>
      <c r="J4179" s="12" t="str">
        <f>HYPERLINK("https://www.boe.es/gazeta/dias/1800/12/12/pdfs/GMD-1800-100.pdf#page=4","Abrir facsímil")</f>
        <v>Abrir facsímil</v>
      </c>
      <c r="K4179" s="15" t="s">
        <v>23</v>
      </c>
    </row>
    <row r="4180" spans="1:11" ht="42" customHeight="1">
      <c r="A4180" s="4" t="s">
        <v>9833</v>
      </c>
      <c r="B4180" s="5" t="s">
        <v>9833</v>
      </c>
      <c r="C4180" s="5" t="s">
        <v>41</v>
      </c>
      <c r="D4180" s="5" t="s">
        <v>42</v>
      </c>
      <c r="E4180" s="5" t="s">
        <v>82</v>
      </c>
      <c r="F4180" s="9">
        <v>10</v>
      </c>
      <c r="G4180" s="9">
        <v>95</v>
      </c>
      <c r="H4180" s="5" t="s">
        <v>21</v>
      </c>
      <c r="I4180" s="5" t="s">
        <v>9834</v>
      </c>
      <c r="J4180" s="12" t="str">
        <f>HYPERLINK("https://www.boe.es/gazeta/dias/1800/02/04/pdfs/GMD-1800-10.pdf#page=7","Abrir facsímil")</f>
        <v>Abrir facsímil</v>
      </c>
      <c r="K4180" s="15" t="s">
        <v>23</v>
      </c>
    </row>
    <row r="4181" spans="1:11" ht="42" customHeight="1">
      <c r="A4181" s="4" t="s">
        <v>9833</v>
      </c>
      <c r="B4181" s="5" t="s">
        <v>9833</v>
      </c>
      <c r="C4181" s="5" t="s">
        <v>41</v>
      </c>
      <c r="D4181" s="5" t="s">
        <v>42</v>
      </c>
      <c r="E4181" s="5" t="s">
        <v>1433</v>
      </c>
      <c r="F4181" s="9">
        <v>12</v>
      </c>
      <c r="G4181" s="9">
        <v>114</v>
      </c>
      <c r="H4181" s="5" t="s">
        <v>21</v>
      </c>
      <c r="I4181" s="5" t="s">
        <v>9835</v>
      </c>
      <c r="J4181" s="12" t="str">
        <f>HYPERLINK("https://www.boe.es/gazeta/dias/1800/02/11/pdfs/GMD-1800-12.pdf#page=6","Abrir facsímil")</f>
        <v>Abrir facsímil</v>
      </c>
      <c r="K4181" s="15" t="s">
        <v>23</v>
      </c>
    </row>
    <row r="4182" spans="1:11" ht="42" customHeight="1">
      <c r="A4182" s="4" t="s">
        <v>9833</v>
      </c>
      <c r="B4182" s="5" t="s">
        <v>9833</v>
      </c>
      <c r="C4182" s="5" t="s">
        <v>41</v>
      </c>
      <c r="D4182" s="5" t="s">
        <v>42</v>
      </c>
      <c r="E4182" s="5" t="s">
        <v>454</v>
      </c>
      <c r="F4182" s="9">
        <v>63</v>
      </c>
      <c r="G4182" s="9">
        <v>713</v>
      </c>
      <c r="H4182" s="5" t="s">
        <v>21</v>
      </c>
      <c r="I4182" s="5" t="s">
        <v>9836</v>
      </c>
      <c r="J4182" s="12" t="str">
        <f>HYPERLINK("https://www.boe.es/gazeta/dias/1800/08/08/pdfs/GMD-1800-63.pdf#page=1","Abrir facsímil")</f>
        <v>Abrir facsímil</v>
      </c>
      <c r="K4182" s="15" t="s">
        <v>23</v>
      </c>
    </row>
    <row r="4183" spans="1:11" ht="42" customHeight="1">
      <c r="A4183" s="4" t="s">
        <v>9837</v>
      </c>
      <c r="B4183" s="5" t="s">
        <v>9838</v>
      </c>
      <c r="C4183" s="5" t="s">
        <v>41</v>
      </c>
      <c r="D4183" s="5" t="s">
        <v>42</v>
      </c>
      <c r="E4183" s="5" t="s">
        <v>218</v>
      </c>
      <c r="F4183" s="9">
        <v>5</v>
      </c>
      <c r="G4183" s="9">
        <v>46</v>
      </c>
      <c r="H4183" s="5" t="s">
        <v>21</v>
      </c>
      <c r="I4183" s="5" t="s">
        <v>9839</v>
      </c>
      <c r="J4183" s="12" t="str">
        <f>HYPERLINK("https://www.boe.es/gazeta/dias/1800/01/17/pdfs/GMD-1800-5.pdf#page=6","Abrir facsímil")</f>
        <v>Abrir facsímil</v>
      </c>
      <c r="K4183" s="15" t="s">
        <v>23</v>
      </c>
    </row>
    <row r="4184" spans="1:11" ht="42" customHeight="1">
      <c r="A4184" s="4" t="s">
        <v>9837</v>
      </c>
      <c r="B4184" s="5" t="s">
        <v>9838</v>
      </c>
      <c r="C4184" s="5" t="s">
        <v>41</v>
      </c>
      <c r="D4184" s="5" t="s">
        <v>42</v>
      </c>
      <c r="E4184" s="5" t="s">
        <v>787</v>
      </c>
      <c r="F4184" s="9">
        <v>6</v>
      </c>
      <c r="G4184" s="9">
        <v>55</v>
      </c>
      <c r="H4184" s="5" t="s">
        <v>21</v>
      </c>
      <c r="I4184" s="5" t="s">
        <v>9840</v>
      </c>
      <c r="J4184" s="12" t="str">
        <f>HYPERLINK("https://www.boe.es/gazeta/dias/1800/01/21/pdfs/GMD-1800-6.pdf#page=7","Abrir facsímil")</f>
        <v>Abrir facsímil</v>
      </c>
      <c r="K4184" s="15" t="s">
        <v>23</v>
      </c>
    </row>
    <row r="4185" spans="1:11" ht="42" customHeight="1">
      <c r="A4185" s="4" t="s">
        <v>9837</v>
      </c>
      <c r="B4185" s="5" t="s">
        <v>9838</v>
      </c>
      <c r="C4185" s="5" t="s">
        <v>41</v>
      </c>
      <c r="D4185" s="5" t="s">
        <v>42</v>
      </c>
      <c r="E4185" s="5" t="s">
        <v>1127</v>
      </c>
      <c r="F4185" s="9">
        <v>11</v>
      </c>
      <c r="G4185" s="9">
        <v>105</v>
      </c>
      <c r="H4185" s="5" t="s">
        <v>21</v>
      </c>
      <c r="I4185" s="5" t="s">
        <v>9841</v>
      </c>
      <c r="J4185" s="12" t="str">
        <f>HYPERLINK("https://www.boe.es/gazeta/dias/1800/02/07/pdfs/GMD-1800-11.pdf#page=5","Abrir facsímil")</f>
        <v>Abrir facsímil</v>
      </c>
      <c r="K4185" s="15" t="s">
        <v>23</v>
      </c>
    </row>
    <row r="4186" spans="1:11" ht="42" customHeight="1">
      <c r="A4186" s="4" t="s">
        <v>9837</v>
      </c>
      <c r="B4186" s="5" t="s">
        <v>9838</v>
      </c>
      <c r="C4186" s="5" t="s">
        <v>41</v>
      </c>
      <c r="D4186" s="5" t="s">
        <v>42</v>
      </c>
      <c r="E4186" s="5" t="s">
        <v>503</v>
      </c>
      <c r="F4186" s="9">
        <v>13</v>
      </c>
      <c r="G4186" s="9">
        <v>125</v>
      </c>
      <c r="H4186" s="5" t="s">
        <v>21</v>
      </c>
      <c r="I4186" s="5" t="s">
        <v>9842</v>
      </c>
      <c r="J4186" s="12" t="str">
        <f>HYPERLINK("https://www.boe.es/gazeta/dias/1800/02/14/pdfs/GMD-1800-13.pdf#page=9","Abrir facsímil")</f>
        <v>Abrir facsímil</v>
      </c>
      <c r="K4186" s="15" t="s">
        <v>23</v>
      </c>
    </row>
    <row r="4187" spans="1:11" ht="42" customHeight="1">
      <c r="A4187" s="4" t="s">
        <v>9837</v>
      </c>
      <c r="B4187" s="5" t="s">
        <v>9838</v>
      </c>
      <c r="C4187" s="5" t="s">
        <v>41</v>
      </c>
      <c r="D4187" s="5" t="s">
        <v>42</v>
      </c>
      <c r="E4187" s="5" t="s">
        <v>194</v>
      </c>
      <c r="F4187" s="9">
        <v>48</v>
      </c>
      <c r="G4187" s="9">
        <v>510</v>
      </c>
      <c r="H4187" s="5" t="s">
        <v>21</v>
      </c>
      <c r="I4187" s="5" t="s">
        <v>9843</v>
      </c>
      <c r="J4187" s="12" t="str">
        <f>HYPERLINK("https://www.boe.es/gazeta/dias/1800/06/17/pdfs/GMD-1800-48.pdf#page=2","Abrir facsímil")</f>
        <v>Abrir facsímil</v>
      </c>
      <c r="K4187" s="15" t="s">
        <v>23</v>
      </c>
    </row>
    <row r="4188" spans="1:11" ht="42" customHeight="1">
      <c r="A4188" s="4" t="s">
        <v>9837</v>
      </c>
      <c r="B4188" s="5" t="s">
        <v>9838</v>
      </c>
      <c r="C4188" s="5" t="s">
        <v>41</v>
      </c>
      <c r="D4188" s="5" t="s">
        <v>42</v>
      </c>
      <c r="E4188" s="5" t="s">
        <v>27</v>
      </c>
      <c r="F4188" s="9">
        <v>65</v>
      </c>
      <c r="G4188" s="9">
        <v>728</v>
      </c>
      <c r="H4188" s="5" t="s">
        <v>21</v>
      </c>
      <c r="I4188" s="5" t="s">
        <v>9844</v>
      </c>
      <c r="J4188" s="12" t="str">
        <f>HYPERLINK("https://www.boe.es/gazeta/dias/1800/08/15/pdfs/GMD-1800-65.pdf#page=4","Abrir facsímil")</f>
        <v>Abrir facsímil</v>
      </c>
      <c r="K4188" s="15" t="s">
        <v>23</v>
      </c>
    </row>
    <row r="4189" spans="1:11" ht="42" customHeight="1">
      <c r="A4189" s="4" t="s">
        <v>9837</v>
      </c>
      <c r="B4189" s="5" t="s">
        <v>9838</v>
      </c>
      <c r="C4189" s="5" t="s">
        <v>41</v>
      </c>
      <c r="D4189" s="5" t="s">
        <v>42</v>
      </c>
      <c r="E4189" s="5" t="s">
        <v>48</v>
      </c>
      <c r="F4189" s="9">
        <v>66</v>
      </c>
      <c r="G4189" s="9">
        <v>739</v>
      </c>
      <c r="H4189" s="5" t="s">
        <v>21</v>
      </c>
      <c r="I4189" s="5" t="s">
        <v>9845</v>
      </c>
      <c r="J4189" s="12" t="str">
        <f>HYPERLINK("https://www.boe.es/gazeta/dias/1800/08/19/pdfs/GMD-1800-66.pdf#page=3","Abrir facsímil")</f>
        <v>Abrir facsímil</v>
      </c>
      <c r="K4189" s="15" t="s">
        <v>23</v>
      </c>
    </row>
    <row r="4190" spans="1:11" ht="42" customHeight="1">
      <c r="A4190" s="4" t="s">
        <v>9837</v>
      </c>
      <c r="B4190" s="5" t="s">
        <v>9838</v>
      </c>
      <c r="C4190" s="5" t="s">
        <v>41</v>
      </c>
      <c r="D4190" s="5" t="s">
        <v>42</v>
      </c>
      <c r="E4190" s="5" t="s">
        <v>50</v>
      </c>
      <c r="F4190" s="9">
        <v>81</v>
      </c>
      <c r="G4190" s="9">
        <v>914</v>
      </c>
      <c r="H4190" s="5" t="s">
        <v>21</v>
      </c>
      <c r="I4190" s="5" t="s">
        <v>9846</v>
      </c>
      <c r="J4190" s="12" t="str">
        <f>HYPERLINK("https://www.boe.es/gazeta/dias/1800/10/07/pdfs/GMD-1800-81.pdf#page=4","Abrir facsímil")</f>
        <v>Abrir facsímil</v>
      </c>
      <c r="K4190" s="15" t="s">
        <v>23</v>
      </c>
    </row>
    <row r="4191" spans="1:11" ht="42" customHeight="1">
      <c r="A4191" s="4" t="s">
        <v>9837</v>
      </c>
      <c r="B4191" s="5" t="s">
        <v>9838</v>
      </c>
      <c r="C4191" s="5" t="s">
        <v>41</v>
      </c>
      <c r="D4191" s="5" t="s">
        <v>42</v>
      </c>
      <c r="E4191" s="5" t="s">
        <v>190</v>
      </c>
      <c r="F4191" s="9">
        <v>93</v>
      </c>
      <c r="G4191" s="9">
        <v>1059</v>
      </c>
      <c r="H4191" s="5" t="s">
        <v>21</v>
      </c>
      <c r="I4191" s="5" t="s">
        <v>9847</v>
      </c>
      <c r="J4191" s="12" t="str">
        <f>HYPERLINK("https://www.boe.es/gazeta/dias/1800/11/18/pdfs/GMD-1800-93.pdf#page=5","Abrir facsímil")</f>
        <v>Abrir facsímil</v>
      </c>
      <c r="K4191" s="15" t="s">
        <v>23</v>
      </c>
    </row>
    <row r="4192" spans="1:11" ht="42" customHeight="1">
      <c r="A4192" s="4" t="s">
        <v>9837</v>
      </c>
      <c r="B4192" s="5" t="s">
        <v>9838</v>
      </c>
      <c r="C4192" s="5" t="s">
        <v>41</v>
      </c>
      <c r="D4192" s="5" t="s">
        <v>42</v>
      </c>
      <c r="E4192" s="5" t="s">
        <v>196</v>
      </c>
      <c r="F4192" s="9">
        <v>97</v>
      </c>
      <c r="G4192" s="9">
        <v>1111</v>
      </c>
      <c r="H4192" s="5" t="s">
        <v>21</v>
      </c>
      <c r="I4192" s="5" t="s">
        <v>9848</v>
      </c>
      <c r="J4192" s="12" t="str">
        <f>HYPERLINK("https://www.boe.es/gazeta/dias/1800/12/02/pdfs/GMD-1800-97.pdf#page=3","Abrir facsímil")</f>
        <v>Abrir facsímil</v>
      </c>
      <c r="K4192" s="15" t="s">
        <v>23</v>
      </c>
    </row>
    <row r="4193" spans="1:11" ht="42" customHeight="1">
      <c r="A4193" s="4" t="s">
        <v>9837</v>
      </c>
      <c r="B4193" s="5" t="s">
        <v>9838</v>
      </c>
      <c r="C4193" s="5" t="s">
        <v>41</v>
      </c>
      <c r="D4193" s="5" t="s">
        <v>42</v>
      </c>
      <c r="E4193" s="5" t="s">
        <v>279</v>
      </c>
      <c r="F4193" s="9">
        <v>103</v>
      </c>
      <c r="G4193" s="9">
        <v>1190</v>
      </c>
      <c r="H4193" s="5" t="s">
        <v>21</v>
      </c>
      <c r="I4193" s="5" t="s">
        <v>9849</v>
      </c>
      <c r="J4193" s="12" t="str">
        <f>HYPERLINK("https://www.boe.es/gazeta/dias/1800/12/23/pdfs/GMD-1800-103.pdf#page=2","Abrir facsímil")</f>
        <v>Abrir facsímil</v>
      </c>
      <c r="K4193" s="15" t="s">
        <v>23</v>
      </c>
    </row>
    <row r="4194" spans="1:11" ht="42" customHeight="1">
      <c r="A4194" s="4" t="s">
        <v>9850</v>
      </c>
      <c r="B4194" s="5" t="s">
        <v>9850</v>
      </c>
      <c r="C4194" s="5" t="s">
        <v>41</v>
      </c>
      <c r="D4194" s="5" t="s">
        <v>42</v>
      </c>
      <c r="E4194" s="5" t="s">
        <v>214</v>
      </c>
      <c r="F4194" s="9">
        <v>41</v>
      </c>
      <c r="G4194" s="9">
        <v>418</v>
      </c>
      <c r="H4194" s="5" t="s">
        <v>21</v>
      </c>
      <c r="I4194" s="5" t="s">
        <v>9851</v>
      </c>
      <c r="J4194" s="12" t="str">
        <f>HYPERLINK("https://www.boe.es/gazeta/dias/1800/05/23/pdfs/GMD-1800-41.pdf#page=2","Abrir facsímil")</f>
        <v>Abrir facsímil</v>
      </c>
      <c r="K4194" s="15" t="s">
        <v>23</v>
      </c>
    </row>
    <row r="4195" spans="1:11" ht="42" customHeight="1">
      <c r="A4195" s="4" t="s">
        <v>9852</v>
      </c>
      <c r="B4195" s="5" t="s">
        <v>9853</v>
      </c>
      <c r="C4195" s="5" t="s">
        <v>41</v>
      </c>
      <c r="D4195" s="5" t="s">
        <v>42</v>
      </c>
      <c r="E4195" s="5" t="s">
        <v>230</v>
      </c>
      <c r="F4195" s="9">
        <v>35</v>
      </c>
      <c r="G4195" s="9">
        <v>350</v>
      </c>
      <c r="H4195" s="5" t="s">
        <v>21</v>
      </c>
      <c r="I4195" s="5" t="s">
        <v>9854</v>
      </c>
      <c r="J4195" s="12" t="str">
        <f>HYPERLINK("https://www.boe.es/gazeta/dias/1800/05/02/pdfs/GMD-1800-35.pdf#page=2","Abrir facsímil")</f>
        <v>Abrir facsímil</v>
      </c>
      <c r="K4195" s="15" t="s">
        <v>23</v>
      </c>
    </row>
    <row r="4196" spans="1:11" ht="42" customHeight="1">
      <c r="A4196" s="4" t="s">
        <v>9855</v>
      </c>
      <c r="B4196" s="5" t="s">
        <v>9856</v>
      </c>
      <c r="C4196" s="5" t="s">
        <v>41</v>
      </c>
      <c r="D4196" s="5" t="s">
        <v>42</v>
      </c>
      <c r="E4196" s="5" t="s">
        <v>478</v>
      </c>
      <c r="F4196" s="9">
        <v>34</v>
      </c>
      <c r="G4196" s="9">
        <v>343</v>
      </c>
      <c r="H4196" s="5" t="s">
        <v>21</v>
      </c>
      <c r="I4196" s="5" t="s">
        <v>9857</v>
      </c>
      <c r="J4196" s="12" t="str">
        <f>HYPERLINK("https://www.boe.es/gazeta/dias/1800/04/29/pdfs/GMD-1800-34.pdf#page=7","Abrir facsímil")</f>
        <v>Abrir facsímil</v>
      </c>
      <c r="K4196" s="15" t="s">
        <v>23</v>
      </c>
    </row>
    <row r="4197" spans="1:11" ht="42" customHeight="1">
      <c r="A4197" s="4" t="s">
        <v>9858</v>
      </c>
      <c r="B4197" s="5" t="s">
        <v>9859</v>
      </c>
      <c r="C4197" s="5" t="s">
        <v>9860</v>
      </c>
      <c r="D4197" s="5" t="s">
        <v>55</v>
      </c>
      <c r="E4197" s="5" t="s">
        <v>139</v>
      </c>
      <c r="F4197" s="9">
        <v>2</v>
      </c>
      <c r="G4197" s="9">
        <v>20</v>
      </c>
      <c r="H4197" s="5" t="s">
        <v>4432</v>
      </c>
      <c r="I4197" s="5" t="s">
        <v>9861</v>
      </c>
      <c r="J4197" s="12" t="str">
        <f>HYPERLINK("https://www.boe.es/gazeta/dias/1800/01/07/pdfs/GMD-1800-2.pdf#page=12","Abrir facsímil")</f>
        <v>Abrir facsímil</v>
      </c>
      <c r="K4197" s="15" t="s">
        <v>4434</v>
      </c>
    </row>
    <row r="4198" spans="1:11" ht="42" customHeight="1">
      <c r="A4198" s="4" t="s">
        <v>9862</v>
      </c>
      <c r="B4198" s="5" t="s">
        <v>9862</v>
      </c>
      <c r="C4198" s="5" t="s">
        <v>41</v>
      </c>
      <c r="D4198" s="5" t="s">
        <v>42</v>
      </c>
      <c r="E4198" s="5" t="s">
        <v>120</v>
      </c>
      <c r="F4198" s="9">
        <v>52</v>
      </c>
      <c r="G4198" s="9">
        <v>565</v>
      </c>
      <c r="H4198" s="5" t="s">
        <v>21</v>
      </c>
      <c r="I4198" s="5" t="s">
        <v>8427</v>
      </c>
      <c r="J4198" s="12" t="str">
        <f>HYPERLINK("https://www.boe.es/gazeta/dias/1800/07/01/pdfs/GMD-1800-52.pdf#page=1","Abrir facsímil")</f>
        <v>Abrir facsímil</v>
      </c>
      <c r="K4198" s="15" t="s">
        <v>23</v>
      </c>
    </row>
    <row r="4199" spans="1:11" ht="42" customHeight="1">
      <c r="A4199" s="4" t="s">
        <v>9863</v>
      </c>
      <c r="B4199" s="5" t="s">
        <v>9864</v>
      </c>
      <c r="C4199" s="5" t="s">
        <v>41</v>
      </c>
      <c r="D4199" s="5" t="s">
        <v>42</v>
      </c>
      <c r="E4199" s="5" t="s">
        <v>75</v>
      </c>
      <c r="F4199" s="9">
        <v>64</v>
      </c>
      <c r="G4199" s="9">
        <v>727</v>
      </c>
      <c r="H4199" s="5" t="s">
        <v>21</v>
      </c>
      <c r="I4199" s="5" t="s">
        <v>9865</v>
      </c>
      <c r="J4199" s="12" t="str">
        <f>HYPERLINK("https://www.boe.es/gazeta/dias/1800/08/12/pdfs/GMD-1800-64.pdf#page=3","Abrir facsímil")</f>
        <v>Abrir facsímil</v>
      </c>
      <c r="K4199" s="15" t="s">
        <v>23</v>
      </c>
    </row>
    <row r="4200" spans="1:11" ht="42" customHeight="1">
      <c r="A4200" s="4" t="s">
        <v>9866</v>
      </c>
      <c r="B4200" s="5" t="s">
        <v>9866</v>
      </c>
      <c r="C4200" s="5" t="s">
        <v>18</v>
      </c>
      <c r="D4200" s="5" t="s">
        <v>19</v>
      </c>
      <c r="E4200" s="5" t="s">
        <v>576</v>
      </c>
      <c r="F4200" s="9">
        <v>91</v>
      </c>
      <c r="G4200" s="9">
        <v>1063</v>
      </c>
      <c r="H4200" s="5" t="s">
        <v>21</v>
      </c>
      <c r="I4200" s="5" t="s">
        <v>9867</v>
      </c>
      <c r="J4200" s="12" t="str">
        <f>HYPERLINK("https://www.boe.es/gazeta/dias/1800/11/11/pdfs/GMD-1800-91.pdf#page=5","Abrir facsímil")</f>
        <v>Abrir facsímil</v>
      </c>
      <c r="K4200" s="15" t="s">
        <v>23</v>
      </c>
    </row>
    <row r="4201" spans="1:11" ht="42" customHeight="1">
      <c r="A4201" s="4" t="s">
        <v>9868</v>
      </c>
      <c r="B4201" s="5" t="s">
        <v>9869</v>
      </c>
      <c r="C4201" s="5" t="s">
        <v>41</v>
      </c>
      <c r="D4201" s="5" t="s">
        <v>42</v>
      </c>
      <c r="E4201" s="5" t="s">
        <v>48</v>
      </c>
      <c r="F4201" s="9">
        <v>66</v>
      </c>
      <c r="G4201" s="9">
        <v>745</v>
      </c>
      <c r="H4201" s="5" t="s">
        <v>21</v>
      </c>
      <c r="I4201" s="5" t="s">
        <v>9870</v>
      </c>
      <c r="J4201" s="12" t="str">
        <f>HYPERLINK("https://www.boe.es/gazeta/dias/1800/08/19/pdfs/GMD-1800-66.pdf#page=9","Abrir facsímil")</f>
        <v>Abrir facsímil</v>
      </c>
      <c r="K4201" s="15" t="s">
        <v>23</v>
      </c>
    </row>
    <row r="4202" spans="1:11" ht="42" customHeight="1">
      <c r="A4202" s="4" t="s">
        <v>9871</v>
      </c>
      <c r="B4202" s="5" t="s">
        <v>9871</v>
      </c>
      <c r="C4202" s="5" t="s">
        <v>41</v>
      </c>
      <c r="D4202" s="5" t="s">
        <v>42</v>
      </c>
      <c r="E4202" s="5" t="s">
        <v>454</v>
      </c>
      <c r="F4202" s="9">
        <v>63</v>
      </c>
      <c r="G4202" s="9">
        <v>715</v>
      </c>
      <c r="H4202" s="5" t="s">
        <v>21</v>
      </c>
      <c r="I4202" s="5" t="s">
        <v>9872</v>
      </c>
      <c r="J4202" s="12" t="str">
        <f>HYPERLINK("https://www.boe.es/gazeta/dias/1800/08/08/pdfs/GMD-1800-63.pdf#page=3","Abrir facsímil")</f>
        <v>Abrir facsímil</v>
      </c>
      <c r="K4202" s="15" t="s">
        <v>23</v>
      </c>
    </row>
    <row r="4203" spans="1:11" ht="42" customHeight="1">
      <c r="A4203" s="4" t="s">
        <v>9873</v>
      </c>
      <c r="B4203" s="5" t="s">
        <v>9874</v>
      </c>
      <c r="C4203" s="5" t="s">
        <v>41</v>
      </c>
      <c r="D4203" s="5" t="s">
        <v>42</v>
      </c>
      <c r="E4203" s="5" t="s">
        <v>90</v>
      </c>
      <c r="F4203" s="9">
        <v>58</v>
      </c>
      <c r="G4203" s="9">
        <v>656</v>
      </c>
      <c r="H4203" s="5" t="s">
        <v>21</v>
      </c>
      <c r="I4203" s="5" t="s">
        <v>9875</v>
      </c>
      <c r="J4203" s="12" t="str">
        <f>HYPERLINK("https://www.boe.es/gazeta/dias/1800/07/22/pdfs/GMD-1800-58.pdf#page=4","Abrir facsímil")</f>
        <v>Abrir facsímil</v>
      </c>
      <c r="K4203" s="15" t="s">
        <v>23</v>
      </c>
    </row>
    <row r="4204" spans="1:11" ht="42" customHeight="1">
      <c r="A4204" s="4" t="s">
        <v>9876</v>
      </c>
      <c r="B4204" s="5" t="s">
        <v>9877</v>
      </c>
      <c r="C4204" s="5" t="s">
        <v>18</v>
      </c>
      <c r="D4204" s="5" t="s">
        <v>19</v>
      </c>
      <c r="E4204" s="5" t="s">
        <v>75</v>
      </c>
      <c r="F4204" s="9">
        <v>64</v>
      </c>
      <c r="G4204" s="9">
        <v>725</v>
      </c>
      <c r="H4204" s="5" t="s">
        <v>21</v>
      </c>
      <c r="I4204" s="5" t="s">
        <v>9878</v>
      </c>
      <c r="J4204" s="12" t="str">
        <f>HYPERLINK("https://www.boe.es/gazeta/dias/1800/08/12/pdfs/GMD-1800-64.pdf#page=1","Abrir facsímil")</f>
        <v>Abrir facsímil</v>
      </c>
      <c r="K4204" s="15" t="s">
        <v>23</v>
      </c>
    </row>
    <row r="4205" spans="1:11" ht="42" customHeight="1">
      <c r="A4205" s="4" t="s">
        <v>9879</v>
      </c>
      <c r="B4205" s="5" t="s">
        <v>9880</v>
      </c>
      <c r="C4205" s="5" t="s">
        <v>18</v>
      </c>
      <c r="D4205" s="5" t="s">
        <v>19</v>
      </c>
      <c r="E4205" s="5" t="s">
        <v>184</v>
      </c>
      <c r="F4205" s="9">
        <v>82</v>
      </c>
      <c r="G4205" s="9">
        <v>943</v>
      </c>
      <c r="H4205" s="5" t="s">
        <v>21</v>
      </c>
      <c r="I4205" s="5" t="s">
        <v>9881</v>
      </c>
      <c r="J4205" s="12" t="str">
        <f>HYPERLINK("https://www.boe.es/gazeta/dias/1800/10/10/pdfs/GMD-1800-82.pdf#page=1","Abrir facsímil")</f>
        <v>Abrir facsímil</v>
      </c>
      <c r="K4205" s="15" t="s">
        <v>23</v>
      </c>
    </row>
    <row r="4206" spans="1:11" ht="42" customHeight="1">
      <c r="A4206" s="4" t="s">
        <v>9882</v>
      </c>
      <c r="B4206" s="5" t="s">
        <v>9883</v>
      </c>
      <c r="C4206" s="5" t="s">
        <v>41</v>
      </c>
      <c r="D4206" s="5" t="s">
        <v>42</v>
      </c>
      <c r="E4206" s="5" t="s">
        <v>50</v>
      </c>
      <c r="F4206" s="9">
        <v>81</v>
      </c>
      <c r="G4206" s="9">
        <v>913</v>
      </c>
      <c r="H4206" s="5" t="s">
        <v>21</v>
      </c>
      <c r="I4206" s="5" t="s">
        <v>9884</v>
      </c>
      <c r="J4206" s="12" t="str">
        <f>HYPERLINK("https://www.boe.es/gazeta/dias/1800/10/07/pdfs/GMD-1800-81.pdf#page=3","Abrir facsímil")</f>
        <v>Abrir facsímil</v>
      </c>
      <c r="K4206" s="15" t="s">
        <v>23</v>
      </c>
    </row>
    <row r="4207" spans="1:11" ht="42" customHeight="1">
      <c r="A4207" s="4" t="s">
        <v>9885</v>
      </c>
      <c r="B4207" s="5" t="s">
        <v>9886</v>
      </c>
      <c r="C4207" s="5" t="s">
        <v>41</v>
      </c>
      <c r="D4207" s="5" t="s">
        <v>42</v>
      </c>
      <c r="E4207" s="5" t="s">
        <v>79</v>
      </c>
      <c r="F4207" s="9">
        <v>7</v>
      </c>
      <c r="G4207" s="9">
        <v>63</v>
      </c>
      <c r="H4207" s="5" t="s">
        <v>21</v>
      </c>
      <c r="I4207" s="5" t="s">
        <v>9887</v>
      </c>
      <c r="J4207" s="12" t="str">
        <f>HYPERLINK("https://www.boe.es/gazeta/dias/1800/01/24/pdfs/GMD-1800-7.pdf#page=3","Abrir facsímil")</f>
        <v>Abrir facsímil</v>
      </c>
      <c r="K4207" s="15" t="s">
        <v>23</v>
      </c>
    </row>
    <row r="4208" spans="1:11" ht="42" customHeight="1">
      <c r="A4208" s="4" t="s">
        <v>9888</v>
      </c>
      <c r="B4208" s="5" t="s">
        <v>9888</v>
      </c>
      <c r="C4208" s="5" t="s">
        <v>41</v>
      </c>
      <c r="D4208" s="5" t="s">
        <v>42</v>
      </c>
      <c r="E4208" s="5" t="s">
        <v>88</v>
      </c>
      <c r="F4208" s="9">
        <v>23</v>
      </c>
      <c r="G4208" s="9">
        <v>231</v>
      </c>
      <c r="H4208" s="5" t="s">
        <v>21</v>
      </c>
      <c r="I4208" s="5" t="s">
        <v>9889</v>
      </c>
      <c r="J4208" s="12" t="str">
        <f>HYPERLINK("https://www.boe.es/gazeta/dias/1800/03/21/pdfs/GMD-1800-23.pdf#page=7","Abrir facsímil")</f>
        <v>Abrir facsímil</v>
      </c>
      <c r="K4208" s="15" t="s">
        <v>23</v>
      </c>
    </row>
    <row r="4209" spans="1:11" ht="42" customHeight="1">
      <c r="A4209" s="4" t="s">
        <v>9890</v>
      </c>
      <c r="B4209" s="5" t="s">
        <v>9891</v>
      </c>
      <c r="C4209" s="5" t="s">
        <v>41</v>
      </c>
      <c r="D4209" s="5" t="s">
        <v>42</v>
      </c>
      <c r="E4209" s="5" t="s">
        <v>503</v>
      </c>
      <c r="F4209" s="9">
        <v>13</v>
      </c>
      <c r="G4209" s="9">
        <v>119</v>
      </c>
      <c r="H4209" s="5" t="s">
        <v>21</v>
      </c>
      <c r="I4209" s="5" t="s">
        <v>9892</v>
      </c>
      <c r="J4209" s="12" t="str">
        <f>HYPERLINK("https://www.boe.es/gazeta/dias/1800/02/14/pdfs/GMD-1800-13.pdf#page=3","Abrir facsímil")</f>
        <v>Abrir facsímil</v>
      </c>
      <c r="K4209" s="15" t="s">
        <v>23</v>
      </c>
    </row>
    <row r="4210" spans="1:11" ht="42" customHeight="1">
      <c r="A4210" s="4" t="s">
        <v>9890</v>
      </c>
      <c r="B4210" s="5" t="s">
        <v>9891</v>
      </c>
      <c r="C4210" s="5" t="s">
        <v>41</v>
      </c>
      <c r="D4210" s="5" t="s">
        <v>42</v>
      </c>
      <c r="E4210" s="5" t="s">
        <v>111</v>
      </c>
      <c r="F4210" s="9">
        <v>98</v>
      </c>
      <c r="G4210" s="9">
        <v>1123</v>
      </c>
      <c r="H4210" s="5" t="s">
        <v>21</v>
      </c>
      <c r="I4210" s="5" t="s">
        <v>9893</v>
      </c>
      <c r="J4210" s="12" t="str">
        <f>HYPERLINK("https://www.boe.es/gazeta/dias/1800/12/05/pdfs/GMD-1800-98.pdf#page=3","Abrir facsímil")</f>
        <v>Abrir facsímil</v>
      </c>
      <c r="K4210" s="15" t="s">
        <v>23</v>
      </c>
    </row>
    <row r="4211" spans="1:11" ht="42" customHeight="1">
      <c r="A4211" s="4" t="s">
        <v>9894</v>
      </c>
      <c r="B4211" s="5" t="s">
        <v>9894</v>
      </c>
      <c r="C4211" s="5" t="s">
        <v>41</v>
      </c>
      <c r="D4211" s="5" t="s">
        <v>42</v>
      </c>
      <c r="E4211" s="5" t="s">
        <v>158</v>
      </c>
      <c r="F4211" s="9">
        <v>25</v>
      </c>
      <c r="G4211" s="9">
        <v>251</v>
      </c>
      <c r="H4211" s="5" t="s">
        <v>21</v>
      </c>
      <c r="I4211" s="5" t="s">
        <v>9895</v>
      </c>
      <c r="J4211" s="12" t="str">
        <f>HYPERLINK("https://www.boe.es/gazeta/dias/1800/03/28/pdfs/GMD-1800-25.pdf#page=3","Abrir facsímil")</f>
        <v>Abrir facsímil</v>
      </c>
      <c r="K4211" s="15" t="s">
        <v>23</v>
      </c>
    </row>
    <row r="4212" spans="1:11" ht="42" customHeight="1">
      <c r="A4212" s="4" t="s">
        <v>9896</v>
      </c>
      <c r="B4212" s="5" t="s">
        <v>9897</v>
      </c>
      <c r="C4212" s="5" t="s">
        <v>18</v>
      </c>
      <c r="D4212" s="5" t="s">
        <v>19</v>
      </c>
      <c r="E4212" s="5" t="s">
        <v>422</v>
      </c>
      <c r="F4212" s="9">
        <v>85</v>
      </c>
      <c r="G4212" s="9">
        <v>981</v>
      </c>
      <c r="H4212" s="5" t="s">
        <v>21</v>
      </c>
      <c r="I4212" s="5" t="s">
        <v>9898</v>
      </c>
      <c r="J4212" s="12" t="str">
        <f>HYPERLINK("https://www.boe.es/gazeta/dias/1800/10/21/pdfs/GMD-1800-85.pdf#page=3","Abrir facsímil")</f>
        <v>Abrir facsímil</v>
      </c>
      <c r="K4212" s="15" t="s">
        <v>23</v>
      </c>
    </row>
    <row r="4213" spans="1:11" ht="42" customHeight="1">
      <c r="A4213" s="4" t="s">
        <v>9899</v>
      </c>
      <c r="B4213" s="5" t="s">
        <v>9900</v>
      </c>
      <c r="C4213" s="5" t="s">
        <v>207</v>
      </c>
      <c r="D4213" s="5" t="s">
        <v>55</v>
      </c>
      <c r="E4213" s="5" t="s">
        <v>131</v>
      </c>
      <c r="F4213" s="9">
        <v>8</v>
      </c>
      <c r="G4213" s="9">
        <v>75</v>
      </c>
      <c r="H4213" s="5" t="s">
        <v>21</v>
      </c>
      <c r="I4213" s="5" t="s">
        <v>9901</v>
      </c>
      <c r="J4213" s="12" t="str">
        <f>HYPERLINK("https://www.boe.es/gazeta/dias/1800/01/28/pdfs/GMD-1800-8.pdf#page=7","Abrir facsímil")</f>
        <v>Abrir facsímil</v>
      </c>
      <c r="K4213" s="15" t="s">
        <v>23</v>
      </c>
    </row>
    <row r="4214" spans="1:11" ht="42" customHeight="1">
      <c r="A4214" s="4" t="s">
        <v>9902</v>
      </c>
      <c r="B4214" s="5" t="s">
        <v>9902</v>
      </c>
      <c r="C4214" s="5" t="s">
        <v>41</v>
      </c>
      <c r="D4214" s="5" t="s">
        <v>42</v>
      </c>
      <c r="E4214" s="5" t="s">
        <v>845</v>
      </c>
      <c r="F4214" s="9">
        <v>80</v>
      </c>
      <c r="G4214" s="9">
        <v>904</v>
      </c>
      <c r="H4214" s="5" t="s">
        <v>21</v>
      </c>
      <c r="I4214" s="5" t="s">
        <v>9903</v>
      </c>
      <c r="J4214" s="12" t="str">
        <f>HYPERLINK("https://www.boe.es/gazeta/dias/1800/10/03/pdfs/GMD-1800-80.pdf#page=2","Abrir facsímil")</f>
        <v>Abrir facsímil</v>
      </c>
      <c r="K4214" s="15" t="s">
        <v>23</v>
      </c>
    </row>
    <row r="4215" spans="1:11" ht="42" customHeight="1">
      <c r="A4215" s="4" t="s">
        <v>9902</v>
      </c>
      <c r="B4215" s="5" t="s">
        <v>9902</v>
      </c>
      <c r="C4215" s="5" t="s">
        <v>41</v>
      </c>
      <c r="D4215" s="5" t="s">
        <v>42</v>
      </c>
      <c r="E4215" s="5" t="s">
        <v>116</v>
      </c>
      <c r="F4215" s="9">
        <v>86</v>
      </c>
      <c r="G4215" s="9">
        <v>992</v>
      </c>
      <c r="H4215" s="5" t="s">
        <v>21</v>
      </c>
      <c r="I4215" s="5" t="s">
        <v>9904</v>
      </c>
      <c r="J4215" s="12" t="str">
        <f>HYPERLINK("https://www.boe.es/gazeta/dias/1800/10/24/pdfs/GMD-1800-86.pdf#page=2","Abrir facsímil")</f>
        <v>Abrir facsímil</v>
      </c>
      <c r="K4215" s="15" t="s">
        <v>23</v>
      </c>
    </row>
    <row r="4216" spans="1:11" ht="42" customHeight="1">
      <c r="A4216" s="4" t="s">
        <v>9905</v>
      </c>
      <c r="B4216" s="5" t="s">
        <v>9906</v>
      </c>
      <c r="C4216" s="5" t="s">
        <v>54</v>
      </c>
      <c r="D4216" s="5" t="s">
        <v>55</v>
      </c>
      <c r="E4216" s="5" t="s">
        <v>845</v>
      </c>
      <c r="F4216" s="9">
        <v>80</v>
      </c>
      <c r="G4216" s="9">
        <v>903</v>
      </c>
      <c r="H4216" s="5" t="s">
        <v>21</v>
      </c>
      <c r="I4216" s="5" t="s">
        <v>9907</v>
      </c>
      <c r="J4216" s="12" t="str">
        <f>HYPERLINK("https://www.boe.es/gazeta/dias/1800/10/03/pdfs/GMD-1800-80.pdf#page=1","Abrir facsímil")</f>
        <v>Abrir facsímil</v>
      </c>
      <c r="K4216" s="15" t="s">
        <v>23</v>
      </c>
    </row>
    <row r="4217" spans="1:11" ht="42" customHeight="1">
      <c r="A4217" s="4" t="s">
        <v>9905</v>
      </c>
      <c r="B4217" s="5" t="s">
        <v>9906</v>
      </c>
      <c r="C4217" s="5" t="s">
        <v>41</v>
      </c>
      <c r="D4217" s="5" t="s">
        <v>42</v>
      </c>
      <c r="E4217" s="5" t="s">
        <v>845</v>
      </c>
      <c r="F4217" s="9">
        <v>80</v>
      </c>
      <c r="G4217" s="9">
        <v>904</v>
      </c>
      <c r="H4217" s="5" t="s">
        <v>21</v>
      </c>
      <c r="I4217" s="5" t="s">
        <v>9908</v>
      </c>
      <c r="J4217" s="12" t="str">
        <f>HYPERLINK("https://www.boe.es/gazeta/dias/1800/10/03/pdfs/GMD-1800-80.pdf#page=2","Abrir facsímil")</f>
        <v>Abrir facsímil</v>
      </c>
      <c r="K4217" s="15" t="s">
        <v>23</v>
      </c>
    </row>
    <row r="4218" spans="1:11" ht="42" customHeight="1">
      <c r="A4218" s="4" t="s">
        <v>9909</v>
      </c>
      <c r="B4218" s="5" t="s">
        <v>9910</v>
      </c>
      <c r="C4218" s="5" t="s">
        <v>41</v>
      </c>
      <c r="D4218" s="5" t="s">
        <v>42</v>
      </c>
      <c r="E4218" s="5" t="s">
        <v>845</v>
      </c>
      <c r="F4218" s="9">
        <v>80</v>
      </c>
      <c r="G4218" s="9">
        <v>903</v>
      </c>
      <c r="H4218" s="5" t="s">
        <v>21</v>
      </c>
      <c r="I4218" s="5" t="s">
        <v>9911</v>
      </c>
      <c r="J4218" s="12" t="str">
        <f>HYPERLINK("https://www.boe.es/gazeta/dias/1800/10/03/pdfs/GMD-1800-80.pdf#page=1","Abrir facsímil")</f>
        <v>Abrir facsímil</v>
      </c>
      <c r="K4218" s="15" t="s">
        <v>23</v>
      </c>
    </row>
    <row r="4219" spans="1:11" ht="42" customHeight="1">
      <c r="A4219" s="4" t="s">
        <v>9912</v>
      </c>
      <c r="B4219" s="5" t="s">
        <v>9912</v>
      </c>
      <c r="C4219" s="5" t="s">
        <v>84</v>
      </c>
      <c r="D4219" s="5" t="s">
        <v>85</v>
      </c>
      <c r="E4219" s="5" t="s">
        <v>461</v>
      </c>
      <c r="F4219" s="9">
        <v>18</v>
      </c>
      <c r="G4219" s="9">
        <v>165</v>
      </c>
      <c r="H4219" s="5" t="s">
        <v>21</v>
      </c>
      <c r="I4219" s="5" t="s">
        <v>9913</v>
      </c>
      <c r="J4219" s="12" t="str">
        <f>HYPERLINK("https://www.boe.es/datos/pdfs/BOE//1800/018/C00173-00176.pdf#page=1","Abrir facsímil")</f>
        <v>Abrir facsímil</v>
      </c>
      <c r="K4219" s="15" t="s">
        <v>23</v>
      </c>
    </row>
    <row r="4220" spans="1:11" ht="42" customHeight="1">
      <c r="A4220" s="4" t="s">
        <v>9914</v>
      </c>
      <c r="B4220" s="5" t="s">
        <v>9915</v>
      </c>
      <c r="C4220" s="5" t="s">
        <v>18</v>
      </c>
      <c r="D4220" s="5" t="s">
        <v>19</v>
      </c>
      <c r="E4220" s="5" t="s">
        <v>75</v>
      </c>
      <c r="F4220" s="9">
        <v>64</v>
      </c>
      <c r="G4220" s="9">
        <v>730</v>
      </c>
      <c r="H4220" s="5" t="s">
        <v>21</v>
      </c>
      <c r="I4220" s="5" t="s">
        <v>9916</v>
      </c>
      <c r="J4220" s="12" t="str">
        <f>HYPERLINK("https://www.boe.es/gazeta/dias/1800/08/12/pdfs/GMD-1800-64.pdf#page=6","Abrir facsímil")</f>
        <v>Abrir facsímil</v>
      </c>
      <c r="K4220" s="15" t="s">
        <v>23</v>
      </c>
    </row>
    <row r="4221" spans="1:11" ht="42" customHeight="1">
      <c r="A4221" s="4" t="s">
        <v>9914</v>
      </c>
      <c r="B4221" s="5" t="s">
        <v>9915</v>
      </c>
      <c r="C4221" s="5" t="s">
        <v>41</v>
      </c>
      <c r="D4221" s="5" t="s">
        <v>42</v>
      </c>
      <c r="E4221" s="5" t="s">
        <v>27</v>
      </c>
      <c r="F4221" s="9">
        <v>65</v>
      </c>
      <c r="G4221" s="9">
        <v>726</v>
      </c>
      <c r="H4221" s="5" t="s">
        <v>21</v>
      </c>
      <c r="I4221" s="5" t="s">
        <v>9917</v>
      </c>
      <c r="J4221" s="12" t="str">
        <f>HYPERLINK("https://www.boe.es/gazeta/dias/1800/08/15/pdfs/GMD-1800-65.pdf#page=2","Abrir facsímil")</f>
        <v>Abrir facsímil</v>
      </c>
      <c r="K4221" s="15" t="s">
        <v>23</v>
      </c>
    </row>
    <row r="4222" spans="1:11" ht="42" customHeight="1">
      <c r="A4222" s="4" t="s">
        <v>9914</v>
      </c>
      <c r="B4222" s="5" t="s">
        <v>9915</v>
      </c>
      <c r="C4222" s="5" t="s">
        <v>41</v>
      </c>
      <c r="D4222" s="5" t="s">
        <v>42</v>
      </c>
      <c r="E4222" s="5" t="s">
        <v>314</v>
      </c>
      <c r="F4222" s="9">
        <v>74</v>
      </c>
      <c r="G4222" s="9">
        <v>825</v>
      </c>
      <c r="H4222" s="5" t="s">
        <v>21</v>
      </c>
      <c r="I4222" s="5" t="s">
        <v>9918</v>
      </c>
      <c r="J4222" s="12" t="str">
        <f>HYPERLINK("https://www.boe.es/gazeta/dias/1800/09/12/pdfs/GMD-1800-74.pdf#page=3","Abrir facsímil")</f>
        <v>Abrir facsímil</v>
      </c>
      <c r="K4222" s="15" t="s">
        <v>23</v>
      </c>
    </row>
    <row r="4223" spans="1:11" ht="42" customHeight="1">
      <c r="A4223" s="4" t="s">
        <v>9919</v>
      </c>
      <c r="B4223" s="5" t="s">
        <v>9920</v>
      </c>
      <c r="C4223" s="5" t="s">
        <v>41</v>
      </c>
      <c r="D4223" s="5" t="s">
        <v>42</v>
      </c>
      <c r="E4223" s="5" t="s">
        <v>139</v>
      </c>
      <c r="F4223" s="9">
        <v>2</v>
      </c>
      <c r="G4223" s="9">
        <v>15</v>
      </c>
      <c r="H4223" s="5" t="s">
        <v>21</v>
      </c>
      <c r="I4223" s="5" t="s">
        <v>9921</v>
      </c>
      <c r="J4223" s="12" t="str">
        <f>HYPERLINK("https://www.boe.es/gazeta/dias/1800/01/07/pdfs/GMD-1800-2.pdf#page=7","Abrir facsímil")</f>
        <v>Abrir facsímil</v>
      </c>
      <c r="K4223" s="15" t="s">
        <v>23</v>
      </c>
    </row>
    <row r="4224" spans="1:11" ht="42" customHeight="1">
      <c r="A4224" s="4" t="s">
        <v>9919</v>
      </c>
      <c r="B4224" s="5" t="s">
        <v>9920</v>
      </c>
      <c r="C4224" s="5" t="s">
        <v>18</v>
      </c>
      <c r="D4224" s="5" t="s">
        <v>19</v>
      </c>
      <c r="E4224" s="5" t="s">
        <v>1213</v>
      </c>
      <c r="F4224" s="9">
        <v>4</v>
      </c>
      <c r="G4224" s="9">
        <v>32</v>
      </c>
      <c r="H4224" s="5" t="s">
        <v>21</v>
      </c>
      <c r="I4224" s="5" t="s">
        <v>9922</v>
      </c>
      <c r="J4224" s="12" t="str">
        <f>HYPERLINK("https://www.boe.es/gazeta/dias/1800/01/14/pdfs/GMD-1800-4.pdf#page=4","Abrir facsímil")</f>
        <v>Abrir facsímil</v>
      </c>
      <c r="K4224" s="15" t="s">
        <v>23</v>
      </c>
    </row>
    <row r="4225" spans="1:11" ht="42" customHeight="1">
      <c r="A4225" s="4" t="s">
        <v>9923</v>
      </c>
      <c r="B4225" s="5" t="s">
        <v>9924</v>
      </c>
      <c r="C4225" s="5" t="s">
        <v>41</v>
      </c>
      <c r="D4225" s="5" t="s">
        <v>42</v>
      </c>
      <c r="E4225" s="5" t="s">
        <v>218</v>
      </c>
      <c r="F4225" s="9">
        <v>5</v>
      </c>
      <c r="G4225" s="9">
        <v>46</v>
      </c>
      <c r="H4225" s="5" t="s">
        <v>21</v>
      </c>
      <c r="I4225" s="5" t="s">
        <v>9925</v>
      </c>
      <c r="J4225" s="12" t="str">
        <f>HYPERLINK("https://www.boe.es/gazeta/dias/1800/01/17/pdfs/GMD-1800-5.pdf#page=6","Abrir facsímil")</f>
        <v>Abrir facsímil</v>
      </c>
      <c r="K4225" s="15" t="s">
        <v>23</v>
      </c>
    </row>
    <row r="4226" spans="1:11" ht="42" customHeight="1">
      <c r="A4226" s="4" t="s">
        <v>9919</v>
      </c>
      <c r="B4226" s="5" t="s">
        <v>9920</v>
      </c>
      <c r="C4226" s="5" t="s">
        <v>41</v>
      </c>
      <c r="D4226" s="5" t="s">
        <v>42</v>
      </c>
      <c r="E4226" s="5" t="s">
        <v>787</v>
      </c>
      <c r="F4226" s="9">
        <v>6</v>
      </c>
      <c r="G4226" s="9">
        <v>55</v>
      </c>
      <c r="H4226" s="5" t="s">
        <v>21</v>
      </c>
      <c r="I4226" s="5" t="s">
        <v>9926</v>
      </c>
      <c r="J4226" s="12" t="str">
        <f>HYPERLINK("https://www.boe.es/gazeta/dias/1800/01/21/pdfs/GMD-1800-6.pdf#page=7","Abrir facsímil")</f>
        <v>Abrir facsímil</v>
      </c>
      <c r="K4226" s="15" t="s">
        <v>23</v>
      </c>
    </row>
    <row r="4227" spans="1:11" ht="42" customHeight="1">
      <c r="A4227" s="4" t="s">
        <v>9919</v>
      </c>
      <c r="B4227" s="5" t="s">
        <v>9920</v>
      </c>
      <c r="C4227" s="5" t="s">
        <v>41</v>
      </c>
      <c r="D4227" s="5" t="s">
        <v>42</v>
      </c>
      <c r="E4227" s="5" t="s">
        <v>1433</v>
      </c>
      <c r="F4227" s="9">
        <v>12</v>
      </c>
      <c r="G4227" s="9">
        <v>114</v>
      </c>
      <c r="H4227" s="5" t="s">
        <v>21</v>
      </c>
      <c r="I4227" s="5" t="s">
        <v>9927</v>
      </c>
      <c r="J4227" s="12" t="str">
        <f>HYPERLINK("https://www.boe.es/gazeta/dias/1800/02/11/pdfs/GMD-1800-12.pdf#page=6","Abrir facsímil")</f>
        <v>Abrir facsímil</v>
      </c>
      <c r="K4227" s="15" t="s">
        <v>23</v>
      </c>
    </row>
    <row r="4228" spans="1:11" ht="42" customHeight="1">
      <c r="A4228" s="4" t="s">
        <v>9919</v>
      </c>
      <c r="B4228" s="5" t="s">
        <v>9920</v>
      </c>
      <c r="C4228" s="5" t="s">
        <v>41</v>
      </c>
      <c r="D4228" s="5" t="s">
        <v>42</v>
      </c>
      <c r="E4228" s="5" t="s">
        <v>35</v>
      </c>
      <c r="F4228" s="9">
        <v>21</v>
      </c>
      <c r="G4228" s="9">
        <v>197</v>
      </c>
      <c r="H4228" s="5" t="s">
        <v>21</v>
      </c>
      <c r="I4228" s="5" t="s">
        <v>9928</v>
      </c>
      <c r="J4228" s="12" t="str">
        <f>HYPERLINK("https://www.boe.es/gazeta/dias/1800/03/14/pdfs/GMD-1800-21.pdf#page=1","Abrir facsímil")</f>
        <v>Abrir facsímil</v>
      </c>
      <c r="K4228" s="15" t="s">
        <v>23</v>
      </c>
    </row>
    <row r="4229" spans="1:11" ht="42" customHeight="1">
      <c r="A4229" s="4" t="s">
        <v>9919</v>
      </c>
      <c r="B4229" s="5" t="s">
        <v>9920</v>
      </c>
      <c r="C4229" s="5" t="s">
        <v>84</v>
      </c>
      <c r="D4229" s="5" t="s">
        <v>85</v>
      </c>
      <c r="E4229" s="5" t="s">
        <v>143</v>
      </c>
      <c r="F4229" s="9">
        <v>22</v>
      </c>
      <c r="G4229" s="9">
        <v>215</v>
      </c>
      <c r="H4229" s="5" t="s">
        <v>21</v>
      </c>
      <c r="I4229" s="5" t="s">
        <v>9929</v>
      </c>
      <c r="J4229" s="12" t="str">
        <f>HYPERLINK("https://www.boe.es/gazeta/dias/1800/03/18/pdfs/GMD-1800-22.pdf#page=7","Abrir facsímil")</f>
        <v>Abrir facsímil</v>
      </c>
      <c r="K4229" s="15" t="s">
        <v>23</v>
      </c>
    </row>
    <row r="4230" spans="1:11" ht="42" customHeight="1">
      <c r="A4230" s="4" t="s">
        <v>9919</v>
      </c>
      <c r="B4230" s="5" t="s">
        <v>9920</v>
      </c>
      <c r="C4230" s="5" t="s">
        <v>41</v>
      </c>
      <c r="D4230" s="5" t="s">
        <v>42</v>
      </c>
      <c r="E4230" s="5" t="s">
        <v>346</v>
      </c>
      <c r="F4230" s="9">
        <v>24</v>
      </c>
      <c r="G4230" s="9">
        <v>238</v>
      </c>
      <c r="H4230" s="5" t="s">
        <v>21</v>
      </c>
      <c r="I4230" s="5" t="s">
        <v>9930</v>
      </c>
      <c r="J4230" s="12" t="str">
        <f>HYPERLINK("https://www.boe.es/gazeta/dias/1800/03/25/pdfs/GMD-1800-24.pdf#page=2","Abrir facsímil")</f>
        <v>Abrir facsímil</v>
      </c>
      <c r="K4230" s="15" t="s">
        <v>23</v>
      </c>
    </row>
    <row r="4231" spans="1:11" ht="42" customHeight="1">
      <c r="A4231" s="4" t="s">
        <v>9919</v>
      </c>
      <c r="B4231" s="5" t="s">
        <v>9920</v>
      </c>
      <c r="C4231" s="5" t="s">
        <v>41</v>
      </c>
      <c r="D4231" s="5" t="s">
        <v>42</v>
      </c>
      <c r="E4231" s="5" t="s">
        <v>240</v>
      </c>
      <c r="F4231" s="9">
        <v>26</v>
      </c>
      <c r="G4231" s="9">
        <v>262</v>
      </c>
      <c r="H4231" s="5" t="s">
        <v>21</v>
      </c>
      <c r="I4231" s="5" t="s">
        <v>9931</v>
      </c>
      <c r="J4231" s="12" t="str">
        <f>HYPERLINK("https://www.boe.es/gazeta/dias/1800/04/01/pdfs/GMD-1800-26.pdf#page=2","Abrir facsímil")</f>
        <v>Abrir facsímil</v>
      </c>
      <c r="K4231" s="15" t="s">
        <v>23</v>
      </c>
    </row>
    <row r="4232" spans="1:11" ht="42" customHeight="1">
      <c r="A4232" s="4" t="s">
        <v>9919</v>
      </c>
      <c r="B4232" s="5" t="s">
        <v>9920</v>
      </c>
      <c r="C4232" s="5" t="s">
        <v>41</v>
      </c>
      <c r="D4232" s="5" t="s">
        <v>42</v>
      </c>
      <c r="E4232" s="5" t="s">
        <v>598</v>
      </c>
      <c r="F4232" s="9">
        <v>32</v>
      </c>
      <c r="G4232" s="9">
        <v>318</v>
      </c>
      <c r="H4232" s="5" t="s">
        <v>21</v>
      </c>
      <c r="I4232" s="5" t="s">
        <v>9932</v>
      </c>
      <c r="J4232" s="12" t="str">
        <f>HYPERLINK("https://www.boe.es/gazeta/dias/1800/04/22/pdfs/GMD-1800-32.pdf#page=2","Abrir facsímil")</f>
        <v>Abrir facsímil</v>
      </c>
      <c r="K4232" s="15" t="s">
        <v>23</v>
      </c>
    </row>
    <row r="4233" spans="1:11" ht="42" customHeight="1">
      <c r="A4233" s="4" t="s">
        <v>9919</v>
      </c>
      <c r="B4233" s="5" t="s">
        <v>9920</v>
      </c>
      <c r="C4233" s="5" t="s">
        <v>18</v>
      </c>
      <c r="D4233" s="5" t="s">
        <v>19</v>
      </c>
      <c r="E4233" s="5" t="s">
        <v>248</v>
      </c>
      <c r="F4233" s="9">
        <v>33</v>
      </c>
      <c r="G4233" s="9">
        <v>327</v>
      </c>
      <c r="H4233" s="5" t="s">
        <v>21</v>
      </c>
      <c r="I4233" s="5" t="s">
        <v>9933</v>
      </c>
      <c r="J4233" s="12" t="str">
        <f>HYPERLINK("https://www.boe.es/gazeta/dias/1800/04/25/pdfs/GMD-1800-33.pdf#page=3","Abrir facsímil")</f>
        <v>Abrir facsímil</v>
      </c>
      <c r="K4233" s="15" t="s">
        <v>23</v>
      </c>
    </row>
    <row r="4234" spans="1:11" ht="42" customHeight="1">
      <c r="A4234" s="4" t="s">
        <v>9919</v>
      </c>
      <c r="B4234" s="5" t="s">
        <v>9920</v>
      </c>
      <c r="C4234" s="5" t="s">
        <v>41</v>
      </c>
      <c r="D4234" s="5" t="s">
        <v>42</v>
      </c>
      <c r="E4234" s="5" t="s">
        <v>478</v>
      </c>
      <c r="F4234" s="9">
        <v>34</v>
      </c>
      <c r="G4234" s="9">
        <v>343</v>
      </c>
      <c r="H4234" s="5" t="s">
        <v>21</v>
      </c>
      <c r="I4234" s="5" t="s">
        <v>9934</v>
      </c>
      <c r="J4234" s="12" t="str">
        <f>HYPERLINK("https://www.boe.es/gazeta/dias/1800/04/29/pdfs/GMD-1800-34.pdf#page=7","Abrir facsímil")</f>
        <v>Abrir facsímil</v>
      </c>
      <c r="K4234" s="15" t="s">
        <v>23</v>
      </c>
    </row>
    <row r="4235" spans="1:11" ht="42" customHeight="1">
      <c r="A4235" s="4" t="s">
        <v>9919</v>
      </c>
      <c r="B4235" s="5" t="s">
        <v>9920</v>
      </c>
      <c r="C4235" s="5" t="s">
        <v>41</v>
      </c>
      <c r="D4235" s="5" t="s">
        <v>42</v>
      </c>
      <c r="E4235" s="5" t="s">
        <v>230</v>
      </c>
      <c r="F4235" s="9">
        <v>35</v>
      </c>
      <c r="G4235" s="9">
        <v>350</v>
      </c>
      <c r="H4235" s="5" t="s">
        <v>21</v>
      </c>
      <c r="I4235" s="5" t="s">
        <v>9935</v>
      </c>
      <c r="J4235" s="12" t="str">
        <f>HYPERLINK("https://www.boe.es/gazeta/dias/1800/05/02/pdfs/GMD-1800-35.pdf#page=2","Abrir facsímil")</f>
        <v>Abrir facsímil</v>
      </c>
      <c r="K4235" s="15" t="s">
        <v>23</v>
      </c>
    </row>
    <row r="4236" spans="1:11" ht="42" customHeight="1">
      <c r="A4236" s="4" t="s">
        <v>9919</v>
      </c>
      <c r="B4236" s="5" t="s">
        <v>9920</v>
      </c>
      <c r="C4236" s="5" t="s">
        <v>41</v>
      </c>
      <c r="D4236" s="5" t="s">
        <v>42</v>
      </c>
      <c r="E4236" s="5" t="s">
        <v>230</v>
      </c>
      <c r="F4236" s="9">
        <v>35</v>
      </c>
      <c r="G4236" s="9">
        <v>351</v>
      </c>
      <c r="H4236" s="5" t="s">
        <v>21</v>
      </c>
      <c r="I4236" s="5" t="s">
        <v>9936</v>
      </c>
      <c r="J4236" s="12" t="str">
        <f>HYPERLINK("https://www.boe.es/gazeta/dias/1800/05/02/pdfs/GMD-1800-35.pdf#page=3","Abrir facsímil")</f>
        <v>Abrir facsímil</v>
      </c>
      <c r="K4236" s="15" t="s">
        <v>23</v>
      </c>
    </row>
    <row r="4237" spans="1:11" ht="42" customHeight="1">
      <c r="A4237" s="4" t="s">
        <v>9919</v>
      </c>
      <c r="B4237" s="5" t="s">
        <v>9920</v>
      </c>
      <c r="C4237" s="5" t="s">
        <v>41</v>
      </c>
      <c r="D4237" s="5" t="s">
        <v>42</v>
      </c>
      <c r="E4237" s="5" t="s">
        <v>101</v>
      </c>
      <c r="F4237" s="9">
        <v>37</v>
      </c>
      <c r="G4237" s="9">
        <v>373</v>
      </c>
      <c r="H4237" s="5" t="s">
        <v>21</v>
      </c>
      <c r="I4237" s="5" t="s">
        <v>9937</v>
      </c>
      <c r="J4237" s="12" t="str">
        <f>HYPERLINK("https://www.boe.es/gazeta/dias/1800/05/09/pdfs/GMD-1800-37.pdf#page=5","Abrir facsímil")</f>
        <v>Abrir facsímil</v>
      </c>
      <c r="K4237" s="15" t="s">
        <v>23</v>
      </c>
    </row>
    <row r="4238" spans="1:11" ht="42" customHeight="1">
      <c r="A4238" s="4" t="s">
        <v>9919</v>
      </c>
      <c r="B4238" s="5" t="s">
        <v>9920</v>
      </c>
      <c r="C4238" s="5" t="s">
        <v>41</v>
      </c>
      <c r="D4238" s="5" t="s">
        <v>42</v>
      </c>
      <c r="E4238" s="5" t="s">
        <v>262</v>
      </c>
      <c r="F4238" s="9">
        <v>39</v>
      </c>
      <c r="G4238" s="9">
        <v>395</v>
      </c>
      <c r="H4238" s="5" t="s">
        <v>21</v>
      </c>
      <c r="I4238" s="5" t="s">
        <v>9938</v>
      </c>
      <c r="J4238" s="12" t="str">
        <f>HYPERLINK("https://www.boe.es/gazeta/dias/1800/05/16/pdfs/GMD-1800-39.pdf#page=3","Abrir facsímil")</f>
        <v>Abrir facsímil</v>
      </c>
      <c r="K4238" s="15" t="s">
        <v>23</v>
      </c>
    </row>
    <row r="4239" spans="1:11" ht="42" customHeight="1">
      <c r="A4239" s="4" t="s">
        <v>9919</v>
      </c>
      <c r="B4239" s="5" t="s">
        <v>9920</v>
      </c>
      <c r="C4239" s="5" t="s">
        <v>41</v>
      </c>
      <c r="D4239" s="5" t="s">
        <v>42</v>
      </c>
      <c r="E4239" s="5" t="s">
        <v>262</v>
      </c>
      <c r="F4239" s="9">
        <v>39</v>
      </c>
      <c r="G4239" s="9">
        <v>397</v>
      </c>
      <c r="H4239" s="5" t="s">
        <v>21</v>
      </c>
      <c r="I4239" s="5" t="s">
        <v>9939</v>
      </c>
      <c r="J4239" s="12" t="str">
        <f>HYPERLINK("https://www.boe.es/gazeta/dias/1800/05/16/pdfs/GMD-1800-39.pdf#page=5","Abrir facsímil")</f>
        <v>Abrir facsímil</v>
      </c>
      <c r="K4239" s="15" t="s">
        <v>23</v>
      </c>
    </row>
    <row r="4240" spans="1:11" ht="42" customHeight="1">
      <c r="A4240" s="4" t="s">
        <v>9919</v>
      </c>
      <c r="B4240" s="5" t="s">
        <v>9920</v>
      </c>
      <c r="C4240" s="5" t="s">
        <v>41</v>
      </c>
      <c r="D4240" s="5" t="s">
        <v>42</v>
      </c>
      <c r="E4240" s="5" t="s">
        <v>299</v>
      </c>
      <c r="F4240" s="9">
        <v>40</v>
      </c>
      <c r="G4240" s="9">
        <v>407</v>
      </c>
      <c r="H4240" s="5" t="s">
        <v>21</v>
      </c>
      <c r="I4240" s="5" t="s">
        <v>9940</v>
      </c>
      <c r="J4240" s="12" t="str">
        <f>HYPERLINK("https://www.boe.es/gazeta/dias/1800/05/20/pdfs/GMD-1800-40.pdf#page=3","Abrir facsímil")</f>
        <v>Abrir facsímil</v>
      </c>
      <c r="K4240" s="15" t="s">
        <v>23</v>
      </c>
    </row>
    <row r="4241" spans="1:11" ht="42" customHeight="1">
      <c r="A4241" s="4" t="s">
        <v>9919</v>
      </c>
      <c r="B4241" s="5" t="s">
        <v>9920</v>
      </c>
      <c r="C4241" s="5" t="s">
        <v>41</v>
      </c>
      <c r="D4241" s="5" t="s">
        <v>42</v>
      </c>
      <c r="E4241" s="5" t="s">
        <v>214</v>
      </c>
      <c r="F4241" s="9">
        <v>41</v>
      </c>
      <c r="G4241" s="9">
        <v>418</v>
      </c>
      <c r="H4241" s="5" t="s">
        <v>21</v>
      </c>
      <c r="I4241" s="5" t="s">
        <v>9941</v>
      </c>
      <c r="J4241" s="12" t="str">
        <f>HYPERLINK("https://www.boe.es/gazeta/dias/1800/05/23/pdfs/GMD-1800-41.pdf#page=2","Abrir facsímil")</f>
        <v>Abrir facsímil</v>
      </c>
      <c r="K4241" s="15" t="s">
        <v>23</v>
      </c>
    </row>
    <row r="4242" spans="1:11" ht="42" customHeight="1">
      <c r="A4242" s="4" t="s">
        <v>9919</v>
      </c>
      <c r="B4242" s="5" t="s">
        <v>9920</v>
      </c>
      <c r="C4242" s="5" t="s">
        <v>41</v>
      </c>
      <c r="D4242" s="5" t="s">
        <v>42</v>
      </c>
      <c r="E4242" s="5" t="s">
        <v>2338</v>
      </c>
      <c r="F4242" s="9">
        <v>42</v>
      </c>
      <c r="G4242" s="9">
        <v>430</v>
      </c>
      <c r="H4242" s="5" t="s">
        <v>21</v>
      </c>
      <c r="I4242" s="5" t="s">
        <v>9942</v>
      </c>
      <c r="J4242" s="12" t="str">
        <f>HYPERLINK("https://www.boe.es/gazeta/dias/1800/05/27/pdfs/GMD-1800-42.pdf#page=2","Abrir facsímil")</f>
        <v>Abrir facsímil</v>
      </c>
      <c r="K4242" s="15" t="s">
        <v>23</v>
      </c>
    </row>
    <row r="4243" spans="1:11" ht="42" customHeight="1">
      <c r="A4243" s="4" t="s">
        <v>9919</v>
      </c>
      <c r="B4243" s="5" t="s">
        <v>9920</v>
      </c>
      <c r="C4243" s="5" t="s">
        <v>41</v>
      </c>
      <c r="D4243" s="5" t="s">
        <v>42</v>
      </c>
      <c r="E4243" s="5" t="s">
        <v>39</v>
      </c>
      <c r="F4243" s="9">
        <v>43</v>
      </c>
      <c r="G4243" s="9">
        <v>443</v>
      </c>
      <c r="H4243" s="5" t="s">
        <v>21</v>
      </c>
      <c r="I4243" s="5" t="s">
        <v>9943</v>
      </c>
      <c r="J4243" s="12" t="str">
        <f>HYPERLINK("https://www.boe.es/gazeta/dias/1800/05/30/pdfs/GMD-1800-43.pdf#page=3","Abrir facsímil")</f>
        <v>Abrir facsímil</v>
      </c>
      <c r="K4243" s="15" t="s">
        <v>23</v>
      </c>
    </row>
    <row r="4244" spans="1:11" ht="42" customHeight="1">
      <c r="A4244" s="4" t="s">
        <v>9919</v>
      </c>
      <c r="B4244" s="5" t="s">
        <v>9920</v>
      </c>
      <c r="C4244" s="5" t="s">
        <v>41</v>
      </c>
      <c r="D4244" s="5" t="s">
        <v>42</v>
      </c>
      <c r="E4244" s="5" t="s">
        <v>600</v>
      </c>
      <c r="F4244" s="9">
        <v>45</v>
      </c>
      <c r="G4244" s="9">
        <v>466</v>
      </c>
      <c r="H4244" s="5" t="s">
        <v>21</v>
      </c>
      <c r="I4244" s="5" t="s">
        <v>9944</v>
      </c>
      <c r="J4244" s="12" t="str">
        <f>HYPERLINK("https://www.boe.es/gazeta/dias/1800/06/06/pdfs/GMD-1800-45.pdf#page=2","Abrir facsímil")</f>
        <v>Abrir facsímil</v>
      </c>
      <c r="K4244" s="15" t="s">
        <v>23</v>
      </c>
    </row>
    <row r="4245" spans="1:11" ht="42" customHeight="1">
      <c r="A4245" s="4" t="s">
        <v>9919</v>
      </c>
      <c r="B4245" s="5" t="s">
        <v>9920</v>
      </c>
      <c r="C4245" s="5" t="s">
        <v>41</v>
      </c>
      <c r="D4245" s="5" t="s">
        <v>42</v>
      </c>
      <c r="E4245" s="5" t="s">
        <v>600</v>
      </c>
      <c r="F4245" s="9">
        <v>45</v>
      </c>
      <c r="G4245" s="9">
        <v>467</v>
      </c>
      <c r="H4245" s="5" t="s">
        <v>21</v>
      </c>
      <c r="I4245" s="5" t="s">
        <v>9945</v>
      </c>
      <c r="J4245" s="12" t="str">
        <f>HYPERLINK("https://www.boe.es/gazeta/dias/1800/06/06/pdfs/GMD-1800-45.pdf#page=3","Abrir facsímil")</f>
        <v>Abrir facsímil</v>
      </c>
      <c r="K4245" s="15" t="s">
        <v>23</v>
      </c>
    </row>
    <row r="4246" spans="1:11" ht="42" customHeight="1">
      <c r="A4246" s="4" t="s">
        <v>9919</v>
      </c>
      <c r="B4246" s="5" t="s">
        <v>9920</v>
      </c>
      <c r="C4246" s="5" t="s">
        <v>41</v>
      </c>
      <c r="D4246" s="5" t="s">
        <v>42</v>
      </c>
      <c r="E4246" s="5" t="s">
        <v>600</v>
      </c>
      <c r="F4246" s="9">
        <v>45</v>
      </c>
      <c r="G4246" s="9">
        <v>468</v>
      </c>
      <c r="H4246" s="5" t="s">
        <v>21</v>
      </c>
      <c r="I4246" s="5" t="s">
        <v>9946</v>
      </c>
      <c r="J4246" s="12" t="str">
        <f>HYPERLINK("https://www.boe.es/gazeta/dias/1800/06/06/pdfs/GMD-1800-45.pdf#page=4","Abrir facsímil")</f>
        <v>Abrir facsímil</v>
      </c>
      <c r="K4246" s="15" t="s">
        <v>23</v>
      </c>
    </row>
    <row r="4247" spans="1:11" ht="42" customHeight="1">
      <c r="A4247" s="4" t="s">
        <v>9919</v>
      </c>
      <c r="B4247" s="5" t="s">
        <v>9920</v>
      </c>
      <c r="C4247" s="5" t="s">
        <v>41</v>
      </c>
      <c r="D4247" s="5" t="s">
        <v>42</v>
      </c>
      <c r="E4247" s="5" t="s">
        <v>43</v>
      </c>
      <c r="F4247" s="9">
        <v>46</v>
      </c>
      <c r="G4247" s="9">
        <v>479</v>
      </c>
      <c r="H4247" s="5" t="s">
        <v>21</v>
      </c>
      <c r="I4247" s="5" t="s">
        <v>9947</v>
      </c>
      <c r="J4247" s="12" t="str">
        <f>HYPERLINK("https://www.boe.es/gazeta/dias/1800/06/10/pdfs/GMD-1800-46.pdf#page=3","Abrir facsímil")</f>
        <v>Abrir facsímil</v>
      </c>
      <c r="K4247" s="15" t="s">
        <v>23</v>
      </c>
    </row>
    <row r="4248" spans="1:11" ht="42" customHeight="1">
      <c r="A4248" s="4" t="s">
        <v>9919</v>
      </c>
      <c r="B4248" s="5" t="s">
        <v>9920</v>
      </c>
      <c r="C4248" s="5" t="s">
        <v>41</v>
      </c>
      <c r="D4248" s="5" t="s">
        <v>42</v>
      </c>
      <c r="E4248" s="5" t="s">
        <v>43</v>
      </c>
      <c r="F4248" s="9">
        <v>46</v>
      </c>
      <c r="G4248" s="9">
        <v>482</v>
      </c>
      <c r="H4248" s="5" t="s">
        <v>21</v>
      </c>
      <c r="I4248" s="5" t="s">
        <v>9948</v>
      </c>
      <c r="J4248" s="12" t="str">
        <f>HYPERLINK("https://www.boe.es/gazeta/dias/1800/06/10/pdfs/GMD-1800-46.pdf#page=6","Abrir facsímil")</f>
        <v>Abrir facsímil</v>
      </c>
      <c r="K4248" s="15" t="s">
        <v>23</v>
      </c>
    </row>
    <row r="4249" spans="1:11" ht="42" customHeight="1">
      <c r="A4249" s="4" t="s">
        <v>9919</v>
      </c>
      <c r="B4249" s="5" t="s">
        <v>9920</v>
      </c>
      <c r="C4249" s="5" t="s">
        <v>84</v>
      </c>
      <c r="D4249" s="5" t="s">
        <v>85</v>
      </c>
      <c r="E4249" s="5" t="s">
        <v>45</v>
      </c>
      <c r="F4249" s="9">
        <v>47</v>
      </c>
      <c r="G4249" s="9">
        <v>493</v>
      </c>
      <c r="H4249" s="5" t="s">
        <v>21</v>
      </c>
      <c r="I4249" s="5" t="s">
        <v>9949</v>
      </c>
      <c r="J4249" s="12" t="str">
        <f>HYPERLINK("https://www.boe.es/gazeta/dias/1800/06/13/pdfs/GMD-1800-47.pdf#page=1","Abrir facsímil")</f>
        <v>Abrir facsímil</v>
      </c>
      <c r="K4249" s="15" t="s">
        <v>23</v>
      </c>
    </row>
    <row r="4250" spans="1:11" ht="42" customHeight="1">
      <c r="A4250" s="4" t="s">
        <v>9919</v>
      </c>
      <c r="B4250" s="5" t="s">
        <v>9920</v>
      </c>
      <c r="C4250" s="5" t="s">
        <v>41</v>
      </c>
      <c r="D4250" s="5" t="s">
        <v>42</v>
      </c>
      <c r="E4250" s="5" t="s">
        <v>45</v>
      </c>
      <c r="F4250" s="9">
        <v>47</v>
      </c>
      <c r="G4250" s="9">
        <v>494</v>
      </c>
      <c r="H4250" s="5" t="s">
        <v>21</v>
      </c>
      <c r="I4250" s="5" t="s">
        <v>9950</v>
      </c>
      <c r="J4250" s="12" t="str">
        <f>HYPERLINK("https://www.boe.es/gazeta/dias/1800/06/13/pdfs/GMD-1800-47.pdf#page=2","Abrir facsímil")</f>
        <v>Abrir facsímil</v>
      </c>
      <c r="K4250" s="15" t="s">
        <v>23</v>
      </c>
    </row>
    <row r="4251" spans="1:11" ht="42" customHeight="1">
      <c r="A4251" s="4" t="s">
        <v>9919</v>
      </c>
      <c r="B4251" s="5" t="s">
        <v>9920</v>
      </c>
      <c r="C4251" s="5" t="s">
        <v>41</v>
      </c>
      <c r="D4251" s="5" t="s">
        <v>42</v>
      </c>
      <c r="E4251" s="5" t="s">
        <v>45</v>
      </c>
      <c r="F4251" s="9">
        <v>47</v>
      </c>
      <c r="G4251" s="9">
        <v>496</v>
      </c>
      <c r="H4251" s="5" t="s">
        <v>21</v>
      </c>
      <c r="I4251" s="5" t="s">
        <v>9951</v>
      </c>
      <c r="J4251" s="12" t="str">
        <f>HYPERLINK("https://www.boe.es/gazeta/dias/1800/06/13/pdfs/GMD-1800-47.pdf#page=4","Abrir facsímil")</f>
        <v>Abrir facsímil</v>
      </c>
      <c r="K4251" s="15" t="s">
        <v>23</v>
      </c>
    </row>
    <row r="4252" spans="1:11" ht="42" customHeight="1">
      <c r="A4252" s="4" t="s">
        <v>9919</v>
      </c>
      <c r="B4252" s="5" t="s">
        <v>9920</v>
      </c>
      <c r="C4252" s="5" t="s">
        <v>41</v>
      </c>
      <c r="D4252" s="5" t="s">
        <v>42</v>
      </c>
      <c r="E4252" s="5" t="s">
        <v>45</v>
      </c>
      <c r="F4252" s="9">
        <v>47</v>
      </c>
      <c r="G4252" s="9">
        <v>498</v>
      </c>
      <c r="H4252" s="5" t="s">
        <v>21</v>
      </c>
      <c r="I4252" s="5" t="s">
        <v>9952</v>
      </c>
      <c r="J4252" s="12" t="str">
        <f>HYPERLINK("https://www.boe.es/gazeta/dias/1800/06/13/pdfs/GMD-1800-47.pdf#page=6","Abrir facsímil")</f>
        <v>Abrir facsímil</v>
      </c>
      <c r="K4252" s="15" t="s">
        <v>23</v>
      </c>
    </row>
    <row r="4253" spans="1:11" ht="42" customHeight="1">
      <c r="A4253" s="4" t="s">
        <v>9919</v>
      </c>
      <c r="B4253" s="5" t="s">
        <v>9920</v>
      </c>
      <c r="C4253" s="5" t="s">
        <v>41</v>
      </c>
      <c r="D4253" s="5" t="s">
        <v>42</v>
      </c>
      <c r="E4253" s="5" t="s">
        <v>194</v>
      </c>
      <c r="F4253" s="9">
        <v>48</v>
      </c>
      <c r="G4253" s="9">
        <v>510</v>
      </c>
      <c r="H4253" s="5" t="s">
        <v>21</v>
      </c>
      <c r="I4253" s="5" t="s">
        <v>9953</v>
      </c>
      <c r="J4253" s="12" t="str">
        <f>HYPERLINK("https://www.boe.es/gazeta/dias/1800/06/17/pdfs/GMD-1800-48.pdf#page=2","Abrir facsímil")</f>
        <v>Abrir facsímil</v>
      </c>
      <c r="K4253" s="15" t="s">
        <v>23</v>
      </c>
    </row>
    <row r="4254" spans="1:11" ht="42" customHeight="1">
      <c r="A4254" s="4" t="s">
        <v>9919</v>
      </c>
      <c r="B4254" s="5" t="s">
        <v>9920</v>
      </c>
      <c r="C4254" s="5" t="s">
        <v>41</v>
      </c>
      <c r="D4254" s="5" t="s">
        <v>42</v>
      </c>
      <c r="E4254" s="5" t="s">
        <v>465</v>
      </c>
      <c r="F4254" s="9">
        <v>49</v>
      </c>
      <c r="G4254" s="9">
        <v>526</v>
      </c>
      <c r="H4254" s="5" t="s">
        <v>21</v>
      </c>
      <c r="I4254" s="5" t="s">
        <v>9954</v>
      </c>
      <c r="J4254" s="12" t="str">
        <f>HYPERLINK("https://www.boe.es/gazeta/dias/1800/06/20/pdfs/GMD-1800-49.pdf#page=2","Abrir facsímil")</f>
        <v>Abrir facsímil</v>
      </c>
      <c r="K4254" s="15" t="s">
        <v>23</v>
      </c>
    </row>
    <row r="4255" spans="1:11" ht="42" customHeight="1">
      <c r="A4255" s="4" t="s">
        <v>9919</v>
      </c>
      <c r="B4255" s="5" t="s">
        <v>9920</v>
      </c>
      <c r="C4255" s="5" t="s">
        <v>41</v>
      </c>
      <c r="D4255" s="5" t="s">
        <v>42</v>
      </c>
      <c r="E4255" s="5" t="s">
        <v>465</v>
      </c>
      <c r="F4255" s="9">
        <v>49</v>
      </c>
      <c r="G4255" s="9">
        <v>529</v>
      </c>
      <c r="H4255" s="5" t="s">
        <v>21</v>
      </c>
      <c r="I4255" s="5" t="s">
        <v>9955</v>
      </c>
      <c r="J4255" s="12" t="str">
        <f>HYPERLINK("https://www.boe.es/gazeta/dias/1800/06/20/pdfs/GMD-1800-49.pdf#page=5","Abrir facsímil")</f>
        <v>Abrir facsímil</v>
      </c>
      <c r="K4255" s="15" t="s">
        <v>23</v>
      </c>
    </row>
    <row r="4256" spans="1:11" ht="42" customHeight="1">
      <c r="A4256" s="4" t="s">
        <v>9919</v>
      </c>
      <c r="B4256" s="5" t="s">
        <v>9920</v>
      </c>
      <c r="C4256" s="5" t="s">
        <v>41</v>
      </c>
      <c r="D4256" s="5" t="s">
        <v>42</v>
      </c>
      <c r="E4256" s="5" t="s">
        <v>823</v>
      </c>
      <c r="F4256" s="9">
        <v>50</v>
      </c>
      <c r="G4256" s="9">
        <v>538</v>
      </c>
      <c r="H4256" s="5" t="s">
        <v>21</v>
      </c>
      <c r="I4256" s="5" t="s">
        <v>9956</v>
      </c>
      <c r="J4256" s="12" t="str">
        <f>HYPERLINK("https://www.boe.es/gazeta/dias/1800/06/24/pdfs/GMD-1800-50.pdf#page=2","Abrir facsímil")</f>
        <v>Abrir facsímil</v>
      </c>
      <c r="K4256" s="15" t="s">
        <v>23</v>
      </c>
    </row>
    <row r="4257" spans="1:11" ht="42" customHeight="1">
      <c r="A4257" s="4" t="s">
        <v>9919</v>
      </c>
      <c r="B4257" s="5" t="s">
        <v>9920</v>
      </c>
      <c r="C4257" s="5" t="s">
        <v>54</v>
      </c>
      <c r="D4257" s="5" t="s">
        <v>55</v>
      </c>
      <c r="E4257" s="5" t="s">
        <v>823</v>
      </c>
      <c r="F4257" s="9">
        <v>50</v>
      </c>
      <c r="G4257" s="9">
        <v>541</v>
      </c>
      <c r="H4257" s="5" t="s">
        <v>21</v>
      </c>
      <c r="I4257" s="5" t="s">
        <v>9957</v>
      </c>
      <c r="J4257" s="12" t="str">
        <f>HYPERLINK("https://www.boe.es/gazeta/dias/1800/06/24/pdfs/GMD-1800-50.pdf#page=5","Abrir facsímil")</f>
        <v>Abrir facsímil</v>
      </c>
      <c r="K4257" s="15" t="s">
        <v>23</v>
      </c>
    </row>
    <row r="4258" spans="1:11" ht="42" customHeight="1">
      <c r="A4258" s="4" t="s">
        <v>9919</v>
      </c>
      <c r="B4258" s="5" t="s">
        <v>9920</v>
      </c>
      <c r="C4258" s="5" t="s">
        <v>41</v>
      </c>
      <c r="D4258" s="5" t="s">
        <v>42</v>
      </c>
      <c r="E4258" s="5" t="s">
        <v>825</v>
      </c>
      <c r="F4258" s="9">
        <v>51</v>
      </c>
      <c r="G4258" s="9">
        <v>552</v>
      </c>
      <c r="H4258" s="5" t="s">
        <v>21</v>
      </c>
      <c r="I4258" s="5" t="s">
        <v>9958</v>
      </c>
      <c r="J4258" s="12" t="str">
        <f>HYPERLINK("https://www.boe.es/gazeta/dias/1800/06/27/pdfs/GMD-1800-51.pdf#page=4","Abrir facsímil")</f>
        <v>Abrir facsímil</v>
      </c>
      <c r="K4258" s="15" t="s">
        <v>23</v>
      </c>
    </row>
    <row r="4259" spans="1:11" ht="42" customHeight="1">
      <c r="A4259" s="4" t="s">
        <v>9919</v>
      </c>
      <c r="B4259" s="5" t="s">
        <v>9920</v>
      </c>
      <c r="C4259" s="5" t="s">
        <v>41</v>
      </c>
      <c r="D4259" s="5" t="s">
        <v>42</v>
      </c>
      <c r="E4259" s="5" t="s">
        <v>825</v>
      </c>
      <c r="F4259" s="9">
        <v>51</v>
      </c>
      <c r="G4259" s="9">
        <v>555</v>
      </c>
      <c r="H4259" s="5" t="s">
        <v>21</v>
      </c>
      <c r="I4259" s="5" t="s">
        <v>9959</v>
      </c>
      <c r="J4259" s="12" t="str">
        <f>HYPERLINK("https://www.boe.es/gazeta/dias/1800/06/27/pdfs/GMD-1800-51.pdf#page=7","Abrir facsímil")</f>
        <v>Abrir facsímil</v>
      </c>
      <c r="K4259" s="15" t="s">
        <v>23</v>
      </c>
    </row>
    <row r="4260" spans="1:11" ht="42" customHeight="1">
      <c r="A4260" s="4" t="s">
        <v>9919</v>
      </c>
      <c r="B4260" s="5" t="s">
        <v>9920</v>
      </c>
      <c r="C4260" s="5" t="s">
        <v>54</v>
      </c>
      <c r="D4260" s="5" t="s">
        <v>55</v>
      </c>
      <c r="E4260" s="5" t="s">
        <v>120</v>
      </c>
      <c r="F4260" s="9">
        <v>52</v>
      </c>
      <c r="G4260" s="9">
        <v>567</v>
      </c>
      <c r="H4260" s="5" t="s">
        <v>21</v>
      </c>
      <c r="I4260" s="5" t="s">
        <v>9960</v>
      </c>
      <c r="J4260" s="12" t="str">
        <f>HYPERLINK("https://www.boe.es/gazeta/dias/1800/07/01/pdfs/GMD-1800-52.pdf#page=3","Abrir facsímil")</f>
        <v>Abrir facsímil</v>
      </c>
      <c r="K4260" s="15" t="s">
        <v>23</v>
      </c>
    </row>
    <row r="4261" spans="1:11" ht="42" customHeight="1">
      <c r="A4261" s="4" t="s">
        <v>9919</v>
      </c>
      <c r="B4261" s="5" t="s">
        <v>9920</v>
      </c>
      <c r="C4261" s="5" t="s">
        <v>41</v>
      </c>
      <c r="D4261" s="5" t="s">
        <v>42</v>
      </c>
      <c r="E4261" s="5" t="s">
        <v>120</v>
      </c>
      <c r="F4261" s="9">
        <v>52</v>
      </c>
      <c r="G4261" s="9">
        <v>568</v>
      </c>
      <c r="H4261" s="5" t="s">
        <v>21</v>
      </c>
      <c r="I4261" s="5" t="s">
        <v>9961</v>
      </c>
      <c r="J4261" s="12" t="str">
        <f>HYPERLINK("https://www.boe.es/gazeta/dias/1800/07/01/pdfs/GMD-1800-52.pdf#page=4","Abrir facsímil")</f>
        <v>Abrir facsímil</v>
      </c>
      <c r="K4261" s="15" t="s">
        <v>23</v>
      </c>
    </row>
    <row r="4262" spans="1:11" ht="42" customHeight="1">
      <c r="A4262" s="4" t="s">
        <v>9919</v>
      </c>
      <c r="B4262" s="5" t="s">
        <v>9920</v>
      </c>
      <c r="C4262" s="5" t="s">
        <v>41</v>
      </c>
      <c r="D4262" s="5" t="s">
        <v>42</v>
      </c>
      <c r="E4262" s="5" t="s">
        <v>64</v>
      </c>
      <c r="F4262" s="9">
        <v>54</v>
      </c>
      <c r="G4262" s="9">
        <v>598</v>
      </c>
      <c r="H4262" s="5" t="s">
        <v>21</v>
      </c>
      <c r="I4262" s="5" t="s">
        <v>9962</v>
      </c>
      <c r="J4262" s="12" t="str">
        <f>HYPERLINK("https://www.boe.es/gazeta/dias/1800/07/08/pdfs/GMD-1800-54.pdf#page=2","Abrir facsímil")</f>
        <v>Abrir facsímil</v>
      </c>
      <c r="K4262" s="15" t="s">
        <v>23</v>
      </c>
    </row>
    <row r="4263" spans="1:11" ht="42" customHeight="1">
      <c r="A4263" s="4" t="s">
        <v>9919</v>
      </c>
      <c r="B4263" s="5" t="s">
        <v>9920</v>
      </c>
      <c r="C4263" s="5" t="s">
        <v>41</v>
      </c>
      <c r="D4263" s="5" t="s">
        <v>42</v>
      </c>
      <c r="E4263" s="5" t="s">
        <v>64</v>
      </c>
      <c r="F4263" s="9">
        <v>54</v>
      </c>
      <c r="G4263" s="9">
        <v>601</v>
      </c>
      <c r="H4263" s="5" t="s">
        <v>21</v>
      </c>
      <c r="I4263" s="5" t="s">
        <v>9963</v>
      </c>
      <c r="J4263" s="12" t="str">
        <f>HYPERLINK("https://www.boe.es/gazeta/dias/1800/07/08/pdfs/GMD-1800-54.pdf#page=5","Abrir facsímil")</f>
        <v>Abrir facsímil</v>
      </c>
      <c r="K4263" s="15" t="s">
        <v>23</v>
      </c>
    </row>
    <row r="4264" spans="1:11" ht="42" customHeight="1">
      <c r="A4264" s="4" t="s">
        <v>9919</v>
      </c>
      <c r="B4264" s="5" t="s">
        <v>9920</v>
      </c>
      <c r="C4264" s="5" t="s">
        <v>41</v>
      </c>
      <c r="D4264" s="5" t="s">
        <v>42</v>
      </c>
      <c r="E4264" s="5" t="s">
        <v>530</v>
      </c>
      <c r="F4264" s="9">
        <v>55</v>
      </c>
      <c r="G4264" s="9">
        <v>614</v>
      </c>
      <c r="H4264" s="5" t="s">
        <v>21</v>
      </c>
      <c r="I4264" s="5" t="s">
        <v>9964</v>
      </c>
      <c r="J4264" s="12" t="str">
        <f>HYPERLINK("https://www.boe.es/gazeta/dias/1800/07/11/pdfs/GMD-1800-55.pdf#page=2","Abrir facsímil")</f>
        <v>Abrir facsímil</v>
      </c>
      <c r="K4264" s="15" t="s">
        <v>23</v>
      </c>
    </row>
    <row r="4265" spans="1:11" ht="42" customHeight="1">
      <c r="A4265" s="4" t="s">
        <v>9919</v>
      </c>
      <c r="B4265" s="5" t="s">
        <v>9920</v>
      </c>
      <c r="C4265" s="5" t="s">
        <v>54</v>
      </c>
      <c r="D4265" s="5" t="s">
        <v>55</v>
      </c>
      <c r="E4265" s="5" t="s">
        <v>530</v>
      </c>
      <c r="F4265" s="9">
        <v>55</v>
      </c>
      <c r="G4265" s="9">
        <v>618</v>
      </c>
      <c r="H4265" s="5" t="s">
        <v>21</v>
      </c>
      <c r="I4265" s="5" t="s">
        <v>9965</v>
      </c>
      <c r="J4265" s="12" t="str">
        <f>HYPERLINK("https://www.boe.es/gazeta/dias/1800/07/11/pdfs/GMD-1800-55.pdf#page=6","Abrir facsímil")</f>
        <v>Abrir facsímil</v>
      </c>
      <c r="K4265" s="15" t="s">
        <v>23</v>
      </c>
    </row>
    <row r="4266" spans="1:11" ht="42" customHeight="1">
      <c r="A4266" s="4" t="s">
        <v>9919</v>
      </c>
      <c r="B4266" s="5" t="s">
        <v>9920</v>
      </c>
      <c r="C4266" s="5" t="s">
        <v>41</v>
      </c>
      <c r="D4266" s="5" t="s">
        <v>42</v>
      </c>
      <c r="E4266" s="5" t="s">
        <v>310</v>
      </c>
      <c r="F4266" s="9">
        <v>56</v>
      </c>
      <c r="G4266" s="9">
        <v>626</v>
      </c>
      <c r="H4266" s="5" t="s">
        <v>21</v>
      </c>
      <c r="I4266" s="5" t="s">
        <v>9966</v>
      </c>
      <c r="J4266" s="12" t="str">
        <f>HYPERLINK("https://www.boe.es/gazeta/dias/1800/07/15/pdfs/GMD-1800-56.pdf#page=2","Abrir facsímil")</f>
        <v>Abrir facsímil</v>
      </c>
      <c r="K4266" s="15" t="s">
        <v>23</v>
      </c>
    </row>
    <row r="4267" spans="1:11" ht="42" customHeight="1">
      <c r="A4267" s="4" t="s">
        <v>9919</v>
      </c>
      <c r="B4267" s="5" t="s">
        <v>9920</v>
      </c>
      <c r="C4267" s="5" t="s">
        <v>41</v>
      </c>
      <c r="D4267" s="5" t="s">
        <v>42</v>
      </c>
      <c r="E4267" s="5" t="s">
        <v>90</v>
      </c>
      <c r="F4267" s="9">
        <v>58</v>
      </c>
      <c r="G4267" s="9">
        <v>657</v>
      </c>
      <c r="H4267" s="5" t="s">
        <v>21</v>
      </c>
      <c r="I4267" s="5" t="s">
        <v>9967</v>
      </c>
      <c r="J4267" s="12" t="str">
        <f>HYPERLINK("https://www.boe.es/gazeta/dias/1800/07/22/pdfs/GMD-1800-58.pdf#page=5","Abrir facsímil")</f>
        <v>Abrir facsímil</v>
      </c>
      <c r="K4267" s="15" t="s">
        <v>23</v>
      </c>
    </row>
    <row r="4268" spans="1:11" ht="42" customHeight="1">
      <c r="A4268" s="4" t="s">
        <v>9919</v>
      </c>
      <c r="B4268" s="5" t="s">
        <v>9920</v>
      </c>
      <c r="C4268" s="5" t="s">
        <v>41</v>
      </c>
      <c r="D4268" s="5" t="s">
        <v>42</v>
      </c>
      <c r="E4268" s="5" t="s">
        <v>90</v>
      </c>
      <c r="F4268" s="9">
        <v>58</v>
      </c>
      <c r="G4268" s="9">
        <v>660</v>
      </c>
      <c r="H4268" s="5" t="s">
        <v>21</v>
      </c>
      <c r="I4268" s="5" t="s">
        <v>9968</v>
      </c>
      <c r="J4268" s="12" t="str">
        <f>HYPERLINK("https://www.boe.es/gazeta/dias/1800/07/22/pdfs/GMD-1800-58.pdf#page=8","Abrir facsímil")</f>
        <v>Abrir facsímil</v>
      </c>
      <c r="K4268" s="15" t="s">
        <v>23</v>
      </c>
    </row>
    <row r="4269" spans="1:11" ht="42" customHeight="1">
      <c r="A4269" s="4" t="s">
        <v>9919</v>
      </c>
      <c r="B4269" s="5" t="s">
        <v>9920</v>
      </c>
      <c r="C4269" s="5" t="s">
        <v>41</v>
      </c>
      <c r="D4269" s="5" t="s">
        <v>42</v>
      </c>
      <c r="E4269" s="5" t="s">
        <v>1294</v>
      </c>
      <c r="F4269" s="9">
        <v>59</v>
      </c>
      <c r="G4269" s="9">
        <v>671</v>
      </c>
      <c r="H4269" s="5" t="s">
        <v>21</v>
      </c>
      <c r="I4269" s="5" t="s">
        <v>9969</v>
      </c>
      <c r="J4269" s="12" t="str">
        <f>HYPERLINK("https://www.boe.es/gazeta/dias/1800/07/25/pdfs/GMD-1800-59.pdf#page=3","Abrir facsímil")</f>
        <v>Abrir facsímil</v>
      </c>
      <c r="K4269" s="15" t="s">
        <v>23</v>
      </c>
    </row>
    <row r="4270" spans="1:11" ht="42" customHeight="1">
      <c r="A4270" s="4" t="s">
        <v>9919</v>
      </c>
      <c r="B4270" s="5" t="s">
        <v>9920</v>
      </c>
      <c r="C4270" s="5" t="s">
        <v>41</v>
      </c>
      <c r="D4270" s="5" t="s">
        <v>42</v>
      </c>
      <c r="E4270" s="5" t="s">
        <v>1294</v>
      </c>
      <c r="F4270" s="9">
        <v>59</v>
      </c>
      <c r="G4270" s="9">
        <v>673</v>
      </c>
      <c r="H4270" s="5" t="s">
        <v>21</v>
      </c>
      <c r="I4270" s="5" t="s">
        <v>9970</v>
      </c>
      <c r="J4270" s="12" t="str">
        <f>HYPERLINK("https://www.boe.es/gazeta/dias/1800/07/25/pdfs/GMD-1800-59.pdf#page=5","Abrir facsímil")</f>
        <v>Abrir facsímil</v>
      </c>
      <c r="K4270" s="15" t="s">
        <v>23</v>
      </c>
    </row>
    <row r="4271" spans="1:11" ht="42" customHeight="1">
      <c r="A4271" s="4" t="s">
        <v>9919</v>
      </c>
      <c r="B4271" s="5" t="s">
        <v>9920</v>
      </c>
      <c r="C4271" s="5" t="s">
        <v>41</v>
      </c>
      <c r="D4271" s="5" t="s">
        <v>42</v>
      </c>
      <c r="E4271" s="5" t="s">
        <v>275</v>
      </c>
      <c r="F4271" s="9">
        <v>60</v>
      </c>
      <c r="G4271" s="9">
        <v>684</v>
      </c>
      <c r="H4271" s="5" t="s">
        <v>21</v>
      </c>
      <c r="I4271" s="5" t="s">
        <v>9971</v>
      </c>
      <c r="J4271" s="12" t="str">
        <f>HYPERLINK("https://www.boe.es/gazeta/dias/1800/07/29/pdfs/GMD-1800-60.pdf#page=4","Abrir facsímil")</f>
        <v>Abrir facsímil</v>
      </c>
      <c r="K4271" s="15" t="s">
        <v>23</v>
      </c>
    </row>
    <row r="4272" spans="1:11" ht="42" customHeight="1">
      <c r="A4272" s="4" t="s">
        <v>9919</v>
      </c>
      <c r="B4272" s="5" t="s">
        <v>9920</v>
      </c>
      <c r="C4272" s="5" t="s">
        <v>41</v>
      </c>
      <c r="D4272" s="5" t="s">
        <v>42</v>
      </c>
      <c r="E4272" s="5" t="s">
        <v>275</v>
      </c>
      <c r="F4272" s="9">
        <v>60</v>
      </c>
      <c r="G4272" s="9">
        <v>685</v>
      </c>
      <c r="H4272" s="5" t="s">
        <v>21</v>
      </c>
      <c r="I4272" s="5" t="s">
        <v>9972</v>
      </c>
      <c r="J4272" s="12" t="str">
        <f>HYPERLINK("https://www.boe.es/gazeta/dias/1800/07/29/pdfs/GMD-1800-60.pdf#page=5","Abrir facsímil")</f>
        <v>Abrir facsímil</v>
      </c>
      <c r="K4272" s="15" t="s">
        <v>23</v>
      </c>
    </row>
    <row r="4273" spans="1:11" ht="42" customHeight="1">
      <c r="A4273" s="4" t="s">
        <v>9919</v>
      </c>
      <c r="B4273" s="5" t="s">
        <v>9920</v>
      </c>
      <c r="C4273" s="5" t="s">
        <v>41</v>
      </c>
      <c r="D4273" s="5" t="s">
        <v>42</v>
      </c>
      <c r="E4273" s="5" t="s">
        <v>154</v>
      </c>
      <c r="F4273" s="9">
        <v>61</v>
      </c>
      <c r="G4273" s="9">
        <v>691</v>
      </c>
      <c r="H4273" s="5" t="s">
        <v>21</v>
      </c>
      <c r="I4273" s="5" t="s">
        <v>9973</v>
      </c>
      <c r="J4273" s="12" t="str">
        <f>HYPERLINK("https://www.boe.es/gazeta/dias/1800/08/01/pdfs/GMD-1800-61.pdf#page=3","Abrir facsímil")</f>
        <v>Abrir facsímil</v>
      </c>
      <c r="K4273" s="15" t="s">
        <v>23</v>
      </c>
    </row>
    <row r="4274" spans="1:11" ht="42" customHeight="1">
      <c r="A4274" s="4" t="s">
        <v>9919</v>
      </c>
      <c r="B4274" s="5" t="s">
        <v>9920</v>
      </c>
      <c r="C4274" s="5" t="s">
        <v>41</v>
      </c>
      <c r="D4274" s="5" t="s">
        <v>42</v>
      </c>
      <c r="E4274" s="5" t="s">
        <v>319</v>
      </c>
      <c r="F4274" s="9">
        <v>62</v>
      </c>
      <c r="G4274" s="9">
        <v>703</v>
      </c>
      <c r="H4274" s="5" t="s">
        <v>21</v>
      </c>
      <c r="I4274" s="5" t="s">
        <v>9974</v>
      </c>
      <c r="J4274" s="12" t="str">
        <f>HYPERLINK("https://www.boe.es/gazeta/dias/1800/08/05/pdfs/GMD-1800-62.pdf#page=3","Abrir facsímil")</f>
        <v>Abrir facsímil</v>
      </c>
      <c r="K4274" s="15" t="s">
        <v>23</v>
      </c>
    </row>
    <row r="4275" spans="1:11" ht="42" customHeight="1">
      <c r="A4275" s="4" t="s">
        <v>9919</v>
      </c>
      <c r="B4275" s="5" t="s">
        <v>9920</v>
      </c>
      <c r="C4275" s="5" t="s">
        <v>41</v>
      </c>
      <c r="D4275" s="5" t="s">
        <v>42</v>
      </c>
      <c r="E4275" s="5" t="s">
        <v>319</v>
      </c>
      <c r="F4275" s="9">
        <v>62</v>
      </c>
      <c r="G4275" s="9">
        <v>705</v>
      </c>
      <c r="H4275" s="5" t="s">
        <v>21</v>
      </c>
      <c r="I4275" s="5" t="s">
        <v>9975</v>
      </c>
      <c r="J4275" s="12" t="str">
        <f>HYPERLINK("https://www.boe.es/gazeta/dias/1800/08/05/pdfs/GMD-1800-62.pdf#page=5","Abrir facsímil")</f>
        <v>Abrir facsímil</v>
      </c>
      <c r="K4275" s="15" t="s">
        <v>23</v>
      </c>
    </row>
    <row r="4276" spans="1:11" ht="42" customHeight="1">
      <c r="A4276" s="4" t="s">
        <v>9919</v>
      </c>
      <c r="B4276" s="5" t="s">
        <v>9920</v>
      </c>
      <c r="C4276" s="5" t="s">
        <v>41</v>
      </c>
      <c r="D4276" s="5" t="s">
        <v>42</v>
      </c>
      <c r="E4276" s="5" t="s">
        <v>454</v>
      </c>
      <c r="F4276" s="9">
        <v>63</v>
      </c>
      <c r="G4276" s="9">
        <v>713</v>
      </c>
      <c r="H4276" s="5" t="s">
        <v>21</v>
      </c>
      <c r="I4276" s="5" t="s">
        <v>9976</v>
      </c>
      <c r="J4276" s="12" t="str">
        <f>HYPERLINK("https://www.boe.es/gazeta/dias/1800/08/08/pdfs/GMD-1800-63.pdf#page=1","Abrir facsímil")</f>
        <v>Abrir facsímil</v>
      </c>
      <c r="K4276" s="15" t="s">
        <v>23</v>
      </c>
    </row>
    <row r="4277" spans="1:11" ht="42" customHeight="1">
      <c r="A4277" s="4" t="s">
        <v>9919</v>
      </c>
      <c r="B4277" s="5" t="s">
        <v>9920</v>
      </c>
      <c r="C4277" s="5" t="s">
        <v>41</v>
      </c>
      <c r="D4277" s="5" t="s">
        <v>42</v>
      </c>
      <c r="E4277" s="5" t="s">
        <v>454</v>
      </c>
      <c r="F4277" s="9">
        <v>63</v>
      </c>
      <c r="G4277" s="9">
        <v>714</v>
      </c>
      <c r="H4277" s="5" t="s">
        <v>21</v>
      </c>
      <c r="I4277" s="5" t="s">
        <v>9977</v>
      </c>
      <c r="J4277" s="12" t="str">
        <f>HYPERLINK("https://www.boe.es/gazeta/dias/1800/08/08/pdfs/GMD-1800-63.pdf#page=2","Abrir facsímil")</f>
        <v>Abrir facsímil</v>
      </c>
      <c r="K4277" s="15" t="s">
        <v>23</v>
      </c>
    </row>
    <row r="4278" spans="1:11" ht="42" customHeight="1">
      <c r="A4278" s="4" t="s">
        <v>9919</v>
      </c>
      <c r="B4278" s="5" t="s">
        <v>9920</v>
      </c>
      <c r="C4278" s="5" t="s">
        <v>41</v>
      </c>
      <c r="D4278" s="5" t="s">
        <v>42</v>
      </c>
      <c r="E4278" s="5" t="s">
        <v>27</v>
      </c>
      <c r="F4278" s="9">
        <v>65</v>
      </c>
      <c r="G4278" s="9">
        <v>726</v>
      </c>
      <c r="H4278" s="5" t="s">
        <v>21</v>
      </c>
      <c r="I4278" s="5" t="s">
        <v>9978</v>
      </c>
      <c r="J4278" s="12" t="str">
        <f>HYPERLINK("https://www.boe.es/gazeta/dias/1800/08/15/pdfs/GMD-1800-65.pdf#page=2","Abrir facsímil")</f>
        <v>Abrir facsímil</v>
      </c>
      <c r="K4278" s="15" t="s">
        <v>23</v>
      </c>
    </row>
    <row r="4279" spans="1:11" ht="42" customHeight="1">
      <c r="A4279" s="4" t="s">
        <v>9919</v>
      </c>
      <c r="B4279" s="5" t="s">
        <v>9920</v>
      </c>
      <c r="C4279" s="5" t="s">
        <v>18</v>
      </c>
      <c r="D4279" s="5" t="s">
        <v>19</v>
      </c>
      <c r="E4279" s="5" t="s">
        <v>27</v>
      </c>
      <c r="F4279" s="9">
        <v>65</v>
      </c>
      <c r="G4279" s="9">
        <v>727</v>
      </c>
      <c r="H4279" s="5" t="s">
        <v>21</v>
      </c>
      <c r="I4279" s="5" t="s">
        <v>9979</v>
      </c>
      <c r="J4279" s="12" t="str">
        <f>HYPERLINK("https://www.boe.es/gazeta/dias/1800/08/15/pdfs/GMD-1800-65.pdf#page=3","Abrir facsímil")</f>
        <v>Abrir facsímil</v>
      </c>
      <c r="K4279" s="15" t="s">
        <v>23</v>
      </c>
    </row>
    <row r="4280" spans="1:11" ht="42" customHeight="1">
      <c r="A4280" s="4" t="s">
        <v>9919</v>
      </c>
      <c r="B4280" s="5" t="s">
        <v>9920</v>
      </c>
      <c r="C4280" s="5" t="s">
        <v>18</v>
      </c>
      <c r="D4280" s="5" t="s">
        <v>19</v>
      </c>
      <c r="E4280" s="5" t="s">
        <v>27</v>
      </c>
      <c r="F4280" s="9">
        <v>65</v>
      </c>
      <c r="G4280" s="9">
        <v>728</v>
      </c>
      <c r="H4280" s="5" t="s">
        <v>21</v>
      </c>
      <c r="I4280" s="5" t="s">
        <v>9980</v>
      </c>
      <c r="J4280" s="12" t="str">
        <f>HYPERLINK("https://www.boe.es/gazeta/dias/1800/08/15/pdfs/GMD-1800-65.pdf#page=4","Abrir facsímil")</f>
        <v>Abrir facsímil</v>
      </c>
      <c r="K4280" s="15" t="s">
        <v>23</v>
      </c>
    </row>
    <row r="4281" spans="1:11" ht="42" customHeight="1">
      <c r="A4281" s="4" t="s">
        <v>9919</v>
      </c>
      <c r="B4281" s="5" t="s">
        <v>9920</v>
      </c>
      <c r="C4281" s="5" t="s">
        <v>84</v>
      </c>
      <c r="D4281" s="5" t="s">
        <v>85</v>
      </c>
      <c r="E4281" s="5" t="s">
        <v>68</v>
      </c>
      <c r="F4281" s="9">
        <v>67</v>
      </c>
      <c r="G4281" s="9">
        <v>749</v>
      </c>
      <c r="H4281" s="5" t="s">
        <v>21</v>
      </c>
      <c r="I4281" s="5" t="s">
        <v>9981</v>
      </c>
      <c r="J4281" s="12" t="str">
        <f>HYPERLINK("https://www.boe.es/gazeta/dias/1800/08/22/pdfs/GMD-1800-67.pdf#page=1","Abrir facsímil")</f>
        <v>Abrir facsímil</v>
      </c>
      <c r="K4281" s="15" t="s">
        <v>23</v>
      </c>
    </row>
    <row r="4282" spans="1:11" ht="42" customHeight="1">
      <c r="A4282" s="4" t="s">
        <v>9919</v>
      </c>
      <c r="B4282" s="5" t="s">
        <v>9920</v>
      </c>
      <c r="C4282" s="5" t="s">
        <v>41</v>
      </c>
      <c r="D4282" s="5" t="s">
        <v>42</v>
      </c>
      <c r="E4282" s="5" t="s">
        <v>836</v>
      </c>
      <c r="F4282" s="9">
        <v>71</v>
      </c>
      <c r="G4282" s="9">
        <v>783</v>
      </c>
      <c r="H4282" s="5" t="s">
        <v>21</v>
      </c>
      <c r="I4282" s="5" t="s">
        <v>9982</v>
      </c>
      <c r="J4282" s="12" t="str">
        <f>HYPERLINK("https://www.boe.es/gazeta/dias/1800/09/02/pdfs/GMD-1800-71.pdf#page=1","Abrir facsímil")</f>
        <v>Abrir facsímil</v>
      </c>
      <c r="K4282" s="15" t="s">
        <v>23</v>
      </c>
    </row>
    <row r="4283" spans="1:11" ht="42" customHeight="1">
      <c r="A4283" s="4" t="s">
        <v>9919</v>
      </c>
      <c r="B4283" s="5" t="s">
        <v>9920</v>
      </c>
      <c r="C4283" s="5" t="s">
        <v>41</v>
      </c>
      <c r="D4283" s="5" t="s">
        <v>42</v>
      </c>
      <c r="E4283" s="5" t="s">
        <v>314</v>
      </c>
      <c r="F4283" s="9">
        <v>74</v>
      </c>
      <c r="G4283" s="9">
        <v>826</v>
      </c>
      <c r="H4283" s="5" t="s">
        <v>21</v>
      </c>
      <c r="I4283" s="5" t="s">
        <v>9983</v>
      </c>
      <c r="J4283" s="12" t="str">
        <f>HYPERLINK("https://www.boe.es/gazeta/dias/1800/09/12/pdfs/GMD-1800-74.pdf#page=4","Abrir facsímil")</f>
        <v>Abrir facsímil</v>
      </c>
      <c r="K4283" s="15" t="s">
        <v>23</v>
      </c>
    </row>
    <row r="4284" spans="1:11" ht="42" customHeight="1">
      <c r="A4284" s="4" t="s">
        <v>9919</v>
      </c>
      <c r="B4284" s="5" t="s">
        <v>9920</v>
      </c>
      <c r="C4284" s="5" t="s">
        <v>41</v>
      </c>
      <c r="D4284" s="5" t="s">
        <v>42</v>
      </c>
      <c r="E4284" s="5" t="s">
        <v>572</v>
      </c>
      <c r="F4284" s="9">
        <v>76</v>
      </c>
      <c r="G4284" s="9">
        <v>861</v>
      </c>
      <c r="H4284" s="5" t="s">
        <v>21</v>
      </c>
      <c r="I4284" s="5" t="s">
        <v>9984</v>
      </c>
      <c r="J4284" s="12" t="str">
        <f>HYPERLINK("https://www.boe.es/gazeta/dias/1800/09/19/pdfs/GMD-1800-76.pdf#page=3","Abrir facsímil")</f>
        <v>Abrir facsímil</v>
      </c>
      <c r="K4284" s="15" t="s">
        <v>23</v>
      </c>
    </row>
    <row r="4285" spans="1:11" ht="42" customHeight="1">
      <c r="A4285" s="4" t="s">
        <v>9919</v>
      </c>
      <c r="B4285" s="5" t="s">
        <v>9920</v>
      </c>
      <c r="C4285" s="5" t="s">
        <v>41</v>
      </c>
      <c r="D4285" s="5" t="s">
        <v>42</v>
      </c>
      <c r="E4285" s="5" t="s">
        <v>572</v>
      </c>
      <c r="F4285" s="9">
        <v>76</v>
      </c>
      <c r="G4285" s="9">
        <v>863</v>
      </c>
      <c r="H4285" s="5" t="s">
        <v>21</v>
      </c>
      <c r="I4285" s="5" t="s">
        <v>9985</v>
      </c>
      <c r="J4285" s="12" t="str">
        <f>HYPERLINK("https://www.boe.es/gazeta/dias/1800/09/19/pdfs/GMD-1800-76.pdf#page=5","Abrir facsímil")</f>
        <v>Abrir facsímil</v>
      </c>
      <c r="K4285" s="15" t="s">
        <v>23</v>
      </c>
    </row>
    <row r="4286" spans="1:11" ht="42" customHeight="1">
      <c r="A4286" s="4" t="s">
        <v>9919</v>
      </c>
      <c r="B4286" s="5" t="s">
        <v>9920</v>
      </c>
      <c r="C4286" s="5" t="s">
        <v>41</v>
      </c>
      <c r="D4286" s="5" t="s">
        <v>42</v>
      </c>
      <c r="E4286" s="5" t="s">
        <v>572</v>
      </c>
      <c r="F4286" s="9">
        <v>76</v>
      </c>
      <c r="G4286" s="9">
        <v>864</v>
      </c>
      <c r="H4286" s="5" t="s">
        <v>21</v>
      </c>
      <c r="I4286" s="5" t="s">
        <v>9986</v>
      </c>
      <c r="J4286" s="12" t="str">
        <f>HYPERLINK("https://www.boe.es/gazeta/dias/1800/09/19/pdfs/GMD-1800-76.pdf#page=6","Abrir facsímil")</f>
        <v>Abrir facsímil</v>
      </c>
      <c r="K4286" s="15" t="s">
        <v>23</v>
      </c>
    </row>
    <row r="4287" spans="1:11" ht="42" customHeight="1">
      <c r="A4287" s="4" t="s">
        <v>9919</v>
      </c>
      <c r="B4287" s="5" t="s">
        <v>9920</v>
      </c>
      <c r="C4287" s="5" t="s">
        <v>41</v>
      </c>
      <c r="D4287" s="5" t="s">
        <v>42</v>
      </c>
      <c r="E4287" s="5" t="s">
        <v>845</v>
      </c>
      <c r="F4287" s="9">
        <v>80</v>
      </c>
      <c r="G4287" s="9">
        <v>905</v>
      </c>
      <c r="H4287" s="5" t="s">
        <v>21</v>
      </c>
      <c r="I4287" s="5" t="s">
        <v>9987</v>
      </c>
      <c r="J4287" s="12" t="str">
        <f>HYPERLINK("https://www.boe.es/gazeta/dias/1800/10/03/pdfs/GMD-1800-80.pdf#page=3","Abrir facsímil")</f>
        <v>Abrir facsímil</v>
      </c>
      <c r="K4287" s="15" t="s">
        <v>23</v>
      </c>
    </row>
    <row r="4288" spans="1:11" ht="42" customHeight="1">
      <c r="A4288" s="4" t="s">
        <v>9919</v>
      </c>
      <c r="B4288" s="5" t="s">
        <v>9920</v>
      </c>
      <c r="C4288" s="5" t="s">
        <v>18</v>
      </c>
      <c r="D4288" s="5" t="s">
        <v>19</v>
      </c>
      <c r="E4288" s="5" t="s">
        <v>50</v>
      </c>
      <c r="F4288" s="9">
        <v>81</v>
      </c>
      <c r="G4288" s="9">
        <v>913</v>
      </c>
      <c r="H4288" s="5" t="s">
        <v>21</v>
      </c>
      <c r="I4288" s="5" t="s">
        <v>9988</v>
      </c>
      <c r="J4288" s="12" t="str">
        <f>HYPERLINK("https://www.boe.es/gazeta/dias/1800/10/07/pdfs/GMD-1800-81.pdf#page=3","Abrir facsímil")</f>
        <v>Abrir facsímil</v>
      </c>
      <c r="K4288" s="15" t="s">
        <v>23</v>
      </c>
    </row>
    <row r="4289" spans="1:11" ht="42" customHeight="1">
      <c r="A4289" s="4" t="s">
        <v>9919</v>
      </c>
      <c r="B4289" s="5" t="s">
        <v>9920</v>
      </c>
      <c r="C4289" s="5" t="s">
        <v>41</v>
      </c>
      <c r="D4289" s="5" t="s">
        <v>42</v>
      </c>
      <c r="E4289" s="5" t="s">
        <v>50</v>
      </c>
      <c r="F4289" s="9">
        <v>81</v>
      </c>
      <c r="G4289" s="9">
        <v>914</v>
      </c>
      <c r="H4289" s="5" t="s">
        <v>21</v>
      </c>
      <c r="I4289" s="5" t="s">
        <v>9989</v>
      </c>
      <c r="J4289" s="12" t="str">
        <f>HYPERLINK("https://www.boe.es/gazeta/dias/1800/10/07/pdfs/GMD-1800-81.pdf#page=4","Abrir facsímil")</f>
        <v>Abrir facsímil</v>
      </c>
      <c r="K4289" s="15" t="s">
        <v>23</v>
      </c>
    </row>
    <row r="4290" spans="1:11" ht="42" customHeight="1">
      <c r="A4290" s="4" t="s">
        <v>9919</v>
      </c>
      <c r="B4290" s="5" t="s">
        <v>9920</v>
      </c>
      <c r="C4290" s="5" t="s">
        <v>41</v>
      </c>
      <c r="D4290" s="5" t="s">
        <v>42</v>
      </c>
      <c r="E4290" s="5" t="s">
        <v>184</v>
      </c>
      <c r="F4290" s="9">
        <v>82</v>
      </c>
      <c r="G4290" s="9">
        <v>946</v>
      </c>
      <c r="H4290" s="5" t="s">
        <v>21</v>
      </c>
      <c r="I4290" s="5" t="s">
        <v>9990</v>
      </c>
      <c r="J4290" s="12" t="str">
        <f>HYPERLINK("https://www.boe.es/gazeta/dias/1800/10/10/pdfs/GMD-1800-82.pdf#page=4","Abrir facsímil")</f>
        <v>Abrir facsímil</v>
      </c>
      <c r="K4290" s="15" t="s">
        <v>23</v>
      </c>
    </row>
    <row r="4291" spans="1:11" ht="42" customHeight="1">
      <c r="A4291" s="4" t="s">
        <v>9919</v>
      </c>
      <c r="B4291" s="5" t="s">
        <v>9920</v>
      </c>
      <c r="C4291" s="5" t="s">
        <v>41</v>
      </c>
      <c r="D4291" s="5" t="s">
        <v>42</v>
      </c>
      <c r="E4291" s="5" t="s">
        <v>52</v>
      </c>
      <c r="F4291" s="9">
        <v>83</v>
      </c>
      <c r="G4291" s="9">
        <v>957</v>
      </c>
      <c r="H4291" s="5" t="s">
        <v>21</v>
      </c>
      <c r="I4291" s="5" t="s">
        <v>9991</v>
      </c>
      <c r="J4291" s="12" t="str">
        <f>HYPERLINK("https://www.boe.es/gazeta/dias/1800/10/14/pdfs/GMD-1800-83.pdf#page=3","Abrir facsímil")</f>
        <v>Abrir facsímil</v>
      </c>
      <c r="K4291" s="15" t="s">
        <v>23</v>
      </c>
    </row>
    <row r="4292" spans="1:11" ht="42" customHeight="1">
      <c r="A4292" s="4" t="s">
        <v>9919</v>
      </c>
      <c r="B4292" s="5" t="s">
        <v>9920</v>
      </c>
      <c r="C4292" s="5" t="s">
        <v>41</v>
      </c>
      <c r="D4292" s="5" t="s">
        <v>42</v>
      </c>
      <c r="E4292" s="5" t="s">
        <v>422</v>
      </c>
      <c r="F4292" s="9">
        <v>85</v>
      </c>
      <c r="G4292" s="9">
        <v>980</v>
      </c>
      <c r="H4292" s="5" t="s">
        <v>21</v>
      </c>
      <c r="I4292" s="5" t="s">
        <v>9992</v>
      </c>
      <c r="J4292" s="12" t="str">
        <f>HYPERLINK("https://www.boe.es/gazeta/dias/1800/10/21/pdfs/GMD-1800-85.pdf#page=2","Abrir facsímil")</f>
        <v>Abrir facsímil</v>
      </c>
      <c r="K4292" s="15" t="s">
        <v>23</v>
      </c>
    </row>
    <row r="4293" spans="1:11" ht="42" customHeight="1">
      <c r="A4293" s="4" t="s">
        <v>9993</v>
      </c>
      <c r="B4293" s="5" t="s">
        <v>9994</v>
      </c>
      <c r="C4293" s="5" t="s">
        <v>18</v>
      </c>
      <c r="D4293" s="5" t="s">
        <v>19</v>
      </c>
      <c r="E4293" s="5" t="s">
        <v>618</v>
      </c>
      <c r="F4293" s="9">
        <v>1</v>
      </c>
      <c r="G4293" s="9">
        <v>3</v>
      </c>
      <c r="H4293" s="5" t="s">
        <v>21</v>
      </c>
      <c r="I4293" s="5" t="s">
        <v>9995</v>
      </c>
      <c r="J4293" s="12" t="str">
        <f>HYPERLINK("https://www.boe.es/gazeta/dias/1800/01/03/pdfs/GMD-1800-1.pdf#page=3","Abrir facsímil")</f>
        <v>Abrir facsímil</v>
      </c>
      <c r="K4293" s="15" t="s">
        <v>23</v>
      </c>
    </row>
    <row r="4294" spans="1:11" ht="42" customHeight="1">
      <c r="A4294" s="4" t="s">
        <v>9996</v>
      </c>
      <c r="B4294" s="5" t="s">
        <v>9996</v>
      </c>
      <c r="C4294" s="5" t="s">
        <v>84</v>
      </c>
      <c r="D4294" s="5" t="s">
        <v>85</v>
      </c>
      <c r="E4294" s="5" t="s">
        <v>190</v>
      </c>
      <c r="F4294" s="9">
        <v>93</v>
      </c>
      <c r="G4294" s="9">
        <v>1055</v>
      </c>
      <c r="H4294" s="5" t="s">
        <v>21</v>
      </c>
      <c r="I4294" s="5" t="s">
        <v>9997</v>
      </c>
      <c r="J4294" s="12" t="str">
        <f>HYPERLINK("https://www.boe.es/gazeta/dias/1800/11/18/pdfs/GMD-1800-93.pdf#page=1","Abrir facsímil")</f>
        <v>Abrir facsímil</v>
      </c>
      <c r="K4294" s="15" t="s">
        <v>23</v>
      </c>
    </row>
    <row r="4295" spans="1:11" ht="42" customHeight="1">
      <c r="A4295" s="4" t="s">
        <v>9998</v>
      </c>
      <c r="B4295" s="5" t="s">
        <v>9999</v>
      </c>
      <c r="C4295" s="5" t="s">
        <v>41</v>
      </c>
      <c r="D4295" s="5" t="s">
        <v>42</v>
      </c>
      <c r="E4295" s="5" t="s">
        <v>116</v>
      </c>
      <c r="F4295" s="9">
        <v>86</v>
      </c>
      <c r="G4295" s="9">
        <v>991</v>
      </c>
      <c r="H4295" s="5" t="s">
        <v>21</v>
      </c>
      <c r="I4295" s="5" t="s">
        <v>10000</v>
      </c>
      <c r="J4295" s="12" t="str">
        <f>HYPERLINK("https://www.boe.es/gazeta/dias/1800/10/24/pdfs/GMD-1800-86.pdf#page=1","Abrir facsímil")</f>
        <v>Abrir facsímil</v>
      </c>
      <c r="K4295" s="15" t="s">
        <v>23</v>
      </c>
    </row>
    <row r="4296" spans="1:11" ht="42" customHeight="1">
      <c r="A4296" s="4" t="s">
        <v>10001</v>
      </c>
      <c r="B4296" s="5" t="s">
        <v>10002</v>
      </c>
      <c r="C4296" s="5" t="s">
        <v>10003</v>
      </c>
      <c r="D4296" s="5" t="s">
        <v>42</v>
      </c>
      <c r="E4296" s="5" t="s">
        <v>618</v>
      </c>
      <c r="F4296" s="9">
        <v>1</v>
      </c>
      <c r="G4296" s="9">
        <v>1</v>
      </c>
      <c r="H4296" s="5" t="s">
        <v>4432</v>
      </c>
      <c r="I4296" s="5" t="s">
        <v>10004</v>
      </c>
      <c r="J4296" s="12" t="str">
        <f>HYPERLINK("https://www.boe.es/gazeta/dias/1800/01/03/pdfs/GMD-1800-1.pdf#page=1","Abrir facsímil")</f>
        <v>Abrir facsímil</v>
      </c>
      <c r="K4296" s="15" t="s">
        <v>4434</v>
      </c>
    </row>
    <row r="4297" spans="1:11" ht="42" customHeight="1">
      <c r="A4297" s="4" t="s">
        <v>10001</v>
      </c>
      <c r="B4297" s="5" t="s">
        <v>10002</v>
      </c>
      <c r="C4297" s="5" t="s">
        <v>41</v>
      </c>
      <c r="D4297" s="5" t="s">
        <v>42</v>
      </c>
      <c r="E4297" s="5" t="s">
        <v>139</v>
      </c>
      <c r="F4297" s="9">
        <v>2</v>
      </c>
      <c r="G4297" s="9">
        <v>10</v>
      </c>
      <c r="H4297" s="5" t="s">
        <v>21</v>
      </c>
      <c r="I4297" s="5" t="s">
        <v>10005</v>
      </c>
      <c r="J4297" s="12" t="str">
        <f>HYPERLINK("https://www.boe.es/gazeta/dias/1800/01/07/pdfs/GMD-1800-2.pdf#page=2","Abrir facsímil")</f>
        <v>Abrir facsímil</v>
      </c>
      <c r="K4297" s="15" t="s">
        <v>23</v>
      </c>
    </row>
    <row r="4298" spans="1:11" ht="42" customHeight="1">
      <c r="A4298" s="4" t="s">
        <v>10001</v>
      </c>
      <c r="B4298" s="5" t="s">
        <v>10002</v>
      </c>
      <c r="C4298" s="5" t="s">
        <v>18</v>
      </c>
      <c r="D4298" s="5" t="s">
        <v>19</v>
      </c>
      <c r="E4298" s="5" t="s">
        <v>176</v>
      </c>
      <c r="F4298" s="9">
        <v>88</v>
      </c>
      <c r="G4298" s="9">
        <v>1020</v>
      </c>
      <c r="H4298" s="5" t="s">
        <v>21</v>
      </c>
      <c r="I4298" s="5" t="s">
        <v>10006</v>
      </c>
      <c r="J4298" s="12" t="str">
        <f>HYPERLINK("https://www.boe.es/gazeta/dias/1800/10/31/pdfs/GMD-1800-88.pdf#page=2","Abrir facsímil")</f>
        <v>Abrir facsímil</v>
      </c>
      <c r="K4298" s="15" t="s">
        <v>23</v>
      </c>
    </row>
    <row r="4299" spans="1:11" ht="42" customHeight="1">
      <c r="A4299" s="4" t="s">
        <v>10007</v>
      </c>
      <c r="B4299" s="5" t="s">
        <v>10008</v>
      </c>
      <c r="C4299" s="5" t="s">
        <v>18</v>
      </c>
      <c r="D4299" s="5" t="s">
        <v>19</v>
      </c>
      <c r="E4299" s="5" t="s">
        <v>534</v>
      </c>
      <c r="F4299" s="9">
        <v>100</v>
      </c>
      <c r="G4299" s="9">
        <v>1161</v>
      </c>
      <c r="H4299" s="5" t="s">
        <v>21</v>
      </c>
      <c r="I4299" s="5" t="s">
        <v>10009</v>
      </c>
      <c r="J4299" s="12" t="str">
        <f>HYPERLINK("https://www.boe.es/gazeta/dias/1800/12/12/pdfs/GMD-1800-100.pdf#page=13","Abrir facsímil")</f>
        <v>Abrir facsímil</v>
      </c>
      <c r="K4299" s="15" t="s">
        <v>23</v>
      </c>
    </row>
    <row r="4300" spans="1:11" ht="42" customHeight="1">
      <c r="A4300" s="4" t="s">
        <v>10010</v>
      </c>
      <c r="B4300" s="5" t="s">
        <v>10011</v>
      </c>
      <c r="C4300" s="5" t="s">
        <v>18</v>
      </c>
      <c r="D4300" s="5" t="s">
        <v>19</v>
      </c>
      <c r="E4300" s="5" t="s">
        <v>45</v>
      </c>
      <c r="F4300" s="9">
        <v>47</v>
      </c>
      <c r="G4300" s="9">
        <v>501</v>
      </c>
      <c r="H4300" s="5" t="s">
        <v>21</v>
      </c>
      <c r="I4300" s="5" t="s">
        <v>10012</v>
      </c>
      <c r="J4300" s="12" t="str">
        <f>HYPERLINK("https://www.boe.es/gazeta/dias/1800/06/13/pdfs/GMD-1800-47.pdf#page=9","Abrir facsímil")</f>
        <v>Abrir facsímil</v>
      </c>
      <c r="K4300" s="15" t="s">
        <v>23</v>
      </c>
    </row>
    <row r="4301" spans="1:11" ht="42" customHeight="1">
      <c r="A4301" s="4" t="s">
        <v>10013</v>
      </c>
      <c r="B4301" s="5" t="s">
        <v>10014</v>
      </c>
      <c r="C4301" s="5" t="s">
        <v>25</v>
      </c>
      <c r="D4301" s="5" t="s">
        <v>26</v>
      </c>
      <c r="E4301" s="5" t="s">
        <v>279</v>
      </c>
      <c r="F4301" s="9">
        <v>103</v>
      </c>
      <c r="G4301" s="9">
        <v>1196</v>
      </c>
      <c r="H4301" s="5" t="s">
        <v>21</v>
      </c>
      <c r="I4301" s="5" t="s">
        <v>10015</v>
      </c>
      <c r="J4301" s="12" t="str">
        <f>HYPERLINK("https://www.boe.es/gazeta/dias/1800/12/23/pdfs/GMD-1800-103.pdf#page=8","Abrir facsímil")</f>
        <v>Abrir facsímil</v>
      </c>
      <c r="K4301" s="15" t="s">
        <v>23</v>
      </c>
    </row>
    <row r="4302" spans="1:11" ht="42" customHeight="1">
      <c r="A4302" s="4" t="s">
        <v>10016</v>
      </c>
      <c r="B4302" s="5" t="s">
        <v>10017</v>
      </c>
      <c r="C4302" s="5" t="s">
        <v>41</v>
      </c>
      <c r="D4302" s="5" t="s">
        <v>42</v>
      </c>
      <c r="E4302" s="5" t="s">
        <v>56</v>
      </c>
      <c r="F4302" s="9">
        <v>90</v>
      </c>
      <c r="G4302" s="9">
        <v>1049</v>
      </c>
      <c r="H4302" s="5" t="s">
        <v>21</v>
      </c>
      <c r="I4302" s="5" t="s">
        <v>10018</v>
      </c>
      <c r="J4302" s="12" t="str">
        <f>HYPERLINK("https://www.boe.es/gazeta/dias/1800/11/07/pdfs/GMD-1800-90.pdf#page=3","Abrir facsímil")</f>
        <v>Abrir facsímil</v>
      </c>
      <c r="K4302" s="15" t="s">
        <v>23</v>
      </c>
    </row>
    <row r="4303" spans="1:11" ht="42" customHeight="1">
      <c r="A4303" s="4" t="s">
        <v>10019</v>
      </c>
      <c r="B4303" s="5" t="s">
        <v>10020</v>
      </c>
      <c r="C4303" s="5" t="s">
        <v>18</v>
      </c>
      <c r="D4303" s="5" t="s">
        <v>19</v>
      </c>
      <c r="E4303" s="5" t="s">
        <v>299</v>
      </c>
      <c r="F4303" s="9">
        <v>40</v>
      </c>
      <c r="G4303" s="9">
        <v>414</v>
      </c>
      <c r="H4303" s="5" t="s">
        <v>21</v>
      </c>
      <c r="I4303" s="5" t="s">
        <v>10021</v>
      </c>
      <c r="J4303" s="12" t="str">
        <f>HYPERLINK("https://www.boe.es/gazeta/dias/1800/05/20/pdfs/GMD-1800-40.pdf#page=10","Abrir facsímil")</f>
        <v>Abrir facsímil</v>
      </c>
      <c r="K4303" s="15" t="s">
        <v>23</v>
      </c>
    </row>
    <row r="4304" spans="1:11" ht="42" customHeight="1">
      <c r="A4304" s="4" t="s">
        <v>10022</v>
      </c>
      <c r="B4304" s="5" t="s">
        <v>10023</v>
      </c>
      <c r="C4304" s="5" t="s">
        <v>41</v>
      </c>
      <c r="D4304" s="5" t="s">
        <v>42</v>
      </c>
      <c r="E4304" s="5" t="s">
        <v>176</v>
      </c>
      <c r="F4304" s="9">
        <v>88</v>
      </c>
      <c r="G4304" s="9">
        <v>1023</v>
      </c>
      <c r="H4304" s="5" t="s">
        <v>21</v>
      </c>
      <c r="I4304" s="5" t="s">
        <v>10024</v>
      </c>
      <c r="J4304" s="12" t="str">
        <f>HYPERLINK("https://www.boe.es/gazeta/dias/1800/10/31/pdfs/GMD-1800-88.pdf#page=5","Abrir facsímil")</f>
        <v>Abrir facsímil</v>
      </c>
      <c r="K4304" s="15" t="s">
        <v>23</v>
      </c>
    </row>
    <row r="4305" spans="1:11" ht="42" customHeight="1">
      <c r="A4305" s="4" t="s">
        <v>10025</v>
      </c>
      <c r="B4305" s="5" t="s">
        <v>10026</v>
      </c>
      <c r="C4305" s="5" t="s">
        <v>41</v>
      </c>
      <c r="D4305" s="5" t="s">
        <v>42</v>
      </c>
      <c r="E4305" s="5" t="s">
        <v>68</v>
      </c>
      <c r="F4305" s="9">
        <v>67</v>
      </c>
      <c r="G4305" s="9">
        <v>750</v>
      </c>
      <c r="H4305" s="5" t="s">
        <v>21</v>
      </c>
      <c r="I4305" s="5" t="s">
        <v>10027</v>
      </c>
      <c r="J4305" s="12" t="str">
        <f>HYPERLINK("https://www.boe.es/gazeta/dias/1800/08/22/pdfs/GMD-1800-67.pdf#page=2","Abrir facsímil")</f>
        <v>Abrir facsímil</v>
      </c>
      <c r="K4305" s="15" t="s">
        <v>23</v>
      </c>
    </row>
    <row r="4306" spans="1:11" ht="42" customHeight="1">
      <c r="A4306" s="4" t="s">
        <v>10028</v>
      </c>
      <c r="B4306" s="5" t="s">
        <v>10029</v>
      </c>
      <c r="C4306" s="5" t="s">
        <v>18</v>
      </c>
      <c r="D4306" s="5" t="s">
        <v>19</v>
      </c>
      <c r="E4306" s="5" t="s">
        <v>56</v>
      </c>
      <c r="F4306" s="9">
        <v>90</v>
      </c>
      <c r="G4306" s="9">
        <v>1055</v>
      </c>
      <c r="H4306" s="5" t="s">
        <v>21</v>
      </c>
      <c r="I4306" s="5" t="s">
        <v>10030</v>
      </c>
      <c r="J4306" s="12" t="str">
        <f>HYPERLINK("https://www.boe.es/gazeta/dias/1800/11/07/pdfs/GMD-1800-90.pdf#page=9","Abrir facsímil")</f>
        <v>Abrir facsímil</v>
      </c>
      <c r="K4306" s="15" t="s">
        <v>23</v>
      </c>
    </row>
    <row r="4307" spans="1:11" ht="42" customHeight="1">
      <c r="A4307" s="4" t="s">
        <v>10031</v>
      </c>
      <c r="B4307" s="5" t="s">
        <v>10032</v>
      </c>
      <c r="C4307" s="5" t="s">
        <v>18</v>
      </c>
      <c r="D4307" s="5" t="s">
        <v>19</v>
      </c>
      <c r="E4307" s="5" t="s">
        <v>105</v>
      </c>
      <c r="F4307" s="9">
        <v>28</v>
      </c>
      <c r="G4307" s="9">
        <v>290</v>
      </c>
      <c r="H4307" s="5" t="s">
        <v>21</v>
      </c>
      <c r="I4307" s="5" t="s">
        <v>10033</v>
      </c>
      <c r="J4307" s="12" t="str">
        <f>HYPERLINK("https://www.boe.es/gazeta/dias/1800/04/08/pdfs/GMD-1800-28.pdf#page=6","Abrir facsímil")</f>
        <v>Abrir facsímil</v>
      </c>
      <c r="K4307" s="15" t="s">
        <v>23</v>
      </c>
    </row>
    <row r="4308" spans="1:11" ht="42" customHeight="1">
      <c r="A4308" s="4" t="s">
        <v>10034</v>
      </c>
      <c r="B4308" s="5" t="s">
        <v>10034</v>
      </c>
      <c r="C4308" s="5" t="s">
        <v>84</v>
      </c>
      <c r="D4308" s="5" t="s">
        <v>85</v>
      </c>
      <c r="E4308" s="5" t="s">
        <v>230</v>
      </c>
      <c r="F4308" s="9">
        <v>35</v>
      </c>
      <c r="G4308" s="9">
        <v>353</v>
      </c>
      <c r="H4308" s="5" t="s">
        <v>21</v>
      </c>
      <c r="I4308" s="5" t="s">
        <v>10035</v>
      </c>
      <c r="J4308" s="12" t="str">
        <f>HYPERLINK("https://www.boe.es/gazeta/dias/1800/05/02/pdfs/GMD-1800-35.pdf#page=5","Abrir facsímil")</f>
        <v>Abrir facsímil</v>
      </c>
      <c r="K4308" s="15" t="s">
        <v>23</v>
      </c>
    </row>
    <row r="4309" spans="1:11" ht="42" customHeight="1">
      <c r="A4309" s="4" t="s">
        <v>10036</v>
      </c>
      <c r="B4309" s="5" t="s">
        <v>10037</v>
      </c>
      <c r="C4309" s="5" t="s">
        <v>18</v>
      </c>
      <c r="D4309" s="5" t="s">
        <v>19</v>
      </c>
      <c r="E4309" s="5" t="s">
        <v>56</v>
      </c>
      <c r="F4309" s="9">
        <v>90</v>
      </c>
      <c r="G4309" s="9">
        <v>1056</v>
      </c>
      <c r="H4309" s="5" t="s">
        <v>21</v>
      </c>
      <c r="I4309" s="5" t="s">
        <v>10038</v>
      </c>
      <c r="J4309" s="12" t="str">
        <f>HYPERLINK("https://www.boe.es/gazeta/dias/1800/11/07/pdfs/GMD-1800-90.pdf#page=10","Abrir facsímil")</f>
        <v>Abrir facsímil</v>
      </c>
      <c r="K4309" s="15" t="s">
        <v>23</v>
      </c>
    </row>
    <row r="4310" spans="1:11" ht="42" customHeight="1">
      <c r="A4310" s="4" t="s">
        <v>10039</v>
      </c>
      <c r="B4310" s="5" t="s">
        <v>10040</v>
      </c>
      <c r="C4310" s="5" t="s">
        <v>41</v>
      </c>
      <c r="D4310" s="5" t="s">
        <v>42</v>
      </c>
      <c r="E4310" s="5" t="s">
        <v>120</v>
      </c>
      <c r="F4310" s="9">
        <v>52</v>
      </c>
      <c r="G4310" s="9">
        <v>570</v>
      </c>
      <c r="H4310" s="5" t="s">
        <v>21</v>
      </c>
      <c r="I4310" s="5" t="s">
        <v>10041</v>
      </c>
      <c r="J4310" s="12" t="str">
        <f>HYPERLINK("https://www.boe.es/gazeta/dias/1800/07/01/pdfs/GMD-1800-52.pdf#page=6","Abrir facsímil")</f>
        <v>Abrir facsímil</v>
      </c>
      <c r="K4310" s="15" t="s">
        <v>23</v>
      </c>
    </row>
    <row r="4311" spans="1:11" ht="42" customHeight="1">
      <c r="A4311" s="4" t="s">
        <v>10042</v>
      </c>
      <c r="B4311" s="5" t="s">
        <v>10043</v>
      </c>
      <c r="C4311" s="5" t="s">
        <v>41</v>
      </c>
      <c r="D4311" s="5" t="s">
        <v>42</v>
      </c>
      <c r="E4311" s="5" t="s">
        <v>86</v>
      </c>
      <c r="F4311" s="9">
        <v>17</v>
      </c>
      <c r="G4311" s="9">
        <v>158</v>
      </c>
      <c r="H4311" s="5" t="s">
        <v>21</v>
      </c>
      <c r="I4311" s="5" t="s">
        <v>10044</v>
      </c>
      <c r="J4311" s="12" t="str">
        <f>HYPERLINK("https://www.boe.es/gazeta/dias/1800/02/28/pdfs/GMD-1800-17.pdf#page=6","Abrir facsímil")</f>
        <v>Abrir facsímil</v>
      </c>
      <c r="K4311" s="15" t="s">
        <v>23</v>
      </c>
    </row>
    <row r="4312" spans="1:11" ht="42" customHeight="1">
      <c r="A4312" s="4" t="s">
        <v>10042</v>
      </c>
      <c r="B4312" s="5" t="s">
        <v>10043</v>
      </c>
      <c r="C4312" s="5" t="s">
        <v>41</v>
      </c>
      <c r="D4312" s="5" t="s">
        <v>42</v>
      </c>
      <c r="E4312" s="5" t="s">
        <v>825</v>
      </c>
      <c r="F4312" s="9">
        <v>51</v>
      </c>
      <c r="G4312" s="9">
        <v>556</v>
      </c>
      <c r="H4312" s="5" t="s">
        <v>21</v>
      </c>
      <c r="I4312" s="5" t="s">
        <v>10045</v>
      </c>
      <c r="J4312" s="12" t="str">
        <f>HYPERLINK("https://www.boe.es/gazeta/dias/1800/06/27/pdfs/GMD-1800-51.pdf#page=8","Abrir facsímil")</f>
        <v>Abrir facsímil</v>
      </c>
      <c r="K4312" s="15" t="s">
        <v>23</v>
      </c>
    </row>
    <row r="4313" spans="1:11" ht="42" customHeight="1">
      <c r="A4313" s="4" t="s">
        <v>10046</v>
      </c>
      <c r="B4313" s="5" t="s">
        <v>10047</v>
      </c>
      <c r="C4313" s="5" t="s">
        <v>18</v>
      </c>
      <c r="D4313" s="5" t="s">
        <v>19</v>
      </c>
      <c r="E4313" s="5" t="s">
        <v>58</v>
      </c>
      <c r="F4313" s="9">
        <v>92</v>
      </c>
      <c r="G4313" s="9">
        <v>1053</v>
      </c>
      <c r="H4313" s="5" t="s">
        <v>21</v>
      </c>
      <c r="I4313" s="5" t="s">
        <v>10048</v>
      </c>
      <c r="J4313" s="12" t="str">
        <f>HYPERLINK("https://www.boe.es/gazeta/dias/1800/11/14/pdfs/GMD-1800-92.pdf#page=7","Abrir facsímil")</f>
        <v>Abrir facsímil</v>
      </c>
      <c r="K4313" s="15" t="s">
        <v>23</v>
      </c>
    </row>
    <row r="4314" spans="1:11" ht="42" customHeight="1">
      <c r="A4314" s="4" t="s">
        <v>10049</v>
      </c>
      <c r="B4314" s="5" t="s">
        <v>10050</v>
      </c>
      <c r="C4314" s="5" t="s">
        <v>25</v>
      </c>
      <c r="D4314" s="5" t="s">
        <v>26</v>
      </c>
      <c r="E4314" s="5" t="s">
        <v>410</v>
      </c>
      <c r="F4314" s="9">
        <v>87</v>
      </c>
      <c r="G4314" s="9">
        <v>1007</v>
      </c>
      <c r="H4314" s="5" t="s">
        <v>21</v>
      </c>
      <c r="I4314" s="5" t="s">
        <v>10051</v>
      </c>
      <c r="J4314" s="12" t="str">
        <f>HYPERLINK("https://www.boe.es/gazeta/dias/1800/10/28/pdfs/GMD-1800-87.pdf#page=5","Abrir facsímil")</f>
        <v>Abrir facsímil</v>
      </c>
      <c r="K4314" s="15" t="s">
        <v>23</v>
      </c>
    </row>
    <row r="4315" spans="1:11" ht="42" customHeight="1">
      <c r="A4315" s="4" t="s">
        <v>10052</v>
      </c>
      <c r="B4315" s="5" t="s">
        <v>10053</v>
      </c>
      <c r="C4315" s="5" t="s">
        <v>41</v>
      </c>
      <c r="D4315" s="5" t="s">
        <v>42</v>
      </c>
      <c r="E4315" s="5" t="s">
        <v>618</v>
      </c>
      <c r="F4315" s="9">
        <v>1</v>
      </c>
      <c r="G4315" s="9">
        <v>4</v>
      </c>
      <c r="H4315" s="5" t="s">
        <v>21</v>
      </c>
      <c r="I4315" s="5" t="s">
        <v>10054</v>
      </c>
      <c r="J4315" s="12" t="str">
        <f>HYPERLINK("https://www.boe.es/gazeta/dias/1800/01/03/pdfs/GMD-1800-1.pdf#page=4","Abrir facsímil")</f>
        <v>Abrir facsímil</v>
      </c>
      <c r="K4315" s="15" t="s">
        <v>23</v>
      </c>
    </row>
    <row r="4316" spans="1:11" ht="42" customHeight="1">
      <c r="A4316" s="4" t="s">
        <v>10052</v>
      </c>
      <c r="B4316" s="5" t="s">
        <v>10053</v>
      </c>
      <c r="C4316" s="5" t="s">
        <v>207</v>
      </c>
      <c r="D4316" s="5" t="s">
        <v>55</v>
      </c>
      <c r="E4316" s="5" t="s">
        <v>478</v>
      </c>
      <c r="F4316" s="9">
        <v>34</v>
      </c>
      <c r="G4316" s="9">
        <v>340</v>
      </c>
      <c r="H4316" s="5" t="s">
        <v>21</v>
      </c>
      <c r="I4316" s="5" t="s">
        <v>10055</v>
      </c>
      <c r="J4316" s="12" t="str">
        <f>HYPERLINK("https://www.boe.es/gazeta/dias/1800/04/29/pdfs/GMD-1800-34.pdf#page=4","Abrir facsímil")</f>
        <v>Abrir facsímil</v>
      </c>
      <c r="K4316" s="15" t="s">
        <v>23</v>
      </c>
    </row>
    <row r="4317" spans="1:11" ht="42" customHeight="1">
      <c r="A4317" s="4" t="s">
        <v>10056</v>
      </c>
      <c r="B4317" s="5" t="s">
        <v>10057</v>
      </c>
      <c r="C4317" s="5" t="s">
        <v>18</v>
      </c>
      <c r="D4317" s="5" t="s">
        <v>19</v>
      </c>
      <c r="E4317" s="5" t="s">
        <v>1294</v>
      </c>
      <c r="F4317" s="9">
        <v>59</v>
      </c>
      <c r="G4317" s="9">
        <v>678</v>
      </c>
      <c r="H4317" s="5" t="s">
        <v>21</v>
      </c>
      <c r="I4317" s="5" t="s">
        <v>10058</v>
      </c>
      <c r="J4317" s="12" t="str">
        <f>HYPERLINK("https://www.boe.es/gazeta/dias/1800/07/25/pdfs/GMD-1800-59.pdf#page=10","Abrir facsímil")</f>
        <v>Abrir facsímil</v>
      </c>
      <c r="K4317" s="15" t="s">
        <v>23</v>
      </c>
    </row>
    <row r="4318" spans="1:11" ht="42" customHeight="1">
      <c r="A4318" s="4" t="s">
        <v>10059</v>
      </c>
      <c r="B4318" s="5" t="s">
        <v>10060</v>
      </c>
      <c r="C4318" s="5" t="s">
        <v>54</v>
      </c>
      <c r="D4318" s="5" t="s">
        <v>55</v>
      </c>
      <c r="E4318" s="5" t="s">
        <v>240</v>
      </c>
      <c r="F4318" s="9">
        <v>26</v>
      </c>
      <c r="G4318" s="9">
        <v>270</v>
      </c>
      <c r="H4318" s="5" t="s">
        <v>21</v>
      </c>
      <c r="I4318" s="5" t="s">
        <v>10061</v>
      </c>
      <c r="J4318" s="12" t="str">
        <f>HYPERLINK("https://www.boe.es/gazeta/dias/1800/04/01/pdfs/GMD-1800-26.pdf#page=10","Abrir facsímil")</f>
        <v>Abrir facsímil</v>
      </c>
      <c r="K4318" s="15" t="s">
        <v>23</v>
      </c>
    </row>
    <row r="4319" spans="1:11" ht="42" customHeight="1">
      <c r="A4319" s="4" t="s">
        <v>10062</v>
      </c>
      <c r="B4319" s="5" t="s">
        <v>10063</v>
      </c>
      <c r="C4319" s="5" t="s">
        <v>25</v>
      </c>
      <c r="D4319" s="5" t="s">
        <v>26</v>
      </c>
      <c r="E4319" s="5" t="s">
        <v>43</v>
      </c>
      <c r="F4319" s="9">
        <v>46</v>
      </c>
      <c r="G4319" s="9">
        <v>488</v>
      </c>
      <c r="H4319" s="5" t="s">
        <v>21</v>
      </c>
      <c r="I4319" s="5" t="s">
        <v>10064</v>
      </c>
      <c r="J4319" s="12" t="str">
        <f>HYPERLINK("https://www.boe.es/gazeta/dias/1800/06/10/pdfs/GMD-1800-46.pdf#page=12","Abrir facsímil")</f>
        <v>Abrir facsímil</v>
      </c>
      <c r="K4319" s="15" t="s">
        <v>23</v>
      </c>
    </row>
    <row r="4320" spans="1:11" ht="42" customHeight="1">
      <c r="A4320" s="4" t="s">
        <v>10065</v>
      </c>
      <c r="B4320" s="5" t="s">
        <v>10066</v>
      </c>
      <c r="C4320" s="5" t="s">
        <v>18</v>
      </c>
      <c r="D4320" s="5" t="s">
        <v>19</v>
      </c>
      <c r="E4320" s="5" t="s">
        <v>135</v>
      </c>
      <c r="F4320" s="9">
        <v>73</v>
      </c>
      <c r="G4320" s="9">
        <v>816</v>
      </c>
      <c r="H4320" s="5" t="s">
        <v>21</v>
      </c>
      <c r="I4320" s="5" t="s">
        <v>10067</v>
      </c>
      <c r="J4320" s="12" t="str">
        <f>HYPERLINK("https://www.boe.es/gazeta/dias/1800/09/09/pdfs/GMD-1800-73.pdf#page=10","Abrir facsímil")</f>
        <v>Abrir facsímil</v>
      </c>
      <c r="K4320" s="15" t="s">
        <v>23</v>
      </c>
    </row>
    <row r="4321" spans="1:11" ht="42" customHeight="1">
      <c r="A4321" s="4" t="s">
        <v>10068</v>
      </c>
      <c r="B4321" s="5" t="s">
        <v>10069</v>
      </c>
      <c r="C4321" s="5" t="s">
        <v>18</v>
      </c>
      <c r="D4321" s="5" t="s">
        <v>19</v>
      </c>
      <c r="E4321" s="5" t="s">
        <v>461</v>
      </c>
      <c r="F4321" s="9">
        <v>18</v>
      </c>
      <c r="G4321" s="9">
        <v>170</v>
      </c>
      <c r="H4321" s="5" t="s">
        <v>21</v>
      </c>
      <c r="I4321" s="5" t="s">
        <v>10070</v>
      </c>
      <c r="J4321" s="12" t="str">
        <f>HYPERLINK("https://www.boe.es/datos/pdfs/BOE//1800/018/C00173-00176.pdf#page=6","Abrir facsímil")</f>
        <v>Abrir facsímil</v>
      </c>
      <c r="K4321" s="15" t="s">
        <v>23</v>
      </c>
    </row>
    <row r="4322" spans="1:11" ht="42" customHeight="1">
      <c r="A4322" s="4" t="s">
        <v>10071</v>
      </c>
      <c r="B4322" s="5" t="s">
        <v>10072</v>
      </c>
      <c r="C4322" s="5" t="s">
        <v>207</v>
      </c>
      <c r="D4322" s="5" t="s">
        <v>55</v>
      </c>
      <c r="E4322" s="5" t="s">
        <v>422</v>
      </c>
      <c r="F4322" s="9">
        <v>85</v>
      </c>
      <c r="G4322" s="9">
        <v>984</v>
      </c>
      <c r="H4322" s="5" t="s">
        <v>21</v>
      </c>
      <c r="I4322" s="5" t="s">
        <v>10073</v>
      </c>
      <c r="J4322" s="12" t="str">
        <f>HYPERLINK("https://www.boe.es/gazeta/dias/1800/10/21/pdfs/GMD-1800-85.pdf#page=6","Abrir facsímil")</f>
        <v>Abrir facsímil</v>
      </c>
      <c r="K4322" s="15" t="s">
        <v>23</v>
      </c>
    </row>
    <row r="4323" spans="1:11" ht="42" customHeight="1">
      <c r="A4323" s="4" t="s">
        <v>10074</v>
      </c>
      <c r="B4323" s="5" t="s">
        <v>10075</v>
      </c>
      <c r="C4323" s="5" t="s">
        <v>207</v>
      </c>
      <c r="D4323" s="5" t="s">
        <v>55</v>
      </c>
      <c r="E4323" s="5" t="s">
        <v>306</v>
      </c>
      <c r="F4323" s="9">
        <v>79</v>
      </c>
      <c r="G4323" s="9">
        <v>899</v>
      </c>
      <c r="H4323" s="5" t="s">
        <v>21</v>
      </c>
      <c r="I4323" s="5" t="s">
        <v>10076</v>
      </c>
      <c r="J4323" s="12" t="str">
        <f>HYPERLINK("https://www.boe.es/gazeta/dias/1800/09/30/pdfs/GMD-1800-79.pdf#page=9","Abrir facsímil")</f>
        <v>Abrir facsímil</v>
      </c>
      <c r="K4323" s="15" t="s">
        <v>23</v>
      </c>
    </row>
    <row r="4324" spans="1:11" ht="42" customHeight="1">
      <c r="A4324" s="4" t="s">
        <v>10077</v>
      </c>
      <c r="B4324" s="5" t="s">
        <v>10077</v>
      </c>
      <c r="C4324" s="5" t="s">
        <v>41</v>
      </c>
      <c r="D4324" s="5" t="s">
        <v>42</v>
      </c>
      <c r="E4324" s="5" t="s">
        <v>162</v>
      </c>
      <c r="F4324" s="9">
        <v>15</v>
      </c>
      <c r="G4324" s="9">
        <v>139</v>
      </c>
      <c r="H4324" s="5" t="s">
        <v>21</v>
      </c>
      <c r="I4324" s="5" t="s">
        <v>10078</v>
      </c>
      <c r="J4324" s="12" t="str">
        <f>HYPERLINK("https://www.boe.es/gazeta/dias/1800/02/21/pdfs/GMD-1800-15.pdf#page=3","Abrir facsímil")</f>
        <v>Abrir facsímil</v>
      </c>
      <c r="K4324" s="15" t="s">
        <v>23</v>
      </c>
    </row>
    <row r="4325" spans="1:11" ht="42" customHeight="1">
      <c r="A4325" s="4" t="s">
        <v>10079</v>
      </c>
      <c r="B4325" s="5" t="s">
        <v>10080</v>
      </c>
      <c r="C4325" s="5" t="s">
        <v>18</v>
      </c>
      <c r="D4325" s="5" t="s">
        <v>19</v>
      </c>
      <c r="E4325" s="5" t="s">
        <v>50</v>
      </c>
      <c r="F4325" s="9">
        <v>81</v>
      </c>
      <c r="G4325" s="9">
        <v>913</v>
      </c>
      <c r="H4325" s="5" t="s">
        <v>21</v>
      </c>
      <c r="I4325" s="5" t="s">
        <v>10081</v>
      </c>
      <c r="J4325" s="12" t="str">
        <f>HYPERLINK("https://www.boe.es/gazeta/dias/1800/10/07/pdfs/GMD-1800-81.pdf#page=3","Abrir facsímil")</f>
        <v>Abrir facsímil</v>
      </c>
      <c r="K4325" s="15" t="s">
        <v>23</v>
      </c>
    </row>
    <row r="4326" spans="1:11" ht="42" customHeight="1">
      <c r="A4326" s="4" t="s">
        <v>10079</v>
      </c>
      <c r="B4326" s="5" t="s">
        <v>10080</v>
      </c>
      <c r="C4326" s="5" t="s">
        <v>41</v>
      </c>
      <c r="D4326" s="5" t="s">
        <v>42</v>
      </c>
      <c r="E4326" s="5" t="s">
        <v>576</v>
      </c>
      <c r="F4326" s="9">
        <v>91</v>
      </c>
      <c r="G4326" s="9">
        <v>1064</v>
      </c>
      <c r="H4326" s="5" t="s">
        <v>21</v>
      </c>
      <c r="I4326" s="5" t="s">
        <v>10082</v>
      </c>
      <c r="J4326" s="12" t="str">
        <f>HYPERLINK("https://www.boe.es/gazeta/dias/1800/11/11/pdfs/GMD-1800-91.pdf#page=6","Abrir facsímil")</f>
        <v>Abrir facsímil</v>
      </c>
      <c r="K4326" s="15" t="s">
        <v>23</v>
      </c>
    </row>
    <row r="4327" spans="1:11" ht="42" customHeight="1">
      <c r="A4327" s="4" t="s">
        <v>10083</v>
      </c>
      <c r="B4327" s="5" t="s">
        <v>10083</v>
      </c>
      <c r="C4327" s="5" t="s">
        <v>41</v>
      </c>
      <c r="D4327" s="5" t="s">
        <v>42</v>
      </c>
      <c r="E4327" s="5" t="s">
        <v>478</v>
      </c>
      <c r="F4327" s="9">
        <v>34</v>
      </c>
      <c r="G4327" s="9">
        <v>338</v>
      </c>
      <c r="H4327" s="5" t="s">
        <v>21</v>
      </c>
      <c r="I4327" s="5" t="s">
        <v>10084</v>
      </c>
      <c r="J4327" s="12" t="str">
        <f>HYPERLINK("https://www.boe.es/gazeta/dias/1800/04/29/pdfs/GMD-1800-34.pdf#page=2","Abrir facsímil")</f>
        <v>Abrir facsímil</v>
      </c>
      <c r="K4327" s="15" t="s">
        <v>23</v>
      </c>
    </row>
    <row r="4328" spans="1:11" ht="42" customHeight="1">
      <c r="A4328" s="4" t="s">
        <v>10085</v>
      </c>
      <c r="B4328" s="5" t="s">
        <v>10086</v>
      </c>
      <c r="C4328" s="5" t="s">
        <v>84</v>
      </c>
      <c r="D4328" s="5" t="s">
        <v>85</v>
      </c>
      <c r="E4328" s="5" t="s">
        <v>196</v>
      </c>
      <c r="F4328" s="9">
        <v>97</v>
      </c>
      <c r="G4328" s="9">
        <v>1116</v>
      </c>
      <c r="H4328" s="5" t="s">
        <v>21</v>
      </c>
      <c r="I4328" s="5" t="s">
        <v>10087</v>
      </c>
      <c r="J4328" s="12" t="str">
        <f>HYPERLINK("https://www.boe.es/gazeta/dias/1800/12/02/pdfs/GMD-1800-97.pdf#page=8","Abrir facsímil")</f>
        <v>Abrir facsímil</v>
      </c>
      <c r="K4328" s="15" t="s">
        <v>23</v>
      </c>
    </row>
    <row r="4329" spans="1:11" ht="42" customHeight="1">
      <c r="A4329" s="4" t="s">
        <v>10088</v>
      </c>
      <c r="B4329" s="5" t="s">
        <v>10089</v>
      </c>
      <c r="C4329" s="5" t="s">
        <v>18</v>
      </c>
      <c r="D4329" s="5" t="s">
        <v>19</v>
      </c>
      <c r="E4329" s="5" t="s">
        <v>530</v>
      </c>
      <c r="F4329" s="9">
        <v>55</v>
      </c>
      <c r="G4329" s="9">
        <v>619</v>
      </c>
      <c r="H4329" s="5" t="s">
        <v>21</v>
      </c>
      <c r="I4329" s="5" t="s">
        <v>10090</v>
      </c>
      <c r="J4329" s="12" t="str">
        <f>HYPERLINK("https://www.boe.es/gazeta/dias/1800/07/11/pdfs/GMD-1800-55.pdf#page=7","Abrir facsímil")</f>
        <v>Abrir facsímil</v>
      </c>
      <c r="K4329" s="15" t="s">
        <v>23</v>
      </c>
    </row>
    <row r="4330" spans="1:11" ht="42" customHeight="1">
      <c r="A4330" s="4" t="s">
        <v>10091</v>
      </c>
      <c r="B4330" s="5" t="s">
        <v>10092</v>
      </c>
      <c r="C4330" s="5" t="s">
        <v>18</v>
      </c>
      <c r="D4330" s="5" t="s">
        <v>19</v>
      </c>
      <c r="E4330" s="5" t="s">
        <v>314</v>
      </c>
      <c r="F4330" s="9">
        <v>74</v>
      </c>
      <c r="G4330" s="9">
        <v>832</v>
      </c>
      <c r="H4330" s="5" t="s">
        <v>21</v>
      </c>
      <c r="I4330" s="5" t="s">
        <v>10093</v>
      </c>
      <c r="J4330" s="12" t="str">
        <f>HYPERLINK("https://www.boe.es/gazeta/dias/1800/09/12/pdfs/GMD-1800-74.pdf#page=10","Abrir facsímil")</f>
        <v>Abrir facsímil</v>
      </c>
      <c r="K4330" s="15" t="s">
        <v>23</v>
      </c>
    </row>
    <row r="4331" spans="1:11" ht="42" customHeight="1">
      <c r="A4331" s="4" t="s">
        <v>10094</v>
      </c>
      <c r="B4331" s="5" t="s">
        <v>10094</v>
      </c>
      <c r="C4331" s="5" t="s">
        <v>18</v>
      </c>
      <c r="D4331" s="5" t="s">
        <v>19</v>
      </c>
      <c r="E4331" s="5" t="s">
        <v>534</v>
      </c>
      <c r="F4331" s="9">
        <v>100</v>
      </c>
      <c r="G4331" s="9">
        <v>1160</v>
      </c>
      <c r="H4331" s="5" t="s">
        <v>21</v>
      </c>
      <c r="I4331" s="5" t="s">
        <v>10095</v>
      </c>
      <c r="J4331" s="12" t="str">
        <f>HYPERLINK("https://www.boe.es/gazeta/dias/1800/12/12/pdfs/GMD-1800-100.pdf#page=12","Abrir facsímil")</f>
        <v>Abrir facsímil</v>
      </c>
      <c r="K4331" s="15" t="s">
        <v>23</v>
      </c>
    </row>
    <row r="4332" spans="1:11" ht="42" customHeight="1">
      <c r="A4332" s="4" t="s">
        <v>10096</v>
      </c>
      <c r="B4332" s="5" t="s">
        <v>10097</v>
      </c>
      <c r="C4332" s="5" t="s">
        <v>207</v>
      </c>
      <c r="D4332" s="5" t="s">
        <v>55</v>
      </c>
      <c r="E4332" s="5" t="s">
        <v>445</v>
      </c>
      <c r="F4332" s="9">
        <v>96</v>
      </c>
      <c r="G4332" s="9">
        <v>1105</v>
      </c>
      <c r="H4332" s="5" t="s">
        <v>21</v>
      </c>
      <c r="I4332" s="5" t="s">
        <v>10098</v>
      </c>
      <c r="J4332" s="12" t="str">
        <f>HYPERLINK("https://www.boe.es/gazeta/dias/1800/11/28/pdfs/GMD-1800-96.pdf#page=9","Abrir facsímil")</f>
        <v>Abrir facsímil</v>
      </c>
      <c r="K4332" s="15" t="s">
        <v>23</v>
      </c>
    </row>
    <row r="4333" spans="1:11" ht="42" customHeight="1">
      <c r="A4333" s="4" t="s">
        <v>10099</v>
      </c>
      <c r="B4333" s="5" t="s">
        <v>10100</v>
      </c>
      <c r="C4333" s="5" t="s">
        <v>54</v>
      </c>
      <c r="D4333" s="5" t="s">
        <v>55</v>
      </c>
      <c r="E4333" s="5" t="s">
        <v>1287</v>
      </c>
      <c r="F4333" s="9">
        <v>57</v>
      </c>
      <c r="G4333" s="9">
        <v>643</v>
      </c>
      <c r="H4333" s="5" t="s">
        <v>21</v>
      </c>
      <c r="I4333" s="5" t="s">
        <v>10101</v>
      </c>
      <c r="J4333" s="12" t="str">
        <f>HYPERLINK("https://www.boe.es/gazeta/dias/1800/07/18/pdfs/GMD-1800-57.pdf#page=7","Abrir facsímil")</f>
        <v>Abrir facsímil</v>
      </c>
      <c r="K4333" s="15" t="s">
        <v>23</v>
      </c>
    </row>
    <row r="4334" spans="1:11" ht="42" customHeight="1">
      <c r="A4334" s="4" t="s">
        <v>10102</v>
      </c>
      <c r="B4334" s="5" t="s">
        <v>10103</v>
      </c>
      <c r="C4334" s="5" t="s">
        <v>207</v>
      </c>
      <c r="D4334" s="5" t="s">
        <v>55</v>
      </c>
      <c r="E4334" s="5" t="s">
        <v>491</v>
      </c>
      <c r="F4334" s="9">
        <v>29</v>
      </c>
      <c r="G4334" s="9">
        <v>298</v>
      </c>
      <c r="H4334" s="5" t="s">
        <v>21</v>
      </c>
      <c r="I4334" s="5" t="s">
        <v>10104</v>
      </c>
      <c r="J4334" s="12" t="str">
        <f>HYPERLINK("https://www.boe.es/gazeta/dias/1800/04/11/pdfs/GMD-1800-29.pdf#page=6","Abrir facsímil")</f>
        <v>Abrir facsímil</v>
      </c>
      <c r="K4334" s="15" t="s">
        <v>23</v>
      </c>
    </row>
    <row r="4335" spans="1:11" ht="42" customHeight="1">
      <c r="A4335" s="4" t="s">
        <v>10105</v>
      </c>
      <c r="B4335" s="5" t="s">
        <v>10106</v>
      </c>
      <c r="C4335" s="5" t="s">
        <v>41</v>
      </c>
      <c r="D4335" s="5" t="s">
        <v>42</v>
      </c>
      <c r="E4335" s="5" t="s">
        <v>825</v>
      </c>
      <c r="F4335" s="9">
        <v>51</v>
      </c>
      <c r="G4335" s="9">
        <v>557</v>
      </c>
      <c r="H4335" s="5" t="s">
        <v>21</v>
      </c>
      <c r="I4335" s="5" t="s">
        <v>10107</v>
      </c>
      <c r="J4335" s="12" t="str">
        <f>HYPERLINK("https://www.boe.es/gazeta/dias/1800/06/27/pdfs/GMD-1800-51.pdf#page=9","Abrir facsímil")</f>
        <v>Abrir facsímil</v>
      </c>
      <c r="K4335" s="15" t="s">
        <v>23</v>
      </c>
    </row>
    <row r="4336" spans="1:11" ht="42" customHeight="1">
      <c r="A4336" s="4" t="s">
        <v>10108</v>
      </c>
      <c r="B4336" s="5" t="s">
        <v>10109</v>
      </c>
      <c r="C4336" s="5" t="s">
        <v>1179</v>
      </c>
      <c r="D4336" s="5" t="s">
        <v>1180</v>
      </c>
      <c r="E4336" s="5" t="s">
        <v>314</v>
      </c>
      <c r="F4336" s="9">
        <v>74</v>
      </c>
      <c r="G4336" s="9">
        <v>841</v>
      </c>
      <c r="H4336" s="5" t="s">
        <v>21</v>
      </c>
      <c r="I4336" s="5" t="s">
        <v>10110</v>
      </c>
      <c r="J4336" s="12" t="str">
        <f>HYPERLINK("https://www.boe.es/gazeta/dias/1800/09/12/pdfs/GMD-C-1800-74.pdf#page=3","Abrir facsímil")</f>
        <v>Abrir facsímil</v>
      </c>
      <c r="K4336" s="15" t="s">
        <v>23</v>
      </c>
    </row>
    <row r="4337" spans="1:11" ht="42" customHeight="1">
      <c r="A4337" s="4" t="s">
        <v>10111</v>
      </c>
      <c r="B4337" s="5" t="s">
        <v>10112</v>
      </c>
      <c r="C4337" s="5" t="s">
        <v>18</v>
      </c>
      <c r="D4337" s="5" t="s">
        <v>19</v>
      </c>
      <c r="E4337" s="5" t="s">
        <v>90</v>
      </c>
      <c r="F4337" s="9">
        <v>58</v>
      </c>
      <c r="G4337" s="9">
        <v>663</v>
      </c>
      <c r="H4337" s="5" t="s">
        <v>21</v>
      </c>
      <c r="I4337" s="5" t="s">
        <v>10113</v>
      </c>
      <c r="J4337" s="12" t="str">
        <f>HYPERLINK("https://www.boe.es/gazeta/dias/1800/07/22/pdfs/GMD-1800-58.pdf#page=11","Abrir facsímil")</f>
        <v>Abrir facsímil</v>
      </c>
      <c r="K4337" s="15" t="s">
        <v>23</v>
      </c>
    </row>
    <row r="4338" spans="1:11" ht="42" customHeight="1">
      <c r="A4338" s="4" t="s">
        <v>10114</v>
      </c>
      <c r="B4338" s="5" t="s">
        <v>10115</v>
      </c>
      <c r="C4338" s="5" t="s">
        <v>25</v>
      </c>
      <c r="D4338" s="5" t="s">
        <v>26</v>
      </c>
      <c r="E4338" s="5" t="s">
        <v>248</v>
      </c>
      <c r="F4338" s="9">
        <v>33</v>
      </c>
      <c r="G4338" s="9">
        <v>333</v>
      </c>
      <c r="H4338" s="5" t="s">
        <v>21</v>
      </c>
      <c r="I4338" s="5" t="s">
        <v>10116</v>
      </c>
      <c r="J4338" s="12" t="str">
        <f>HYPERLINK("https://www.boe.es/gazeta/dias/1800/04/25/pdfs/GMD-1800-33.pdf#page=9","Abrir facsímil")</f>
        <v>Abrir facsímil</v>
      </c>
      <c r="K4338" s="15" t="s">
        <v>23</v>
      </c>
    </row>
    <row r="4339" spans="1:11" ht="42" customHeight="1">
      <c r="A4339" s="4" t="s">
        <v>10114</v>
      </c>
      <c r="B4339" s="5" t="s">
        <v>10115</v>
      </c>
      <c r="C4339" s="5" t="s">
        <v>18</v>
      </c>
      <c r="D4339" s="5" t="s">
        <v>19</v>
      </c>
      <c r="E4339" s="5" t="s">
        <v>68</v>
      </c>
      <c r="F4339" s="9">
        <v>67</v>
      </c>
      <c r="G4339" s="9">
        <v>755</v>
      </c>
      <c r="H4339" s="5" t="s">
        <v>21</v>
      </c>
      <c r="I4339" s="5" t="s">
        <v>10117</v>
      </c>
      <c r="J4339" s="12" t="str">
        <f>HYPERLINK("https://www.boe.es/gazeta/dias/1800/08/22/pdfs/GMD-1800-67.pdf#page=7","Abrir facsímil")</f>
        <v>Abrir facsímil</v>
      </c>
      <c r="K4339" s="15" t="s">
        <v>23</v>
      </c>
    </row>
    <row r="4340" spans="1:11" ht="42" customHeight="1">
      <c r="A4340" s="4" t="s">
        <v>10118</v>
      </c>
      <c r="B4340" s="5" t="s">
        <v>10118</v>
      </c>
      <c r="C4340" s="5" t="s">
        <v>41</v>
      </c>
      <c r="D4340" s="5" t="s">
        <v>42</v>
      </c>
      <c r="E4340" s="5" t="s">
        <v>545</v>
      </c>
      <c r="F4340" s="9">
        <v>14</v>
      </c>
      <c r="G4340" s="9">
        <v>132</v>
      </c>
      <c r="H4340" s="5" t="s">
        <v>21</v>
      </c>
      <c r="I4340" s="5" t="s">
        <v>10119</v>
      </c>
      <c r="J4340" s="12" t="str">
        <f>HYPERLINK("https://www.boe.es/gazeta/dias/1800/02/18/pdfs/GMD-1800-14.pdf#page=4","Abrir facsímil")</f>
        <v>Abrir facsímil</v>
      </c>
      <c r="K4340" s="15" t="s">
        <v>23</v>
      </c>
    </row>
    <row r="4341" spans="1:11" ht="42" customHeight="1">
      <c r="A4341" s="4" t="s">
        <v>10118</v>
      </c>
      <c r="B4341" s="5" t="s">
        <v>10118</v>
      </c>
      <c r="C4341" s="5" t="s">
        <v>41</v>
      </c>
      <c r="D4341" s="5" t="s">
        <v>42</v>
      </c>
      <c r="E4341" s="5" t="s">
        <v>226</v>
      </c>
      <c r="F4341" s="9">
        <v>27</v>
      </c>
      <c r="G4341" s="9">
        <v>279</v>
      </c>
      <c r="H4341" s="5" t="s">
        <v>21</v>
      </c>
      <c r="I4341" s="5" t="s">
        <v>10120</v>
      </c>
      <c r="J4341" s="12" t="str">
        <f>HYPERLINK("https://www.boe.es/gazeta/dias/1800/04/04/pdfs/GMD-1800-27.pdf#page=7","Abrir facsímil")</f>
        <v>Abrir facsímil</v>
      </c>
      <c r="K4341" s="15" t="s">
        <v>23</v>
      </c>
    </row>
    <row r="4342" spans="1:11" ht="42" customHeight="1">
      <c r="A4342" s="4" t="s">
        <v>10121</v>
      </c>
      <c r="B4342" s="5" t="s">
        <v>10122</v>
      </c>
      <c r="C4342" s="5" t="s">
        <v>207</v>
      </c>
      <c r="D4342" s="5" t="s">
        <v>55</v>
      </c>
      <c r="E4342" s="5" t="s">
        <v>31</v>
      </c>
      <c r="F4342" s="9">
        <v>20</v>
      </c>
      <c r="G4342" s="9">
        <v>191</v>
      </c>
      <c r="H4342" s="5" t="s">
        <v>21</v>
      </c>
      <c r="I4342" s="5" t="s">
        <v>10123</v>
      </c>
      <c r="J4342" s="12" t="str">
        <f>HYPERLINK("https://www.boe.es/gazeta/dias/1800/03/11/pdfs/GMD-1800-20.pdf#page=7","Abrir facsímil")</f>
        <v>Abrir facsímil</v>
      </c>
      <c r="K4342" s="15" t="s">
        <v>23</v>
      </c>
    </row>
    <row r="4343" spans="1:11" ht="42" customHeight="1">
      <c r="A4343" s="4" t="s">
        <v>10124</v>
      </c>
      <c r="B4343" s="5" t="s">
        <v>10124</v>
      </c>
      <c r="C4343" s="5" t="s">
        <v>84</v>
      </c>
      <c r="D4343" s="5" t="s">
        <v>85</v>
      </c>
      <c r="E4343" s="5" t="s">
        <v>329</v>
      </c>
      <c r="F4343" s="9">
        <v>99</v>
      </c>
      <c r="G4343" s="9">
        <v>1134</v>
      </c>
      <c r="H4343" s="5" t="s">
        <v>21</v>
      </c>
      <c r="I4343" s="5" t="s">
        <v>10125</v>
      </c>
      <c r="J4343" s="12" t="str">
        <f>HYPERLINK("https://www.boe.es/gazeta/dias/1800/12/09/pdfs/GMD-1800-99.pdf#page=2","Abrir facsímil")</f>
        <v>Abrir facsímil</v>
      </c>
      <c r="K4343" s="15" t="s">
        <v>23</v>
      </c>
    </row>
    <row r="4344" spans="1:11" ht="42" customHeight="1">
      <c r="A4344" s="4" t="s">
        <v>10126</v>
      </c>
      <c r="B4344" s="5" t="s">
        <v>10126</v>
      </c>
      <c r="C4344" s="5" t="s">
        <v>84</v>
      </c>
      <c r="D4344" s="5" t="s">
        <v>85</v>
      </c>
      <c r="E4344" s="5" t="s">
        <v>314</v>
      </c>
      <c r="F4344" s="9">
        <v>74</v>
      </c>
      <c r="G4344" s="9">
        <v>829</v>
      </c>
      <c r="H4344" s="5" t="s">
        <v>21</v>
      </c>
      <c r="I4344" s="5" t="s">
        <v>10127</v>
      </c>
      <c r="J4344" s="12" t="str">
        <f>HYPERLINK("https://www.boe.es/gazeta/dias/1800/09/12/pdfs/GMD-1800-74.pdf#page=7","Abrir facsímil")</f>
        <v>Abrir facsímil</v>
      </c>
      <c r="K4344" s="15" t="s">
        <v>23</v>
      </c>
    </row>
    <row r="4345" spans="1:11" ht="42" customHeight="1">
      <c r="A4345" s="4" t="s">
        <v>10128</v>
      </c>
      <c r="B4345" s="5" t="s">
        <v>10128</v>
      </c>
      <c r="C4345" s="5" t="s">
        <v>41</v>
      </c>
      <c r="D4345" s="5" t="s">
        <v>42</v>
      </c>
      <c r="E4345" s="5" t="s">
        <v>310</v>
      </c>
      <c r="F4345" s="9">
        <v>56</v>
      </c>
      <c r="G4345" s="9">
        <v>630</v>
      </c>
      <c r="H4345" s="5" t="s">
        <v>21</v>
      </c>
      <c r="I4345" s="5" t="s">
        <v>10129</v>
      </c>
      <c r="J4345" s="12" t="str">
        <f>HYPERLINK("https://www.boe.es/gazeta/dias/1800/07/15/pdfs/GMD-1800-56.pdf#page=6","Abrir facsímil")</f>
        <v>Abrir facsímil</v>
      </c>
      <c r="K4345" s="15" t="s">
        <v>23</v>
      </c>
    </row>
    <row r="4346" spans="1:11" ht="42" customHeight="1">
      <c r="A4346" s="4" t="s">
        <v>10128</v>
      </c>
      <c r="B4346" s="5" t="s">
        <v>10128</v>
      </c>
      <c r="C4346" s="5" t="s">
        <v>41</v>
      </c>
      <c r="D4346" s="5" t="s">
        <v>42</v>
      </c>
      <c r="E4346" s="5" t="s">
        <v>310</v>
      </c>
      <c r="F4346" s="9">
        <v>56</v>
      </c>
      <c r="G4346" s="9">
        <v>631</v>
      </c>
      <c r="H4346" s="5" t="s">
        <v>21</v>
      </c>
      <c r="I4346" s="5" t="s">
        <v>10130</v>
      </c>
      <c r="J4346" s="12" t="str">
        <f>HYPERLINK("https://www.boe.es/gazeta/dias/1800/07/15/pdfs/GMD-1800-56.pdf#page=7","Abrir facsímil")</f>
        <v>Abrir facsímil</v>
      </c>
      <c r="K4346" s="15" t="s">
        <v>23</v>
      </c>
    </row>
    <row r="4347" spans="1:11" ht="42" customHeight="1">
      <c r="A4347" s="4" t="s">
        <v>10131</v>
      </c>
      <c r="B4347" s="5" t="s">
        <v>10132</v>
      </c>
      <c r="C4347" s="5" t="s">
        <v>41</v>
      </c>
      <c r="D4347" s="5" t="s">
        <v>42</v>
      </c>
      <c r="E4347" s="5" t="s">
        <v>600</v>
      </c>
      <c r="F4347" s="9">
        <v>45</v>
      </c>
      <c r="G4347" s="9">
        <v>468</v>
      </c>
      <c r="H4347" s="5" t="s">
        <v>21</v>
      </c>
      <c r="I4347" s="5" t="s">
        <v>10133</v>
      </c>
      <c r="J4347" s="12" t="str">
        <f>HYPERLINK("https://www.boe.es/gazeta/dias/1800/06/06/pdfs/GMD-1800-45.pdf#page=4","Abrir facsímil")</f>
        <v>Abrir facsímil</v>
      </c>
      <c r="K4347" s="15" t="s">
        <v>23</v>
      </c>
    </row>
    <row r="4348" spans="1:11" ht="42" customHeight="1">
      <c r="A4348" s="4" t="s">
        <v>10131</v>
      </c>
      <c r="B4348" s="5" t="s">
        <v>10132</v>
      </c>
      <c r="C4348" s="5" t="s">
        <v>41</v>
      </c>
      <c r="D4348" s="5" t="s">
        <v>42</v>
      </c>
      <c r="E4348" s="5" t="s">
        <v>45</v>
      </c>
      <c r="F4348" s="9">
        <v>47</v>
      </c>
      <c r="G4348" s="9">
        <v>498</v>
      </c>
      <c r="H4348" s="5" t="s">
        <v>21</v>
      </c>
      <c r="I4348" s="5" t="s">
        <v>10134</v>
      </c>
      <c r="J4348" s="12" t="str">
        <f>HYPERLINK("https://www.boe.es/gazeta/dias/1800/06/13/pdfs/GMD-1800-47.pdf#page=6","Abrir facsímil")</f>
        <v>Abrir facsímil</v>
      </c>
      <c r="K4348" s="15" t="s">
        <v>23</v>
      </c>
    </row>
    <row r="4349" spans="1:11" ht="42" customHeight="1">
      <c r="A4349" s="4" t="s">
        <v>10131</v>
      </c>
      <c r="B4349" s="5" t="s">
        <v>10132</v>
      </c>
      <c r="C4349" s="5" t="s">
        <v>41</v>
      </c>
      <c r="D4349" s="5" t="s">
        <v>42</v>
      </c>
      <c r="E4349" s="5" t="s">
        <v>45</v>
      </c>
      <c r="F4349" s="9">
        <v>47</v>
      </c>
      <c r="G4349" s="9">
        <v>499</v>
      </c>
      <c r="H4349" s="5" t="s">
        <v>21</v>
      </c>
      <c r="I4349" s="5" t="s">
        <v>10135</v>
      </c>
      <c r="J4349" s="12" t="str">
        <f>HYPERLINK("https://www.boe.es/gazeta/dias/1800/06/13/pdfs/GMD-1800-47.pdf#page=7","Abrir facsímil")</f>
        <v>Abrir facsímil</v>
      </c>
      <c r="K4349" s="15" t="s">
        <v>23</v>
      </c>
    </row>
    <row r="4350" spans="1:11" ht="42" customHeight="1">
      <c r="A4350" s="4" t="s">
        <v>10131</v>
      </c>
      <c r="B4350" s="5" t="s">
        <v>10132</v>
      </c>
      <c r="C4350" s="5" t="s">
        <v>41</v>
      </c>
      <c r="D4350" s="5" t="s">
        <v>42</v>
      </c>
      <c r="E4350" s="5" t="s">
        <v>465</v>
      </c>
      <c r="F4350" s="9">
        <v>49</v>
      </c>
      <c r="G4350" s="9">
        <v>530</v>
      </c>
      <c r="H4350" s="5" t="s">
        <v>21</v>
      </c>
      <c r="I4350" s="5" t="s">
        <v>10136</v>
      </c>
      <c r="J4350" s="12" t="str">
        <f>HYPERLINK("https://www.boe.es/gazeta/dias/1800/06/20/pdfs/GMD-1800-49.pdf#page=6","Abrir facsímil")</f>
        <v>Abrir facsímil</v>
      </c>
      <c r="K4350" s="15" t="s">
        <v>23</v>
      </c>
    </row>
    <row r="4351" spans="1:11" ht="42" customHeight="1">
      <c r="A4351" s="4" t="s">
        <v>10131</v>
      </c>
      <c r="B4351" s="5" t="s">
        <v>10132</v>
      </c>
      <c r="C4351" s="5" t="s">
        <v>54</v>
      </c>
      <c r="D4351" s="5" t="s">
        <v>55</v>
      </c>
      <c r="E4351" s="5" t="s">
        <v>823</v>
      </c>
      <c r="F4351" s="9">
        <v>50</v>
      </c>
      <c r="G4351" s="9">
        <v>543</v>
      </c>
      <c r="H4351" s="5" t="s">
        <v>21</v>
      </c>
      <c r="I4351" s="5" t="s">
        <v>10137</v>
      </c>
      <c r="J4351" s="12" t="str">
        <f>HYPERLINK("https://www.boe.es/gazeta/dias/1800/06/24/pdfs/GMD-1800-50.pdf#page=7","Abrir facsímil")</f>
        <v>Abrir facsímil</v>
      </c>
      <c r="K4351" s="15" t="s">
        <v>23</v>
      </c>
    </row>
    <row r="4352" spans="1:11" ht="42" customHeight="1">
      <c r="A4352" s="4" t="s">
        <v>10131</v>
      </c>
      <c r="B4352" s="5" t="s">
        <v>10132</v>
      </c>
      <c r="C4352" s="5" t="s">
        <v>41</v>
      </c>
      <c r="D4352" s="5" t="s">
        <v>42</v>
      </c>
      <c r="E4352" s="5" t="s">
        <v>825</v>
      </c>
      <c r="F4352" s="9">
        <v>51</v>
      </c>
      <c r="G4352" s="9">
        <v>557</v>
      </c>
      <c r="H4352" s="5" t="s">
        <v>21</v>
      </c>
      <c r="I4352" s="5" t="s">
        <v>10138</v>
      </c>
      <c r="J4352" s="12" t="str">
        <f>HYPERLINK("https://www.boe.es/gazeta/dias/1800/06/27/pdfs/GMD-1800-51.pdf#page=9","Abrir facsímil")</f>
        <v>Abrir facsímil</v>
      </c>
      <c r="K4352" s="15" t="s">
        <v>23</v>
      </c>
    </row>
    <row r="4353" spans="1:11" ht="42" customHeight="1">
      <c r="A4353" s="4" t="s">
        <v>10131</v>
      </c>
      <c r="B4353" s="5" t="s">
        <v>10132</v>
      </c>
      <c r="C4353" s="5" t="s">
        <v>41</v>
      </c>
      <c r="D4353" s="5" t="s">
        <v>42</v>
      </c>
      <c r="E4353" s="5" t="s">
        <v>120</v>
      </c>
      <c r="F4353" s="9">
        <v>52</v>
      </c>
      <c r="G4353" s="9">
        <v>569</v>
      </c>
      <c r="H4353" s="5" t="s">
        <v>21</v>
      </c>
      <c r="I4353" s="5" t="s">
        <v>10139</v>
      </c>
      <c r="J4353" s="12" t="str">
        <f>HYPERLINK("https://www.boe.es/gazeta/dias/1800/07/01/pdfs/GMD-1800-52.pdf#page=5","Abrir facsímil")</f>
        <v>Abrir facsímil</v>
      </c>
      <c r="K4353" s="15" t="s">
        <v>23</v>
      </c>
    </row>
    <row r="4354" spans="1:11" ht="42" customHeight="1">
      <c r="A4354" s="4" t="s">
        <v>10131</v>
      </c>
      <c r="B4354" s="5" t="s">
        <v>10132</v>
      </c>
      <c r="C4354" s="5" t="s">
        <v>41</v>
      </c>
      <c r="D4354" s="5" t="s">
        <v>42</v>
      </c>
      <c r="E4354" s="5" t="s">
        <v>120</v>
      </c>
      <c r="F4354" s="9">
        <v>52</v>
      </c>
      <c r="G4354" s="9">
        <v>570</v>
      </c>
      <c r="H4354" s="5" t="s">
        <v>21</v>
      </c>
      <c r="I4354" s="5" t="s">
        <v>10140</v>
      </c>
      <c r="J4354" s="12" t="str">
        <f>HYPERLINK("https://www.boe.es/gazeta/dias/1800/07/01/pdfs/GMD-1800-52.pdf#page=6","Abrir facsímil")</f>
        <v>Abrir facsímil</v>
      </c>
      <c r="K4354" s="15" t="s">
        <v>23</v>
      </c>
    </row>
    <row r="4355" spans="1:11" ht="42" customHeight="1">
      <c r="A4355" s="4" t="s">
        <v>10131</v>
      </c>
      <c r="B4355" s="5" t="s">
        <v>10132</v>
      </c>
      <c r="C4355" s="5" t="s">
        <v>41</v>
      </c>
      <c r="D4355" s="5" t="s">
        <v>42</v>
      </c>
      <c r="E4355" s="5" t="s">
        <v>828</v>
      </c>
      <c r="F4355" s="9">
        <v>53</v>
      </c>
      <c r="G4355" s="9">
        <v>589</v>
      </c>
      <c r="H4355" s="5" t="s">
        <v>21</v>
      </c>
      <c r="I4355" s="5" t="s">
        <v>10141</v>
      </c>
      <c r="J4355" s="12" t="str">
        <f>HYPERLINK("https://www.boe.es/gazeta/dias/1800/07/04/pdfs/GMD-1800-53.pdf#page=9","Abrir facsímil")</f>
        <v>Abrir facsímil</v>
      </c>
      <c r="K4355" s="15" t="s">
        <v>23</v>
      </c>
    </row>
    <row r="4356" spans="1:11" ht="42" customHeight="1">
      <c r="A4356" s="4" t="s">
        <v>10131</v>
      </c>
      <c r="B4356" s="5" t="s">
        <v>10132</v>
      </c>
      <c r="C4356" s="5" t="s">
        <v>41</v>
      </c>
      <c r="D4356" s="5" t="s">
        <v>42</v>
      </c>
      <c r="E4356" s="5" t="s">
        <v>64</v>
      </c>
      <c r="F4356" s="9">
        <v>54</v>
      </c>
      <c r="G4356" s="9">
        <v>602</v>
      </c>
      <c r="H4356" s="5" t="s">
        <v>21</v>
      </c>
      <c r="I4356" s="5" t="s">
        <v>10142</v>
      </c>
      <c r="J4356" s="12" t="str">
        <f>HYPERLINK("https://www.boe.es/gazeta/dias/1800/07/08/pdfs/GMD-1800-54.pdf#page=6","Abrir facsímil")</f>
        <v>Abrir facsímil</v>
      </c>
      <c r="K4356" s="15" t="s">
        <v>23</v>
      </c>
    </row>
    <row r="4357" spans="1:11" ht="42" customHeight="1">
      <c r="A4357" s="4" t="s">
        <v>10131</v>
      </c>
      <c r="B4357" s="5" t="s">
        <v>10132</v>
      </c>
      <c r="C4357" s="5" t="s">
        <v>41</v>
      </c>
      <c r="D4357" s="5" t="s">
        <v>42</v>
      </c>
      <c r="E4357" s="5" t="s">
        <v>310</v>
      </c>
      <c r="F4357" s="9">
        <v>56</v>
      </c>
      <c r="G4357" s="9">
        <v>630</v>
      </c>
      <c r="H4357" s="5" t="s">
        <v>21</v>
      </c>
      <c r="I4357" s="5" t="s">
        <v>10143</v>
      </c>
      <c r="J4357" s="12" t="str">
        <f>HYPERLINK("https://www.boe.es/gazeta/dias/1800/07/15/pdfs/GMD-1800-56.pdf#page=6","Abrir facsímil")</f>
        <v>Abrir facsímil</v>
      </c>
      <c r="K4357" s="15" t="s">
        <v>23</v>
      </c>
    </row>
    <row r="4358" spans="1:11" ht="42" customHeight="1">
      <c r="A4358" s="4" t="s">
        <v>10131</v>
      </c>
      <c r="B4358" s="5" t="s">
        <v>10132</v>
      </c>
      <c r="C4358" s="5" t="s">
        <v>41</v>
      </c>
      <c r="D4358" s="5" t="s">
        <v>42</v>
      </c>
      <c r="E4358" s="5" t="s">
        <v>310</v>
      </c>
      <c r="F4358" s="9">
        <v>56</v>
      </c>
      <c r="G4358" s="9">
        <v>631</v>
      </c>
      <c r="H4358" s="5" t="s">
        <v>21</v>
      </c>
      <c r="I4358" s="5" t="s">
        <v>10144</v>
      </c>
      <c r="J4358" s="12" t="str">
        <f>HYPERLINK("https://www.boe.es/gazeta/dias/1800/07/15/pdfs/GMD-1800-56.pdf#page=7","Abrir facsímil")</f>
        <v>Abrir facsímil</v>
      </c>
      <c r="K4358" s="15" t="s">
        <v>23</v>
      </c>
    </row>
    <row r="4359" spans="1:11" ht="42" customHeight="1">
      <c r="A4359" s="4" t="s">
        <v>10131</v>
      </c>
      <c r="B4359" s="5" t="s">
        <v>10132</v>
      </c>
      <c r="C4359" s="5" t="s">
        <v>54</v>
      </c>
      <c r="D4359" s="5" t="s">
        <v>55</v>
      </c>
      <c r="E4359" s="5" t="s">
        <v>1287</v>
      </c>
      <c r="F4359" s="9">
        <v>57</v>
      </c>
      <c r="G4359" s="9">
        <v>642</v>
      </c>
      <c r="H4359" s="5" t="s">
        <v>21</v>
      </c>
      <c r="I4359" s="5" t="s">
        <v>10145</v>
      </c>
      <c r="J4359" s="12" t="str">
        <f>HYPERLINK("https://www.boe.es/gazeta/dias/1800/07/18/pdfs/GMD-1800-57.pdf#page=6","Abrir facsímil")</f>
        <v>Abrir facsímil</v>
      </c>
      <c r="K4359" s="15" t="s">
        <v>23</v>
      </c>
    </row>
    <row r="4360" spans="1:11" ht="42" customHeight="1">
      <c r="A4360" s="4" t="s">
        <v>10131</v>
      </c>
      <c r="B4360" s="5" t="s">
        <v>10132</v>
      </c>
      <c r="C4360" s="5" t="s">
        <v>41</v>
      </c>
      <c r="D4360" s="5" t="s">
        <v>42</v>
      </c>
      <c r="E4360" s="5" t="s">
        <v>1287</v>
      </c>
      <c r="F4360" s="9">
        <v>57</v>
      </c>
      <c r="G4360" s="9">
        <v>643</v>
      </c>
      <c r="H4360" s="5" t="s">
        <v>21</v>
      </c>
      <c r="I4360" s="5" t="s">
        <v>10146</v>
      </c>
      <c r="J4360" s="12" t="str">
        <f>HYPERLINK("https://www.boe.es/gazeta/dias/1800/07/18/pdfs/GMD-1800-57.pdf#page=7","Abrir facsímil")</f>
        <v>Abrir facsímil</v>
      </c>
      <c r="K4360" s="15" t="s">
        <v>23</v>
      </c>
    </row>
    <row r="4361" spans="1:11" ht="42" customHeight="1">
      <c r="A4361" s="4" t="s">
        <v>10131</v>
      </c>
      <c r="B4361" s="5" t="s">
        <v>10132</v>
      </c>
      <c r="C4361" s="5" t="s">
        <v>41</v>
      </c>
      <c r="D4361" s="5" t="s">
        <v>42</v>
      </c>
      <c r="E4361" s="5" t="s">
        <v>454</v>
      </c>
      <c r="F4361" s="9">
        <v>63</v>
      </c>
      <c r="G4361" s="9">
        <v>718</v>
      </c>
      <c r="H4361" s="5" t="s">
        <v>21</v>
      </c>
      <c r="I4361" s="5" t="s">
        <v>10147</v>
      </c>
      <c r="J4361" s="12" t="str">
        <f>HYPERLINK("https://www.boe.es/gazeta/dias/1800/08/08/pdfs/GMD-1800-63.pdf#page=6","Abrir facsímil")</f>
        <v>Abrir facsímil</v>
      </c>
      <c r="K4361" s="15" t="s">
        <v>23</v>
      </c>
    </row>
    <row r="4362" spans="1:11" ht="42" customHeight="1">
      <c r="A4362" s="4" t="s">
        <v>10148</v>
      </c>
      <c r="B4362" s="5" t="s">
        <v>10149</v>
      </c>
      <c r="C4362" s="5" t="s">
        <v>41</v>
      </c>
      <c r="D4362" s="5" t="s">
        <v>42</v>
      </c>
      <c r="E4362" s="5" t="s">
        <v>402</v>
      </c>
      <c r="F4362" s="9">
        <v>101</v>
      </c>
      <c r="G4362" s="9">
        <v>1170</v>
      </c>
      <c r="H4362" s="5" t="s">
        <v>21</v>
      </c>
      <c r="I4362" s="5" t="s">
        <v>10150</v>
      </c>
      <c r="J4362" s="12" t="str">
        <f>HYPERLINK("https://www.boe.es/gazeta/dias/1800/12/16/pdfs/GMD-1800-101.pdf#page=6","Abrir facsímil")</f>
        <v>Abrir facsímil</v>
      </c>
      <c r="K4362" s="15" t="s">
        <v>23</v>
      </c>
    </row>
    <row r="4363" spans="1:11" ht="42" customHeight="1">
      <c r="A4363" s="4" t="s">
        <v>10151</v>
      </c>
      <c r="B4363" s="5" t="s">
        <v>10152</v>
      </c>
      <c r="C4363" s="5" t="s">
        <v>54</v>
      </c>
      <c r="D4363" s="5" t="s">
        <v>55</v>
      </c>
      <c r="E4363" s="5" t="s">
        <v>406</v>
      </c>
      <c r="F4363" s="9">
        <v>44</v>
      </c>
      <c r="G4363" s="9">
        <v>455</v>
      </c>
      <c r="H4363" s="5" t="s">
        <v>21</v>
      </c>
      <c r="I4363" s="5" t="s">
        <v>10153</v>
      </c>
      <c r="J4363" s="12" t="str">
        <f>HYPERLINK("https://www.boe.es/gazeta/dias/1800/06/03/pdfs/GMD-1800-44.pdf#page=3","Abrir facsímil")</f>
        <v>Abrir facsímil</v>
      </c>
      <c r="K4363" s="15" t="s">
        <v>23</v>
      </c>
    </row>
    <row r="4364" spans="1:11" ht="42" customHeight="1">
      <c r="A4364" s="4" t="s">
        <v>10154</v>
      </c>
      <c r="B4364" s="5" t="s">
        <v>10155</v>
      </c>
      <c r="C4364" s="5" t="s">
        <v>41</v>
      </c>
      <c r="D4364" s="5" t="s">
        <v>42</v>
      </c>
      <c r="E4364" s="5" t="s">
        <v>1231</v>
      </c>
      <c r="F4364" s="9">
        <v>36</v>
      </c>
      <c r="G4364" s="9">
        <v>363</v>
      </c>
      <c r="H4364" s="5" t="s">
        <v>21</v>
      </c>
      <c r="I4364" s="5" t="s">
        <v>10156</v>
      </c>
      <c r="J4364" s="12" t="str">
        <f>HYPERLINK("https://www.boe.es/gazeta/dias/1800/05/06/pdfs/GMD-1800-36.pdf#page=7","Abrir facsímil")</f>
        <v>Abrir facsímil</v>
      </c>
      <c r="K4364" s="15" t="s">
        <v>23</v>
      </c>
    </row>
    <row r="4365" spans="1:11" ht="42" customHeight="1">
      <c r="A4365" s="4" t="s">
        <v>10157</v>
      </c>
      <c r="B4365" s="5" t="s">
        <v>10158</v>
      </c>
      <c r="C4365" s="5" t="s">
        <v>25</v>
      </c>
      <c r="D4365" s="5" t="s">
        <v>26</v>
      </c>
      <c r="E4365" s="5" t="s">
        <v>190</v>
      </c>
      <c r="F4365" s="9">
        <v>93</v>
      </c>
      <c r="G4365" s="9">
        <v>1066</v>
      </c>
      <c r="H4365" s="5" t="s">
        <v>21</v>
      </c>
      <c r="I4365" s="5" t="s">
        <v>10159</v>
      </c>
      <c r="J4365" s="12" t="str">
        <f>HYPERLINK("https://www.boe.es/gazeta/dias/1800/11/18/pdfs/GMD-1800-93.pdf#page=12","Abrir facsímil")</f>
        <v>Abrir facsímil</v>
      </c>
      <c r="K4365" s="15" t="s">
        <v>23</v>
      </c>
    </row>
    <row r="4366" spans="1:11" ht="42" customHeight="1">
      <c r="A4366" s="4" t="s">
        <v>10160</v>
      </c>
      <c r="B4366" s="5" t="s">
        <v>10160</v>
      </c>
      <c r="C4366" s="5" t="s">
        <v>41</v>
      </c>
      <c r="D4366" s="5" t="s">
        <v>42</v>
      </c>
      <c r="E4366" s="5" t="s">
        <v>162</v>
      </c>
      <c r="F4366" s="9">
        <v>15</v>
      </c>
      <c r="G4366" s="9">
        <v>140</v>
      </c>
      <c r="H4366" s="5" t="s">
        <v>21</v>
      </c>
      <c r="I4366" s="5" t="s">
        <v>10161</v>
      </c>
      <c r="J4366" s="12" t="str">
        <f>HYPERLINK("https://www.boe.es/gazeta/dias/1800/02/21/pdfs/GMD-1800-15.pdf#page=4","Abrir facsímil")</f>
        <v>Abrir facsímil</v>
      </c>
      <c r="K4366" s="15" t="s">
        <v>23</v>
      </c>
    </row>
    <row r="4367" spans="1:11" ht="42" customHeight="1">
      <c r="A4367" s="4" t="s">
        <v>10162</v>
      </c>
      <c r="B4367" s="5" t="s">
        <v>10163</v>
      </c>
      <c r="C4367" s="5" t="s">
        <v>18</v>
      </c>
      <c r="D4367" s="5" t="s">
        <v>19</v>
      </c>
      <c r="E4367" s="5" t="s">
        <v>230</v>
      </c>
      <c r="F4367" s="9">
        <v>35</v>
      </c>
      <c r="G4367" s="9">
        <v>354</v>
      </c>
      <c r="H4367" s="5" t="s">
        <v>21</v>
      </c>
      <c r="I4367" s="5" t="s">
        <v>10164</v>
      </c>
      <c r="J4367" s="12" t="str">
        <f>HYPERLINK("https://www.boe.es/gazeta/dias/1800/05/02/pdfs/GMD-1800-35.pdf#page=6","Abrir facsímil")</f>
        <v>Abrir facsímil</v>
      </c>
      <c r="K4367" s="15" t="s">
        <v>23</v>
      </c>
    </row>
    <row r="4368" spans="1:11" ht="42" customHeight="1">
      <c r="A4368" s="4" t="s">
        <v>10165</v>
      </c>
      <c r="B4368" s="5" t="s">
        <v>10166</v>
      </c>
      <c r="C4368" s="5" t="s">
        <v>41</v>
      </c>
      <c r="D4368" s="5" t="s">
        <v>42</v>
      </c>
      <c r="E4368" s="5" t="s">
        <v>825</v>
      </c>
      <c r="F4368" s="9">
        <v>51</v>
      </c>
      <c r="G4368" s="9">
        <v>555</v>
      </c>
      <c r="H4368" s="5" t="s">
        <v>21</v>
      </c>
      <c r="I4368" s="5" t="s">
        <v>10167</v>
      </c>
      <c r="J4368" s="12" t="str">
        <f>HYPERLINK("https://www.boe.es/gazeta/dias/1800/06/27/pdfs/GMD-1800-51.pdf#page=7","Abrir facsímil")</f>
        <v>Abrir facsímil</v>
      </c>
      <c r="K4368" s="15" t="s">
        <v>23</v>
      </c>
    </row>
    <row r="4369" spans="1:11" ht="42" customHeight="1">
      <c r="A4369" s="4" t="s">
        <v>10165</v>
      </c>
      <c r="B4369" s="5" t="s">
        <v>10166</v>
      </c>
      <c r="C4369" s="5" t="s">
        <v>84</v>
      </c>
      <c r="D4369" s="5" t="s">
        <v>85</v>
      </c>
      <c r="E4369" s="5" t="s">
        <v>828</v>
      </c>
      <c r="F4369" s="9">
        <v>53</v>
      </c>
      <c r="G4369" s="9">
        <v>587</v>
      </c>
      <c r="H4369" s="5" t="s">
        <v>21</v>
      </c>
      <c r="I4369" s="5" t="s">
        <v>10168</v>
      </c>
      <c r="J4369" s="12" t="str">
        <f>HYPERLINK("https://www.boe.es/gazeta/dias/1800/07/04/pdfs/GMD-1800-53.pdf#page=7","Abrir facsímil")</f>
        <v>Abrir facsímil</v>
      </c>
      <c r="K4369" s="15" t="s">
        <v>23</v>
      </c>
    </row>
    <row r="4370" spans="1:11" ht="42" customHeight="1">
      <c r="A4370" s="4" t="s">
        <v>10169</v>
      </c>
      <c r="B4370" s="5" t="s">
        <v>10169</v>
      </c>
      <c r="C4370" s="5" t="s">
        <v>171</v>
      </c>
      <c r="D4370" s="5" t="s">
        <v>172</v>
      </c>
      <c r="E4370" s="5" t="s">
        <v>465</v>
      </c>
      <c r="F4370" s="9">
        <v>49</v>
      </c>
      <c r="G4370" s="9">
        <v>535</v>
      </c>
      <c r="H4370" s="5" t="s">
        <v>21</v>
      </c>
      <c r="I4370" s="5" t="s">
        <v>10170</v>
      </c>
      <c r="J4370" s="12" t="str">
        <f>HYPERLINK("https://www.boe.es/gazeta/dias/1800/06/20/pdfs/GMD-C-1800-49.pdf#page=3","Abrir facsímil")</f>
        <v>Abrir facsímil</v>
      </c>
      <c r="K4370" s="15" t="s">
        <v>23</v>
      </c>
    </row>
    <row r="4371" spans="1:11" ht="42" customHeight="1">
      <c r="A4371" s="4" t="s">
        <v>10171</v>
      </c>
      <c r="B4371" s="5" t="s">
        <v>10172</v>
      </c>
      <c r="C4371" s="5" t="s">
        <v>18</v>
      </c>
      <c r="D4371" s="5" t="s">
        <v>19</v>
      </c>
      <c r="E4371" s="5" t="s">
        <v>135</v>
      </c>
      <c r="F4371" s="9">
        <v>73</v>
      </c>
      <c r="G4371" s="9">
        <v>815</v>
      </c>
      <c r="H4371" s="5" t="s">
        <v>21</v>
      </c>
      <c r="I4371" s="5" t="s">
        <v>10173</v>
      </c>
      <c r="J4371" s="12" t="str">
        <f>HYPERLINK("https://www.boe.es/gazeta/dias/1800/09/09/pdfs/GMD-1800-73.pdf#page=9","Abrir facsímil")</f>
        <v>Abrir facsímil</v>
      </c>
      <c r="K4371" s="15" t="s">
        <v>23</v>
      </c>
    </row>
    <row r="4372" spans="1:11" ht="42" customHeight="1">
      <c r="A4372" s="4" t="s">
        <v>10174</v>
      </c>
      <c r="B4372" s="5" t="s">
        <v>10175</v>
      </c>
      <c r="C4372" s="5" t="s">
        <v>25</v>
      </c>
      <c r="D4372" s="5" t="s">
        <v>26</v>
      </c>
      <c r="E4372" s="5" t="s">
        <v>60</v>
      </c>
      <c r="F4372" s="9">
        <v>105</v>
      </c>
      <c r="G4372" s="9">
        <v>1226</v>
      </c>
      <c r="H4372" s="5" t="s">
        <v>21</v>
      </c>
      <c r="I4372" s="5" t="s">
        <v>10176</v>
      </c>
      <c r="J4372" s="12" t="str">
        <f>HYPERLINK("https://www.boe.es/gazeta/dias/1800/12/30/pdfs/GMD-1800-105.pdf#page=10","Abrir facsímil")</f>
        <v>Abrir facsímil</v>
      </c>
      <c r="K4372" s="15" t="s">
        <v>23</v>
      </c>
    </row>
    <row r="4373" spans="1:11" ht="42" customHeight="1">
      <c r="A4373" s="4" t="s">
        <v>10177</v>
      </c>
      <c r="B4373" s="5" t="s">
        <v>10178</v>
      </c>
      <c r="C4373" s="5" t="s">
        <v>18</v>
      </c>
      <c r="D4373" s="5" t="s">
        <v>19</v>
      </c>
      <c r="E4373" s="5" t="s">
        <v>196</v>
      </c>
      <c r="F4373" s="9">
        <v>97</v>
      </c>
      <c r="G4373" s="9">
        <v>1117</v>
      </c>
      <c r="H4373" s="5" t="s">
        <v>21</v>
      </c>
      <c r="I4373" s="5" t="s">
        <v>10179</v>
      </c>
      <c r="J4373" s="12" t="str">
        <f>HYPERLINK("https://www.boe.es/gazeta/dias/1800/12/02/pdfs/GMD-1800-97.pdf#page=9","Abrir facsímil")</f>
        <v>Abrir facsímil</v>
      </c>
      <c r="K4373" s="15" t="s">
        <v>23</v>
      </c>
    </row>
    <row r="4374" spans="1:11" ht="42" customHeight="1">
      <c r="A4374" s="4" t="s">
        <v>10180</v>
      </c>
      <c r="B4374" s="5" t="s">
        <v>10181</v>
      </c>
      <c r="C4374" s="5" t="s">
        <v>18</v>
      </c>
      <c r="D4374" s="5" t="s">
        <v>19</v>
      </c>
      <c r="E4374" s="5" t="s">
        <v>135</v>
      </c>
      <c r="F4374" s="9">
        <v>73</v>
      </c>
      <c r="G4374" s="9">
        <v>815</v>
      </c>
      <c r="H4374" s="5" t="s">
        <v>21</v>
      </c>
      <c r="I4374" s="5" t="s">
        <v>10182</v>
      </c>
      <c r="J4374" s="12" t="str">
        <f>HYPERLINK("https://www.boe.es/gazeta/dias/1800/09/09/pdfs/GMD-1800-73.pdf#page=9","Abrir facsímil")</f>
        <v>Abrir facsímil</v>
      </c>
      <c r="K4374" s="15" t="s">
        <v>23</v>
      </c>
    </row>
    <row r="4375" spans="1:11" ht="42" customHeight="1">
      <c r="A4375" s="4" t="s">
        <v>10183</v>
      </c>
      <c r="B4375" s="5" t="s">
        <v>10183</v>
      </c>
      <c r="C4375" s="5" t="s">
        <v>18</v>
      </c>
      <c r="D4375" s="5" t="s">
        <v>19</v>
      </c>
      <c r="E4375" s="5" t="s">
        <v>262</v>
      </c>
      <c r="F4375" s="9">
        <v>39</v>
      </c>
      <c r="G4375" s="9">
        <v>397</v>
      </c>
      <c r="H4375" s="5" t="s">
        <v>21</v>
      </c>
      <c r="I4375" s="5" t="s">
        <v>9251</v>
      </c>
      <c r="J4375" s="12" t="str">
        <f>HYPERLINK("https://www.boe.es/gazeta/dias/1800/05/16/pdfs/GMD-1800-39.pdf#page=5","Abrir facsímil")</f>
        <v>Abrir facsímil</v>
      </c>
      <c r="K4375" s="15" t="s">
        <v>23</v>
      </c>
    </row>
    <row r="4376" spans="1:11" ht="42" customHeight="1">
      <c r="A4376" s="4" t="s">
        <v>10184</v>
      </c>
      <c r="B4376" s="5" t="s">
        <v>10185</v>
      </c>
      <c r="C4376" s="5" t="s">
        <v>41</v>
      </c>
      <c r="D4376" s="5" t="s">
        <v>42</v>
      </c>
      <c r="E4376" s="5" t="s">
        <v>410</v>
      </c>
      <c r="F4376" s="9">
        <v>87</v>
      </c>
      <c r="G4376" s="9">
        <v>1006</v>
      </c>
      <c r="H4376" s="5" t="s">
        <v>21</v>
      </c>
      <c r="I4376" s="5" t="s">
        <v>10186</v>
      </c>
      <c r="J4376" s="12" t="str">
        <f>HYPERLINK("https://www.boe.es/gazeta/dias/1800/10/28/pdfs/GMD-1800-87.pdf#page=4","Abrir facsímil")</f>
        <v>Abrir facsímil</v>
      </c>
      <c r="K4376" s="15" t="s">
        <v>23</v>
      </c>
    </row>
    <row r="4377" spans="1:11" ht="42" customHeight="1">
      <c r="A4377" s="4" t="s">
        <v>10187</v>
      </c>
      <c r="B4377" s="5" t="s">
        <v>10188</v>
      </c>
      <c r="C4377" s="5" t="s">
        <v>54</v>
      </c>
      <c r="D4377" s="5" t="s">
        <v>55</v>
      </c>
      <c r="E4377" s="5" t="s">
        <v>1294</v>
      </c>
      <c r="F4377" s="9">
        <v>59</v>
      </c>
      <c r="G4377" s="9">
        <v>678</v>
      </c>
      <c r="H4377" s="5" t="s">
        <v>21</v>
      </c>
      <c r="I4377" s="5" t="s">
        <v>10189</v>
      </c>
      <c r="J4377" s="12" t="str">
        <f>HYPERLINK("https://www.boe.es/gazeta/dias/1800/07/25/pdfs/GMD-1800-59.pdf#page=10","Abrir facsímil")</f>
        <v>Abrir facsímil</v>
      </c>
      <c r="K4377" s="15" t="s">
        <v>23</v>
      </c>
    </row>
    <row r="4378" spans="1:11" ht="42" customHeight="1">
      <c r="A4378" s="4" t="s">
        <v>10190</v>
      </c>
      <c r="B4378" s="5" t="s">
        <v>10191</v>
      </c>
      <c r="C4378" s="5" t="s">
        <v>18</v>
      </c>
      <c r="D4378" s="5" t="s">
        <v>19</v>
      </c>
      <c r="E4378" s="5" t="s">
        <v>618</v>
      </c>
      <c r="F4378" s="9">
        <v>1</v>
      </c>
      <c r="G4378" s="9">
        <v>6</v>
      </c>
      <c r="H4378" s="5" t="s">
        <v>21</v>
      </c>
      <c r="I4378" s="5" t="s">
        <v>10192</v>
      </c>
      <c r="J4378" s="12" t="str">
        <f>HYPERLINK("https://www.boe.es/gazeta/dias/1800/01/03/pdfs/GMD-1800-1.pdf#page=6","Abrir facsímil")</f>
        <v>Abrir facsímil</v>
      </c>
      <c r="K4378" s="15" t="s">
        <v>23</v>
      </c>
    </row>
    <row r="4379" spans="1:11" ht="42" customHeight="1">
      <c r="A4379" s="4" t="s">
        <v>10193</v>
      </c>
      <c r="B4379" s="5" t="s">
        <v>10194</v>
      </c>
      <c r="C4379" s="5" t="s">
        <v>18</v>
      </c>
      <c r="D4379" s="5" t="s">
        <v>19</v>
      </c>
      <c r="E4379" s="5" t="s">
        <v>618</v>
      </c>
      <c r="F4379" s="9">
        <v>1</v>
      </c>
      <c r="G4379" s="9">
        <v>6</v>
      </c>
      <c r="H4379" s="5" t="s">
        <v>21</v>
      </c>
      <c r="I4379" s="5" t="s">
        <v>10195</v>
      </c>
      <c r="J4379" s="12" t="str">
        <f>HYPERLINK("https://www.boe.es/gazeta/dias/1800/01/03/pdfs/GMD-1800-1.pdf#page=6","Abrir facsímil")</f>
        <v>Abrir facsímil</v>
      </c>
      <c r="K4379" s="15" t="s">
        <v>23</v>
      </c>
    </row>
    <row r="4380" spans="1:11" ht="42" customHeight="1">
      <c r="A4380" s="4" t="s">
        <v>10196</v>
      </c>
      <c r="B4380" s="5" t="s">
        <v>10197</v>
      </c>
      <c r="C4380" s="5" t="s">
        <v>18</v>
      </c>
      <c r="D4380" s="5" t="s">
        <v>19</v>
      </c>
      <c r="E4380" s="5" t="s">
        <v>618</v>
      </c>
      <c r="F4380" s="9">
        <v>1</v>
      </c>
      <c r="G4380" s="9">
        <v>6</v>
      </c>
      <c r="H4380" s="5" t="s">
        <v>21</v>
      </c>
      <c r="I4380" s="5" t="s">
        <v>10198</v>
      </c>
      <c r="J4380" s="12" t="str">
        <f>HYPERLINK("https://www.boe.es/gazeta/dias/1800/01/03/pdfs/GMD-1800-1.pdf#page=6","Abrir facsímil")</f>
        <v>Abrir facsímil</v>
      </c>
      <c r="K4380" s="15" t="s">
        <v>23</v>
      </c>
    </row>
    <row r="4381" spans="1:11" ht="42" customHeight="1">
      <c r="A4381" s="4" t="s">
        <v>10199</v>
      </c>
      <c r="B4381" s="5" t="s">
        <v>10200</v>
      </c>
      <c r="C4381" s="5" t="s">
        <v>207</v>
      </c>
      <c r="D4381" s="5" t="s">
        <v>55</v>
      </c>
      <c r="E4381" s="5" t="s">
        <v>618</v>
      </c>
      <c r="F4381" s="9">
        <v>1</v>
      </c>
      <c r="G4381" s="9">
        <v>7</v>
      </c>
      <c r="H4381" s="5" t="s">
        <v>21</v>
      </c>
      <c r="I4381" s="5" t="s">
        <v>10201</v>
      </c>
      <c r="J4381" s="12" t="str">
        <f>HYPERLINK("https://www.boe.es/gazeta/dias/1800/01/03/pdfs/GMD-1800-1.pdf#page=7","Abrir facsímil")</f>
        <v>Abrir facsímil</v>
      </c>
      <c r="K4381" s="15" t="s">
        <v>23</v>
      </c>
    </row>
    <row r="4382" spans="1:11" ht="42" customHeight="1">
      <c r="A4382" s="4" t="s">
        <v>10202</v>
      </c>
      <c r="B4382" s="5" t="s">
        <v>10203</v>
      </c>
      <c r="C4382" s="5" t="s">
        <v>18</v>
      </c>
      <c r="D4382" s="5" t="s">
        <v>19</v>
      </c>
      <c r="E4382" s="5" t="s">
        <v>75</v>
      </c>
      <c r="F4382" s="9">
        <v>64</v>
      </c>
      <c r="G4382" s="9">
        <v>733</v>
      </c>
      <c r="H4382" s="5" t="s">
        <v>21</v>
      </c>
      <c r="I4382" s="5" t="s">
        <v>10204</v>
      </c>
      <c r="J4382" s="12" t="str">
        <f>HYPERLINK("https://www.boe.es/gazeta/dias/1800/08/12/pdfs/GMD-1800-64.pdf#page=9","Abrir facsímil")</f>
        <v>Abrir facsímil</v>
      </c>
      <c r="K4382" s="15" t="s">
        <v>23</v>
      </c>
    </row>
    <row r="4383" spans="1:11" ht="42" customHeight="1">
      <c r="A4383" s="4" t="s">
        <v>10205</v>
      </c>
      <c r="B4383" s="5" t="s">
        <v>10206</v>
      </c>
      <c r="C4383" s="5" t="s">
        <v>18</v>
      </c>
      <c r="D4383" s="5" t="s">
        <v>19</v>
      </c>
      <c r="E4383" s="5" t="s">
        <v>255</v>
      </c>
      <c r="F4383" s="9">
        <v>75</v>
      </c>
      <c r="G4383" s="9">
        <v>848</v>
      </c>
      <c r="H4383" s="5" t="s">
        <v>21</v>
      </c>
      <c r="I4383" s="5" t="s">
        <v>10207</v>
      </c>
      <c r="J4383" s="12" t="str">
        <f>HYPERLINK("https://www.boe.es/gazeta/dias/1800/09/16/pdfs/GMD-1800-75.pdf#page=2","Abrir facsímil")</f>
        <v>Abrir facsímil</v>
      </c>
      <c r="K4383" s="15" t="s">
        <v>23</v>
      </c>
    </row>
    <row r="4384" spans="1:11" ht="42" customHeight="1">
      <c r="A4384" s="4" t="s">
        <v>10208</v>
      </c>
      <c r="B4384" s="5" t="s">
        <v>10209</v>
      </c>
      <c r="C4384" s="5" t="s">
        <v>41</v>
      </c>
      <c r="D4384" s="5" t="s">
        <v>42</v>
      </c>
      <c r="E4384" s="5" t="s">
        <v>86</v>
      </c>
      <c r="F4384" s="9">
        <v>17</v>
      </c>
      <c r="G4384" s="9">
        <v>154</v>
      </c>
      <c r="H4384" s="5" t="s">
        <v>21</v>
      </c>
      <c r="I4384" s="5" t="s">
        <v>10210</v>
      </c>
      <c r="J4384" s="12" t="str">
        <f>HYPERLINK("https://www.boe.es/gazeta/dias/1800/02/28/pdfs/GMD-1800-17.pdf#page=2","Abrir facsímil")</f>
        <v>Abrir facsímil</v>
      </c>
      <c r="K4384" s="15" t="s">
        <v>23</v>
      </c>
    </row>
    <row r="4385" spans="1:11" ht="42" customHeight="1">
      <c r="A4385" s="4" t="s">
        <v>10208</v>
      </c>
      <c r="B4385" s="5" t="s">
        <v>10209</v>
      </c>
      <c r="C4385" s="5" t="s">
        <v>41</v>
      </c>
      <c r="D4385" s="5" t="s">
        <v>42</v>
      </c>
      <c r="E4385" s="5" t="s">
        <v>491</v>
      </c>
      <c r="F4385" s="9">
        <v>29</v>
      </c>
      <c r="G4385" s="9">
        <v>295</v>
      </c>
      <c r="H4385" s="5" t="s">
        <v>21</v>
      </c>
      <c r="I4385" s="5" t="s">
        <v>10211</v>
      </c>
      <c r="J4385" s="12" t="str">
        <f>HYPERLINK("https://www.boe.es/gazeta/dias/1800/04/11/pdfs/GMD-1800-29.pdf#page=3","Abrir facsímil")</f>
        <v>Abrir facsímil</v>
      </c>
      <c r="K4385" s="15" t="s">
        <v>23</v>
      </c>
    </row>
    <row r="4386" spans="1:11" ht="42" customHeight="1">
      <c r="A4386" s="4" t="s">
        <v>10208</v>
      </c>
      <c r="B4386" s="5" t="s">
        <v>10209</v>
      </c>
      <c r="C4386" s="5" t="s">
        <v>41</v>
      </c>
      <c r="D4386" s="5" t="s">
        <v>42</v>
      </c>
      <c r="E4386" s="5" t="s">
        <v>598</v>
      </c>
      <c r="F4386" s="9">
        <v>32</v>
      </c>
      <c r="G4386" s="9">
        <v>318</v>
      </c>
      <c r="H4386" s="5" t="s">
        <v>21</v>
      </c>
      <c r="I4386" s="5" t="s">
        <v>10212</v>
      </c>
      <c r="J4386" s="12" t="str">
        <f>HYPERLINK("https://www.boe.es/gazeta/dias/1800/04/22/pdfs/GMD-1800-32.pdf#page=2","Abrir facsímil")</f>
        <v>Abrir facsímil</v>
      </c>
      <c r="K4386" s="15" t="s">
        <v>23</v>
      </c>
    </row>
    <row r="4387" spans="1:11" ht="42" customHeight="1">
      <c r="A4387" s="4" t="s">
        <v>10213</v>
      </c>
      <c r="B4387" s="5" t="s">
        <v>10214</v>
      </c>
      <c r="C4387" s="5" t="s">
        <v>41</v>
      </c>
      <c r="D4387" s="5" t="s">
        <v>42</v>
      </c>
      <c r="E4387" s="5" t="s">
        <v>31</v>
      </c>
      <c r="F4387" s="9">
        <v>20</v>
      </c>
      <c r="G4387" s="9">
        <v>189</v>
      </c>
      <c r="H4387" s="5" t="s">
        <v>21</v>
      </c>
      <c r="I4387" s="5" t="s">
        <v>10215</v>
      </c>
      <c r="J4387" s="12" t="str">
        <f>HYPERLINK("https://www.boe.es/gazeta/dias/1800/03/11/pdfs/GMD-1800-20.pdf#page=5","Abrir facsímil")</f>
        <v>Abrir facsímil</v>
      </c>
      <c r="K4387" s="15" t="s">
        <v>23</v>
      </c>
    </row>
    <row r="4388" spans="1:11" ht="42" customHeight="1">
      <c r="A4388" s="4" t="s">
        <v>10213</v>
      </c>
      <c r="B4388" s="5" t="s">
        <v>10214</v>
      </c>
      <c r="C4388" s="5" t="s">
        <v>41</v>
      </c>
      <c r="D4388" s="5" t="s">
        <v>42</v>
      </c>
      <c r="E4388" s="5" t="s">
        <v>101</v>
      </c>
      <c r="F4388" s="9">
        <v>37</v>
      </c>
      <c r="G4388" s="9">
        <v>373</v>
      </c>
      <c r="H4388" s="5" t="s">
        <v>21</v>
      </c>
      <c r="I4388" s="5" t="s">
        <v>10216</v>
      </c>
      <c r="J4388" s="12" t="str">
        <f>HYPERLINK("https://www.boe.es/gazeta/dias/1800/05/09/pdfs/GMD-1800-37.pdf#page=5","Abrir facsímil")</f>
        <v>Abrir facsímil</v>
      </c>
      <c r="K4388" s="15" t="s">
        <v>23</v>
      </c>
    </row>
    <row r="4389" spans="1:11" ht="42" customHeight="1">
      <c r="A4389" s="4" t="s">
        <v>10217</v>
      </c>
      <c r="B4389" s="5" t="s">
        <v>10218</v>
      </c>
      <c r="C4389" s="5" t="s">
        <v>18</v>
      </c>
      <c r="D4389" s="5" t="s">
        <v>19</v>
      </c>
      <c r="E4389" s="5" t="s">
        <v>314</v>
      </c>
      <c r="F4389" s="9">
        <v>74</v>
      </c>
      <c r="G4389" s="9">
        <v>831</v>
      </c>
      <c r="H4389" s="5" t="s">
        <v>21</v>
      </c>
      <c r="I4389" s="5" t="s">
        <v>10219</v>
      </c>
      <c r="J4389" s="12" t="str">
        <f>HYPERLINK("https://www.boe.es/gazeta/dias/1800/09/12/pdfs/GMD-1800-74.pdf#page=9","Abrir facsímil")</f>
        <v>Abrir facsímil</v>
      </c>
      <c r="K4389" s="15" t="s">
        <v>23</v>
      </c>
    </row>
    <row r="4390" spans="1:11" ht="42" customHeight="1">
      <c r="A4390" s="4" t="s">
        <v>10220</v>
      </c>
      <c r="B4390" s="5" t="s">
        <v>10221</v>
      </c>
      <c r="C4390" s="5" t="s">
        <v>18</v>
      </c>
      <c r="D4390" s="5" t="s">
        <v>19</v>
      </c>
      <c r="E4390" s="5" t="s">
        <v>75</v>
      </c>
      <c r="F4390" s="9">
        <v>64</v>
      </c>
      <c r="G4390" s="9">
        <v>733</v>
      </c>
      <c r="H4390" s="5" t="s">
        <v>21</v>
      </c>
      <c r="I4390" s="5" t="s">
        <v>10222</v>
      </c>
      <c r="J4390" s="12" t="str">
        <f>HYPERLINK("https://www.boe.es/gazeta/dias/1800/08/12/pdfs/GMD-1800-64.pdf#page=9","Abrir facsímil")</f>
        <v>Abrir facsímil</v>
      </c>
      <c r="K4390" s="15" t="s">
        <v>23</v>
      </c>
    </row>
    <row r="4391" spans="1:11" ht="42" customHeight="1">
      <c r="A4391" s="4" t="s">
        <v>10223</v>
      </c>
      <c r="B4391" s="5" t="s">
        <v>10224</v>
      </c>
      <c r="C4391" s="5" t="s">
        <v>84</v>
      </c>
      <c r="D4391" s="5" t="s">
        <v>85</v>
      </c>
      <c r="E4391" s="5" t="s">
        <v>139</v>
      </c>
      <c r="F4391" s="9">
        <v>2</v>
      </c>
      <c r="G4391" s="9">
        <v>16</v>
      </c>
      <c r="H4391" s="5" t="s">
        <v>21</v>
      </c>
      <c r="I4391" s="5" t="s">
        <v>10225</v>
      </c>
      <c r="J4391" s="12" t="str">
        <f>HYPERLINK("https://www.boe.es/gazeta/dias/1800/01/07/pdfs/GMD-1800-2.pdf#page=8","Abrir facsímil")</f>
        <v>Abrir facsímil</v>
      </c>
      <c r="K4391" s="15" t="s">
        <v>23</v>
      </c>
    </row>
    <row r="4392" spans="1:11" ht="42" customHeight="1">
      <c r="A4392" s="4" t="s">
        <v>10226</v>
      </c>
      <c r="B4392" s="5" t="s">
        <v>10227</v>
      </c>
      <c r="C4392" s="5" t="s">
        <v>18</v>
      </c>
      <c r="D4392" s="5" t="s">
        <v>19</v>
      </c>
      <c r="E4392" s="5" t="s">
        <v>406</v>
      </c>
      <c r="F4392" s="9">
        <v>44</v>
      </c>
      <c r="G4392" s="9">
        <v>463</v>
      </c>
      <c r="H4392" s="5" t="s">
        <v>21</v>
      </c>
      <c r="I4392" s="5" t="s">
        <v>10228</v>
      </c>
      <c r="J4392" s="12" t="str">
        <f>HYPERLINK("https://www.boe.es/gazeta/dias/1800/06/03/pdfs/GMD-1800-44.pdf#page=11","Abrir facsímil")</f>
        <v>Abrir facsímil</v>
      </c>
      <c r="K4392" s="15" t="s">
        <v>23</v>
      </c>
    </row>
    <row r="4393" spans="1:11" ht="42" customHeight="1">
      <c r="A4393" s="4" t="s">
        <v>10229</v>
      </c>
      <c r="B4393" s="5" t="s">
        <v>10230</v>
      </c>
      <c r="C4393" s="5" t="s">
        <v>18</v>
      </c>
      <c r="D4393" s="5" t="s">
        <v>19</v>
      </c>
      <c r="E4393" s="5" t="s">
        <v>240</v>
      </c>
      <c r="F4393" s="9">
        <v>26</v>
      </c>
      <c r="G4393" s="9">
        <v>271</v>
      </c>
      <c r="H4393" s="5" t="s">
        <v>21</v>
      </c>
      <c r="I4393" s="5" t="s">
        <v>10231</v>
      </c>
      <c r="J4393" s="12" t="str">
        <f>HYPERLINK("https://www.boe.es/gazeta/dias/1800/04/01/pdfs/GMD-1800-26.pdf#page=11","Abrir facsímil")</f>
        <v>Abrir facsímil</v>
      </c>
      <c r="K4393" s="15" t="s">
        <v>23</v>
      </c>
    </row>
    <row r="4394" spans="1:11" ht="42" customHeight="1">
      <c r="A4394" s="4" t="s">
        <v>10232</v>
      </c>
      <c r="B4394" s="5" t="s">
        <v>10232</v>
      </c>
      <c r="C4394" s="5" t="s">
        <v>18</v>
      </c>
      <c r="D4394" s="5" t="s">
        <v>19</v>
      </c>
      <c r="E4394" s="5" t="s">
        <v>31</v>
      </c>
      <c r="F4394" s="9">
        <v>20</v>
      </c>
      <c r="G4394" s="9">
        <v>192</v>
      </c>
      <c r="H4394" s="5" t="s">
        <v>21</v>
      </c>
      <c r="I4394" s="5" t="s">
        <v>10233</v>
      </c>
      <c r="J4394" s="12" t="str">
        <f>HYPERLINK("https://www.boe.es/gazeta/dias/1800/03/11/pdfs/GMD-1800-20.pdf#page=8","Abrir facsímil")</f>
        <v>Abrir facsímil</v>
      </c>
      <c r="K4394" s="15" t="s">
        <v>23</v>
      </c>
    </row>
    <row r="4395" spans="1:11" ht="42" customHeight="1">
      <c r="A4395" s="4" t="s">
        <v>10234</v>
      </c>
      <c r="B4395" s="5" t="s">
        <v>10235</v>
      </c>
      <c r="C4395" s="5" t="s">
        <v>18</v>
      </c>
      <c r="D4395" s="5" t="s">
        <v>19</v>
      </c>
      <c r="E4395" s="5" t="s">
        <v>314</v>
      </c>
      <c r="F4395" s="9">
        <v>74</v>
      </c>
      <c r="G4395" s="9">
        <v>831</v>
      </c>
      <c r="H4395" s="5" t="s">
        <v>21</v>
      </c>
      <c r="I4395" s="5" t="s">
        <v>10236</v>
      </c>
      <c r="J4395" s="12" t="str">
        <f>HYPERLINK("https://www.boe.es/gazeta/dias/1800/09/12/pdfs/GMD-1800-74.pdf#page=9","Abrir facsímil")</f>
        <v>Abrir facsímil</v>
      </c>
      <c r="K4395" s="15" t="s">
        <v>23</v>
      </c>
    </row>
    <row r="4396" spans="1:11" ht="42" customHeight="1">
      <c r="A4396" s="4" t="s">
        <v>10234</v>
      </c>
      <c r="B4396" s="5" t="s">
        <v>10235</v>
      </c>
      <c r="C4396" s="5" t="s">
        <v>18</v>
      </c>
      <c r="D4396" s="5" t="s">
        <v>19</v>
      </c>
      <c r="E4396" s="5" t="s">
        <v>422</v>
      </c>
      <c r="F4396" s="9">
        <v>85</v>
      </c>
      <c r="G4396" s="9">
        <v>985</v>
      </c>
      <c r="H4396" s="5" t="s">
        <v>21</v>
      </c>
      <c r="I4396" s="5" t="s">
        <v>10237</v>
      </c>
      <c r="J4396" s="12" t="str">
        <f>HYPERLINK("https://www.boe.es/gazeta/dias/1800/10/21/pdfs/GMD-1800-85.pdf#page=7","Abrir facsímil")</f>
        <v>Abrir facsímil</v>
      </c>
      <c r="K4396" s="15" t="s">
        <v>23</v>
      </c>
    </row>
    <row r="4397" spans="1:11" ht="42" customHeight="1">
      <c r="A4397" s="4" t="s">
        <v>10238</v>
      </c>
      <c r="B4397" s="5" t="s">
        <v>10239</v>
      </c>
      <c r="C4397" s="5" t="s">
        <v>41</v>
      </c>
      <c r="D4397" s="5" t="s">
        <v>42</v>
      </c>
      <c r="E4397" s="5" t="s">
        <v>124</v>
      </c>
      <c r="F4397" s="9">
        <v>16</v>
      </c>
      <c r="G4397" s="9">
        <v>149</v>
      </c>
      <c r="H4397" s="5" t="s">
        <v>21</v>
      </c>
      <c r="I4397" s="5" t="s">
        <v>10240</v>
      </c>
      <c r="J4397" s="12" t="str">
        <f>HYPERLINK("https://www.boe.es/gazeta/dias/1800/02/25/pdfs/GMD-1800-16.pdf#page=5","Abrir facsímil")</f>
        <v>Abrir facsímil</v>
      </c>
      <c r="K4397" s="15" t="s">
        <v>23</v>
      </c>
    </row>
    <row r="4398" spans="1:11" ht="42" customHeight="1">
      <c r="A4398" s="4" t="s">
        <v>10238</v>
      </c>
      <c r="B4398" s="5" t="s">
        <v>10239</v>
      </c>
      <c r="C4398" s="5" t="s">
        <v>41</v>
      </c>
      <c r="D4398" s="5" t="s">
        <v>42</v>
      </c>
      <c r="E4398" s="5" t="s">
        <v>226</v>
      </c>
      <c r="F4398" s="9">
        <v>27</v>
      </c>
      <c r="G4398" s="9">
        <v>278</v>
      </c>
      <c r="H4398" s="5" t="s">
        <v>21</v>
      </c>
      <c r="I4398" s="5" t="s">
        <v>10241</v>
      </c>
      <c r="J4398" s="12" t="str">
        <f>HYPERLINK("https://www.boe.es/gazeta/dias/1800/04/04/pdfs/GMD-1800-27.pdf#page=6","Abrir facsímil")</f>
        <v>Abrir facsímil</v>
      </c>
      <c r="K4398" s="15" t="s">
        <v>23</v>
      </c>
    </row>
    <row r="4399" spans="1:11" ht="42" customHeight="1">
      <c r="A4399" s="4" t="s">
        <v>10242</v>
      </c>
      <c r="B4399" s="5" t="s">
        <v>10243</v>
      </c>
      <c r="C4399" s="5" t="s">
        <v>41</v>
      </c>
      <c r="D4399" s="5" t="s">
        <v>42</v>
      </c>
      <c r="E4399" s="5" t="s">
        <v>45</v>
      </c>
      <c r="F4399" s="9">
        <v>47</v>
      </c>
      <c r="G4399" s="9">
        <v>500</v>
      </c>
      <c r="H4399" s="5" t="s">
        <v>21</v>
      </c>
      <c r="I4399" s="5" t="s">
        <v>10244</v>
      </c>
      <c r="J4399" s="12" t="str">
        <f>HYPERLINK("https://www.boe.es/gazeta/dias/1800/06/13/pdfs/GMD-1800-47.pdf#page=8","Abrir facsímil")</f>
        <v>Abrir facsímil</v>
      </c>
      <c r="K4399" s="15" t="s">
        <v>23</v>
      </c>
    </row>
    <row r="4400" spans="1:11" ht="42" customHeight="1">
      <c r="A4400" s="4" t="s">
        <v>10245</v>
      </c>
      <c r="B4400" s="5" t="s">
        <v>10246</v>
      </c>
      <c r="C4400" s="5" t="s">
        <v>25</v>
      </c>
      <c r="D4400" s="5" t="s">
        <v>26</v>
      </c>
      <c r="E4400" s="5" t="s">
        <v>50</v>
      </c>
      <c r="F4400" s="9">
        <v>81</v>
      </c>
      <c r="G4400" s="9">
        <v>917</v>
      </c>
      <c r="H4400" s="5" t="s">
        <v>21</v>
      </c>
      <c r="I4400" s="5" t="s">
        <v>10247</v>
      </c>
      <c r="J4400" s="12" t="str">
        <f>HYPERLINK("https://www.boe.es/gazeta/dias/1800/10/07/pdfs/GMD-1800-81.pdf#page=7","Abrir facsímil")</f>
        <v>Abrir facsímil</v>
      </c>
      <c r="K4400" s="15" t="s">
        <v>23</v>
      </c>
    </row>
    <row r="4401" spans="1:11" ht="42" customHeight="1">
      <c r="A4401" s="4" t="s">
        <v>10248</v>
      </c>
      <c r="B4401" s="5" t="s">
        <v>10248</v>
      </c>
      <c r="C4401" s="5" t="s">
        <v>41</v>
      </c>
      <c r="D4401" s="5" t="s">
        <v>42</v>
      </c>
      <c r="E4401" s="5" t="s">
        <v>2338</v>
      </c>
      <c r="F4401" s="9">
        <v>42</v>
      </c>
      <c r="G4401" s="9">
        <v>433</v>
      </c>
      <c r="H4401" s="5" t="s">
        <v>21</v>
      </c>
      <c r="I4401" s="5" t="s">
        <v>10249</v>
      </c>
      <c r="J4401" s="12" t="str">
        <f>HYPERLINK("https://www.boe.es/gazeta/dias/1800/05/27/pdfs/GMD-1800-42.pdf#page=5","Abrir facsímil")</f>
        <v>Abrir facsímil</v>
      </c>
      <c r="K4401" s="15" t="s">
        <v>23</v>
      </c>
    </row>
    <row r="4402" spans="1:11" ht="42" customHeight="1">
      <c r="A4402" s="4" t="s">
        <v>10250</v>
      </c>
      <c r="B4402" s="5" t="s">
        <v>10251</v>
      </c>
      <c r="C4402" s="5" t="s">
        <v>25</v>
      </c>
      <c r="D4402" s="5" t="s">
        <v>26</v>
      </c>
      <c r="E4402" s="5" t="s">
        <v>319</v>
      </c>
      <c r="F4402" s="9">
        <v>62</v>
      </c>
      <c r="G4402" s="9">
        <v>707</v>
      </c>
      <c r="H4402" s="5" t="s">
        <v>21</v>
      </c>
      <c r="I4402" s="5" t="s">
        <v>10252</v>
      </c>
      <c r="J4402" s="12" t="str">
        <f>HYPERLINK("https://www.boe.es/gazeta/dias/1800/08/05/pdfs/GMD-1800-62.pdf#page=7","Abrir facsímil")</f>
        <v>Abrir facsímil</v>
      </c>
      <c r="K4402" s="15" t="s">
        <v>23</v>
      </c>
    </row>
    <row r="4403" spans="1:11" ht="42" customHeight="1">
      <c r="A4403" s="4" t="s">
        <v>10253</v>
      </c>
      <c r="B4403" s="5" t="s">
        <v>10254</v>
      </c>
      <c r="C4403" s="5" t="s">
        <v>41</v>
      </c>
      <c r="D4403" s="5" t="s">
        <v>42</v>
      </c>
      <c r="E4403" s="5" t="s">
        <v>52</v>
      </c>
      <c r="F4403" s="9">
        <v>83</v>
      </c>
      <c r="G4403" s="9">
        <v>956</v>
      </c>
      <c r="H4403" s="5" t="s">
        <v>21</v>
      </c>
      <c r="I4403" s="5" t="s">
        <v>10255</v>
      </c>
      <c r="J4403" s="12" t="str">
        <f>HYPERLINK("https://www.boe.es/gazeta/dias/1800/10/14/pdfs/GMD-1800-83.pdf#page=2","Abrir facsímil")</f>
        <v>Abrir facsímil</v>
      </c>
      <c r="K4403" s="15" t="s">
        <v>23</v>
      </c>
    </row>
    <row r="4404" spans="1:11" ht="42" customHeight="1">
      <c r="A4404" s="4" t="s">
        <v>10256</v>
      </c>
      <c r="B4404" s="5" t="s">
        <v>10257</v>
      </c>
      <c r="C4404" s="5" t="s">
        <v>41</v>
      </c>
      <c r="D4404" s="5" t="s">
        <v>42</v>
      </c>
      <c r="E4404" s="5" t="s">
        <v>583</v>
      </c>
      <c r="F4404" s="9">
        <v>77</v>
      </c>
      <c r="G4404" s="9">
        <v>877</v>
      </c>
      <c r="H4404" s="5" t="s">
        <v>21</v>
      </c>
      <c r="I4404" s="5" t="s">
        <v>10258</v>
      </c>
      <c r="J4404" s="12" t="str">
        <f>HYPERLINK("https://www.boe.es/gazeta/dias/1800/09/23/pdfs/GMD-1800-77.pdf#page=7","Abrir facsímil")</f>
        <v>Abrir facsímil</v>
      </c>
      <c r="K4404" s="15" t="s">
        <v>23</v>
      </c>
    </row>
    <row r="4405" spans="1:11" ht="42" customHeight="1">
      <c r="A4405" s="4" t="s">
        <v>10259</v>
      </c>
      <c r="B4405" s="5" t="s">
        <v>10260</v>
      </c>
      <c r="C4405" s="5" t="s">
        <v>41</v>
      </c>
      <c r="D4405" s="5" t="s">
        <v>42</v>
      </c>
      <c r="E4405" s="5" t="s">
        <v>90</v>
      </c>
      <c r="F4405" s="9">
        <v>58</v>
      </c>
      <c r="G4405" s="9">
        <v>659</v>
      </c>
      <c r="H4405" s="5" t="s">
        <v>21</v>
      </c>
      <c r="I4405" s="5" t="s">
        <v>10261</v>
      </c>
      <c r="J4405" s="12" t="str">
        <f>HYPERLINK("https://www.boe.es/gazeta/dias/1800/07/22/pdfs/GMD-1800-58.pdf#page=7","Abrir facsímil")</f>
        <v>Abrir facsímil</v>
      </c>
      <c r="K4405" s="15" t="s">
        <v>23</v>
      </c>
    </row>
    <row r="4406" spans="1:11" ht="42" customHeight="1">
      <c r="A4406" s="4" t="s">
        <v>10262</v>
      </c>
      <c r="B4406" s="5" t="s">
        <v>10263</v>
      </c>
      <c r="C4406" s="5" t="s">
        <v>18</v>
      </c>
      <c r="D4406" s="5" t="s">
        <v>19</v>
      </c>
      <c r="E4406" s="5" t="s">
        <v>214</v>
      </c>
      <c r="F4406" s="9">
        <v>41</v>
      </c>
      <c r="G4406" s="9">
        <v>423</v>
      </c>
      <c r="H4406" s="5" t="s">
        <v>21</v>
      </c>
      <c r="I4406" s="5" t="s">
        <v>10264</v>
      </c>
      <c r="J4406" s="12" t="str">
        <f>HYPERLINK("https://www.boe.es/gazeta/dias/1800/05/23/pdfs/GMD-1800-41.pdf#page=7","Abrir facsímil")</f>
        <v>Abrir facsímil</v>
      </c>
      <c r="K4406" s="15" t="s">
        <v>23</v>
      </c>
    </row>
    <row r="4407" spans="1:11" ht="42" customHeight="1">
      <c r="A4407" s="4" t="s">
        <v>10265</v>
      </c>
      <c r="B4407" s="5" t="s">
        <v>10265</v>
      </c>
      <c r="C4407" s="5" t="s">
        <v>54</v>
      </c>
      <c r="D4407" s="5" t="s">
        <v>55</v>
      </c>
      <c r="E4407" s="5" t="s">
        <v>158</v>
      </c>
      <c r="F4407" s="9">
        <v>25</v>
      </c>
      <c r="G4407" s="9">
        <v>250</v>
      </c>
      <c r="H4407" s="5" t="s">
        <v>21</v>
      </c>
      <c r="I4407" s="5" t="s">
        <v>10266</v>
      </c>
      <c r="J4407" s="12" t="str">
        <f>HYPERLINK("https://www.boe.es/gazeta/dias/1800/03/28/pdfs/GMD-1800-25.pdf#page=2","Abrir facsímil")</f>
        <v>Abrir facsímil</v>
      </c>
      <c r="K4407" s="15" t="s">
        <v>23</v>
      </c>
    </row>
    <row r="4408" spans="1:11" ht="42" customHeight="1">
      <c r="A4408" s="4" t="s">
        <v>10267</v>
      </c>
      <c r="B4408" s="5" t="s">
        <v>10268</v>
      </c>
      <c r="C4408" s="5" t="s">
        <v>41</v>
      </c>
      <c r="D4408" s="5" t="s">
        <v>42</v>
      </c>
      <c r="E4408" s="5" t="s">
        <v>503</v>
      </c>
      <c r="F4408" s="9">
        <v>13</v>
      </c>
      <c r="G4408" s="9">
        <v>125</v>
      </c>
      <c r="H4408" s="5" t="s">
        <v>21</v>
      </c>
      <c r="I4408" s="5" t="s">
        <v>10269</v>
      </c>
      <c r="J4408" s="12" t="str">
        <f>HYPERLINK("https://www.boe.es/gazeta/dias/1800/02/14/pdfs/GMD-1800-13.pdf#page=9","Abrir facsímil")</f>
        <v>Abrir facsímil</v>
      </c>
      <c r="K4408" s="15" t="s">
        <v>23</v>
      </c>
    </row>
    <row r="4409" spans="1:11" ht="42" customHeight="1">
      <c r="A4409" s="4" t="s">
        <v>10270</v>
      </c>
      <c r="B4409" s="5" t="s">
        <v>10271</v>
      </c>
      <c r="C4409" s="5" t="s">
        <v>18</v>
      </c>
      <c r="D4409" s="5" t="s">
        <v>19</v>
      </c>
      <c r="E4409" s="5" t="s">
        <v>139</v>
      </c>
      <c r="F4409" s="9">
        <v>2</v>
      </c>
      <c r="G4409" s="9">
        <v>17</v>
      </c>
      <c r="H4409" s="5" t="s">
        <v>21</v>
      </c>
      <c r="I4409" s="5" t="s">
        <v>10272</v>
      </c>
      <c r="J4409" s="12" t="str">
        <f>HYPERLINK("https://www.boe.es/gazeta/dias/1800/01/07/pdfs/GMD-1800-2.pdf#page=9","Abrir facsímil")</f>
        <v>Abrir facsímil</v>
      </c>
      <c r="K4409" s="15" t="s">
        <v>23</v>
      </c>
    </row>
    <row r="4410" spans="1:11" ht="42" customHeight="1">
      <c r="A4410" s="4" t="s">
        <v>10273</v>
      </c>
      <c r="B4410" s="5" t="s">
        <v>10273</v>
      </c>
      <c r="C4410" s="5" t="s">
        <v>41</v>
      </c>
      <c r="D4410" s="5" t="s">
        <v>42</v>
      </c>
      <c r="E4410" s="5" t="s">
        <v>406</v>
      </c>
      <c r="F4410" s="9">
        <v>44</v>
      </c>
      <c r="G4410" s="9">
        <v>456</v>
      </c>
      <c r="H4410" s="5" t="s">
        <v>21</v>
      </c>
      <c r="I4410" s="5" t="s">
        <v>10274</v>
      </c>
      <c r="J4410" s="12" t="str">
        <f>HYPERLINK("https://www.boe.es/gazeta/dias/1800/06/03/pdfs/GMD-1800-44.pdf#page=4","Abrir facsímil")</f>
        <v>Abrir facsímil</v>
      </c>
      <c r="K4410" s="15" t="s">
        <v>23</v>
      </c>
    </row>
    <row r="4411" spans="1:11" ht="42" customHeight="1">
      <c r="A4411" s="4" t="s">
        <v>10275</v>
      </c>
      <c r="B4411" s="5" t="s">
        <v>10276</v>
      </c>
      <c r="C4411" s="5" t="s">
        <v>84</v>
      </c>
      <c r="D4411" s="5" t="s">
        <v>85</v>
      </c>
      <c r="E4411" s="5" t="s">
        <v>184</v>
      </c>
      <c r="F4411" s="9">
        <v>82</v>
      </c>
      <c r="G4411" s="9">
        <v>954</v>
      </c>
      <c r="H4411" s="5" t="s">
        <v>21</v>
      </c>
      <c r="I4411" s="5" t="s">
        <v>10277</v>
      </c>
      <c r="J4411" s="12" t="str">
        <f>HYPERLINK("https://www.boe.es/gazeta/dias/1800/10/10/pdfs/GMD-1800-82.pdf#page=12","Abrir facsímil")</f>
        <v>Abrir facsímil</v>
      </c>
      <c r="K4411" s="15" t="s">
        <v>23</v>
      </c>
    </row>
    <row r="4412" spans="1:11" ht="42" customHeight="1">
      <c r="A4412" s="4" t="s">
        <v>10278</v>
      </c>
      <c r="B4412" s="5" t="s">
        <v>10279</v>
      </c>
      <c r="C4412" s="5" t="s">
        <v>10280</v>
      </c>
      <c r="D4412" s="5" t="s">
        <v>10281</v>
      </c>
      <c r="E4412" s="5" t="s">
        <v>43</v>
      </c>
      <c r="F4412" s="9">
        <v>46</v>
      </c>
      <c r="G4412" s="9" t="s">
        <v>10282</v>
      </c>
      <c r="H4412" s="5" t="s">
        <v>21</v>
      </c>
      <c r="I4412" s="5" t="s">
        <v>10283</v>
      </c>
      <c r="J4412" s="12" t="str">
        <f>HYPERLINK("https://www.boe.es/gazeta/dias/1800/06/10/pdfs/GMD-C-1800-46.pdf#page=1","Abrir facsímil")</f>
        <v>Abrir facsímil</v>
      </c>
      <c r="K4412" s="15" t="s">
        <v>23</v>
      </c>
    </row>
    <row r="4413" spans="1:11" ht="42" customHeight="1">
      <c r="A4413" s="4" t="s">
        <v>10284</v>
      </c>
      <c r="B4413" s="5" t="s">
        <v>10285</v>
      </c>
      <c r="C4413" s="5" t="s">
        <v>25</v>
      </c>
      <c r="D4413" s="5" t="s">
        <v>26</v>
      </c>
      <c r="E4413" s="5" t="s">
        <v>346</v>
      </c>
      <c r="F4413" s="9">
        <v>24</v>
      </c>
      <c r="G4413" s="9">
        <v>248</v>
      </c>
      <c r="H4413" s="5" t="s">
        <v>21</v>
      </c>
      <c r="I4413" s="5" t="s">
        <v>10286</v>
      </c>
      <c r="J4413" s="12" t="str">
        <f>HYPERLINK("https://www.boe.es/gazeta/dias/1800/03/25/pdfs/GMD-1800-24.pdf#page=12","Abrir facsímil")</f>
        <v>Abrir facsímil</v>
      </c>
      <c r="K4413" s="15" t="s">
        <v>23</v>
      </c>
    </row>
    <row r="4414" spans="1:11" ht="42" customHeight="1">
      <c r="A4414" s="4" t="s">
        <v>10287</v>
      </c>
      <c r="B4414" s="5" t="s">
        <v>10287</v>
      </c>
      <c r="C4414" s="5" t="s">
        <v>18</v>
      </c>
      <c r="D4414" s="5" t="s">
        <v>19</v>
      </c>
      <c r="E4414" s="5" t="s">
        <v>190</v>
      </c>
      <c r="F4414" s="9">
        <v>93</v>
      </c>
      <c r="G4414" s="9">
        <v>1066</v>
      </c>
      <c r="H4414" s="5" t="s">
        <v>21</v>
      </c>
      <c r="I4414" s="5" t="s">
        <v>10288</v>
      </c>
      <c r="J4414" s="12" t="str">
        <f>HYPERLINK("https://www.boe.es/gazeta/dias/1800/11/18/pdfs/GMD-1800-93.pdf#page=12","Abrir facsímil")</f>
        <v>Abrir facsímil</v>
      </c>
      <c r="K4414" s="15" t="s">
        <v>23</v>
      </c>
    </row>
    <row r="4415" spans="1:11" ht="42" customHeight="1">
      <c r="A4415" s="4" t="s">
        <v>10289</v>
      </c>
      <c r="B4415" s="5" t="s">
        <v>10290</v>
      </c>
      <c r="C4415" s="5" t="s">
        <v>18</v>
      </c>
      <c r="D4415" s="5" t="s">
        <v>19</v>
      </c>
      <c r="E4415" s="5" t="s">
        <v>445</v>
      </c>
      <c r="F4415" s="9">
        <v>96</v>
      </c>
      <c r="G4415" s="9">
        <v>1106</v>
      </c>
      <c r="H4415" s="5" t="s">
        <v>21</v>
      </c>
      <c r="I4415" s="5" t="s">
        <v>10291</v>
      </c>
      <c r="J4415" s="12" t="str">
        <f>HYPERLINK("https://www.boe.es/gazeta/dias/1800/11/28/pdfs/GMD-1800-96.pdf#page=10","Abrir facsímil")</f>
        <v>Abrir facsímil</v>
      </c>
      <c r="K4415" s="15" t="s">
        <v>23</v>
      </c>
    </row>
    <row r="4416" spans="1:11" ht="42" customHeight="1">
      <c r="A4416" s="4" t="s">
        <v>10292</v>
      </c>
      <c r="B4416" s="5" t="s">
        <v>10293</v>
      </c>
      <c r="C4416" s="5" t="s">
        <v>41</v>
      </c>
      <c r="D4416" s="5" t="s">
        <v>42</v>
      </c>
      <c r="E4416" s="5" t="s">
        <v>825</v>
      </c>
      <c r="F4416" s="9">
        <v>51</v>
      </c>
      <c r="G4416" s="9">
        <v>556</v>
      </c>
      <c r="H4416" s="5" t="s">
        <v>21</v>
      </c>
      <c r="I4416" s="5" t="s">
        <v>10294</v>
      </c>
      <c r="J4416" s="12" t="str">
        <f>HYPERLINK("https://www.boe.es/gazeta/dias/1800/06/27/pdfs/GMD-1800-51.pdf#page=8","Abrir facsímil")</f>
        <v>Abrir facsímil</v>
      </c>
      <c r="K4416" s="15" t="s">
        <v>23</v>
      </c>
    </row>
    <row r="4417" spans="1:11" ht="42" customHeight="1">
      <c r="A4417" s="4" t="s">
        <v>10295</v>
      </c>
      <c r="B4417" s="5" t="s">
        <v>10296</v>
      </c>
      <c r="C4417" s="5" t="s">
        <v>41</v>
      </c>
      <c r="D4417" s="5" t="s">
        <v>42</v>
      </c>
      <c r="E4417" s="5" t="s">
        <v>406</v>
      </c>
      <c r="F4417" s="9">
        <v>44</v>
      </c>
      <c r="G4417" s="9">
        <v>459</v>
      </c>
      <c r="H4417" s="5" t="s">
        <v>21</v>
      </c>
      <c r="I4417" s="5" t="s">
        <v>10297</v>
      </c>
      <c r="J4417" s="12" t="str">
        <f>HYPERLINK("https://www.boe.es/gazeta/dias/1800/06/03/pdfs/GMD-1800-44.pdf#page=7","Abrir facsímil")</f>
        <v>Abrir facsímil</v>
      </c>
      <c r="K4417" s="15" t="s">
        <v>23</v>
      </c>
    </row>
    <row r="4418" spans="1:11" ht="42" customHeight="1">
      <c r="A4418" s="4" t="s">
        <v>10298</v>
      </c>
      <c r="B4418" s="5" t="s">
        <v>10299</v>
      </c>
      <c r="C4418" s="5" t="s">
        <v>54</v>
      </c>
      <c r="D4418" s="5" t="s">
        <v>55</v>
      </c>
      <c r="E4418" s="5" t="s">
        <v>43</v>
      </c>
      <c r="F4418" s="9">
        <v>46</v>
      </c>
      <c r="G4418" s="9">
        <v>490</v>
      </c>
      <c r="H4418" s="5" t="s">
        <v>21</v>
      </c>
      <c r="I4418" s="5" t="s">
        <v>10300</v>
      </c>
      <c r="J4418" s="12" t="str">
        <f>HYPERLINK("https://www.boe.es/gazeta/dias/1800/06/10/pdfs/GMD-1800-46.pdf#page=14","Abrir facsímil")</f>
        <v>Abrir facsímil</v>
      </c>
      <c r="K4418" s="15" t="s">
        <v>23</v>
      </c>
    </row>
    <row r="4419" spans="1:11" ht="42" customHeight="1">
      <c r="A4419" s="4" t="s">
        <v>10301</v>
      </c>
      <c r="B4419" s="5" t="s">
        <v>10301</v>
      </c>
      <c r="C4419" s="5" t="s">
        <v>25</v>
      </c>
      <c r="D4419" s="5" t="s">
        <v>26</v>
      </c>
      <c r="E4419" s="5" t="s">
        <v>64</v>
      </c>
      <c r="F4419" s="9">
        <v>54</v>
      </c>
      <c r="G4419" s="9">
        <v>606</v>
      </c>
      <c r="H4419" s="5" t="s">
        <v>21</v>
      </c>
      <c r="I4419" s="5" t="s">
        <v>10302</v>
      </c>
      <c r="J4419" s="12" t="str">
        <f>HYPERLINK("https://www.boe.es/gazeta/dias/1800/07/08/pdfs/GMD-1800-54.pdf#page=10","Abrir facsímil")</f>
        <v>Abrir facsímil</v>
      </c>
      <c r="K4419" s="15" t="s">
        <v>23</v>
      </c>
    </row>
    <row r="4420" spans="1:11" ht="42" customHeight="1">
      <c r="A4420" s="4" t="s">
        <v>10303</v>
      </c>
      <c r="B4420" s="5" t="s">
        <v>10303</v>
      </c>
      <c r="C4420" s="5" t="s">
        <v>18</v>
      </c>
      <c r="D4420" s="5" t="s">
        <v>19</v>
      </c>
      <c r="E4420" s="5" t="s">
        <v>203</v>
      </c>
      <c r="F4420" s="9">
        <v>94</v>
      </c>
      <c r="G4420" s="9">
        <v>1077</v>
      </c>
      <c r="H4420" s="5" t="s">
        <v>21</v>
      </c>
      <c r="I4420" s="5" t="s">
        <v>10304</v>
      </c>
      <c r="J4420" s="12" t="str">
        <f>HYPERLINK("https://www.boe.es/gazeta/dias/1800/11/21/pdfs/GMD-1800-94.pdf#page=7","Abrir facsímil")</f>
        <v>Abrir facsímil</v>
      </c>
      <c r="K4420" s="15" t="s">
        <v>23</v>
      </c>
    </row>
    <row r="4421" spans="1:11" ht="42" customHeight="1">
      <c r="A4421" s="4" t="s">
        <v>10305</v>
      </c>
      <c r="B4421" s="5" t="s">
        <v>10305</v>
      </c>
      <c r="C4421" s="5" t="s">
        <v>41</v>
      </c>
      <c r="D4421" s="5" t="s">
        <v>42</v>
      </c>
      <c r="E4421" s="5" t="s">
        <v>56</v>
      </c>
      <c r="F4421" s="9">
        <v>90</v>
      </c>
      <c r="G4421" s="9">
        <v>1053</v>
      </c>
      <c r="H4421" s="5" t="s">
        <v>21</v>
      </c>
      <c r="I4421" s="5" t="s">
        <v>10306</v>
      </c>
      <c r="J4421" s="12" t="str">
        <f>HYPERLINK("https://www.boe.es/gazeta/dias/1800/11/07/pdfs/GMD-1800-90.pdf#page=7","Abrir facsímil")</f>
        <v>Abrir facsímil</v>
      </c>
      <c r="K4421" s="15" t="s">
        <v>23</v>
      </c>
    </row>
    <row r="4422" spans="1:11" ht="42" customHeight="1">
      <c r="A4422" s="4" t="s">
        <v>10305</v>
      </c>
      <c r="B4422" s="5" t="s">
        <v>10305</v>
      </c>
      <c r="C4422" s="5" t="s">
        <v>41</v>
      </c>
      <c r="D4422" s="5" t="s">
        <v>42</v>
      </c>
      <c r="E4422" s="5" t="s">
        <v>196</v>
      </c>
      <c r="F4422" s="9">
        <v>97</v>
      </c>
      <c r="G4422" s="9">
        <v>1114</v>
      </c>
      <c r="H4422" s="5" t="s">
        <v>21</v>
      </c>
      <c r="I4422" s="5" t="s">
        <v>10307</v>
      </c>
      <c r="J4422" s="12" t="str">
        <f>HYPERLINK("https://www.boe.es/gazeta/dias/1800/12/02/pdfs/GMD-1800-97.pdf#page=6","Abrir facsímil")</f>
        <v>Abrir facsímil</v>
      </c>
      <c r="K4422" s="15" t="s">
        <v>23</v>
      </c>
    </row>
    <row r="4423" spans="1:11" ht="42" customHeight="1">
      <c r="A4423" s="4" t="s">
        <v>10308</v>
      </c>
      <c r="B4423" s="5" t="s">
        <v>10309</v>
      </c>
      <c r="C4423" s="5" t="s">
        <v>18</v>
      </c>
      <c r="D4423" s="5" t="s">
        <v>19</v>
      </c>
      <c r="E4423" s="5" t="s">
        <v>356</v>
      </c>
      <c r="F4423" s="9">
        <v>31</v>
      </c>
      <c r="G4423" s="9">
        <v>313</v>
      </c>
      <c r="H4423" s="5" t="s">
        <v>21</v>
      </c>
      <c r="I4423" s="5" t="s">
        <v>10310</v>
      </c>
      <c r="J4423" s="12" t="str">
        <f>HYPERLINK("https://www.boe.es/gazeta/dias/1800/04/18/pdfs/GMD-1800-31.pdf#page=5","Abrir facsímil")</f>
        <v>Abrir facsímil</v>
      </c>
      <c r="K4423" s="15" t="s">
        <v>23</v>
      </c>
    </row>
    <row r="4424" spans="1:11" ht="42" customHeight="1">
      <c r="A4424" s="4" t="s">
        <v>10311</v>
      </c>
      <c r="B4424" s="5" t="s">
        <v>10311</v>
      </c>
      <c r="C4424" s="5" t="s">
        <v>41</v>
      </c>
      <c r="D4424" s="5" t="s">
        <v>42</v>
      </c>
      <c r="E4424" s="5" t="s">
        <v>1127</v>
      </c>
      <c r="F4424" s="9">
        <v>11</v>
      </c>
      <c r="G4424" s="9">
        <v>104</v>
      </c>
      <c r="H4424" s="5" t="s">
        <v>21</v>
      </c>
      <c r="I4424" s="5" t="s">
        <v>10312</v>
      </c>
      <c r="J4424" s="12" t="str">
        <f>HYPERLINK("https://www.boe.es/gazeta/dias/1800/02/07/pdfs/GMD-1800-11.pdf#page=4","Abrir facsímil")</f>
        <v>Abrir facsímil</v>
      </c>
      <c r="K4424" s="15" t="s">
        <v>23</v>
      </c>
    </row>
    <row r="4425" spans="1:11" ht="42" customHeight="1">
      <c r="A4425" s="4" t="s">
        <v>10313</v>
      </c>
      <c r="B4425" s="5" t="s">
        <v>10314</v>
      </c>
      <c r="C4425" s="5" t="s">
        <v>41</v>
      </c>
      <c r="D4425" s="5" t="s">
        <v>42</v>
      </c>
      <c r="E4425" s="5" t="s">
        <v>465</v>
      </c>
      <c r="F4425" s="9">
        <v>49</v>
      </c>
      <c r="G4425" s="9">
        <v>528</v>
      </c>
      <c r="H4425" s="5" t="s">
        <v>21</v>
      </c>
      <c r="I4425" s="5" t="s">
        <v>10315</v>
      </c>
      <c r="J4425" s="12" t="str">
        <f>HYPERLINK("https://www.boe.es/gazeta/dias/1800/06/20/pdfs/GMD-1800-49.pdf#page=4","Abrir facsímil")</f>
        <v>Abrir facsímil</v>
      </c>
      <c r="K4425" s="15" t="s">
        <v>23</v>
      </c>
    </row>
    <row r="4426" spans="1:11" ht="42" customHeight="1">
      <c r="A4426" s="4" t="s">
        <v>10313</v>
      </c>
      <c r="B4426" s="5" t="s">
        <v>10314</v>
      </c>
      <c r="C4426" s="5" t="s">
        <v>54</v>
      </c>
      <c r="D4426" s="5" t="s">
        <v>55</v>
      </c>
      <c r="E4426" s="5" t="s">
        <v>120</v>
      </c>
      <c r="F4426" s="9">
        <v>52</v>
      </c>
      <c r="G4426" s="9">
        <v>569</v>
      </c>
      <c r="H4426" s="5" t="s">
        <v>21</v>
      </c>
      <c r="I4426" s="5" t="s">
        <v>10316</v>
      </c>
      <c r="J4426" s="12" t="str">
        <f>HYPERLINK("https://www.boe.es/gazeta/dias/1800/07/01/pdfs/GMD-1800-52.pdf#page=5","Abrir facsímil")</f>
        <v>Abrir facsímil</v>
      </c>
      <c r="K4426" s="15" t="s">
        <v>23</v>
      </c>
    </row>
    <row r="4427" spans="1:11" ht="42" customHeight="1">
      <c r="A4427" s="4" t="s">
        <v>10313</v>
      </c>
      <c r="B4427" s="5" t="s">
        <v>10314</v>
      </c>
      <c r="C4427" s="5" t="s">
        <v>41</v>
      </c>
      <c r="D4427" s="5" t="s">
        <v>42</v>
      </c>
      <c r="E4427" s="5" t="s">
        <v>184</v>
      </c>
      <c r="F4427" s="9">
        <v>82</v>
      </c>
      <c r="G4427" s="9">
        <v>948</v>
      </c>
      <c r="H4427" s="5" t="s">
        <v>21</v>
      </c>
      <c r="I4427" s="5" t="s">
        <v>10317</v>
      </c>
      <c r="J4427" s="12" t="str">
        <f>HYPERLINK("https://www.boe.es/gazeta/dias/1800/10/10/pdfs/GMD-1800-82.pdf#page=6","Abrir facsímil")</f>
        <v>Abrir facsímil</v>
      </c>
      <c r="K4427" s="15" t="s">
        <v>23</v>
      </c>
    </row>
    <row r="4428" spans="1:11" ht="42" customHeight="1">
      <c r="A4428" s="4" t="s">
        <v>10313</v>
      </c>
      <c r="B4428" s="5" t="s">
        <v>10314</v>
      </c>
      <c r="C4428" s="5" t="s">
        <v>41</v>
      </c>
      <c r="D4428" s="5" t="s">
        <v>42</v>
      </c>
      <c r="E4428" s="5" t="s">
        <v>673</v>
      </c>
      <c r="F4428" s="9">
        <v>89</v>
      </c>
      <c r="G4428" s="9">
        <v>1040</v>
      </c>
      <c r="H4428" s="5" t="s">
        <v>21</v>
      </c>
      <c r="I4428" s="5" t="s">
        <v>10318</v>
      </c>
      <c r="J4428" s="12" t="str">
        <f>HYPERLINK("https://www.boe.es/gazeta/dias/1800/11/04/pdfs/GMD-1800-89.pdf#page=6","Abrir facsímil")</f>
        <v>Abrir facsímil</v>
      </c>
      <c r="K4428" s="15" t="s">
        <v>23</v>
      </c>
    </row>
    <row r="4429" spans="1:11" ht="42" customHeight="1">
      <c r="A4429" s="4" t="s">
        <v>10319</v>
      </c>
      <c r="B4429" s="5" t="s">
        <v>10320</v>
      </c>
      <c r="C4429" s="5" t="s">
        <v>41</v>
      </c>
      <c r="D4429" s="5" t="s">
        <v>42</v>
      </c>
      <c r="E4429" s="5" t="s">
        <v>39</v>
      </c>
      <c r="F4429" s="9">
        <v>43</v>
      </c>
      <c r="G4429" s="9">
        <v>446</v>
      </c>
      <c r="H4429" s="5" t="s">
        <v>21</v>
      </c>
      <c r="I4429" s="5" t="s">
        <v>10321</v>
      </c>
      <c r="J4429" s="12" t="str">
        <f>HYPERLINK("https://www.boe.es/gazeta/dias/1800/05/30/pdfs/GMD-1800-43.pdf#page=6","Abrir facsímil")</f>
        <v>Abrir facsímil</v>
      </c>
      <c r="K4429" s="15" t="s">
        <v>23</v>
      </c>
    </row>
    <row r="4430" spans="1:11" ht="42" customHeight="1">
      <c r="A4430" s="4" t="s">
        <v>10322</v>
      </c>
      <c r="B4430" s="5" t="s">
        <v>10322</v>
      </c>
      <c r="C4430" s="5" t="s">
        <v>41</v>
      </c>
      <c r="D4430" s="5" t="s">
        <v>42</v>
      </c>
      <c r="E4430" s="5" t="s">
        <v>158</v>
      </c>
      <c r="F4430" s="9">
        <v>25</v>
      </c>
      <c r="G4430" s="9">
        <v>253</v>
      </c>
      <c r="H4430" s="5" t="s">
        <v>21</v>
      </c>
      <c r="I4430" s="5" t="s">
        <v>10323</v>
      </c>
      <c r="J4430" s="12" t="str">
        <f>HYPERLINK("https://www.boe.es/gazeta/dias/1800/03/28/pdfs/GMD-1800-25.pdf#page=5","Abrir facsímil")</f>
        <v>Abrir facsímil</v>
      </c>
      <c r="K4430" s="15" t="s">
        <v>23</v>
      </c>
    </row>
    <row r="4431" spans="1:11" ht="42" customHeight="1">
      <c r="A4431" s="4" t="s">
        <v>10324</v>
      </c>
      <c r="B4431" s="5" t="s">
        <v>10325</v>
      </c>
      <c r="C4431" s="5" t="s">
        <v>41</v>
      </c>
      <c r="D4431" s="5" t="s">
        <v>42</v>
      </c>
      <c r="E4431" s="5" t="s">
        <v>90</v>
      </c>
      <c r="F4431" s="9">
        <v>58</v>
      </c>
      <c r="G4431" s="9">
        <v>659</v>
      </c>
      <c r="H4431" s="5" t="s">
        <v>21</v>
      </c>
      <c r="I4431" s="5" t="s">
        <v>10326</v>
      </c>
      <c r="J4431" s="12" t="str">
        <f>HYPERLINK("https://www.boe.es/gazeta/dias/1800/07/22/pdfs/GMD-1800-58.pdf#page=7","Abrir facsímil")</f>
        <v>Abrir facsímil</v>
      </c>
      <c r="K4431" s="15" t="s">
        <v>23</v>
      </c>
    </row>
    <row r="4432" spans="1:11" ht="42" customHeight="1">
      <c r="A4432" s="4" t="s">
        <v>10327</v>
      </c>
      <c r="B4432" s="5" t="s">
        <v>10327</v>
      </c>
      <c r="C4432" s="5" t="s">
        <v>54</v>
      </c>
      <c r="D4432" s="5" t="s">
        <v>55</v>
      </c>
      <c r="E4432" s="5" t="s">
        <v>406</v>
      </c>
      <c r="F4432" s="9">
        <v>44</v>
      </c>
      <c r="G4432" s="9">
        <v>459</v>
      </c>
      <c r="H4432" s="5" t="s">
        <v>21</v>
      </c>
      <c r="I4432" s="5" t="s">
        <v>10328</v>
      </c>
      <c r="J4432" s="12" t="str">
        <f>HYPERLINK("https://www.boe.es/gazeta/dias/1800/06/03/pdfs/GMD-1800-44.pdf#page=7","Abrir facsímil")</f>
        <v>Abrir facsímil</v>
      </c>
      <c r="K4432" s="15" t="s">
        <v>23</v>
      </c>
    </row>
    <row r="4433" spans="1:11" ht="42" customHeight="1">
      <c r="A4433" s="4" t="s">
        <v>10329</v>
      </c>
      <c r="B4433" s="5" t="s">
        <v>10330</v>
      </c>
      <c r="C4433" s="5" t="s">
        <v>41</v>
      </c>
      <c r="D4433" s="5" t="s">
        <v>42</v>
      </c>
      <c r="E4433" s="5" t="s">
        <v>567</v>
      </c>
      <c r="F4433" s="9">
        <v>3</v>
      </c>
      <c r="G4433" s="9">
        <v>23</v>
      </c>
      <c r="H4433" s="5" t="s">
        <v>21</v>
      </c>
      <c r="I4433" s="5" t="s">
        <v>10331</v>
      </c>
      <c r="J4433" s="12" t="str">
        <f>HYPERLINK("https://www.boe.es/gazeta/dias/1800/01/10/pdfs/GMD-1800-3.pdf#page=3","Abrir facsímil")</f>
        <v>Abrir facsímil</v>
      </c>
      <c r="K4433" s="15" t="s">
        <v>23</v>
      </c>
    </row>
    <row r="4434" spans="1:11" ht="42" customHeight="1">
      <c r="A4434" s="4" t="s">
        <v>10332</v>
      </c>
      <c r="B4434" s="5" t="s">
        <v>10333</v>
      </c>
      <c r="C4434" s="5" t="s">
        <v>41</v>
      </c>
      <c r="D4434" s="5" t="s">
        <v>42</v>
      </c>
      <c r="E4434" s="5" t="s">
        <v>787</v>
      </c>
      <c r="F4434" s="9">
        <v>6</v>
      </c>
      <c r="G4434" s="9">
        <v>52</v>
      </c>
      <c r="H4434" s="5" t="s">
        <v>21</v>
      </c>
      <c r="I4434" s="5" t="s">
        <v>10334</v>
      </c>
      <c r="J4434" s="12" t="str">
        <f>HYPERLINK("https://www.boe.es/gazeta/dias/1800/01/21/pdfs/GMD-1800-6.pdf#page=4","Abrir facsímil")</f>
        <v>Abrir facsímil</v>
      </c>
      <c r="K4434" s="15" t="s">
        <v>23</v>
      </c>
    </row>
    <row r="4435" spans="1:11" ht="42" customHeight="1">
      <c r="A4435" s="4" t="s">
        <v>10332</v>
      </c>
      <c r="B4435" s="5" t="s">
        <v>10333</v>
      </c>
      <c r="C4435" s="5" t="s">
        <v>41</v>
      </c>
      <c r="D4435" s="5" t="s">
        <v>42</v>
      </c>
      <c r="E4435" s="5" t="s">
        <v>131</v>
      </c>
      <c r="F4435" s="9">
        <v>8</v>
      </c>
      <c r="G4435" s="9">
        <v>72</v>
      </c>
      <c r="H4435" s="5" t="s">
        <v>21</v>
      </c>
      <c r="I4435" s="5" t="s">
        <v>10335</v>
      </c>
      <c r="J4435" s="12" t="str">
        <f>HYPERLINK("https://www.boe.es/gazeta/dias/1800/01/28/pdfs/GMD-1800-8.pdf#page=4","Abrir facsímil")</f>
        <v>Abrir facsímil</v>
      </c>
      <c r="K4435" s="15" t="s">
        <v>23</v>
      </c>
    </row>
    <row r="4436" spans="1:11" ht="42" customHeight="1">
      <c r="A4436" s="4" t="s">
        <v>10332</v>
      </c>
      <c r="B4436" s="5" t="s">
        <v>10333</v>
      </c>
      <c r="C4436" s="5" t="s">
        <v>41</v>
      </c>
      <c r="D4436" s="5" t="s">
        <v>42</v>
      </c>
      <c r="E4436" s="5" t="s">
        <v>346</v>
      </c>
      <c r="F4436" s="9">
        <v>24</v>
      </c>
      <c r="G4436" s="9">
        <v>241</v>
      </c>
      <c r="H4436" s="5" t="s">
        <v>21</v>
      </c>
      <c r="I4436" s="5" t="s">
        <v>10336</v>
      </c>
      <c r="J4436" s="12" t="str">
        <f>HYPERLINK("https://www.boe.es/gazeta/dias/1800/03/25/pdfs/GMD-1800-24.pdf#page=5","Abrir facsímil")</f>
        <v>Abrir facsímil</v>
      </c>
      <c r="K4436" s="15" t="s">
        <v>23</v>
      </c>
    </row>
    <row r="4437" spans="1:11" ht="42" customHeight="1">
      <c r="A4437" s="4" t="s">
        <v>10332</v>
      </c>
      <c r="B4437" s="5" t="s">
        <v>10333</v>
      </c>
      <c r="C4437" s="5" t="s">
        <v>41</v>
      </c>
      <c r="D4437" s="5" t="s">
        <v>42</v>
      </c>
      <c r="E4437" s="5" t="s">
        <v>1108</v>
      </c>
      <c r="F4437" s="9">
        <v>30</v>
      </c>
      <c r="G4437" s="9">
        <v>305</v>
      </c>
      <c r="H4437" s="5" t="s">
        <v>21</v>
      </c>
      <c r="I4437" s="5" t="s">
        <v>10337</v>
      </c>
      <c r="J4437" s="12" t="str">
        <f>HYPERLINK("https://www.boe.es/gazeta/dias/1800/04/15/pdfs/GMD-1800-30.pdf#page=5","Abrir facsímil")</f>
        <v>Abrir facsímil</v>
      </c>
      <c r="K4437" s="15" t="s">
        <v>23</v>
      </c>
    </row>
    <row r="4438" spans="1:11" ht="42" customHeight="1">
      <c r="A4438" s="4" t="s">
        <v>10332</v>
      </c>
      <c r="B4438" s="5" t="s">
        <v>10333</v>
      </c>
      <c r="C4438" s="5" t="s">
        <v>41</v>
      </c>
      <c r="D4438" s="5" t="s">
        <v>42</v>
      </c>
      <c r="E4438" s="5" t="s">
        <v>248</v>
      </c>
      <c r="F4438" s="9">
        <v>33</v>
      </c>
      <c r="G4438" s="9">
        <v>330</v>
      </c>
      <c r="H4438" s="5" t="s">
        <v>21</v>
      </c>
      <c r="I4438" s="5" t="s">
        <v>10338</v>
      </c>
      <c r="J4438" s="12" t="str">
        <f>HYPERLINK("https://www.boe.es/gazeta/dias/1800/04/25/pdfs/GMD-1800-33.pdf#page=6","Abrir facsímil")</f>
        <v>Abrir facsímil</v>
      </c>
      <c r="K4438" s="15" t="s">
        <v>23</v>
      </c>
    </row>
    <row r="4439" spans="1:11" ht="42" customHeight="1">
      <c r="A4439" s="4" t="s">
        <v>10332</v>
      </c>
      <c r="B4439" s="5" t="s">
        <v>10333</v>
      </c>
      <c r="C4439" s="5" t="s">
        <v>41</v>
      </c>
      <c r="D4439" s="5" t="s">
        <v>42</v>
      </c>
      <c r="E4439" s="5" t="s">
        <v>39</v>
      </c>
      <c r="F4439" s="9">
        <v>43</v>
      </c>
      <c r="G4439" s="9">
        <v>447</v>
      </c>
      <c r="H4439" s="5" t="s">
        <v>21</v>
      </c>
      <c r="I4439" s="5" t="s">
        <v>10339</v>
      </c>
      <c r="J4439" s="12" t="str">
        <f>HYPERLINK("https://www.boe.es/gazeta/dias/1800/05/30/pdfs/GMD-1800-43.pdf#page=7","Abrir facsímil")</f>
        <v>Abrir facsímil</v>
      </c>
      <c r="K4439" s="15" t="s">
        <v>23</v>
      </c>
    </row>
    <row r="4440" spans="1:11" ht="42" customHeight="1">
      <c r="A4440" s="4" t="s">
        <v>10332</v>
      </c>
      <c r="B4440" s="5" t="s">
        <v>10333</v>
      </c>
      <c r="C4440" s="5" t="s">
        <v>41</v>
      </c>
      <c r="D4440" s="5" t="s">
        <v>42</v>
      </c>
      <c r="E4440" s="5" t="s">
        <v>600</v>
      </c>
      <c r="F4440" s="9">
        <v>45</v>
      </c>
      <c r="G4440" s="9">
        <v>467</v>
      </c>
      <c r="H4440" s="5" t="s">
        <v>21</v>
      </c>
      <c r="I4440" s="5" t="s">
        <v>10340</v>
      </c>
      <c r="J4440" s="12" t="str">
        <f>HYPERLINK("https://www.boe.es/gazeta/dias/1800/06/06/pdfs/GMD-1800-45.pdf#page=3","Abrir facsímil")</f>
        <v>Abrir facsímil</v>
      </c>
      <c r="K4440" s="15" t="s">
        <v>23</v>
      </c>
    </row>
    <row r="4441" spans="1:11" ht="42" customHeight="1">
      <c r="A4441" s="4" t="s">
        <v>10341</v>
      </c>
      <c r="B4441" s="5" t="s">
        <v>10342</v>
      </c>
      <c r="C4441" s="5" t="s">
        <v>54</v>
      </c>
      <c r="D4441" s="5" t="s">
        <v>55</v>
      </c>
      <c r="E4441" s="5" t="s">
        <v>600</v>
      </c>
      <c r="F4441" s="9">
        <v>45</v>
      </c>
      <c r="G4441" s="9">
        <v>469</v>
      </c>
      <c r="H4441" s="5" t="s">
        <v>21</v>
      </c>
      <c r="I4441" s="5" t="s">
        <v>10343</v>
      </c>
      <c r="J4441" s="12" t="str">
        <f>HYPERLINK("https://www.boe.es/gazeta/dias/1800/06/06/pdfs/GMD-1800-45.pdf#page=5","Abrir facsímil")</f>
        <v>Abrir facsímil</v>
      </c>
      <c r="K4441" s="15" t="s">
        <v>23</v>
      </c>
    </row>
    <row r="4442" spans="1:11" ht="42" customHeight="1">
      <c r="A4442" s="4" t="s">
        <v>10332</v>
      </c>
      <c r="B4442" s="5" t="s">
        <v>10333</v>
      </c>
      <c r="C4442" s="5" t="s">
        <v>41</v>
      </c>
      <c r="D4442" s="5" t="s">
        <v>42</v>
      </c>
      <c r="E4442" s="5" t="s">
        <v>43</v>
      </c>
      <c r="F4442" s="9">
        <v>46</v>
      </c>
      <c r="G4442" s="9">
        <v>482</v>
      </c>
      <c r="H4442" s="5" t="s">
        <v>21</v>
      </c>
      <c r="I4442" s="5" t="s">
        <v>10344</v>
      </c>
      <c r="J4442" s="12" t="str">
        <f>HYPERLINK("https://www.boe.es/gazeta/dias/1800/06/10/pdfs/GMD-1800-46.pdf#page=6","Abrir facsímil")</f>
        <v>Abrir facsímil</v>
      </c>
      <c r="K4442" s="15" t="s">
        <v>23</v>
      </c>
    </row>
    <row r="4443" spans="1:11" ht="42" customHeight="1">
      <c r="A4443" s="4" t="s">
        <v>10332</v>
      </c>
      <c r="B4443" s="5" t="s">
        <v>10333</v>
      </c>
      <c r="C4443" s="5" t="s">
        <v>41</v>
      </c>
      <c r="D4443" s="5" t="s">
        <v>42</v>
      </c>
      <c r="E4443" s="5" t="s">
        <v>45</v>
      </c>
      <c r="F4443" s="9">
        <v>47</v>
      </c>
      <c r="G4443" s="9">
        <v>497</v>
      </c>
      <c r="H4443" s="5" t="s">
        <v>21</v>
      </c>
      <c r="I4443" s="5" t="s">
        <v>10345</v>
      </c>
      <c r="J4443" s="12" t="str">
        <f>HYPERLINK("https://www.boe.es/gazeta/dias/1800/06/13/pdfs/GMD-1800-47.pdf#page=5","Abrir facsímil")</f>
        <v>Abrir facsímil</v>
      </c>
      <c r="K4443" s="15" t="s">
        <v>23</v>
      </c>
    </row>
    <row r="4444" spans="1:11" ht="42" customHeight="1">
      <c r="A4444" s="4" t="s">
        <v>10332</v>
      </c>
      <c r="B4444" s="5" t="s">
        <v>10333</v>
      </c>
      <c r="C4444" s="5" t="s">
        <v>41</v>
      </c>
      <c r="D4444" s="5" t="s">
        <v>42</v>
      </c>
      <c r="E4444" s="5" t="s">
        <v>45</v>
      </c>
      <c r="F4444" s="9">
        <v>47</v>
      </c>
      <c r="G4444" s="9">
        <v>498</v>
      </c>
      <c r="H4444" s="5" t="s">
        <v>21</v>
      </c>
      <c r="I4444" s="5" t="s">
        <v>10346</v>
      </c>
      <c r="J4444" s="12" t="str">
        <f>HYPERLINK("https://www.boe.es/gazeta/dias/1800/06/13/pdfs/GMD-1800-47.pdf#page=6","Abrir facsímil")</f>
        <v>Abrir facsímil</v>
      </c>
      <c r="K4444" s="15" t="s">
        <v>23</v>
      </c>
    </row>
    <row r="4445" spans="1:11" ht="42" customHeight="1">
      <c r="A4445" s="4" t="s">
        <v>10332</v>
      </c>
      <c r="B4445" s="5" t="s">
        <v>10333</v>
      </c>
      <c r="C4445" s="5" t="s">
        <v>41</v>
      </c>
      <c r="D4445" s="5" t="s">
        <v>42</v>
      </c>
      <c r="E4445" s="5" t="s">
        <v>465</v>
      </c>
      <c r="F4445" s="9">
        <v>49</v>
      </c>
      <c r="G4445" s="9">
        <v>528</v>
      </c>
      <c r="H4445" s="5" t="s">
        <v>21</v>
      </c>
      <c r="I4445" s="5" t="s">
        <v>10347</v>
      </c>
      <c r="J4445" s="12" t="str">
        <f>HYPERLINK("https://www.boe.es/gazeta/dias/1800/06/20/pdfs/GMD-1800-49.pdf#page=4","Abrir facsímil")</f>
        <v>Abrir facsímil</v>
      </c>
      <c r="K4445" s="15" t="s">
        <v>23</v>
      </c>
    </row>
    <row r="4446" spans="1:11" ht="42" customHeight="1">
      <c r="A4446" s="4" t="s">
        <v>10332</v>
      </c>
      <c r="B4446" s="5" t="s">
        <v>10333</v>
      </c>
      <c r="C4446" s="5" t="s">
        <v>41</v>
      </c>
      <c r="D4446" s="5" t="s">
        <v>42</v>
      </c>
      <c r="E4446" s="5" t="s">
        <v>823</v>
      </c>
      <c r="F4446" s="9">
        <v>50</v>
      </c>
      <c r="G4446" s="9">
        <v>541</v>
      </c>
      <c r="H4446" s="5" t="s">
        <v>21</v>
      </c>
      <c r="I4446" s="5" t="s">
        <v>10348</v>
      </c>
      <c r="J4446" s="12" t="str">
        <f>HYPERLINK("https://www.boe.es/gazeta/dias/1800/06/24/pdfs/GMD-1800-50.pdf#page=5","Abrir facsímil")</f>
        <v>Abrir facsímil</v>
      </c>
      <c r="K4446" s="15" t="s">
        <v>23</v>
      </c>
    </row>
    <row r="4447" spans="1:11" ht="42" customHeight="1">
      <c r="A4447" s="4" t="s">
        <v>10332</v>
      </c>
      <c r="B4447" s="5" t="s">
        <v>10333</v>
      </c>
      <c r="C4447" s="5" t="s">
        <v>41</v>
      </c>
      <c r="D4447" s="5" t="s">
        <v>42</v>
      </c>
      <c r="E4447" s="5" t="s">
        <v>825</v>
      </c>
      <c r="F4447" s="9">
        <v>51</v>
      </c>
      <c r="G4447" s="9">
        <v>559</v>
      </c>
      <c r="H4447" s="5" t="s">
        <v>21</v>
      </c>
      <c r="I4447" s="5" t="s">
        <v>10349</v>
      </c>
      <c r="J4447" s="12" t="str">
        <f>HYPERLINK("https://www.boe.es/gazeta/dias/1800/06/27/pdfs/GMD-1800-51.pdf#page=11","Abrir facsímil")</f>
        <v>Abrir facsímil</v>
      </c>
      <c r="K4447" s="15" t="s">
        <v>23</v>
      </c>
    </row>
    <row r="4448" spans="1:11" ht="42" customHeight="1">
      <c r="A4448" s="4" t="s">
        <v>10332</v>
      </c>
      <c r="B4448" s="5" t="s">
        <v>10333</v>
      </c>
      <c r="C4448" s="5" t="s">
        <v>41</v>
      </c>
      <c r="D4448" s="5" t="s">
        <v>42</v>
      </c>
      <c r="E4448" s="5" t="s">
        <v>120</v>
      </c>
      <c r="F4448" s="9">
        <v>52</v>
      </c>
      <c r="G4448" s="9">
        <v>566</v>
      </c>
      <c r="H4448" s="5" t="s">
        <v>21</v>
      </c>
      <c r="I4448" s="5" t="s">
        <v>10350</v>
      </c>
      <c r="J4448" s="12" t="str">
        <f>HYPERLINK("https://www.boe.es/gazeta/dias/1800/07/01/pdfs/GMD-1800-52.pdf#page=2","Abrir facsímil")</f>
        <v>Abrir facsímil</v>
      </c>
      <c r="K4448" s="15" t="s">
        <v>23</v>
      </c>
    </row>
    <row r="4449" spans="1:11" ht="42" customHeight="1">
      <c r="A4449" s="4" t="s">
        <v>10332</v>
      </c>
      <c r="B4449" s="5" t="s">
        <v>10333</v>
      </c>
      <c r="C4449" s="5" t="s">
        <v>41</v>
      </c>
      <c r="D4449" s="5" t="s">
        <v>42</v>
      </c>
      <c r="E4449" s="5" t="s">
        <v>120</v>
      </c>
      <c r="F4449" s="9">
        <v>52</v>
      </c>
      <c r="G4449" s="9">
        <v>568</v>
      </c>
      <c r="H4449" s="5" t="s">
        <v>21</v>
      </c>
      <c r="I4449" s="5" t="s">
        <v>10351</v>
      </c>
      <c r="J4449" s="12" t="str">
        <f>HYPERLINK("https://www.boe.es/gazeta/dias/1800/07/01/pdfs/GMD-1800-52.pdf#page=4","Abrir facsímil")</f>
        <v>Abrir facsímil</v>
      </c>
      <c r="K4449" s="15" t="s">
        <v>23</v>
      </c>
    </row>
    <row r="4450" spans="1:11" ht="42" customHeight="1">
      <c r="A4450" s="4" t="s">
        <v>10332</v>
      </c>
      <c r="B4450" s="5" t="s">
        <v>10333</v>
      </c>
      <c r="C4450" s="5" t="s">
        <v>41</v>
      </c>
      <c r="D4450" s="5" t="s">
        <v>42</v>
      </c>
      <c r="E4450" s="5" t="s">
        <v>828</v>
      </c>
      <c r="F4450" s="9">
        <v>53</v>
      </c>
      <c r="G4450" s="9">
        <v>584</v>
      </c>
      <c r="H4450" s="5" t="s">
        <v>21</v>
      </c>
      <c r="I4450" s="5" t="s">
        <v>10352</v>
      </c>
      <c r="J4450" s="12" t="str">
        <f>HYPERLINK("https://www.boe.es/gazeta/dias/1800/07/04/pdfs/GMD-1800-53.pdf#page=4","Abrir facsímil")</f>
        <v>Abrir facsímil</v>
      </c>
      <c r="K4450" s="15" t="s">
        <v>23</v>
      </c>
    </row>
    <row r="4451" spans="1:11" ht="42" customHeight="1">
      <c r="A4451" s="4" t="s">
        <v>10332</v>
      </c>
      <c r="B4451" s="5" t="s">
        <v>10333</v>
      </c>
      <c r="C4451" s="5" t="s">
        <v>41</v>
      </c>
      <c r="D4451" s="5" t="s">
        <v>42</v>
      </c>
      <c r="E4451" s="5" t="s">
        <v>64</v>
      </c>
      <c r="F4451" s="9">
        <v>54</v>
      </c>
      <c r="G4451" s="9">
        <v>598</v>
      </c>
      <c r="H4451" s="5" t="s">
        <v>21</v>
      </c>
      <c r="I4451" s="5" t="s">
        <v>10353</v>
      </c>
      <c r="J4451" s="12" t="str">
        <f>HYPERLINK("https://www.boe.es/gazeta/dias/1800/07/08/pdfs/GMD-1800-54.pdf#page=2","Abrir facsímil")</f>
        <v>Abrir facsímil</v>
      </c>
      <c r="K4451" s="15" t="s">
        <v>23</v>
      </c>
    </row>
    <row r="4452" spans="1:11" ht="42" customHeight="1">
      <c r="A4452" s="4" t="s">
        <v>10332</v>
      </c>
      <c r="B4452" s="5" t="s">
        <v>10333</v>
      </c>
      <c r="C4452" s="5" t="s">
        <v>41</v>
      </c>
      <c r="D4452" s="5" t="s">
        <v>42</v>
      </c>
      <c r="E4452" s="5" t="s">
        <v>64</v>
      </c>
      <c r="F4452" s="9">
        <v>54</v>
      </c>
      <c r="G4452" s="9">
        <v>603</v>
      </c>
      <c r="H4452" s="5" t="s">
        <v>21</v>
      </c>
      <c r="I4452" s="5" t="s">
        <v>10354</v>
      </c>
      <c r="J4452" s="12" t="str">
        <f>HYPERLINK("https://www.boe.es/gazeta/dias/1800/07/08/pdfs/GMD-1800-54.pdf#page=7","Abrir facsímil")</f>
        <v>Abrir facsímil</v>
      </c>
      <c r="K4452" s="15" t="s">
        <v>23</v>
      </c>
    </row>
    <row r="4453" spans="1:11" ht="42" customHeight="1">
      <c r="A4453" s="4" t="s">
        <v>10332</v>
      </c>
      <c r="B4453" s="5" t="s">
        <v>10333</v>
      </c>
      <c r="C4453" s="5" t="s">
        <v>41</v>
      </c>
      <c r="D4453" s="5" t="s">
        <v>42</v>
      </c>
      <c r="E4453" s="5" t="s">
        <v>310</v>
      </c>
      <c r="F4453" s="9">
        <v>56</v>
      </c>
      <c r="G4453" s="9">
        <v>627</v>
      </c>
      <c r="H4453" s="5" t="s">
        <v>21</v>
      </c>
      <c r="I4453" s="5" t="s">
        <v>10355</v>
      </c>
      <c r="J4453" s="12" t="str">
        <f>HYPERLINK("https://www.boe.es/gazeta/dias/1800/07/15/pdfs/GMD-1800-56.pdf#page=3","Abrir facsímil")</f>
        <v>Abrir facsímil</v>
      </c>
      <c r="K4453" s="15" t="s">
        <v>23</v>
      </c>
    </row>
    <row r="4454" spans="1:11" ht="42" customHeight="1">
      <c r="A4454" s="4" t="s">
        <v>10332</v>
      </c>
      <c r="B4454" s="5" t="s">
        <v>10333</v>
      </c>
      <c r="C4454" s="5" t="s">
        <v>84</v>
      </c>
      <c r="D4454" s="5" t="s">
        <v>85</v>
      </c>
      <c r="E4454" s="5" t="s">
        <v>90</v>
      </c>
      <c r="F4454" s="9">
        <v>58</v>
      </c>
      <c r="G4454" s="9">
        <v>658</v>
      </c>
      <c r="H4454" s="5" t="s">
        <v>21</v>
      </c>
      <c r="I4454" s="5" t="s">
        <v>10356</v>
      </c>
      <c r="J4454" s="12" t="str">
        <f>HYPERLINK("https://www.boe.es/gazeta/dias/1800/07/22/pdfs/GMD-1800-58.pdf#page=6","Abrir facsímil")</f>
        <v>Abrir facsímil</v>
      </c>
      <c r="K4454" s="15" t="s">
        <v>23</v>
      </c>
    </row>
    <row r="4455" spans="1:11" ht="42" customHeight="1">
      <c r="A4455" s="4" t="s">
        <v>10332</v>
      </c>
      <c r="B4455" s="5" t="s">
        <v>10333</v>
      </c>
      <c r="C4455" s="5" t="s">
        <v>41</v>
      </c>
      <c r="D4455" s="5" t="s">
        <v>42</v>
      </c>
      <c r="E4455" s="5" t="s">
        <v>90</v>
      </c>
      <c r="F4455" s="9">
        <v>58</v>
      </c>
      <c r="G4455" s="9">
        <v>660</v>
      </c>
      <c r="H4455" s="5" t="s">
        <v>21</v>
      </c>
      <c r="I4455" s="5" t="s">
        <v>10357</v>
      </c>
      <c r="J4455" s="12" t="str">
        <f>HYPERLINK("https://www.boe.es/gazeta/dias/1800/07/22/pdfs/GMD-1800-58.pdf#page=8","Abrir facsímil")</f>
        <v>Abrir facsímil</v>
      </c>
      <c r="K4455" s="15" t="s">
        <v>23</v>
      </c>
    </row>
    <row r="4456" spans="1:11" ht="42" customHeight="1">
      <c r="A4456" s="4" t="s">
        <v>10332</v>
      </c>
      <c r="B4456" s="5" t="s">
        <v>10333</v>
      </c>
      <c r="C4456" s="5" t="s">
        <v>41</v>
      </c>
      <c r="D4456" s="5" t="s">
        <v>42</v>
      </c>
      <c r="E4456" s="5" t="s">
        <v>275</v>
      </c>
      <c r="F4456" s="9">
        <v>60</v>
      </c>
      <c r="G4456" s="9">
        <v>685</v>
      </c>
      <c r="H4456" s="5" t="s">
        <v>21</v>
      </c>
      <c r="I4456" s="5" t="s">
        <v>10358</v>
      </c>
      <c r="J4456" s="12" t="str">
        <f>HYPERLINK("https://www.boe.es/gazeta/dias/1800/07/29/pdfs/GMD-1800-60.pdf#page=5","Abrir facsímil")</f>
        <v>Abrir facsímil</v>
      </c>
      <c r="K4456" s="15" t="s">
        <v>23</v>
      </c>
    </row>
    <row r="4457" spans="1:11" ht="42" customHeight="1">
      <c r="A4457" s="4" t="s">
        <v>10332</v>
      </c>
      <c r="B4457" s="5" t="s">
        <v>10333</v>
      </c>
      <c r="C4457" s="5" t="s">
        <v>18</v>
      </c>
      <c r="D4457" s="5" t="s">
        <v>19</v>
      </c>
      <c r="E4457" s="5" t="s">
        <v>154</v>
      </c>
      <c r="F4457" s="9">
        <v>61</v>
      </c>
      <c r="G4457" s="9">
        <v>694</v>
      </c>
      <c r="H4457" s="5" t="s">
        <v>21</v>
      </c>
      <c r="I4457" s="5" t="s">
        <v>10359</v>
      </c>
      <c r="J4457" s="12" t="str">
        <f>HYPERLINK("https://www.boe.es/gazeta/dias/1800/08/01/pdfs/GMD-1800-61.pdf#page=6","Abrir facsímil")</f>
        <v>Abrir facsímil</v>
      </c>
      <c r="K4457" s="15" t="s">
        <v>23</v>
      </c>
    </row>
    <row r="4458" spans="1:11" ht="42" customHeight="1">
      <c r="A4458" s="4" t="s">
        <v>10332</v>
      </c>
      <c r="B4458" s="5" t="s">
        <v>10333</v>
      </c>
      <c r="C4458" s="5" t="s">
        <v>54</v>
      </c>
      <c r="D4458" s="5" t="s">
        <v>55</v>
      </c>
      <c r="E4458" s="5" t="s">
        <v>319</v>
      </c>
      <c r="F4458" s="9">
        <v>62</v>
      </c>
      <c r="G4458" s="9">
        <v>705</v>
      </c>
      <c r="H4458" s="5" t="s">
        <v>21</v>
      </c>
      <c r="I4458" s="5" t="s">
        <v>10360</v>
      </c>
      <c r="J4458" s="12" t="str">
        <f>HYPERLINK("https://www.boe.es/gazeta/dias/1800/08/05/pdfs/GMD-1800-62.pdf#page=5","Abrir facsímil")</f>
        <v>Abrir facsímil</v>
      </c>
      <c r="K4458" s="15" t="s">
        <v>23</v>
      </c>
    </row>
    <row r="4459" spans="1:11" ht="42" customHeight="1">
      <c r="A4459" s="4" t="s">
        <v>10332</v>
      </c>
      <c r="B4459" s="5" t="s">
        <v>10333</v>
      </c>
      <c r="C4459" s="5" t="s">
        <v>41</v>
      </c>
      <c r="D4459" s="5" t="s">
        <v>42</v>
      </c>
      <c r="E4459" s="5" t="s">
        <v>319</v>
      </c>
      <c r="F4459" s="9">
        <v>62</v>
      </c>
      <c r="G4459" s="9">
        <v>706</v>
      </c>
      <c r="H4459" s="5" t="s">
        <v>21</v>
      </c>
      <c r="I4459" s="5" t="s">
        <v>10361</v>
      </c>
      <c r="J4459" s="12" t="str">
        <f>HYPERLINK("https://www.boe.es/gazeta/dias/1800/08/05/pdfs/GMD-1800-62.pdf#page=6","Abrir facsímil")</f>
        <v>Abrir facsímil</v>
      </c>
      <c r="K4459" s="15" t="s">
        <v>23</v>
      </c>
    </row>
    <row r="4460" spans="1:11" ht="42" customHeight="1">
      <c r="A4460" s="4" t="s">
        <v>10332</v>
      </c>
      <c r="B4460" s="5" t="s">
        <v>10333</v>
      </c>
      <c r="C4460" s="5" t="s">
        <v>41</v>
      </c>
      <c r="D4460" s="5" t="s">
        <v>42</v>
      </c>
      <c r="E4460" s="5" t="s">
        <v>454</v>
      </c>
      <c r="F4460" s="9">
        <v>63</v>
      </c>
      <c r="G4460" s="9">
        <v>717</v>
      </c>
      <c r="H4460" s="5" t="s">
        <v>21</v>
      </c>
      <c r="I4460" s="5" t="s">
        <v>10362</v>
      </c>
      <c r="J4460" s="12" t="str">
        <f>HYPERLINK("https://www.boe.es/gazeta/dias/1800/08/08/pdfs/GMD-1800-63.pdf#page=5","Abrir facsímil")</f>
        <v>Abrir facsímil</v>
      </c>
      <c r="K4460" s="15" t="s">
        <v>23</v>
      </c>
    </row>
    <row r="4461" spans="1:11" ht="42" customHeight="1">
      <c r="A4461" s="4" t="s">
        <v>10341</v>
      </c>
      <c r="B4461" s="5" t="s">
        <v>10342</v>
      </c>
      <c r="C4461" s="5" t="s">
        <v>54</v>
      </c>
      <c r="D4461" s="5" t="s">
        <v>55</v>
      </c>
      <c r="E4461" s="5" t="s">
        <v>454</v>
      </c>
      <c r="F4461" s="9">
        <v>63</v>
      </c>
      <c r="G4461" s="9">
        <v>718</v>
      </c>
      <c r="H4461" s="5" t="s">
        <v>21</v>
      </c>
      <c r="I4461" s="5" t="s">
        <v>10363</v>
      </c>
      <c r="J4461" s="12" t="str">
        <f>HYPERLINK("https://www.boe.es/gazeta/dias/1800/08/08/pdfs/GMD-1800-63.pdf#page=6","Abrir facsímil")</f>
        <v>Abrir facsímil</v>
      </c>
      <c r="K4461" s="15" t="s">
        <v>23</v>
      </c>
    </row>
    <row r="4462" spans="1:11" ht="42" customHeight="1">
      <c r="A4462" s="4" t="s">
        <v>10332</v>
      </c>
      <c r="B4462" s="5" t="s">
        <v>10333</v>
      </c>
      <c r="C4462" s="5" t="s">
        <v>41</v>
      </c>
      <c r="D4462" s="5" t="s">
        <v>42</v>
      </c>
      <c r="E4462" s="5" t="s">
        <v>75</v>
      </c>
      <c r="F4462" s="9">
        <v>64</v>
      </c>
      <c r="G4462" s="9">
        <v>730</v>
      </c>
      <c r="H4462" s="5" t="s">
        <v>21</v>
      </c>
      <c r="I4462" s="5" t="s">
        <v>10364</v>
      </c>
      <c r="J4462" s="12" t="str">
        <f>HYPERLINK("https://www.boe.es/gazeta/dias/1800/08/12/pdfs/GMD-1800-64.pdf#page=6","Abrir facsímil")</f>
        <v>Abrir facsímil</v>
      </c>
      <c r="K4462" s="15" t="s">
        <v>23</v>
      </c>
    </row>
    <row r="4463" spans="1:11" ht="42" customHeight="1">
      <c r="A4463" s="4" t="s">
        <v>10332</v>
      </c>
      <c r="B4463" s="5" t="s">
        <v>10333</v>
      </c>
      <c r="C4463" s="5" t="s">
        <v>41</v>
      </c>
      <c r="D4463" s="5" t="s">
        <v>42</v>
      </c>
      <c r="E4463" s="5" t="s">
        <v>27</v>
      </c>
      <c r="F4463" s="9">
        <v>65</v>
      </c>
      <c r="G4463" s="9">
        <v>728</v>
      </c>
      <c r="H4463" s="5" t="s">
        <v>21</v>
      </c>
      <c r="I4463" s="5" t="s">
        <v>10365</v>
      </c>
      <c r="J4463" s="12" t="str">
        <f>HYPERLINK("https://www.boe.es/gazeta/dias/1800/08/15/pdfs/GMD-1800-65.pdf#page=4","Abrir facsímil")</f>
        <v>Abrir facsímil</v>
      </c>
      <c r="K4463" s="15" t="s">
        <v>23</v>
      </c>
    </row>
    <row r="4464" spans="1:11" ht="42" customHeight="1">
      <c r="A4464" s="4" t="s">
        <v>10332</v>
      </c>
      <c r="B4464" s="5" t="s">
        <v>10333</v>
      </c>
      <c r="C4464" s="5" t="s">
        <v>41</v>
      </c>
      <c r="D4464" s="5" t="s">
        <v>42</v>
      </c>
      <c r="E4464" s="5" t="s">
        <v>27</v>
      </c>
      <c r="F4464" s="9">
        <v>65</v>
      </c>
      <c r="G4464" s="9">
        <v>729</v>
      </c>
      <c r="H4464" s="5" t="s">
        <v>21</v>
      </c>
      <c r="I4464" s="5" t="s">
        <v>10366</v>
      </c>
      <c r="J4464" s="12" t="str">
        <f>HYPERLINK("https://www.boe.es/gazeta/dias/1800/08/15/pdfs/GMD-1800-65.pdf#page=5","Abrir facsímil")</f>
        <v>Abrir facsímil</v>
      </c>
      <c r="K4464" s="15" t="s">
        <v>23</v>
      </c>
    </row>
    <row r="4465" spans="1:11" ht="42" customHeight="1">
      <c r="A4465" s="4" t="s">
        <v>10332</v>
      </c>
      <c r="B4465" s="5" t="s">
        <v>10333</v>
      </c>
      <c r="C4465" s="5" t="s">
        <v>84</v>
      </c>
      <c r="D4465" s="5" t="s">
        <v>85</v>
      </c>
      <c r="E4465" s="5" t="s">
        <v>48</v>
      </c>
      <c r="F4465" s="9">
        <v>66</v>
      </c>
      <c r="G4465" s="9">
        <v>741</v>
      </c>
      <c r="H4465" s="5" t="s">
        <v>21</v>
      </c>
      <c r="I4465" s="5" t="s">
        <v>10367</v>
      </c>
      <c r="J4465" s="12" t="str">
        <f>HYPERLINK("https://www.boe.es/gazeta/dias/1800/08/19/pdfs/GMD-1800-66.pdf#page=5","Abrir facsímil")</f>
        <v>Abrir facsímil</v>
      </c>
      <c r="K4465" s="15" t="s">
        <v>23</v>
      </c>
    </row>
    <row r="4466" spans="1:11" ht="42" customHeight="1">
      <c r="A4466" s="4" t="s">
        <v>10332</v>
      </c>
      <c r="B4466" s="5" t="s">
        <v>10333</v>
      </c>
      <c r="C4466" s="5" t="s">
        <v>41</v>
      </c>
      <c r="D4466" s="5" t="s">
        <v>42</v>
      </c>
      <c r="E4466" s="5" t="s">
        <v>836</v>
      </c>
      <c r="F4466" s="9">
        <v>71</v>
      </c>
      <c r="G4466" s="9">
        <v>787</v>
      </c>
      <c r="H4466" s="5" t="s">
        <v>21</v>
      </c>
      <c r="I4466" s="5" t="s">
        <v>10368</v>
      </c>
      <c r="J4466" s="12" t="str">
        <f>HYPERLINK("https://www.boe.es/gazeta/dias/1800/09/02/pdfs/GMD-1800-71.pdf#page=5","Abrir facsímil")</f>
        <v>Abrir facsímil</v>
      </c>
      <c r="K4466" s="15" t="s">
        <v>23</v>
      </c>
    </row>
    <row r="4467" spans="1:11" ht="42" customHeight="1">
      <c r="A4467" s="4" t="s">
        <v>10332</v>
      </c>
      <c r="B4467" s="5" t="s">
        <v>10333</v>
      </c>
      <c r="C4467" s="5" t="s">
        <v>41</v>
      </c>
      <c r="D4467" s="5" t="s">
        <v>42</v>
      </c>
      <c r="E4467" s="5" t="s">
        <v>836</v>
      </c>
      <c r="F4467" s="9">
        <v>71</v>
      </c>
      <c r="G4467" s="9">
        <v>788</v>
      </c>
      <c r="H4467" s="5" t="s">
        <v>21</v>
      </c>
      <c r="I4467" s="5" t="s">
        <v>10369</v>
      </c>
      <c r="J4467" s="12" t="str">
        <f>HYPERLINK("https://www.boe.es/gazeta/dias/1800/09/02/pdfs/GMD-1800-71.pdf#page=6","Abrir facsímil")</f>
        <v>Abrir facsímil</v>
      </c>
      <c r="K4467" s="15" t="s">
        <v>23</v>
      </c>
    </row>
    <row r="4468" spans="1:11" ht="42" customHeight="1">
      <c r="A4468" s="4" t="s">
        <v>10332</v>
      </c>
      <c r="B4468" s="5" t="s">
        <v>10333</v>
      </c>
      <c r="C4468" s="5" t="s">
        <v>41</v>
      </c>
      <c r="D4468" s="5" t="s">
        <v>42</v>
      </c>
      <c r="E4468" s="5" t="s">
        <v>595</v>
      </c>
      <c r="F4468" s="9">
        <v>72</v>
      </c>
      <c r="G4468" s="9">
        <v>793</v>
      </c>
      <c r="H4468" s="5" t="s">
        <v>21</v>
      </c>
      <c r="I4468" s="5" t="s">
        <v>10370</v>
      </c>
      <c r="J4468" s="12" t="str">
        <f>HYPERLINK("https://www.boe.es/gazeta/dias/1800/09/05/pdfs/GMD-1800-72.pdf#page=3","Abrir facsímil")</f>
        <v>Abrir facsímil</v>
      </c>
      <c r="K4468" s="15" t="s">
        <v>23</v>
      </c>
    </row>
    <row r="4469" spans="1:11" ht="42" customHeight="1">
      <c r="A4469" s="4" t="s">
        <v>10332</v>
      </c>
      <c r="B4469" s="5" t="s">
        <v>10333</v>
      </c>
      <c r="C4469" s="5" t="s">
        <v>41</v>
      </c>
      <c r="D4469" s="5" t="s">
        <v>42</v>
      </c>
      <c r="E4469" s="5" t="s">
        <v>583</v>
      </c>
      <c r="F4469" s="9">
        <v>77</v>
      </c>
      <c r="G4469" s="9">
        <v>874</v>
      </c>
      <c r="H4469" s="5" t="s">
        <v>21</v>
      </c>
      <c r="I4469" s="5" t="s">
        <v>10371</v>
      </c>
      <c r="J4469" s="12" t="str">
        <f>HYPERLINK("https://www.boe.es/gazeta/dias/1800/09/23/pdfs/GMD-1800-77.pdf#page=4","Abrir facsímil")</f>
        <v>Abrir facsímil</v>
      </c>
      <c r="K4469" s="15" t="s">
        <v>23</v>
      </c>
    </row>
    <row r="4470" spans="1:11" ht="42" customHeight="1">
      <c r="A4470" s="4" t="s">
        <v>10332</v>
      </c>
      <c r="B4470" s="5" t="s">
        <v>10333</v>
      </c>
      <c r="C4470" s="5" t="s">
        <v>41</v>
      </c>
      <c r="D4470" s="5" t="s">
        <v>42</v>
      </c>
      <c r="E4470" s="5" t="s">
        <v>843</v>
      </c>
      <c r="F4470" s="9">
        <v>78</v>
      </c>
      <c r="G4470" s="9">
        <v>886</v>
      </c>
      <c r="H4470" s="5" t="s">
        <v>21</v>
      </c>
      <c r="I4470" s="5" t="s">
        <v>10372</v>
      </c>
      <c r="J4470" s="12" t="str">
        <f>HYPERLINK("https://www.boe.es/gazeta/dias/1800/09/26/pdfs/GMD-1800-78.pdf#page=4","Abrir facsímil")</f>
        <v>Abrir facsímil</v>
      </c>
      <c r="K4470" s="15" t="s">
        <v>23</v>
      </c>
    </row>
    <row r="4471" spans="1:11" ht="42" customHeight="1">
      <c r="A4471" s="4" t="s">
        <v>10332</v>
      </c>
      <c r="B4471" s="5" t="s">
        <v>10333</v>
      </c>
      <c r="C4471" s="5" t="s">
        <v>41</v>
      </c>
      <c r="D4471" s="5" t="s">
        <v>42</v>
      </c>
      <c r="E4471" s="5" t="s">
        <v>52</v>
      </c>
      <c r="F4471" s="9">
        <v>83</v>
      </c>
      <c r="G4471" s="9">
        <v>958</v>
      </c>
      <c r="H4471" s="5" t="s">
        <v>21</v>
      </c>
      <c r="I4471" s="5" t="s">
        <v>10373</v>
      </c>
      <c r="J4471" s="12" t="str">
        <f>HYPERLINK("https://www.boe.es/gazeta/dias/1800/10/14/pdfs/GMD-1800-83.pdf#page=4","Abrir facsímil")</f>
        <v>Abrir facsímil</v>
      </c>
      <c r="K4471" s="15" t="s">
        <v>23</v>
      </c>
    </row>
    <row r="4472" spans="1:11" ht="42" customHeight="1">
      <c r="A4472" s="4" t="s">
        <v>10332</v>
      </c>
      <c r="B4472" s="5" t="s">
        <v>10333</v>
      </c>
      <c r="C4472" s="5" t="s">
        <v>18</v>
      </c>
      <c r="D4472" s="5" t="s">
        <v>19</v>
      </c>
      <c r="E4472" s="5" t="s">
        <v>176</v>
      </c>
      <c r="F4472" s="9">
        <v>88</v>
      </c>
      <c r="G4472" s="9">
        <v>1029</v>
      </c>
      <c r="H4472" s="5" t="s">
        <v>21</v>
      </c>
      <c r="I4472" s="5" t="s">
        <v>10374</v>
      </c>
      <c r="J4472" s="12" t="str">
        <f>HYPERLINK("https://www.boe.es/gazeta/dias/1800/10/31/pdfs/GMD-1800-88.pdf#page=11","Abrir facsímil")</f>
        <v>Abrir facsímil</v>
      </c>
      <c r="K4472" s="15" t="s">
        <v>23</v>
      </c>
    </row>
    <row r="4473" spans="1:11" ht="42" customHeight="1">
      <c r="A4473" s="4" t="s">
        <v>10332</v>
      </c>
      <c r="B4473" s="5" t="s">
        <v>10333</v>
      </c>
      <c r="C4473" s="5" t="s">
        <v>41</v>
      </c>
      <c r="D4473" s="5" t="s">
        <v>42</v>
      </c>
      <c r="E4473" s="5" t="s">
        <v>56</v>
      </c>
      <c r="F4473" s="9">
        <v>90</v>
      </c>
      <c r="G4473" s="9">
        <v>1048</v>
      </c>
      <c r="H4473" s="5" t="s">
        <v>21</v>
      </c>
      <c r="I4473" s="5" t="s">
        <v>10375</v>
      </c>
      <c r="J4473" s="12" t="str">
        <f>HYPERLINK("https://www.boe.es/gazeta/dias/1800/11/07/pdfs/GMD-1800-90.pdf#page=2","Abrir facsímil")</f>
        <v>Abrir facsímil</v>
      </c>
      <c r="K4473" s="15" t="s">
        <v>23</v>
      </c>
    </row>
    <row r="4474" spans="1:11" ht="42" customHeight="1">
      <c r="A4474" s="4" t="s">
        <v>10332</v>
      </c>
      <c r="B4474" s="5" t="s">
        <v>10333</v>
      </c>
      <c r="C4474" s="5" t="s">
        <v>41</v>
      </c>
      <c r="D4474" s="5" t="s">
        <v>42</v>
      </c>
      <c r="E4474" s="5" t="s">
        <v>56</v>
      </c>
      <c r="F4474" s="9">
        <v>90</v>
      </c>
      <c r="G4474" s="9">
        <v>1052</v>
      </c>
      <c r="H4474" s="5" t="s">
        <v>21</v>
      </c>
      <c r="I4474" s="5" t="s">
        <v>10376</v>
      </c>
      <c r="J4474" s="12" t="str">
        <f>HYPERLINK("https://www.boe.es/gazeta/dias/1800/11/07/pdfs/GMD-1800-90.pdf#page=6","Abrir facsímil")</f>
        <v>Abrir facsímil</v>
      </c>
      <c r="K4474" s="15" t="s">
        <v>23</v>
      </c>
    </row>
    <row r="4475" spans="1:11" ht="42" customHeight="1">
      <c r="A4475" s="4" t="s">
        <v>10332</v>
      </c>
      <c r="B4475" s="5" t="s">
        <v>10333</v>
      </c>
      <c r="C4475" s="5" t="s">
        <v>18</v>
      </c>
      <c r="D4475" s="5" t="s">
        <v>19</v>
      </c>
      <c r="E4475" s="5" t="s">
        <v>576</v>
      </c>
      <c r="F4475" s="9">
        <v>91</v>
      </c>
      <c r="G4475" s="9">
        <v>1065</v>
      </c>
      <c r="H4475" s="5" t="s">
        <v>21</v>
      </c>
      <c r="I4475" s="5" t="s">
        <v>10377</v>
      </c>
      <c r="J4475" s="12" t="str">
        <f>HYPERLINK("https://www.boe.es/gazeta/dias/1800/11/11/pdfs/GMD-1800-91.pdf#page=7","Abrir facsímil")</f>
        <v>Abrir facsímil</v>
      </c>
      <c r="K4475" s="15" t="s">
        <v>23</v>
      </c>
    </row>
    <row r="4476" spans="1:11" ht="42" customHeight="1">
      <c r="A4476" s="4" t="s">
        <v>10378</v>
      </c>
      <c r="B4476" s="5" t="s">
        <v>10379</v>
      </c>
      <c r="C4476" s="5" t="s">
        <v>18</v>
      </c>
      <c r="D4476" s="5" t="s">
        <v>19</v>
      </c>
      <c r="E4476" s="5" t="s">
        <v>39</v>
      </c>
      <c r="F4476" s="9">
        <v>43</v>
      </c>
      <c r="G4476" s="9">
        <v>446</v>
      </c>
      <c r="H4476" s="5" t="s">
        <v>21</v>
      </c>
      <c r="I4476" s="5" t="s">
        <v>10380</v>
      </c>
      <c r="J4476" s="12" t="str">
        <f>HYPERLINK("https://www.boe.es/gazeta/dias/1800/05/30/pdfs/GMD-1800-43.pdf#page=6","Abrir facsímil")</f>
        <v>Abrir facsímil</v>
      </c>
      <c r="K4476" s="15" t="s">
        <v>23</v>
      </c>
    </row>
    <row r="4477" spans="1:11" ht="42" customHeight="1">
      <c r="A4477" s="4" t="s">
        <v>10378</v>
      </c>
      <c r="B4477" s="5" t="s">
        <v>10379</v>
      </c>
      <c r="C4477" s="5" t="s">
        <v>18</v>
      </c>
      <c r="D4477" s="5" t="s">
        <v>19</v>
      </c>
      <c r="E4477" s="5" t="s">
        <v>406</v>
      </c>
      <c r="F4477" s="9">
        <v>44</v>
      </c>
      <c r="G4477" s="9">
        <v>459</v>
      </c>
      <c r="H4477" s="5" t="s">
        <v>21</v>
      </c>
      <c r="I4477" s="5" t="s">
        <v>10381</v>
      </c>
      <c r="J4477" s="12" t="str">
        <f>HYPERLINK("https://www.boe.es/gazeta/dias/1800/06/03/pdfs/GMD-1800-44.pdf#page=7","Abrir facsímil")</f>
        <v>Abrir facsímil</v>
      </c>
      <c r="K4477" s="15" t="s">
        <v>23</v>
      </c>
    </row>
    <row r="4478" spans="1:11" ht="42" customHeight="1">
      <c r="A4478" s="4" t="s">
        <v>10378</v>
      </c>
      <c r="B4478" s="5" t="s">
        <v>10379</v>
      </c>
      <c r="C4478" s="5" t="s">
        <v>18</v>
      </c>
      <c r="D4478" s="5" t="s">
        <v>19</v>
      </c>
      <c r="E4478" s="5" t="s">
        <v>64</v>
      </c>
      <c r="F4478" s="9">
        <v>54</v>
      </c>
      <c r="G4478" s="9">
        <v>603</v>
      </c>
      <c r="H4478" s="5" t="s">
        <v>21</v>
      </c>
      <c r="I4478" s="5" t="s">
        <v>10382</v>
      </c>
      <c r="J4478" s="12" t="str">
        <f>HYPERLINK("https://www.boe.es/gazeta/dias/1800/07/08/pdfs/GMD-1800-54.pdf#page=7","Abrir facsímil")</f>
        <v>Abrir facsímil</v>
      </c>
      <c r="K4478" s="15" t="s">
        <v>23</v>
      </c>
    </row>
    <row r="4479" spans="1:11" ht="42" customHeight="1">
      <c r="A4479" s="4" t="s">
        <v>10378</v>
      </c>
      <c r="B4479" s="5" t="s">
        <v>10379</v>
      </c>
      <c r="C4479" s="5" t="s">
        <v>18</v>
      </c>
      <c r="D4479" s="5" t="s">
        <v>19</v>
      </c>
      <c r="E4479" s="5" t="s">
        <v>50</v>
      </c>
      <c r="F4479" s="9">
        <v>81</v>
      </c>
      <c r="G4479" s="9">
        <v>915</v>
      </c>
      <c r="H4479" s="5" t="s">
        <v>21</v>
      </c>
      <c r="I4479" s="5" t="s">
        <v>10383</v>
      </c>
      <c r="J4479" s="12" t="str">
        <f>HYPERLINK("https://www.boe.es/gazeta/dias/1800/10/07/pdfs/GMD-1800-81.pdf#page=5","Abrir facsímil")</f>
        <v>Abrir facsímil</v>
      </c>
      <c r="K4479" s="15" t="s">
        <v>23</v>
      </c>
    </row>
    <row r="4480" spans="1:11" ht="42" customHeight="1">
      <c r="A4480" s="4" t="s">
        <v>10384</v>
      </c>
      <c r="B4480" s="5" t="s">
        <v>10385</v>
      </c>
      <c r="C4480" s="5" t="s">
        <v>9860</v>
      </c>
      <c r="D4480" s="5" t="s">
        <v>55</v>
      </c>
      <c r="E4480" s="5" t="s">
        <v>139</v>
      </c>
      <c r="F4480" s="9">
        <v>2</v>
      </c>
      <c r="G4480" s="9">
        <v>20</v>
      </c>
      <c r="H4480" s="5" t="s">
        <v>4432</v>
      </c>
      <c r="I4480" s="5" t="s">
        <v>10386</v>
      </c>
      <c r="J4480" s="12" t="str">
        <f>HYPERLINK("https://www.boe.es/gazeta/dias/1800/01/07/pdfs/GMD-1800-2.pdf#page=12","Abrir facsímil")</f>
        <v>Abrir facsímil</v>
      </c>
      <c r="K4480" s="15" t="s">
        <v>4434</v>
      </c>
    </row>
    <row r="4481" spans="1:11" ht="42" customHeight="1">
      <c r="A4481" s="4" t="s">
        <v>10387</v>
      </c>
      <c r="B4481" s="5" t="s">
        <v>10388</v>
      </c>
      <c r="C4481" s="5" t="s">
        <v>41</v>
      </c>
      <c r="D4481" s="5" t="s">
        <v>42</v>
      </c>
      <c r="E4481" s="5" t="s">
        <v>787</v>
      </c>
      <c r="F4481" s="9">
        <v>6</v>
      </c>
      <c r="G4481" s="9">
        <v>51</v>
      </c>
      <c r="H4481" s="5" t="s">
        <v>21</v>
      </c>
      <c r="I4481" s="5" t="s">
        <v>10389</v>
      </c>
      <c r="J4481" s="12" t="str">
        <f>HYPERLINK("https://www.boe.es/gazeta/dias/1800/01/21/pdfs/GMD-1800-6.pdf#page=3","Abrir facsímil")</f>
        <v>Abrir facsímil</v>
      </c>
      <c r="K4481" s="15" t="s">
        <v>23</v>
      </c>
    </row>
    <row r="4482" spans="1:11" ht="42" customHeight="1">
      <c r="A4482" s="4" t="s">
        <v>10390</v>
      </c>
      <c r="B4482" s="5" t="s">
        <v>10390</v>
      </c>
      <c r="C4482" s="5" t="s">
        <v>41</v>
      </c>
      <c r="D4482" s="5" t="s">
        <v>42</v>
      </c>
      <c r="E4482" s="5" t="s">
        <v>843</v>
      </c>
      <c r="F4482" s="9">
        <v>78</v>
      </c>
      <c r="G4482" s="9">
        <v>888</v>
      </c>
      <c r="H4482" s="5" t="s">
        <v>21</v>
      </c>
      <c r="I4482" s="5" t="s">
        <v>10391</v>
      </c>
      <c r="J4482" s="12" t="str">
        <f>HYPERLINK("https://www.boe.es/gazeta/dias/1800/09/26/pdfs/GMD-1800-78.pdf#page=6","Abrir facsímil")</f>
        <v>Abrir facsímil</v>
      </c>
      <c r="K4482" s="15" t="s">
        <v>23</v>
      </c>
    </row>
    <row r="4483" spans="1:11" ht="42" customHeight="1">
      <c r="A4483" s="4" t="s">
        <v>10392</v>
      </c>
      <c r="B4483" s="5" t="s">
        <v>10393</v>
      </c>
      <c r="C4483" s="5" t="s">
        <v>54</v>
      </c>
      <c r="D4483" s="5" t="s">
        <v>55</v>
      </c>
      <c r="E4483" s="5" t="s">
        <v>828</v>
      </c>
      <c r="F4483" s="9">
        <v>53</v>
      </c>
      <c r="G4483" s="9">
        <v>589</v>
      </c>
      <c r="H4483" s="5" t="s">
        <v>21</v>
      </c>
      <c r="I4483" s="5" t="s">
        <v>10394</v>
      </c>
      <c r="J4483" s="12" t="str">
        <f>HYPERLINK("https://www.boe.es/gazeta/dias/1800/07/04/pdfs/GMD-1800-53.pdf#page=9","Abrir facsímil")</f>
        <v>Abrir facsímil</v>
      </c>
      <c r="K4483" s="15" t="s">
        <v>23</v>
      </c>
    </row>
    <row r="4484" spans="1:11" ht="42" customHeight="1">
      <c r="A4484" s="4" t="s">
        <v>10395</v>
      </c>
      <c r="B4484" s="5" t="s">
        <v>10395</v>
      </c>
      <c r="C4484" s="5" t="s">
        <v>41</v>
      </c>
      <c r="D4484" s="5" t="s">
        <v>42</v>
      </c>
      <c r="E4484" s="5" t="s">
        <v>823</v>
      </c>
      <c r="F4484" s="9">
        <v>50</v>
      </c>
      <c r="G4484" s="9">
        <v>539</v>
      </c>
      <c r="H4484" s="5" t="s">
        <v>21</v>
      </c>
      <c r="I4484" s="5" t="s">
        <v>10396</v>
      </c>
      <c r="J4484" s="12" t="str">
        <f>HYPERLINK("https://www.boe.es/gazeta/dias/1800/06/24/pdfs/GMD-1800-50.pdf#page=3","Abrir facsímil")</f>
        <v>Abrir facsímil</v>
      </c>
      <c r="K4484" s="15" t="s">
        <v>23</v>
      </c>
    </row>
    <row r="4485" spans="1:11" ht="42" customHeight="1">
      <c r="A4485" s="4" t="s">
        <v>10397</v>
      </c>
      <c r="B4485" s="5" t="s">
        <v>10398</v>
      </c>
      <c r="C4485" s="5" t="s">
        <v>41</v>
      </c>
      <c r="D4485" s="5" t="s">
        <v>42</v>
      </c>
      <c r="E4485" s="5" t="s">
        <v>79</v>
      </c>
      <c r="F4485" s="9">
        <v>7</v>
      </c>
      <c r="G4485" s="9">
        <v>64</v>
      </c>
      <c r="H4485" s="5" t="s">
        <v>21</v>
      </c>
      <c r="I4485" s="5" t="s">
        <v>10399</v>
      </c>
      <c r="J4485" s="12" t="str">
        <f>HYPERLINK("https://www.boe.es/gazeta/dias/1800/01/24/pdfs/GMD-1800-7.pdf#page=4","Abrir facsímil")</f>
        <v>Abrir facsímil</v>
      </c>
      <c r="K4485" s="15" t="s">
        <v>23</v>
      </c>
    </row>
    <row r="4486" spans="1:11" ht="42" customHeight="1">
      <c r="A4486" s="4" t="s">
        <v>10397</v>
      </c>
      <c r="B4486" s="5" t="s">
        <v>10398</v>
      </c>
      <c r="C4486" s="5" t="s">
        <v>18</v>
      </c>
      <c r="D4486" s="5" t="s">
        <v>19</v>
      </c>
      <c r="E4486" s="5" t="s">
        <v>86</v>
      </c>
      <c r="F4486" s="9">
        <v>17</v>
      </c>
      <c r="G4486" s="9">
        <v>159</v>
      </c>
      <c r="H4486" s="5" t="s">
        <v>21</v>
      </c>
      <c r="I4486" s="5" t="s">
        <v>10400</v>
      </c>
      <c r="J4486" s="12" t="str">
        <f>HYPERLINK("https://www.boe.es/gazeta/dias/1800/02/28/pdfs/GMD-1800-17.pdf#page=7","Abrir facsímil")</f>
        <v>Abrir facsímil</v>
      </c>
      <c r="K4486" s="15" t="s">
        <v>23</v>
      </c>
    </row>
    <row r="4487" spans="1:11" ht="42" customHeight="1">
      <c r="A4487" s="4" t="s">
        <v>10397</v>
      </c>
      <c r="B4487" s="5" t="s">
        <v>10398</v>
      </c>
      <c r="C4487" s="5" t="s">
        <v>41</v>
      </c>
      <c r="D4487" s="5" t="s">
        <v>42</v>
      </c>
      <c r="E4487" s="5" t="s">
        <v>31</v>
      </c>
      <c r="F4487" s="9">
        <v>20</v>
      </c>
      <c r="G4487" s="9">
        <v>189</v>
      </c>
      <c r="H4487" s="5" t="s">
        <v>21</v>
      </c>
      <c r="I4487" s="5" t="s">
        <v>10401</v>
      </c>
      <c r="J4487" s="12" t="str">
        <f>HYPERLINK("https://www.boe.es/gazeta/dias/1800/03/11/pdfs/GMD-1800-20.pdf#page=5","Abrir facsímil")</f>
        <v>Abrir facsímil</v>
      </c>
      <c r="K4487" s="15" t="s">
        <v>23</v>
      </c>
    </row>
    <row r="4488" spans="1:11" ht="42" customHeight="1">
      <c r="A4488" s="4" t="s">
        <v>10397</v>
      </c>
      <c r="B4488" s="5" t="s">
        <v>10398</v>
      </c>
      <c r="C4488" s="5" t="s">
        <v>41</v>
      </c>
      <c r="D4488" s="5" t="s">
        <v>42</v>
      </c>
      <c r="E4488" s="5" t="s">
        <v>143</v>
      </c>
      <c r="F4488" s="9">
        <v>22</v>
      </c>
      <c r="G4488" s="9">
        <v>216</v>
      </c>
      <c r="H4488" s="5" t="s">
        <v>21</v>
      </c>
      <c r="I4488" s="5" t="s">
        <v>10402</v>
      </c>
      <c r="J4488" s="12" t="str">
        <f>HYPERLINK("https://www.boe.es/gazeta/dias/1800/03/18/pdfs/GMD-1800-22.pdf#page=8","Abrir facsímil")</f>
        <v>Abrir facsímil</v>
      </c>
      <c r="K4488" s="15" t="s">
        <v>23</v>
      </c>
    </row>
    <row r="4489" spans="1:11" ht="42" customHeight="1">
      <c r="A4489" s="4" t="s">
        <v>10397</v>
      </c>
      <c r="B4489" s="5" t="s">
        <v>10398</v>
      </c>
      <c r="C4489" s="5" t="s">
        <v>41</v>
      </c>
      <c r="D4489" s="5" t="s">
        <v>42</v>
      </c>
      <c r="E4489" s="5" t="s">
        <v>346</v>
      </c>
      <c r="F4489" s="9">
        <v>24</v>
      </c>
      <c r="G4489" s="9">
        <v>242</v>
      </c>
      <c r="H4489" s="5" t="s">
        <v>21</v>
      </c>
      <c r="I4489" s="5" t="s">
        <v>10403</v>
      </c>
      <c r="J4489" s="12" t="str">
        <f>HYPERLINK("https://www.boe.es/gazeta/dias/1800/03/25/pdfs/GMD-1800-24.pdf#page=6","Abrir facsímil")</f>
        <v>Abrir facsímil</v>
      </c>
      <c r="K4489" s="15" t="s">
        <v>23</v>
      </c>
    </row>
    <row r="4490" spans="1:11" ht="42" customHeight="1">
      <c r="A4490" s="4" t="s">
        <v>10397</v>
      </c>
      <c r="B4490" s="5" t="s">
        <v>10398</v>
      </c>
      <c r="C4490" s="5" t="s">
        <v>18</v>
      </c>
      <c r="D4490" s="5" t="s">
        <v>19</v>
      </c>
      <c r="E4490" s="5" t="s">
        <v>248</v>
      </c>
      <c r="F4490" s="9">
        <v>33</v>
      </c>
      <c r="G4490" s="9">
        <v>331</v>
      </c>
      <c r="H4490" s="5" t="s">
        <v>21</v>
      </c>
      <c r="I4490" s="5" t="s">
        <v>10404</v>
      </c>
      <c r="J4490" s="12" t="str">
        <f>HYPERLINK("https://www.boe.es/gazeta/dias/1800/04/25/pdfs/GMD-1800-33.pdf#page=7","Abrir facsímil")</f>
        <v>Abrir facsímil</v>
      </c>
      <c r="K4490" s="15" t="s">
        <v>23</v>
      </c>
    </row>
    <row r="4491" spans="1:11" ht="42" customHeight="1">
      <c r="A4491" s="4" t="s">
        <v>10405</v>
      </c>
      <c r="B4491" s="5" t="s">
        <v>10406</v>
      </c>
      <c r="C4491" s="5" t="s">
        <v>41</v>
      </c>
      <c r="D4491" s="5" t="s">
        <v>42</v>
      </c>
      <c r="E4491" s="5" t="s">
        <v>461</v>
      </c>
      <c r="F4491" s="9">
        <v>18</v>
      </c>
      <c r="G4491" s="9">
        <v>168</v>
      </c>
      <c r="H4491" s="5" t="s">
        <v>21</v>
      </c>
      <c r="I4491" s="5" t="s">
        <v>10407</v>
      </c>
      <c r="J4491" s="12" t="str">
        <f>HYPERLINK("https://www.boe.es/datos/pdfs/BOE//1800/018/C00173-00176.pdf#page=4","Abrir facsímil")</f>
        <v>Abrir facsímil</v>
      </c>
      <c r="K4491" s="15" t="s">
        <v>23</v>
      </c>
    </row>
    <row r="4492" spans="1:11" ht="42" customHeight="1">
      <c r="A4492" s="4" t="s">
        <v>10408</v>
      </c>
      <c r="B4492" s="5" t="s">
        <v>10408</v>
      </c>
      <c r="C4492" s="5" t="s">
        <v>41</v>
      </c>
      <c r="D4492" s="5" t="s">
        <v>42</v>
      </c>
      <c r="E4492" s="5" t="s">
        <v>329</v>
      </c>
      <c r="F4492" s="9">
        <v>99</v>
      </c>
      <c r="G4492" s="9">
        <v>1137</v>
      </c>
      <c r="H4492" s="5" t="s">
        <v>21</v>
      </c>
      <c r="I4492" s="5" t="s">
        <v>10409</v>
      </c>
      <c r="J4492" s="12" t="str">
        <f>HYPERLINK("https://www.boe.es/gazeta/dias/1800/12/09/pdfs/GMD-1800-99.pdf#page=5","Abrir facsímil")</f>
        <v>Abrir facsímil</v>
      </c>
      <c r="K4492" s="15" t="s">
        <v>23</v>
      </c>
    </row>
    <row r="4493" spans="1:11" ht="42" customHeight="1">
      <c r="A4493" s="4" t="s">
        <v>10410</v>
      </c>
      <c r="B4493" s="5" t="s">
        <v>10411</v>
      </c>
      <c r="C4493" s="5" t="s">
        <v>41</v>
      </c>
      <c r="D4493" s="5" t="s">
        <v>42</v>
      </c>
      <c r="E4493" s="5" t="s">
        <v>465</v>
      </c>
      <c r="F4493" s="9">
        <v>49</v>
      </c>
      <c r="G4493" s="9">
        <v>526</v>
      </c>
      <c r="H4493" s="5" t="s">
        <v>21</v>
      </c>
      <c r="I4493" s="5" t="s">
        <v>10412</v>
      </c>
      <c r="J4493" s="12" t="str">
        <f>HYPERLINK("https://www.boe.es/gazeta/dias/1800/06/20/pdfs/GMD-1800-49.pdf#page=2","Abrir facsímil")</f>
        <v>Abrir facsímil</v>
      </c>
      <c r="K4493" s="15" t="s">
        <v>23</v>
      </c>
    </row>
    <row r="4494" spans="1:11" ht="42" customHeight="1">
      <c r="A4494" s="4" t="s">
        <v>10410</v>
      </c>
      <c r="B4494" s="5" t="s">
        <v>10411</v>
      </c>
      <c r="C4494" s="5" t="s">
        <v>54</v>
      </c>
      <c r="D4494" s="5" t="s">
        <v>55</v>
      </c>
      <c r="E4494" s="5" t="s">
        <v>465</v>
      </c>
      <c r="F4494" s="9">
        <v>49</v>
      </c>
      <c r="G4494" s="9">
        <v>529</v>
      </c>
      <c r="H4494" s="5" t="s">
        <v>21</v>
      </c>
      <c r="I4494" s="5" t="s">
        <v>10413</v>
      </c>
      <c r="J4494" s="12" t="str">
        <f>HYPERLINK("https://www.boe.es/gazeta/dias/1800/06/20/pdfs/GMD-1800-49.pdf#page=5","Abrir facsímil")</f>
        <v>Abrir facsímil</v>
      </c>
      <c r="K4494" s="15" t="s">
        <v>23</v>
      </c>
    </row>
    <row r="4495" spans="1:11" ht="42" customHeight="1">
      <c r="A4495" s="4" t="s">
        <v>10410</v>
      </c>
      <c r="B4495" s="5" t="s">
        <v>10411</v>
      </c>
      <c r="C4495" s="5" t="s">
        <v>18</v>
      </c>
      <c r="D4495" s="5" t="s">
        <v>19</v>
      </c>
      <c r="E4495" s="5" t="s">
        <v>314</v>
      </c>
      <c r="F4495" s="9">
        <v>74</v>
      </c>
      <c r="G4495" s="9">
        <v>827</v>
      </c>
      <c r="H4495" s="5" t="s">
        <v>21</v>
      </c>
      <c r="I4495" s="5" t="s">
        <v>10414</v>
      </c>
      <c r="J4495" s="12" t="str">
        <f>HYPERLINK("https://www.boe.es/gazeta/dias/1800/09/12/pdfs/GMD-1800-74.pdf#page=5","Abrir facsímil")</f>
        <v>Abrir facsímil</v>
      </c>
      <c r="K4495" s="15" t="s">
        <v>23</v>
      </c>
    </row>
    <row r="4496" spans="1:11" ht="42" customHeight="1">
      <c r="A4496" s="4" t="s">
        <v>10415</v>
      </c>
      <c r="B4496" s="5" t="s">
        <v>10415</v>
      </c>
      <c r="C4496" s="5" t="s">
        <v>41</v>
      </c>
      <c r="D4496" s="5" t="s">
        <v>42</v>
      </c>
      <c r="E4496" s="5" t="s">
        <v>56</v>
      </c>
      <c r="F4496" s="9">
        <v>90</v>
      </c>
      <c r="G4496" s="9">
        <v>1049</v>
      </c>
      <c r="H4496" s="5" t="s">
        <v>21</v>
      </c>
      <c r="I4496" s="5" t="s">
        <v>10416</v>
      </c>
      <c r="J4496" s="12" t="str">
        <f>HYPERLINK("https://www.boe.es/gazeta/dias/1800/11/07/pdfs/GMD-1800-90.pdf#page=3","Abrir facsímil")</f>
        <v>Abrir facsímil</v>
      </c>
      <c r="K4496" s="15" t="s">
        <v>23</v>
      </c>
    </row>
    <row r="4497" spans="1:11" ht="42" customHeight="1">
      <c r="A4497" s="4" t="s">
        <v>10417</v>
      </c>
      <c r="B4497" s="5" t="s">
        <v>10417</v>
      </c>
      <c r="C4497" s="5" t="s">
        <v>41</v>
      </c>
      <c r="D4497" s="5" t="s">
        <v>42</v>
      </c>
      <c r="E4497" s="5" t="s">
        <v>279</v>
      </c>
      <c r="F4497" s="9">
        <v>103</v>
      </c>
      <c r="G4497" s="9">
        <v>1195</v>
      </c>
      <c r="H4497" s="5" t="s">
        <v>21</v>
      </c>
      <c r="I4497" s="5" t="s">
        <v>10418</v>
      </c>
      <c r="J4497" s="12" t="str">
        <f>HYPERLINK("https://www.boe.es/gazeta/dias/1800/12/23/pdfs/GMD-1800-103.pdf#page=7","Abrir facsímil")</f>
        <v>Abrir facsímil</v>
      </c>
      <c r="K4497" s="15" t="s">
        <v>23</v>
      </c>
    </row>
    <row r="4498" spans="1:11" ht="42" customHeight="1">
      <c r="A4498" s="4" t="s">
        <v>10419</v>
      </c>
      <c r="B4498" s="5" t="s">
        <v>10420</v>
      </c>
      <c r="C4498" s="5" t="s">
        <v>84</v>
      </c>
      <c r="D4498" s="5" t="s">
        <v>85</v>
      </c>
      <c r="E4498" s="5" t="s">
        <v>787</v>
      </c>
      <c r="F4498" s="9">
        <v>6</v>
      </c>
      <c r="G4498" s="9">
        <v>56</v>
      </c>
      <c r="H4498" s="5" t="s">
        <v>21</v>
      </c>
      <c r="I4498" s="5" t="s">
        <v>10421</v>
      </c>
      <c r="J4498" s="12" t="str">
        <f>HYPERLINK("https://www.boe.es/gazeta/dias/1800/01/21/pdfs/GMD-1800-6.pdf#page=8","Abrir facsímil")</f>
        <v>Abrir facsímil</v>
      </c>
      <c r="K4498" s="15" t="s">
        <v>23</v>
      </c>
    </row>
    <row r="4499" spans="1:11" ht="42" customHeight="1">
      <c r="A4499" s="4" t="s">
        <v>10422</v>
      </c>
      <c r="B4499" s="5" t="s">
        <v>10423</v>
      </c>
      <c r="C4499" s="5" t="s">
        <v>25</v>
      </c>
      <c r="D4499" s="5" t="s">
        <v>26</v>
      </c>
      <c r="E4499" s="5" t="s">
        <v>545</v>
      </c>
      <c r="F4499" s="9">
        <v>14</v>
      </c>
      <c r="G4499" s="9">
        <v>134</v>
      </c>
      <c r="H4499" s="5" t="s">
        <v>21</v>
      </c>
      <c r="I4499" s="5" t="s">
        <v>10424</v>
      </c>
      <c r="J4499" s="12" t="str">
        <f>HYPERLINK("https://www.boe.es/gazeta/dias/1800/02/18/pdfs/GMD-1800-14.pdf#page=6","Abrir facsímil")</f>
        <v>Abrir facsímil</v>
      </c>
      <c r="K4499" s="15" t="s">
        <v>23</v>
      </c>
    </row>
    <row r="4500" spans="1:11" ht="42" customHeight="1">
      <c r="A4500" s="4" t="s">
        <v>10425</v>
      </c>
      <c r="B4500" s="5" t="s">
        <v>10425</v>
      </c>
      <c r="C4500" s="5" t="s">
        <v>54</v>
      </c>
      <c r="D4500" s="5" t="s">
        <v>55</v>
      </c>
      <c r="E4500" s="5" t="s">
        <v>279</v>
      </c>
      <c r="F4500" s="9">
        <v>103</v>
      </c>
      <c r="G4500" s="9">
        <v>1199</v>
      </c>
      <c r="H4500" s="5" t="s">
        <v>21</v>
      </c>
      <c r="I4500" s="5" t="s">
        <v>10426</v>
      </c>
      <c r="J4500" s="12" t="str">
        <f>HYPERLINK("https://www.boe.es/gazeta/dias/1800/12/23/pdfs/GMD-1800-103.pdf#page=11","Abrir facsímil")</f>
        <v>Abrir facsímil</v>
      </c>
      <c r="K4500" s="15" t="s">
        <v>23</v>
      </c>
    </row>
    <row r="4501" spans="1:11" ht="42" customHeight="1">
      <c r="A4501" s="4" t="s">
        <v>10427</v>
      </c>
      <c r="B4501" s="5" t="s">
        <v>10428</v>
      </c>
      <c r="C4501" s="5" t="s">
        <v>18</v>
      </c>
      <c r="D4501" s="5" t="s">
        <v>19</v>
      </c>
      <c r="E4501" s="5" t="s">
        <v>31</v>
      </c>
      <c r="F4501" s="9">
        <v>20</v>
      </c>
      <c r="G4501" s="9">
        <v>191</v>
      </c>
      <c r="H4501" s="5" t="s">
        <v>21</v>
      </c>
      <c r="I4501" s="5" t="s">
        <v>10429</v>
      </c>
      <c r="J4501" s="12" t="str">
        <f>HYPERLINK("https://www.boe.es/gazeta/dias/1800/03/11/pdfs/GMD-1800-20.pdf#page=7","Abrir facsímil")</f>
        <v>Abrir facsímil</v>
      </c>
      <c r="K4501" s="15" t="s">
        <v>23</v>
      </c>
    </row>
    <row r="4502" spans="1:11" ht="42" customHeight="1">
      <c r="A4502" s="4" t="s">
        <v>10430</v>
      </c>
      <c r="B4502" s="5" t="s">
        <v>10431</v>
      </c>
      <c r="C4502" s="5" t="s">
        <v>18</v>
      </c>
      <c r="D4502" s="5" t="s">
        <v>19</v>
      </c>
      <c r="E4502" s="5" t="s">
        <v>1127</v>
      </c>
      <c r="F4502" s="9">
        <v>11</v>
      </c>
      <c r="G4502" s="9">
        <v>107</v>
      </c>
      <c r="H4502" s="5" t="s">
        <v>21</v>
      </c>
      <c r="I4502" s="5" t="s">
        <v>10432</v>
      </c>
      <c r="J4502" s="12" t="str">
        <f>HYPERLINK("https://www.boe.es/gazeta/dias/1800/02/07/pdfs/GMD-1800-11.pdf#page=7","Abrir facsímil")</f>
        <v>Abrir facsímil</v>
      </c>
      <c r="K4502" s="15" t="s">
        <v>23</v>
      </c>
    </row>
    <row r="4503" spans="1:11" ht="42" customHeight="1">
      <c r="A4503" s="4" t="s">
        <v>10433</v>
      </c>
      <c r="B4503" s="5" t="s">
        <v>10433</v>
      </c>
      <c r="C4503" s="5" t="s">
        <v>18</v>
      </c>
      <c r="D4503" s="5" t="s">
        <v>19</v>
      </c>
      <c r="E4503" s="5" t="s">
        <v>823</v>
      </c>
      <c r="F4503" s="9">
        <v>50</v>
      </c>
      <c r="G4503" s="9">
        <v>546</v>
      </c>
      <c r="H4503" s="5" t="s">
        <v>21</v>
      </c>
      <c r="I4503" s="5" t="s">
        <v>10434</v>
      </c>
      <c r="J4503" s="12" t="str">
        <f>HYPERLINK("https://www.boe.es/gazeta/dias/1800/06/24/pdfs/GMD-1800-50.pdf#page=10","Abrir facsímil")</f>
        <v>Abrir facsímil</v>
      </c>
      <c r="K4503" s="15" t="s">
        <v>23</v>
      </c>
    </row>
    <row r="4504" spans="1:11" ht="42" customHeight="1">
      <c r="A4504" s="4" t="s">
        <v>10435</v>
      </c>
      <c r="B4504" s="5" t="s">
        <v>10435</v>
      </c>
      <c r="C4504" s="5" t="s">
        <v>18</v>
      </c>
      <c r="D4504" s="5" t="s">
        <v>19</v>
      </c>
      <c r="E4504" s="5" t="s">
        <v>79</v>
      </c>
      <c r="F4504" s="9">
        <v>7</v>
      </c>
      <c r="G4504" s="9">
        <v>66</v>
      </c>
      <c r="H4504" s="5" t="s">
        <v>21</v>
      </c>
      <c r="I4504" s="5" t="s">
        <v>10436</v>
      </c>
      <c r="J4504" s="12" t="str">
        <f>HYPERLINK("https://www.boe.es/gazeta/dias/1800/01/24/pdfs/GMD-1800-7.pdf#page=6","Abrir facsímil")</f>
        <v>Abrir facsímil</v>
      </c>
      <c r="K4504" s="15" t="s">
        <v>23</v>
      </c>
    </row>
    <row r="4505" spans="1:11" ht="42" customHeight="1">
      <c r="A4505" s="4" t="s">
        <v>10435</v>
      </c>
      <c r="B4505" s="5" t="s">
        <v>10435</v>
      </c>
      <c r="C4505" s="5" t="s">
        <v>18</v>
      </c>
      <c r="D4505" s="5" t="s">
        <v>19</v>
      </c>
      <c r="E4505" s="5" t="s">
        <v>135</v>
      </c>
      <c r="F4505" s="9">
        <v>73</v>
      </c>
      <c r="G4505" s="9">
        <v>814</v>
      </c>
      <c r="H4505" s="5" t="s">
        <v>21</v>
      </c>
      <c r="I4505" s="5" t="s">
        <v>10437</v>
      </c>
      <c r="J4505" s="12" t="str">
        <f>HYPERLINK("https://www.boe.es/gazeta/dias/1800/09/09/pdfs/GMD-1800-73.pdf#page=8","Abrir facsímil")</f>
        <v>Abrir facsímil</v>
      </c>
      <c r="K4505" s="15" t="s">
        <v>23</v>
      </c>
    </row>
    <row r="4506" spans="1:11" ht="42" customHeight="1">
      <c r="A4506" s="4" t="s">
        <v>10438</v>
      </c>
      <c r="B4506" s="5" t="s">
        <v>10439</v>
      </c>
      <c r="C4506" s="5" t="s">
        <v>18</v>
      </c>
      <c r="D4506" s="5" t="s">
        <v>19</v>
      </c>
      <c r="E4506" s="5" t="s">
        <v>1213</v>
      </c>
      <c r="F4506" s="9">
        <v>4</v>
      </c>
      <c r="G4506" s="9">
        <v>35</v>
      </c>
      <c r="H4506" s="5" t="s">
        <v>21</v>
      </c>
      <c r="I4506" s="5" t="s">
        <v>10440</v>
      </c>
      <c r="J4506" s="12" t="str">
        <f>HYPERLINK("https://www.boe.es/gazeta/dias/1800/01/14/pdfs/GMD-1800-4.pdf#page=7","Abrir facsímil")</f>
        <v>Abrir facsímil</v>
      </c>
      <c r="K4506" s="15" t="s">
        <v>23</v>
      </c>
    </row>
    <row r="4507" spans="1:11" ht="42" customHeight="1">
      <c r="A4507" s="4" t="s">
        <v>10441</v>
      </c>
      <c r="B4507" s="5" t="s">
        <v>10442</v>
      </c>
      <c r="C4507" s="5" t="s">
        <v>18</v>
      </c>
      <c r="D4507" s="5" t="s">
        <v>19</v>
      </c>
      <c r="E4507" s="5" t="s">
        <v>244</v>
      </c>
      <c r="F4507" s="9">
        <v>9</v>
      </c>
      <c r="G4507" s="9">
        <v>86</v>
      </c>
      <c r="H4507" s="5" t="s">
        <v>21</v>
      </c>
      <c r="I4507" s="5" t="s">
        <v>10443</v>
      </c>
      <c r="J4507" s="12" t="str">
        <f>HYPERLINK("https://www.boe.es/gazeta/dias/1800/01/31/pdfs/GMD-1800-9.pdf#page=10","Abrir facsímil")</f>
        <v>Abrir facsímil</v>
      </c>
      <c r="K4507" s="15" t="s">
        <v>23</v>
      </c>
    </row>
    <row r="4508" spans="1:11" ht="42" customHeight="1">
      <c r="A4508" s="4" t="s">
        <v>10444</v>
      </c>
      <c r="B4508" s="5" t="s">
        <v>10445</v>
      </c>
      <c r="C4508" s="5" t="s">
        <v>207</v>
      </c>
      <c r="D4508" s="5" t="s">
        <v>55</v>
      </c>
      <c r="E4508" s="5" t="s">
        <v>255</v>
      </c>
      <c r="F4508" s="9">
        <v>75</v>
      </c>
      <c r="G4508" s="9">
        <v>854</v>
      </c>
      <c r="H4508" s="5" t="s">
        <v>21</v>
      </c>
      <c r="I4508" s="5" t="s">
        <v>10446</v>
      </c>
      <c r="J4508" s="12" t="str">
        <f>HYPERLINK("https://www.boe.es/gazeta/dias/1800/09/16/pdfs/GMD-1800-75.pdf#page=8","Abrir facsímil")</f>
        <v>Abrir facsímil</v>
      </c>
      <c r="K4508" s="15" t="s">
        <v>23</v>
      </c>
    </row>
    <row r="4509" spans="1:11" ht="42" customHeight="1">
      <c r="A4509" s="4" t="s">
        <v>10447</v>
      </c>
      <c r="B4509" s="5" t="s">
        <v>10448</v>
      </c>
      <c r="C4509" s="5" t="s">
        <v>18</v>
      </c>
      <c r="D4509" s="5" t="s">
        <v>19</v>
      </c>
      <c r="E4509" s="5" t="s">
        <v>20</v>
      </c>
      <c r="F4509" s="9">
        <v>104</v>
      </c>
      <c r="G4509" s="9">
        <v>1209</v>
      </c>
      <c r="H4509" s="5" t="s">
        <v>21</v>
      </c>
      <c r="I4509" s="5" t="s">
        <v>10449</v>
      </c>
      <c r="J4509" s="12" t="str">
        <f>HYPERLINK("https://www.boe.es/gazeta/dias/1800/12/26/pdfs/GMD-1800-104.pdf#page=9","Abrir facsímil")</f>
        <v>Abrir facsímil</v>
      </c>
      <c r="K4509" s="15" t="s">
        <v>23</v>
      </c>
    </row>
    <row r="4510" spans="1:11" ht="42" customHeight="1">
      <c r="A4510" s="4" t="s">
        <v>10450</v>
      </c>
      <c r="B4510" s="5" t="s">
        <v>10451</v>
      </c>
      <c r="C4510" s="5" t="s">
        <v>25</v>
      </c>
      <c r="D4510" s="5" t="s">
        <v>26</v>
      </c>
      <c r="E4510" s="5" t="s">
        <v>45</v>
      </c>
      <c r="F4510" s="9">
        <v>47</v>
      </c>
      <c r="G4510" s="9">
        <v>502</v>
      </c>
      <c r="H4510" s="5" t="s">
        <v>21</v>
      </c>
      <c r="I4510" s="5" t="s">
        <v>10452</v>
      </c>
      <c r="J4510" s="12" t="str">
        <f>HYPERLINK("https://www.boe.es/gazeta/dias/1800/06/13/pdfs/GMD-1800-47.pdf#page=10","Abrir facsímil")</f>
        <v>Abrir facsímil</v>
      </c>
      <c r="K4510" s="15" t="s">
        <v>23</v>
      </c>
    </row>
    <row r="4511" spans="1:11" ht="42" customHeight="1">
      <c r="A4511" s="4" t="s">
        <v>10453</v>
      </c>
      <c r="B4511" s="5" t="s">
        <v>10454</v>
      </c>
      <c r="C4511" s="5" t="s">
        <v>25</v>
      </c>
      <c r="D4511" s="5" t="s">
        <v>26</v>
      </c>
      <c r="E4511" s="5" t="s">
        <v>45</v>
      </c>
      <c r="F4511" s="9">
        <v>47</v>
      </c>
      <c r="G4511" s="9">
        <v>502</v>
      </c>
      <c r="H4511" s="5" t="s">
        <v>21</v>
      </c>
      <c r="I4511" s="5" t="s">
        <v>10455</v>
      </c>
      <c r="J4511" s="12" t="str">
        <f>HYPERLINK("https://www.boe.es/gazeta/dias/1800/06/13/pdfs/GMD-1800-47.pdf#page=10","Abrir facsímil")</f>
        <v>Abrir facsímil</v>
      </c>
      <c r="K4511" s="15" t="s">
        <v>23</v>
      </c>
    </row>
    <row r="4512" spans="1:11" ht="42" customHeight="1">
      <c r="A4512" s="4" t="s">
        <v>10456</v>
      </c>
      <c r="B4512" s="5" t="s">
        <v>10456</v>
      </c>
      <c r="C4512" s="5" t="s">
        <v>25</v>
      </c>
      <c r="D4512" s="5" t="s">
        <v>26</v>
      </c>
      <c r="E4512" s="5" t="s">
        <v>75</v>
      </c>
      <c r="F4512" s="9">
        <v>64</v>
      </c>
      <c r="G4512" s="9">
        <v>734</v>
      </c>
      <c r="H4512" s="5" t="s">
        <v>21</v>
      </c>
      <c r="I4512" s="5" t="s">
        <v>10457</v>
      </c>
      <c r="J4512" s="12" t="str">
        <f>HYPERLINK("https://www.boe.es/gazeta/dias/1800/08/12/pdfs/GMD-1800-64.pdf#page=10","Abrir facsímil")</f>
        <v>Abrir facsímil</v>
      </c>
      <c r="K4512" s="15" t="s">
        <v>23</v>
      </c>
    </row>
    <row r="4513" spans="1:11" ht="42" customHeight="1">
      <c r="A4513" s="4" t="s">
        <v>10458</v>
      </c>
      <c r="B4513" s="5" t="s">
        <v>10458</v>
      </c>
      <c r="C4513" s="5" t="s">
        <v>171</v>
      </c>
      <c r="D4513" s="5" t="s">
        <v>172</v>
      </c>
      <c r="E4513" s="5" t="s">
        <v>595</v>
      </c>
      <c r="F4513" s="9">
        <v>72</v>
      </c>
      <c r="G4513" s="9">
        <v>800</v>
      </c>
      <c r="H4513" s="5" t="s">
        <v>21</v>
      </c>
      <c r="I4513" s="5" t="s">
        <v>10459</v>
      </c>
      <c r="J4513" s="12" t="str">
        <f>HYPERLINK("https://www.boe.es/gazeta/dias/1800/09/05/pdfs/GMD-C-1800-72.pdf#page=2","Abrir facsímil")</f>
        <v>Abrir facsímil</v>
      </c>
      <c r="K4513" s="15" t="s">
        <v>23</v>
      </c>
    </row>
    <row r="4514" spans="1:11" ht="42" customHeight="1">
      <c r="A4514" s="4" t="s">
        <v>10460</v>
      </c>
      <c r="B4514" s="5" t="s">
        <v>10461</v>
      </c>
      <c r="C4514" s="5" t="s">
        <v>41</v>
      </c>
      <c r="D4514" s="5" t="s">
        <v>42</v>
      </c>
      <c r="E4514" s="5" t="s">
        <v>48</v>
      </c>
      <c r="F4514" s="9">
        <v>66</v>
      </c>
      <c r="G4514" s="9">
        <v>745</v>
      </c>
      <c r="H4514" s="5" t="s">
        <v>21</v>
      </c>
      <c r="I4514" s="5" t="s">
        <v>10462</v>
      </c>
      <c r="J4514" s="12" t="str">
        <f>HYPERLINK("https://www.boe.es/gazeta/dias/1800/08/19/pdfs/GMD-1800-66.pdf#page=9","Abrir facsímil")</f>
        <v>Abrir facsímil</v>
      </c>
      <c r="K4514" s="15" t="s">
        <v>23</v>
      </c>
    </row>
    <row r="4515" spans="1:11" ht="42" customHeight="1">
      <c r="A4515" s="4" t="s">
        <v>10463</v>
      </c>
      <c r="B4515" s="5" t="s">
        <v>10464</v>
      </c>
      <c r="C4515" s="5" t="s">
        <v>41</v>
      </c>
      <c r="D4515" s="5" t="s">
        <v>42</v>
      </c>
      <c r="E4515" s="5" t="s">
        <v>86</v>
      </c>
      <c r="F4515" s="9">
        <v>17</v>
      </c>
      <c r="G4515" s="9">
        <v>158</v>
      </c>
      <c r="H4515" s="5" t="s">
        <v>21</v>
      </c>
      <c r="I4515" s="5" t="s">
        <v>10465</v>
      </c>
      <c r="J4515" s="12" t="str">
        <f>HYPERLINK("https://www.boe.es/gazeta/dias/1800/02/28/pdfs/GMD-1800-17.pdf#page=6","Abrir facsímil")</f>
        <v>Abrir facsímil</v>
      </c>
      <c r="K4515" s="15" t="s">
        <v>23</v>
      </c>
    </row>
    <row r="4516" spans="1:11" ht="42" customHeight="1">
      <c r="A4516" s="4" t="s">
        <v>10466</v>
      </c>
      <c r="B4516" s="5" t="s">
        <v>10466</v>
      </c>
      <c r="C4516" s="5" t="s">
        <v>41</v>
      </c>
      <c r="D4516" s="5" t="s">
        <v>42</v>
      </c>
      <c r="E4516" s="5" t="s">
        <v>124</v>
      </c>
      <c r="F4516" s="9">
        <v>16</v>
      </c>
      <c r="G4516" s="9">
        <v>149</v>
      </c>
      <c r="H4516" s="5" t="s">
        <v>21</v>
      </c>
      <c r="I4516" s="5" t="s">
        <v>10467</v>
      </c>
      <c r="J4516" s="12" t="str">
        <f>HYPERLINK("https://www.boe.es/gazeta/dias/1800/02/25/pdfs/GMD-1800-16.pdf#page=5","Abrir facsímil")</f>
        <v>Abrir facsímil</v>
      </c>
      <c r="K4516" s="15" t="s">
        <v>23</v>
      </c>
    </row>
    <row r="4517" spans="1:11" ht="42" customHeight="1">
      <c r="A4517" s="4" t="s">
        <v>10466</v>
      </c>
      <c r="B4517" s="5" t="s">
        <v>10466</v>
      </c>
      <c r="C4517" s="5" t="s">
        <v>41</v>
      </c>
      <c r="D4517" s="5" t="s">
        <v>42</v>
      </c>
      <c r="E4517" s="5" t="s">
        <v>124</v>
      </c>
      <c r="F4517" s="9">
        <v>16</v>
      </c>
      <c r="G4517" s="9">
        <v>150</v>
      </c>
      <c r="H4517" s="5" t="s">
        <v>21</v>
      </c>
      <c r="I4517" s="5" t="s">
        <v>10468</v>
      </c>
      <c r="J4517" s="12" t="str">
        <f>HYPERLINK("https://www.boe.es/gazeta/dias/1800/02/25/pdfs/GMD-1800-16.pdf#page=6","Abrir facsímil")</f>
        <v>Abrir facsímil</v>
      </c>
      <c r="K4517" s="15" t="s">
        <v>23</v>
      </c>
    </row>
    <row r="4518" spans="1:11" ht="42" customHeight="1">
      <c r="A4518" s="4" t="s">
        <v>10469</v>
      </c>
      <c r="B4518" s="5" t="s">
        <v>10470</v>
      </c>
      <c r="C4518" s="5" t="s">
        <v>41</v>
      </c>
      <c r="D4518" s="5" t="s">
        <v>42</v>
      </c>
      <c r="E4518" s="5" t="s">
        <v>45</v>
      </c>
      <c r="F4518" s="9">
        <v>47</v>
      </c>
      <c r="G4518" s="9">
        <v>494</v>
      </c>
      <c r="H4518" s="5" t="s">
        <v>21</v>
      </c>
      <c r="I4518" s="5" t="s">
        <v>10471</v>
      </c>
      <c r="J4518" s="12" t="str">
        <f>HYPERLINK("https://www.boe.es/gazeta/dias/1800/06/13/pdfs/GMD-1800-47.pdf#page=2","Abrir facsímil")</f>
        <v>Abrir facsímil</v>
      </c>
      <c r="K4518" s="15" t="s">
        <v>23</v>
      </c>
    </row>
    <row r="4519" spans="1:11" ht="42" customHeight="1">
      <c r="A4519" s="4" t="s">
        <v>10472</v>
      </c>
      <c r="B4519" s="5" t="s">
        <v>10473</v>
      </c>
      <c r="C4519" s="5" t="s">
        <v>41</v>
      </c>
      <c r="D4519" s="5" t="s">
        <v>42</v>
      </c>
      <c r="E4519" s="5" t="s">
        <v>39</v>
      </c>
      <c r="F4519" s="9">
        <v>43</v>
      </c>
      <c r="G4519" s="9">
        <v>447</v>
      </c>
      <c r="H4519" s="5" t="s">
        <v>21</v>
      </c>
      <c r="I4519" s="5" t="s">
        <v>10474</v>
      </c>
      <c r="J4519" s="12" t="str">
        <f>HYPERLINK("https://www.boe.es/gazeta/dias/1800/05/30/pdfs/GMD-1800-43.pdf#page=7","Abrir facsímil")</f>
        <v>Abrir facsímil</v>
      </c>
      <c r="K4519" s="15" t="s">
        <v>23</v>
      </c>
    </row>
    <row r="4520" spans="1:11" ht="42" customHeight="1">
      <c r="A4520" s="4" t="s">
        <v>10475</v>
      </c>
      <c r="B4520" s="5" t="s">
        <v>10475</v>
      </c>
      <c r="C4520" s="5" t="s">
        <v>84</v>
      </c>
      <c r="D4520" s="5" t="s">
        <v>85</v>
      </c>
      <c r="E4520" s="5" t="s">
        <v>478</v>
      </c>
      <c r="F4520" s="9">
        <v>34</v>
      </c>
      <c r="G4520" s="9">
        <v>348</v>
      </c>
      <c r="H4520" s="5" t="s">
        <v>21</v>
      </c>
      <c r="I4520" s="5" t="s">
        <v>10476</v>
      </c>
      <c r="J4520" s="12" t="str">
        <f>HYPERLINK("https://www.boe.es/gazeta/dias/1800/04/29/pdfs/GMD-1800-34.pdf#page=12","Abrir facsímil")</f>
        <v>Abrir facsímil</v>
      </c>
      <c r="K4520" s="15" t="s">
        <v>23</v>
      </c>
    </row>
    <row r="4521" spans="1:11" ht="42" customHeight="1">
      <c r="A4521" s="4" t="s">
        <v>10477</v>
      </c>
      <c r="B4521" s="5" t="s">
        <v>10478</v>
      </c>
      <c r="C4521" s="5" t="s">
        <v>41</v>
      </c>
      <c r="D4521" s="5" t="s">
        <v>42</v>
      </c>
      <c r="E4521" s="5" t="s">
        <v>143</v>
      </c>
      <c r="F4521" s="9">
        <v>22</v>
      </c>
      <c r="G4521" s="9">
        <v>218</v>
      </c>
      <c r="H4521" s="5" t="s">
        <v>21</v>
      </c>
      <c r="I4521" s="5" t="s">
        <v>10479</v>
      </c>
      <c r="J4521" s="12" t="str">
        <f>HYPERLINK("https://www.boe.es/gazeta/dias/1800/03/18/pdfs/GMD-1800-22.pdf#page=10","Abrir facsímil")</f>
        <v>Abrir facsímil</v>
      </c>
      <c r="K4521" s="15" t="s">
        <v>23</v>
      </c>
    </row>
    <row r="4522" spans="1:11" ht="42" customHeight="1">
      <c r="A4522" s="4" t="s">
        <v>10480</v>
      </c>
      <c r="B4522" s="5" t="s">
        <v>10480</v>
      </c>
      <c r="C4522" s="5" t="s">
        <v>84</v>
      </c>
      <c r="D4522" s="5" t="s">
        <v>85</v>
      </c>
      <c r="E4522" s="5" t="s">
        <v>1231</v>
      </c>
      <c r="F4522" s="9">
        <v>36</v>
      </c>
      <c r="G4522" s="9">
        <v>368</v>
      </c>
      <c r="H4522" s="5" t="s">
        <v>21</v>
      </c>
      <c r="I4522" s="5" t="s">
        <v>10481</v>
      </c>
      <c r="J4522" s="12" t="str">
        <f>HYPERLINK("https://www.boe.es/gazeta/dias/1800/05/06/pdfs/GMD-1800-36.pdf#page=12","Abrir facsímil")</f>
        <v>Abrir facsímil</v>
      </c>
      <c r="K4522" s="15" t="s">
        <v>23</v>
      </c>
    </row>
    <row r="4523" spans="1:11" ht="42" customHeight="1">
      <c r="A4523" s="4" t="s">
        <v>10482</v>
      </c>
      <c r="B4523" s="5" t="s">
        <v>10482</v>
      </c>
      <c r="C4523" s="5" t="s">
        <v>25</v>
      </c>
      <c r="D4523" s="5" t="s">
        <v>26</v>
      </c>
      <c r="E4523" s="5" t="s">
        <v>116</v>
      </c>
      <c r="F4523" s="9">
        <v>86</v>
      </c>
      <c r="G4523" s="9">
        <v>996</v>
      </c>
      <c r="H4523" s="5" t="s">
        <v>21</v>
      </c>
      <c r="I4523" s="5" t="s">
        <v>10483</v>
      </c>
      <c r="J4523" s="12" t="str">
        <f>HYPERLINK("https://www.boe.es/gazeta/dias/1800/10/24/pdfs/GMD-1800-86.pdf#page=6","Abrir facsímil")</f>
        <v>Abrir facsímil</v>
      </c>
      <c r="K4523" s="15" t="s">
        <v>23</v>
      </c>
    </row>
    <row r="4524" spans="1:11" ht="42" customHeight="1">
      <c r="A4524" s="4" t="s">
        <v>10484</v>
      </c>
      <c r="B4524" s="5" t="s">
        <v>10485</v>
      </c>
      <c r="C4524" s="5" t="s">
        <v>41</v>
      </c>
      <c r="D4524" s="5" t="s">
        <v>42</v>
      </c>
      <c r="E4524" s="5" t="s">
        <v>230</v>
      </c>
      <c r="F4524" s="9">
        <v>35</v>
      </c>
      <c r="G4524" s="9">
        <v>352</v>
      </c>
      <c r="H4524" s="5" t="s">
        <v>21</v>
      </c>
      <c r="I4524" s="5" t="s">
        <v>10486</v>
      </c>
      <c r="J4524" s="12" t="str">
        <f>HYPERLINK("https://www.boe.es/gazeta/dias/1800/05/02/pdfs/GMD-1800-35.pdf#page=4","Abrir facsímil")</f>
        <v>Abrir facsímil</v>
      </c>
      <c r="K4524" s="15" t="s">
        <v>23</v>
      </c>
    </row>
    <row r="4525" spans="1:11" ht="42" customHeight="1">
      <c r="A4525" s="4" t="s">
        <v>10484</v>
      </c>
      <c r="B4525" s="5" t="s">
        <v>10485</v>
      </c>
      <c r="C4525" s="5" t="s">
        <v>41</v>
      </c>
      <c r="D4525" s="5" t="s">
        <v>42</v>
      </c>
      <c r="E4525" s="5" t="s">
        <v>194</v>
      </c>
      <c r="F4525" s="9">
        <v>48</v>
      </c>
      <c r="G4525" s="9">
        <v>512</v>
      </c>
      <c r="H4525" s="5" t="s">
        <v>21</v>
      </c>
      <c r="I4525" s="5" t="s">
        <v>10487</v>
      </c>
      <c r="J4525" s="12" t="str">
        <f>HYPERLINK("https://www.boe.es/gazeta/dias/1800/06/17/pdfs/GMD-1800-48.pdf#page=4","Abrir facsímil")</f>
        <v>Abrir facsímil</v>
      </c>
      <c r="K4525" s="15" t="s">
        <v>23</v>
      </c>
    </row>
    <row r="4526" spans="1:11" ht="42" customHeight="1">
      <c r="A4526" s="4" t="s">
        <v>10484</v>
      </c>
      <c r="B4526" s="5" t="s">
        <v>10485</v>
      </c>
      <c r="C4526" s="5" t="s">
        <v>41</v>
      </c>
      <c r="D4526" s="5" t="s">
        <v>42</v>
      </c>
      <c r="E4526" s="5" t="s">
        <v>454</v>
      </c>
      <c r="F4526" s="9">
        <v>63</v>
      </c>
      <c r="G4526" s="9">
        <v>718</v>
      </c>
      <c r="H4526" s="5" t="s">
        <v>21</v>
      </c>
      <c r="I4526" s="5" t="s">
        <v>10488</v>
      </c>
      <c r="J4526" s="12" t="str">
        <f>HYPERLINK("https://www.boe.es/gazeta/dias/1800/08/08/pdfs/GMD-1800-63.pdf#page=6","Abrir facsímil")</f>
        <v>Abrir facsímil</v>
      </c>
      <c r="K4526" s="15" t="s">
        <v>23</v>
      </c>
    </row>
    <row r="4527" spans="1:11" ht="42" customHeight="1">
      <c r="A4527" s="4" t="s">
        <v>10489</v>
      </c>
      <c r="B4527" s="5" t="s">
        <v>10489</v>
      </c>
      <c r="C4527" s="5" t="s">
        <v>207</v>
      </c>
      <c r="D4527" s="5" t="s">
        <v>55</v>
      </c>
      <c r="E4527" s="5" t="s">
        <v>445</v>
      </c>
      <c r="F4527" s="9">
        <v>96</v>
      </c>
      <c r="G4527" s="9">
        <v>1098</v>
      </c>
      <c r="H4527" s="5" t="s">
        <v>21</v>
      </c>
      <c r="I4527" s="5" t="s">
        <v>10490</v>
      </c>
      <c r="J4527" s="12" t="str">
        <f>HYPERLINK("https://www.boe.es/gazeta/dias/1800/11/28/pdfs/GMD-1800-96.pdf#page=2","Abrir facsímil")</f>
        <v>Abrir facsímil</v>
      </c>
      <c r="K4527" s="15" t="s">
        <v>23</v>
      </c>
    </row>
    <row r="4528" spans="1:11" ht="42" customHeight="1">
      <c r="A4528" s="4" t="s">
        <v>10491</v>
      </c>
      <c r="B4528" s="5" t="s">
        <v>10492</v>
      </c>
      <c r="C4528" s="5" t="s">
        <v>41</v>
      </c>
      <c r="D4528" s="5" t="s">
        <v>42</v>
      </c>
      <c r="E4528" s="5" t="s">
        <v>60</v>
      </c>
      <c r="F4528" s="9">
        <v>105</v>
      </c>
      <c r="G4528" s="9">
        <v>1218</v>
      </c>
      <c r="H4528" s="5" t="s">
        <v>21</v>
      </c>
      <c r="I4528" s="5" t="s">
        <v>10493</v>
      </c>
      <c r="J4528" s="12" t="str">
        <f>HYPERLINK("https://www.boe.es/gazeta/dias/1800/12/30/pdfs/GMD-1800-105.pdf#page=2","Abrir facsímil")</f>
        <v>Abrir facsímil</v>
      </c>
      <c r="K4528" s="15" t="s">
        <v>23</v>
      </c>
    </row>
    <row r="4529" spans="1:11" ht="42" customHeight="1">
      <c r="A4529" s="4" t="s">
        <v>10494</v>
      </c>
      <c r="B4529" s="5" t="s">
        <v>10495</v>
      </c>
      <c r="C4529" s="5" t="s">
        <v>25</v>
      </c>
      <c r="D4529" s="5" t="s">
        <v>26</v>
      </c>
      <c r="E4529" s="5" t="s">
        <v>45</v>
      </c>
      <c r="F4529" s="9">
        <v>47</v>
      </c>
      <c r="G4529" s="9">
        <v>503</v>
      </c>
      <c r="H4529" s="5" t="s">
        <v>21</v>
      </c>
      <c r="I4529" s="5" t="s">
        <v>10496</v>
      </c>
      <c r="J4529" s="12" t="str">
        <f>HYPERLINK("https://www.boe.es/gazeta/dias/1800/06/13/pdfs/GMD-1800-47.pdf#page=11","Abrir facsímil")</f>
        <v>Abrir facsímil</v>
      </c>
      <c r="K4529" s="15" t="s">
        <v>23</v>
      </c>
    </row>
    <row r="4530" spans="1:11" ht="42" customHeight="1">
      <c r="A4530" s="4" t="s">
        <v>10497</v>
      </c>
      <c r="B4530" s="5" t="s">
        <v>10497</v>
      </c>
      <c r="C4530" s="5" t="s">
        <v>18</v>
      </c>
      <c r="D4530" s="5" t="s">
        <v>19</v>
      </c>
      <c r="E4530" s="5" t="s">
        <v>314</v>
      </c>
      <c r="F4530" s="9">
        <v>74</v>
      </c>
      <c r="G4530" s="9">
        <v>825</v>
      </c>
      <c r="H4530" s="5" t="s">
        <v>21</v>
      </c>
      <c r="I4530" s="5" t="s">
        <v>10498</v>
      </c>
      <c r="J4530" s="12" t="str">
        <f>HYPERLINK("https://www.boe.es/gazeta/dias/1800/09/12/pdfs/GMD-1800-74.pdf#page=3","Abrir facsímil")</f>
        <v>Abrir facsímil</v>
      </c>
      <c r="K4530" s="15" t="s">
        <v>23</v>
      </c>
    </row>
    <row r="4531" spans="1:11" ht="42" customHeight="1">
      <c r="A4531" s="4" t="s">
        <v>10499</v>
      </c>
      <c r="B4531" s="5" t="s">
        <v>10499</v>
      </c>
      <c r="C4531" s="5" t="s">
        <v>41</v>
      </c>
      <c r="D4531" s="5" t="s">
        <v>42</v>
      </c>
      <c r="E4531" s="5" t="s">
        <v>240</v>
      </c>
      <c r="F4531" s="9">
        <v>26</v>
      </c>
      <c r="G4531" s="9">
        <v>266</v>
      </c>
      <c r="H4531" s="5" t="s">
        <v>21</v>
      </c>
      <c r="I4531" s="5" t="s">
        <v>10500</v>
      </c>
      <c r="J4531" s="12" t="str">
        <f>HYPERLINK("https://www.boe.es/gazeta/dias/1800/04/01/pdfs/GMD-1800-26.pdf#page=6","Abrir facsímil")</f>
        <v>Abrir facsímil</v>
      </c>
      <c r="K4531" s="15" t="s">
        <v>23</v>
      </c>
    </row>
    <row r="4532" spans="1:11" ht="42" customHeight="1">
      <c r="A4532" s="4" t="s">
        <v>10501</v>
      </c>
      <c r="B4532" s="5" t="s">
        <v>10502</v>
      </c>
      <c r="C4532" s="5" t="s">
        <v>18</v>
      </c>
      <c r="D4532" s="5" t="s">
        <v>19</v>
      </c>
      <c r="E4532" s="5" t="s">
        <v>162</v>
      </c>
      <c r="F4532" s="9">
        <v>15</v>
      </c>
      <c r="G4532" s="9">
        <v>142</v>
      </c>
      <c r="H4532" s="5" t="s">
        <v>21</v>
      </c>
      <c r="I4532" s="5" t="s">
        <v>10503</v>
      </c>
      <c r="J4532" s="12" t="str">
        <f>HYPERLINK("https://www.boe.es/gazeta/dias/1800/02/21/pdfs/GMD-1800-15.pdf#page=6","Abrir facsímil")</f>
        <v>Abrir facsímil</v>
      </c>
      <c r="K4532" s="15" t="s">
        <v>23</v>
      </c>
    </row>
    <row r="4533" spans="1:11" ht="42" customHeight="1">
      <c r="A4533" s="4" t="s">
        <v>10504</v>
      </c>
      <c r="B4533" s="5" t="s">
        <v>10504</v>
      </c>
      <c r="C4533" s="5" t="s">
        <v>18</v>
      </c>
      <c r="D4533" s="5" t="s">
        <v>19</v>
      </c>
      <c r="E4533" s="5" t="s">
        <v>836</v>
      </c>
      <c r="F4533" s="9">
        <v>71</v>
      </c>
      <c r="G4533" s="9">
        <v>783</v>
      </c>
      <c r="H4533" s="5" t="s">
        <v>21</v>
      </c>
      <c r="I4533" s="5" t="s">
        <v>10505</v>
      </c>
      <c r="J4533" s="12" t="str">
        <f>HYPERLINK("https://www.boe.es/gazeta/dias/1800/09/02/pdfs/GMD-1800-71.pdf#page=1","Abrir facsímil")</f>
        <v>Abrir facsímil</v>
      </c>
      <c r="K4533" s="15" t="s">
        <v>23</v>
      </c>
    </row>
    <row r="4534" spans="1:11" ht="42" customHeight="1">
      <c r="A4534" s="4" t="s">
        <v>10506</v>
      </c>
      <c r="B4534" s="5" t="s">
        <v>10506</v>
      </c>
      <c r="C4534" s="5" t="s">
        <v>41</v>
      </c>
      <c r="D4534" s="5" t="s">
        <v>42</v>
      </c>
      <c r="E4534" s="5" t="s">
        <v>306</v>
      </c>
      <c r="F4534" s="9">
        <v>79</v>
      </c>
      <c r="G4534" s="9">
        <v>894</v>
      </c>
      <c r="H4534" s="5" t="s">
        <v>21</v>
      </c>
      <c r="I4534" s="5" t="s">
        <v>10507</v>
      </c>
      <c r="J4534" s="12" t="str">
        <f>HYPERLINK("https://www.boe.es/gazeta/dias/1800/09/30/pdfs/GMD-1800-79.pdf#page=4","Abrir facsímil")</f>
        <v>Abrir facsímil</v>
      </c>
      <c r="K4534" s="15" t="s">
        <v>23</v>
      </c>
    </row>
    <row r="4535" spans="1:11" ht="42" customHeight="1">
      <c r="A4535" s="4" t="s">
        <v>10508</v>
      </c>
      <c r="B4535" s="5" t="s">
        <v>10509</v>
      </c>
      <c r="C4535" s="5" t="s">
        <v>84</v>
      </c>
      <c r="D4535" s="5" t="s">
        <v>85</v>
      </c>
      <c r="E4535" s="5" t="s">
        <v>262</v>
      </c>
      <c r="F4535" s="9">
        <v>39</v>
      </c>
      <c r="G4535" s="9">
        <v>404</v>
      </c>
      <c r="H4535" s="5" t="s">
        <v>21</v>
      </c>
      <c r="I4535" s="5" t="s">
        <v>10510</v>
      </c>
      <c r="J4535" s="12" t="str">
        <f>HYPERLINK("https://www.boe.es/gazeta/dias/1800/05/16/pdfs/GMD-1800-39.pdf#page=12","Abrir facsímil")</f>
        <v>Abrir facsímil</v>
      </c>
      <c r="K4535" s="15" t="s">
        <v>23</v>
      </c>
    </row>
    <row r="4536" spans="1:11" ht="42" customHeight="1">
      <c r="A4536" s="4" t="s">
        <v>10511</v>
      </c>
      <c r="B4536" s="5" t="s">
        <v>10512</v>
      </c>
      <c r="C4536" s="5" t="s">
        <v>54</v>
      </c>
      <c r="D4536" s="5" t="s">
        <v>55</v>
      </c>
      <c r="E4536" s="5" t="s">
        <v>190</v>
      </c>
      <c r="F4536" s="9">
        <v>93</v>
      </c>
      <c r="G4536" s="9">
        <v>1068</v>
      </c>
      <c r="H4536" s="5" t="s">
        <v>21</v>
      </c>
      <c r="I4536" s="5" t="s">
        <v>10513</v>
      </c>
      <c r="J4536" s="12" t="str">
        <f>HYPERLINK("https://www.boe.es/gazeta/dias/1800/11/18/pdfs/GMD-1800-93.pdf#page=14","Abrir facsímil")</f>
        <v>Abrir facsímil</v>
      </c>
      <c r="K4536" s="15" t="s">
        <v>23</v>
      </c>
    </row>
    <row r="4537" spans="1:11" ht="42" customHeight="1">
      <c r="A4537" s="4" t="s">
        <v>10514</v>
      </c>
      <c r="B4537" s="5" t="s">
        <v>10515</v>
      </c>
      <c r="C4537" s="5" t="s">
        <v>18</v>
      </c>
      <c r="D4537" s="5" t="s">
        <v>19</v>
      </c>
      <c r="E4537" s="5" t="s">
        <v>314</v>
      </c>
      <c r="F4537" s="9">
        <v>74</v>
      </c>
      <c r="G4537" s="9">
        <v>824</v>
      </c>
      <c r="H4537" s="5" t="s">
        <v>21</v>
      </c>
      <c r="I4537" s="5" t="s">
        <v>10516</v>
      </c>
      <c r="J4537" s="12" t="str">
        <f>HYPERLINK("https://www.boe.es/gazeta/dias/1800/09/12/pdfs/GMD-1800-74.pdf#page=2","Abrir facsímil")</f>
        <v>Abrir facsímil</v>
      </c>
      <c r="K4537" s="15" t="s">
        <v>23</v>
      </c>
    </row>
    <row r="4538" spans="1:11" ht="42" customHeight="1">
      <c r="A4538" s="4" t="s">
        <v>10517</v>
      </c>
      <c r="B4538" s="5" t="s">
        <v>10517</v>
      </c>
      <c r="C4538" s="5" t="s">
        <v>18</v>
      </c>
      <c r="D4538" s="5" t="s">
        <v>19</v>
      </c>
      <c r="E4538" s="5" t="s">
        <v>422</v>
      </c>
      <c r="F4538" s="9">
        <v>85</v>
      </c>
      <c r="G4538" s="9">
        <v>985</v>
      </c>
      <c r="H4538" s="5" t="s">
        <v>21</v>
      </c>
      <c r="I4538" s="5" t="s">
        <v>10518</v>
      </c>
      <c r="J4538" s="12" t="str">
        <f>HYPERLINK("https://www.boe.es/gazeta/dias/1800/10/21/pdfs/GMD-1800-85.pdf#page=7","Abrir facsímil")</f>
        <v>Abrir facsímil</v>
      </c>
      <c r="K4538" s="15" t="s">
        <v>23</v>
      </c>
    </row>
    <row r="4539" spans="1:11" ht="42" customHeight="1">
      <c r="A4539" s="4" t="s">
        <v>10519</v>
      </c>
      <c r="B4539" s="5" t="s">
        <v>10520</v>
      </c>
      <c r="C4539" s="5" t="s">
        <v>18</v>
      </c>
      <c r="D4539" s="5" t="s">
        <v>19</v>
      </c>
      <c r="E4539" s="5" t="s">
        <v>39</v>
      </c>
      <c r="F4539" s="9">
        <v>43</v>
      </c>
      <c r="G4539" s="9">
        <v>449</v>
      </c>
      <c r="H4539" s="5" t="s">
        <v>21</v>
      </c>
      <c r="I4539" s="5" t="s">
        <v>10521</v>
      </c>
      <c r="J4539" s="12" t="str">
        <f>HYPERLINK("https://www.boe.es/gazeta/dias/1800/05/30/pdfs/GMD-1800-43.pdf#page=9","Abrir facsímil")</f>
        <v>Abrir facsímil</v>
      </c>
      <c r="K4539" s="15" t="s">
        <v>23</v>
      </c>
    </row>
    <row r="4540" spans="1:11" ht="42" customHeight="1">
      <c r="A4540" s="4" t="s">
        <v>10522</v>
      </c>
      <c r="B4540" s="5" t="s">
        <v>10523</v>
      </c>
      <c r="C4540" s="5" t="s">
        <v>18</v>
      </c>
      <c r="D4540" s="5" t="s">
        <v>19</v>
      </c>
      <c r="E4540" s="5" t="s">
        <v>162</v>
      </c>
      <c r="F4540" s="9">
        <v>15</v>
      </c>
      <c r="G4540" s="9">
        <v>142</v>
      </c>
      <c r="H4540" s="5" t="s">
        <v>21</v>
      </c>
      <c r="I4540" s="5" t="s">
        <v>10524</v>
      </c>
      <c r="J4540" s="12" t="str">
        <f>HYPERLINK("https://www.boe.es/gazeta/dias/1800/02/21/pdfs/GMD-1800-15.pdf#page=6","Abrir facsímil")</f>
        <v>Abrir facsímil</v>
      </c>
      <c r="K4540" s="15" t="s">
        <v>23</v>
      </c>
    </row>
    <row r="4541" spans="1:11" ht="42" customHeight="1">
      <c r="A4541" s="4" t="s">
        <v>10525</v>
      </c>
      <c r="B4541" s="5" t="s">
        <v>10526</v>
      </c>
      <c r="C4541" s="5" t="s">
        <v>18</v>
      </c>
      <c r="D4541" s="5" t="s">
        <v>19</v>
      </c>
      <c r="E4541" s="5" t="s">
        <v>583</v>
      </c>
      <c r="F4541" s="9">
        <v>77</v>
      </c>
      <c r="G4541" s="9">
        <v>879</v>
      </c>
      <c r="H4541" s="5" t="s">
        <v>21</v>
      </c>
      <c r="I4541" s="5" t="s">
        <v>10527</v>
      </c>
      <c r="J4541" s="12" t="str">
        <f>HYPERLINK("https://www.boe.es/gazeta/dias/1800/09/23/pdfs/GMD-1800-77.pdf#page=9","Abrir facsímil")</f>
        <v>Abrir facsímil</v>
      </c>
      <c r="K4541" s="15" t="s">
        <v>23</v>
      </c>
    </row>
    <row r="4542" spans="1:11" ht="42" customHeight="1">
      <c r="A4542" s="4" t="s">
        <v>10528</v>
      </c>
      <c r="B4542" s="5" t="s">
        <v>10528</v>
      </c>
      <c r="C4542" s="5" t="s">
        <v>207</v>
      </c>
      <c r="D4542" s="5" t="s">
        <v>55</v>
      </c>
      <c r="E4542" s="5" t="s">
        <v>299</v>
      </c>
      <c r="F4542" s="9">
        <v>40</v>
      </c>
      <c r="G4542" s="9">
        <v>412</v>
      </c>
      <c r="H4542" s="5" t="s">
        <v>21</v>
      </c>
      <c r="I4542" s="5" t="s">
        <v>10529</v>
      </c>
      <c r="J4542" s="12" t="str">
        <f>HYPERLINK("https://www.boe.es/gazeta/dias/1800/05/20/pdfs/GMD-1800-40.pdf#page=8","Abrir facsímil")</f>
        <v>Abrir facsímil</v>
      </c>
      <c r="K4542" s="15" t="s">
        <v>23</v>
      </c>
    </row>
    <row r="4543" spans="1:11" ht="42" customHeight="1">
      <c r="A4543" s="4" t="s">
        <v>10530</v>
      </c>
      <c r="B4543" s="5" t="s">
        <v>10530</v>
      </c>
      <c r="C4543" s="5" t="s">
        <v>18</v>
      </c>
      <c r="D4543" s="5" t="s">
        <v>19</v>
      </c>
      <c r="E4543" s="5" t="s">
        <v>420</v>
      </c>
      <c r="F4543" s="9">
        <v>38</v>
      </c>
      <c r="G4543" s="9">
        <v>388</v>
      </c>
      <c r="H4543" s="5" t="s">
        <v>21</v>
      </c>
      <c r="I4543" s="5" t="s">
        <v>10531</v>
      </c>
      <c r="J4543" s="12" t="str">
        <f>HYPERLINK("https://www.boe.es/gazeta/dias/1800/05/13/pdfs/GMD-1800-38.pdf#page=8","Abrir facsímil")</f>
        <v>Abrir facsímil</v>
      </c>
      <c r="K4543" s="15" t="s">
        <v>23</v>
      </c>
    </row>
    <row r="4544" spans="1:11" ht="42" customHeight="1">
      <c r="A4544" s="4" t="s">
        <v>10532</v>
      </c>
      <c r="B4544" s="5" t="s">
        <v>10533</v>
      </c>
      <c r="C4544" s="5" t="s">
        <v>18</v>
      </c>
      <c r="D4544" s="5" t="s">
        <v>19</v>
      </c>
      <c r="E4544" s="5" t="s">
        <v>90</v>
      </c>
      <c r="F4544" s="9">
        <v>58</v>
      </c>
      <c r="G4544" s="9">
        <v>663</v>
      </c>
      <c r="H4544" s="5" t="s">
        <v>21</v>
      </c>
      <c r="I4544" s="5" t="s">
        <v>10534</v>
      </c>
      <c r="J4544" s="12" t="str">
        <f>HYPERLINK("https://www.boe.es/gazeta/dias/1800/07/22/pdfs/GMD-1800-58.pdf#page=11","Abrir facsímil")</f>
        <v>Abrir facsímil</v>
      </c>
      <c r="K4544" s="15" t="s">
        <v>23</v>
      </c>
    </row>
    <row r="4545" spans="1:11" ht="42" customHeight="1">
      <c r="A4545" s="4" t="s">
        <v>10535</v>
      </c>
      <c r="B4545" s="5" t="s">
        <v>10536</v>
      </c>
      <c r="C4545" s="5" t="s">
        <v>18</v>
      </c>
      <c r="D4545" s="5" t="s">
        <v>19</v>
      </c>
      <c r="E4545" s="5" t="s">
        <v>583</v>
      </c>
      <c r="F4545" s="9">
        <v>77</v>
      </c>
      <c r="G4545" s="9">
        <v>878</v>
      </c>
      <c r="H4545" s="5" t="s">
        <v>21</v>
      </c>
      <c r="I4545" s="5" t="s">
        <v>10537</v>
      </c>
      <c r="J4545" s="12" t="str">
        <f>HYPERLINK("https://www.boe.es/gazeta/dias/1800/09/23/pdfs/GMD-1800-77.pdf#page=8","Abrir facsímil")</f>
        <v>Abrir facsímil</v>
      </c>
      <c r="K4545" s="15" t="s">
        <v>23</v>
      </c>
    </row>
    <row r="4546" spans="1:11" ht="42" customHeight="1">
      <c r="A4546" s="4" t="s">
        <v>10538</v>
      </c>
      <c r="B4546" s="5" t="s">
        <v>10538</v>
      </c>
      <c r="C4546" s="5" t="s">
        <v>18</v>
      </c>
      <c r="D4546" s="5" t="s">
        <v>19</v>
      </c>
      <c r="E4546" s="5" t="s">
        <v>673</v>
      </c>
      <c r="F4546" s="9">
        <v>89</v>
      </c>
      <c r="G4546" s="9">
        <v>1038</v>
      </c>
      <c r="H4546" s="5" t="s">
        <v>21</v>
      </c>
      <c r="I4546" s="5" t="s">
        <v>10539</v>
      </c>
      <c r="J4546" s="12" t="str">
        <f>HYPERLINK("https://www.boe.es/gazeta/dias/1800/11/04/pdfs/GMD-1800-89.pdf#page=4","Abrir facsímil")</f>
        <v>Abrir facsímil</v>
      </c>
      <c r="K4546" s="15" t="s">
        <v>23</v>
      </c>
    </row>
    <row r="4547" spans="1:11" ht="42" customHeight="1">
      <c r="A4547" s="4" t="s">
        <v>10540</v>
      </c>
      <c r="B4547" s="5" t="s">
        <v>10540</v>
      </c>
      <c r="C4547" s="5" t="s">
        <v>18</v>
      </c>
      <c r="D4547" s="5" t="s">
        <v>19</v>
      </c>
      <c r="E4547" s="5" t="s">
        <v>275</v>
      </c>
      <c r="F4547" s="9">
        <v>60</v>
      </c>
      <c r="G4547" s="9">
        <v>682</v>
      </c>
      <c r="H4547" s="5" t="s">
        <v>21</v>
      </c>
      <c r="I4547" s="5" t="s">
        <v>10541</v>
      </c>
      <c r="J4547" s="12" t="str">
        <f>HYPERLINK("https://www.boe.es/gazeta/dias/1800/07/29/pdfs/GMD-1800-60.pdf#page=2","Abrir facsímil")</f>
        <v>Abrir facsímil</v>
      </c>
      <c r="K4547" s="15" t="s">
        <v>23</v>
      </c>
    </row>
    <row r="4548" spans="1:11" ht="42" customHeight="1">
      <c r="A4548" s="4" t="s">
        <v>10540</v>
      </c>
      <c r="B4548" s="5" t="s">
        <v>10540</v>
      </c>
      <c r="C4548" s="5" t="s">
        <v>18</v>
      </c>
      <c r="D4548" s="5" t="s">
        <v>19</v>
      </c>
      <c r="E4548" s="5" t="s">
        <v>203</v>
      </c>
      <c r="F4548" s="9">
        <v>94</v>
      </c>
      <c r="G4548" s="9">
        <v>1073</v>
      </c>
      <c r="H4548" s="5" t="s">
        <v>21</v>
      </c>
      <c r="I4548" s="5" t="s">
        <v>10542</v>
      </c>
      <c r="J4548" s="12" t="str">
        <f>HYPERLINK("https://www.boe.es/gazeta/dias/1800/11/21/pdfs/GMD-1800-94.pdf#page=3","Abrir facsímil")</f>
        <v>Abrir facsímil</v>
      </c>
      <c r="K4548" s="15" t="s">
        <v>23</v>
      </c>
    </row>
    <row r="4549" spans="1:11" ht="42" customHeight="1">
      <c r="A4549" s="4" t="s">
        <v>10543</v>
      </c>
      <c r="B4549" s="5" t="s">
        <v>10544</v>
      </c>
      <c r="C4549" s="5" t="s">
        <v>54</v>
      </c>
      <c r="D4549" s="5" t="s">
        <v>55</v>
      </c>
      <c r="E4549" s="5" t="s">
        <v>406</v>
      </c>
      <c r="F4549" s="9">
        <v>44</v>
      </c>
      <c r="G4549" s="9">
        <v>455</v>
      </c>
      <c r="H4549" s="5" t="s">
        <v>21</v>
      </c>
      <c r="I4549" s="5" t="s">
        <v>10545</v>
      </c>
      <c r="J4549" s="12" t="str">
        <f>HYPERLINK("https://www.boe.es/gazeta/dias/1800/06/03/pdfs/GMD-1800-44.pdf#page=3","Abrir facsímil")</f>
        <v>Abrir facsímil</v>
      </c>
      <c r="K4549" s="15" t="s">
        <v>23</v>
      </c>
    </row>
    <row r="4550" spans="1:11" ht="42" customHeight="1">
      <c r="A4550" s="4" t="s">
        <v>10546</v>
      </c>
      <c r="B4550" s="5" t="s">
        <v>10547</v>
      </c>
      <c r="C4550" s="5" t="s">
        <v>41</v>
      </c>
      <c r="D4550" s="5" t="s">
        <v>42</v>
      </c>
      <c r="E4550" s="5" t="s">
        <v>226</v>
      </c>
      <c r="F4550" s="9">
        <v>27</v>
      </c>
      <c r="G4550" s="9">
        <v>275</v>
      </c>
      <c r="H4550" s="5" t="s">
        <v>21</v>
      </c>
      <c r="I4550" s="5" t="s">
        <v>10548</v>
      </c>
      <c r="J4550" s="12" t="str">
        <f>HYPERLINK("https://www.boe.es/gazeta/dias/1800/04/04/pdfs/GMD-1800-27.pdf#page=3","Abrir facsímil")</f>
        <v>Abrir facsímil</v>
      </c>
      <c r="K4550" s="15" t="s">
        <v>23</v>
      </c>
    </row>
    <row r="4551" spans="1:11" ht="42" customHeight="1">
      <c r="A4551" s="4" t="s">
        <v>10549</v>
      </c>
      <c r="B4551" s="5" t="s">
        <v>10549</v>
      </c>
      <c r="C4551" s="5" t="s">
        <v>18</v>
      </c>
      <c r="D4551" s="5" t="s">
        <v>19</v>
      </c>
      <c r="E4551" s="5" t="s">
        <v>825</v>
      </c>
      <c r="F4551" s="9">
        <v>51</v>
      </c>
      <c r="G4551" s="9">
        <v>553</v>
      </c>
      <c r="H4551" s="5" t="s">
        <v>21</v>
      </c>
      <c r="I4551" s="5" t="s">
        <v>10550</v>
      </c>
      <c r="J4551" s="12" t="str">
        <f>HYPERLINK("https://www.boe.es/gazeta/dias/1800/06/27/pdfs/GMD-1800-51.pdf#page=5","Abrir facsímil")</f>
        <v>Abrir facsímil</v>
      </c>
      <c r="K4551" s="15" t="s">
        <v>23</v>
      </c>
    </row>
    <row r="4552" spans="1:11" ht="42" customHeight="1">
      <c r="A4552" s="4" t="s">
        <v>10551</v>
      </c>
      <c r="B4552" s="5" t="s">
        <v>10552</v>
      </c>
      <c r="C4552" s="5" t="s">
        <v>41</v>
      </c>
      <c r="D4552" s="5" t="s">
        <v>42</v>
      </c>
      <c r="E4552" s="5" t="s">
        <v>1231</v>
      </c>
      <c r="F4552" s="9">
        <v>36</v>
      </c>
      <c r="G4552" s="9">
        <v>365</v>
      </c>
      <c r="H4552" s="5" t="s">
        <v>21</v>
      </c>
      <c r="I4552" s="5" t="s">
        <v>10553</v>
      </c>
      <c r="J4552" s="12" t="str">
        <f>HYPERLINK("https://www.boe.es/gazeta/dias/1800/05/06/pdfs/GMD-1800-36.pdf#page=9","Abrir facsímil")</f>
        <v>Abrir facsímil</v>
      </c>
      <c r="K4552" s="15" t="s">
        <v>23</v>
      </c>
    </row>
    <row r="4553" spans="1:11" ht="42" customHeight="1">
      <c r="A4553" s="4" t="s">
        <v>10554</v>
      </c>
      <c r="B4553" s="5" t="s">
        <v>10554</v>
      </c>
      <c r="C4553" s="5" t="s">
        <v>41</v>
      </c>
      <c r="D4553" s="5" t="s">
        <v>42</v>
      </c>
      <c r="E4553" s="5" t="s">
        <v>230</v>
      </c>
      <c r="F4553" s="9">
        <v>35</v>
      </c>
      <c r="G4553" s="9">
        <v>352</v>
      </c>
      <c r="H4553" s="5" t="s">
        <v>21</v>
      </c>
      <c r="I4553" s="5" t="s">
        <v>10555</v>
      </c>
      <c r="J4553" s="12" t="str">
        <f>HYPERLINK("https://www.boe.es/gazeta/dias/1800/05/02/pdfs/GMD-1800-35.pdf#page=4","Abrir facsímil")</f>
        <v>Abrir facsímil</v>
      </c>
      <c r="K4553" s="15" t="s">
        <v>23</v>
      </c>
    </row>
    <row r="4554" spans="1:11" ht="42" customHeight="1">
      <c r="A4554" s="4" t="s">
        <v>10556</v>
      </c>
      <c r="B4554" s="5" t="s">
        <v>10557</v>
      </c>
      <c r="C4554" s="5" t="s">
        <v>25</v>
      </c>
      <c r="D4554" s="5" t="s">
        <v>26</v>
      </c>
      <c r="E4554" s="5" t="s">
        <v>283</v>
      </c>
      <c r="F4554" s="9">
        <v>68</v>
      </c>
      <c r="G4554" s="9">
        <v>764</v>
      </c>
      <c r="H4554" s="5" t="s">
        <v>21</v>
      </c>
      <c r="I4554" s="5" t="s">
        <v>10558</v>
      </c>
      <c r="J4554" s="12" t="str">
        <f>HYPERLINK("https://www.boe.es/gazeta/dias/1800/08/26/pdfs/GMD-1800-68.pdf#page=8","Abrir facsímil")</f>
        <v>Abrir facsímil</v>
      </c>
      <c r="K4554" s="15" t="s">
        <v>23</v>
      </c>
    </row>
    <row r="4555" spans="1:11" ht="42" customHeight="1">
      <c r="A4555" s="4" t="s">
        <v>10559</v>
      </c>
      <c r="B4555" s="5" t="s">
        <v>10560</v>
      </c>
      <c r="C4555" s="5" t="s">
        <v>207</v>
      </c>
      <c r="D4555" s="5" t="s">
        <v>55</v>
      </c>
      <c r="E4555" s="5" t="s">
        <v>787</v>
      </c>
      <c r="F4555" s="9">
        <v>6</v>
      </c>
      <c r="G4555" s="9">
        <v>57</v>
      </c>
      <c r="H4555" s="5" t="s">
        <v>21</v>
      </c>
      <c r="I4555" s="5" t="s">
        <v>10561</v>
      </c>
      <c r="J4555" s="12" t="str">
        <f>HYPERLINK("https://www.boe.es/gazeta/dias/1800/01/21/pdfs/GMD-1800-6.pdf#page=9","Abrir facsímil")</f>
        <v>Abrir facsímil</v>
      </c>
      <c r="K4555" s="15" t="s">
        <v>23</v>
      </c>
    </row>
    <row r="4556" spans="1:11" ht="42" customHeight="1">
      <c r="A4556" s="4" t="s">
        <v>10562</v>
      </c>
      <c r="B4556" s="5" t="s">
        <v>10563</v>
      </c>
      <c r="C4556" s="5" t="s">
        <v>18</v>
      </c>
      <c r="D4556" s="5" t="s">
        <v>19</v>
      </c>
      <c r="E4556" s="5" t="s">
        <v>329</v>
      </c>
      <c r="F4556" s="9">
        <v>99</v>
      </c>
      <c r="G4556" s="9">
        <v>1138</v>
      </c>
      <c r="H4556" s="5" t="s">
        <v>21</v>
      </c>
      <c r="I4556" s="5" t="s">
        <v>10564</v>
      </c>
      <c r="J4556" s="12" t="str">
        <f>HYPERLINK("https://www.boe.es/gazeta/dias/1800/12/09/pdfs/GMD-1800-99.pdf#page=6","Abrir facsímil")</f>
        <v>Abrir facsímil</v>
      </c>
      <c r="K4556" s="15" t="s">
        <v>23</v>
      </c>
    </row>
    <row r="4557" spans="1:11" ht="42" customHeight="1">
      <c r="A4557" s="4" t="s">
        <v>10565</v>
      </c>
      <c r="B4557" s="5" t="s">
        <v>10566</v>
      </c>
      <c r="C4557" s="5" t="s">
        <v>84</v>
      </c>
      <c r="D4557" s="5" t="s">
        <v>85</v>
      </c>
      <c r="E4557" s="5" t="s">
        <v>75</v>
      </c>
      <c r="F4557" s="9">
        <v>64</v>
      </c>
      <c r="G4557" s="9">
        <v>735</v>
      </c>
      <c r="H4557" s="5" t="s">
        <v>21</v>
      </c>
      <c r="I4557" s="5" t="s">
        <v>10567</v>
      </c>
      <c r="J4557" s="12" t="str">
        <f>HYPERLINK("https://www.boe.es/gazeta/dias/1800/08/12/pdfs/GMD-1800-64.pdf#page=11","Abrir facsímil")</f>
        <v>Abrir facsímil</v>
      </c>
      <c r="K4557" s="15" t="s">
        <v>23</v>
      </c>
    </row>
    <row r="4558" spans="1:11" ht="42" customHeight="1">
      <c r="A4558" s="4" t="s">
        <v>10568</v>
      </c>
      <c r="B4558" s="5" t="s">
        <v>10569</v>
      </c>
      <c r="C4558" s="5" t="s">
        <v>18</v>
      </c>
      <c r="D4558" s="5" t="s">
        <v>19</v>
      </c>
      <c r="E4558" s="5" t="s">
        <v>314</v>
      </c>
      <c r="F4558" s="9">
        <v>74</v>
      </c>
      <c r="G4558" s="9">
        <v>832</v>
      </c>
      <c r="H4558" s="5" t="s">
        <v>21</v>
      </c>
      <c r="I4558" s="5" t="s">
        <v>10570</v>
      </c>
      <c r="J4558" s="12" t="str">
        <f>HYPERLINK("https://www.boe.es/gazeta/dias/1800/09/12/pdfs/GMD-1800-74.pdf#page=10","Abrir facsímil")</f>
        <v>Abrir facsímil</v>
      </c>
      <c r="K4558" s="15" t="s">
        <v>23</v>
      </c>
    </row>
    <row r="4559" spans="1:11" ht="42" customHeight="1">
      <c r="A4559" s="4" t="s">
        <v>10571</v>
      </c>
      <c r="B4559" s="5" t="s">
        <v>10572</v>
      </c>
      <c r="C4559" s="5" t="s">
        <v>84</v>
      </c>
      <c r="D4559" s="5" t="s">
        <v>85</v>
      </c>
      <c r="E4559" s="5" t="s">
        <v>787</v>
      </c>
      <c r="F4559" s="9">
        <v>6</v>
      </c>
      <c r="G4559" s="9">
        <v>56</v>
      </c>
      <c r="H4559" s="5" t="s">
        <v>21</v>
      </c>
      <c r="I4559" s="5" t="s">
        <v>10573</v>
      </c>
      <c r="J4559" s="12" t="str">
        <f>HYPERLINK("https://www.boe.es/gazeta/dias/1800/01/21/pdfs/GMD-1800-6.pdf#page=8","Abrir facsímil")</f>
        <v>Abrir facsímil</v>
      </c>
      <c r="K4559" s="15" t="s">
        <v>23</v>
      </c>
    </row>
    <row r="4560" spans="1:11" ht="42" customHeight="1">
      <c r="A4560" s="4" t="s">
        <v>10574</v>
      </c>
      <c r="B4560" s="5" t="s">
        <v>10575</v>
      </c>
      <c r="C4560" s="5" t="s">
        <v>114</v>
      </c>
      <c r="D4560" s="5" t="s">
        <v>115</v>
      </c>
      <c r="E4560" s="5" t="s">
        <v>116</v>
      </c>
      <c r="F4560" s="9">
        <v>86</v>
      </c>
      <c r="G4560" s="9" t="s">
        <v>117</v>
      </c>
      <c r="H4560" s="5" t="s">
        <v>21</v>
      </c>
      <c r="I4560" s="5" t="s">
        <v>10576</v>
      </c>
      <c r="J4560" s="12" t="str">
        <f>HYPERLINK("https://www.boe.es/gazeta/dias/1800/10/24/pdfs/GMD-D-1800-86.pdf#page=3","Abrir facsímil")</f>
        <v>Abrir facsímil</v>
      </c>
      <c r="K4560" s="15" t="s">
        <v>23</v>
      </c>
    </row>
    <row r="4561" spans="1:11" ht="42" customHeight="1">
      <c r="A4561" s="4" t="s">
        <v>10577</v>
      </c>
      <c r="B4561" s="5" t="s">
        <v>10578</v>
      </c>
      <c r="C4561" s="5" t="s">
        <v>171</v>
      </c>
      <c r="D4561" s="5" t="s">
        <v>172</v>
      </c>
      <c r="E4561" s="5" t="s">
        <v>595</v>
      </c>
      <c r="F4561" s="9">
        <v>72</v>
      </c>
      <c r="G4561" s="9">
        <v>801</v>
      </c>
      <c r="H4561" s="5" t="s">
        <v>21</v>
      </c>
      <c r="I4561" s="5" t="s">
        <v>10579</v>
      </c>
      <c r="J4561" s="12" t="str">
        <f>HYPERLINK("https://www.boe.es/gazeta/dias/1800/09/05/pdfs/GMD-C-1800-72.pdf#page=3","Abrir facsímil")</f>
        <v>Abrir facsímil</v>
      </c>
      <c r="K4561" s="15" t="s">
        <v>23</v>
      </c>
    </row>
    <row r="4562" spans="1:11" ht="42" customHeight="1">
      <c r="A4562" s="4" t="s">
        <v>10580</v>
      </c>
      <c r="B4562" s="5" t="s">
        <v>10581</v>
      </c>
      <c r="C4562" s="5" t="s">
        <v>18</v>
      </c>
      <c r="D4562" s="5" t="s">
        <v>19</v>
      </c>
      <c r="E4562" s="5" t="s">
        <v>420</v>
      </c>
      <c r="F4562" s="9">
        <v>38</v>
      </c>
      <c r="G4562" s="9">
        <v>388</v>
      </c>
      <c r="H4562" s="5" t="s">
        <v>21</v>
      </c>
      <c r="I4562" s="5" t="s">
        <v>10582</v>
      </c>
      <c r="J4562" s="12" t="str">
        <f>HYPERLINK("https://www.boe.es/gazeta/dias/1800/05/13/pdfs/GMD-1800-38.pdf#page=8","Abrir facsímil")</f>
        <v>Abrir facsímil</v>
      </c>
      <c r="K4562" s="15" t="s">
        <v>23</v>
      </c>
    </row>
    <row r="4563" spans="1:11" ht="42" customHeight="1">
      <c r="A4563" s="4" t="s">
        <v>10583</v>
      </c>
      <c r="B4563" s="5" t="s">
        <v>10584</v>
      </c>
      <c r="C4563" s="5" t="s">
        <v>18</v>
      </c>
      <c r="D4563" s="5" t="s">
        <v>19</v>
      </c>
      <c r="E4563" s="5" t="s">
        <v>190</v>
      </c>
      <c r="F4563" s="9">
        <v>93</v>
      </c>
      <c r="G4563" s="9">
        <v>1066</v>
      </c>
      <c r="H4563" s="5" t="s">
        <v>21</v>
      </c>
      <c r="I4563" s="5" t="s">
        <v>10585</v>
      </c>
      <c r="J4563" s="12" t="str">
        <f>HYPERLINK("https://www.boe.es/gazeta/dias/1800/11/18/pdfs/GMD-1800-93.pdf#page=12","Abrir facsímil")</f>
        <v>Abrir facsímil</v>
      </c>
      <c r="K4563" s="15" t="s">
        <v>23</v>
      </c>
    </row>
    <row r="4564" spans="1:11" ht="42" customHeight="1">
      <c r="A4564" s="4" t="s">
        <v>10586</v>
      </c>
      <c r="B4564" s="5" t="s">
        <v>10587</v>
      </c>
      <c r="C4564" s="5" t="s">
        <v>207</v>
      </c>
      <c r="D4564" s="5" t="s">
        <v>55</v>
      </c>
      <c r="E4564" s="5" t="s">
        <v>190</v>
      </c>
      <c r="F4564" s="9">
        <v>93</v>
      </c>
      <c r="G4564" s="9">
        <v>1066</v>
      </c>
      <c r="H4564" s="5" t="s">
        <v>21</v>
      </c>
      <c r="I4564" s="5" t="s">
        <v>10588</v>
      </c>
      <c r="J4564" s="12" t="str">
        <f>HYPERLINK("https://www.boe.es/gazeta/dias/1800/11/18/pdfs/GMD-1800-93.pdf#page=12","Abrir facsímil")</f>
        <v>Abrir facsímil</v>
      </c>
      <c r="K4564" s="15" t="s">
        <v>23</v>
      </c>
    </row>
    <row r="4565" spans="1:11" ht="42" customHeight="1">
      <c r="A4565" s="4" t="s">
        <v>10589</v>
      </c>
      <c r="B4565" s="5" t="s">
        <v>10590</v>
      </c>
      <c r="C4565" s="5" t="s">
        <v>18</v>
      </c>
      <c r="D4565" s="5" t="s">
        <v>19</v>
      </c>
      <c r="E4565" s="5" t="s">
        <v>420</v>
      </c>
      <c r="F4565" s="9">
        <v>38</v>
      </c>
      <c r="G4565" s="9">
        <v>388</v>
      </c>
      <c r="H4565" s="5" t="s">
        <v>21</v>
      </c>
      <c r="I4565" s="5" t="s">
        <v>10591</v>
      </c>
      <c r="J4565" s="12" t="str">
        <f>HYPERLINK("https://www.boe.es/gazeta/dias/1800/05/13/pdfs/GMD-1800-38.pdf#page=8","Abrir facsímil")</f>
        <v>Abrir facsímil</v>
      </c>
      <c r="K4565" s="15" t="s">
        <v>23</v>
      </c>
    </row>
    <row r="4566" spans="1:11" ht="42" customHeight="1">
      <c r="A4566" s="4" t="s">
        <v>10592</v>
      </c>
      <c r="B4566" s="5" t="s">
        <v>10593</v>
      </c>
      <c r="C4566" s="5" t="s">
        <v>18</v>
      </c>
      <c r="D4566" s="5" t="s">
        <v>19</v>
      </c>
      <c r="E4566" s="5" t="s">
        <v>101</v>
      </c>
      <c r="F4566" s="9">
        <v>37</v>
      </c>
      <c r="G4566" s="9">
        <v>377</v>
      </c>
      <c r="H4566" s="5" t="s">
        <v>21</v>
      </c>
      <c r="I4566" s="5" t="s">
        <v>10594</v>
      </c>
      <c r="J4566" s="12" t="str">
        <f>HYPERLINK("https://www.boe.es/gazeta/dias/1800/05/09/pdfs/GMD-1800-37.pdf#page=9","Abrir facsímil")</f>
        <v>Abrir facsímil</v>
      </c>
      <c r="K4566" s="15" t="s">
        <v>23</v>
      </c>
    </row>
    <row r="4567" spans="1:11" ht="42" customHeight="1">
      <c r="A4567" s="4" t="s">
        <v>10595</v>
      </c>
      <c r="B4567" s="5" t="s">
        <v>10596</v>
      </c>
      <c r="C4567" s="5" t="s">
        <v>41</v>
      </c>
      <c r="D4567" s="5" t="s">
        <v>42</v>
      </c>
      <c r="E4567" s="5" t="s">
        <v>244</v>
      </c>
      <c r="F4567" s="9">
        <v>9</v>
      </c>
      <c r="G4567" s="9">
        <v>81</v>
      </c>
      <c r="H4567" s="5" t="s">
        <v>21</v>
      </c>
      <c r="I4567" s="5" t="s">
        <v>10597</v>
      </c>
      <c r="J4567" s="12" t="str">
        <f>HYPERLINK("https://www.boe.es/gazeta/dias/1800/01/31/pdfs/GMD-1800-9.pdf#page=5","Abrir facsímil")</f>
        <v>Abrir facsímil</v>
      </c>
      <c r="K4567" s="15" t="s">
        <v>23</v>
      </c>
    </row>
    <row r="4568" spans="1:11" ht="42" customHeight="1">
      <c r="A4568" s="4" t="s">
        <v>10595</v>
      </c>
      <c r="B4568" s="5" t="s">
        <v>10596</v>
      </c>
      <c r="C4568" s="5" t="s">
        <v>18</v>
      </c>
      <c r="D4568" s="5" t="s">
        <v>19</v>
      </c>
      <c r="E4568" s="5" t="s">
        <v>828</v>
      </c>
      <c r="F4568" s="9">
        <v>53</v>
      </c>
      <c r="G4568" s="9">
        <v>589</v>
      </c>
      <c r="H4568" s="5" t="s">
        <v>21</v>
      </c>
      <c r="I4568" s="5" t="s">
        <v>10598</v>
      </c>
      <c r="J4568" s="12" t="str">
        <f>HYPERLINK("https://www.boe.es/gazeta/dias/1800/07/04/pdfs/GMD-1800-53.pdf#page=9","Abrir facsímil")</f>
        <v>Abrir facsímil</v>
      </c>
      <c r="K4568" s="15" t="s">
        <v>23</v>
      </c>
    </row>
    <row r="4569" spans="1:11" ht="42" customHeight="1">
      <c r="A4569" s="4" t="s">
        <v>10599</v>
      </c>
      <c r="B4569" s="5" t="s">
        <v>10599</v>
      </c>
      <c r="C4569" s="5" t="s">
        <v>41</v>
      </c>
      <c r="D4569" s="5" t="s">
        <v>42</v>
      </c>
      <c r="E4569" s="5" t="s">
        <v>615</v>
      </c>
      <c r="F4569" s="9">
        <v>95</v>
      </c>
      <c r="G4569" s="9">
        <v>1084</v>
      </c>
      <c r="H4569" s="5" t="s">
        <v>21</v>
      </c>
      <c r="I4569" s="5" t="s">
        <v>10600</v>
      </c>
      <c r="J4569" s="12" t="str">
        <f>HYPERLINK("https://www.boe.es/gazeta/dias/1800/11/25/pdfs/GMD-1800-95.pdf#page=2","Abrir facsímil")</f>
        <v>Abrir facsímil</v>
      </c>
      <c r="K4569" s="15" t="s">
        <v>23</v>
      </c>
    </row>
    <row r="4570" spans="1:11" ht="42" customHeight="1">
      <c r="A4570" s="4" t="s">
        <v>10601</v>
      </c>
      <c r="B4570" s="5" t="s">
        <v>10601</v>
      </c>
      <c r="C4570" s="5" t="s">
        <v>1035</v>
      </c>
      <c r="D4570" s="5" t="s">
        <v>1036</v>
      </c>
      <c r="E4570" s="5" t="s">
        <v>50</v>
      </c>
      <c r="F4570" s="9">
        <v>81</v>
      </c>
      <c r="G4570" s="9">
        <v>941</v>
      </c>
      <c r="H4570" s="5" t="s">
        <v>21</v>
      </c>
      <c r="I4570" s="5" t="s">
        <v>10602</v>
      </c>
      <c r="J4570" s="12" t="str">
        <f>HYPERLINK("https://www.boe.es/gazeta/dias/1800/10/07/pdfs/GMD-C-1800-81.pdf#page=23","Abrir facsímil")</f>
        <v>Abrir facsímil</v>
      </c>
      <c r="K4570" s="15" t="s">
        <v>23</v>
      </c>
    </row>
    <row r="4571" spans="1:11" ht="42" customHeight="1">
      <c r="A4571" s="4" t="s">
        <v>10603</v>
      </c>
      <c r="B4571" s="5" t="s">
        <v>10604</v>
      </c>
      <c r="C4571" s="5" t="s">
        <v>207</v>
      </c>
      <c r="D4571" s="5" t="s">
        <v>55</v>
      </c>
      <c r="E4571" s="5" t="s">
        <v>402</v>
      </c>
      <c r="F4571" s="9">
        <v>101</v>
      </c>
      <c r="G4571" s="9">
        <v>1173</v>
      </c>
      <c r="H4571" s="5" t="s">
        <v>21</v>
      </c>
      <c r="I4571" s="5" t="s">
        <v>10605</v>
      </c>
      <c r="J4571" s="12" t="str">
        <f>HYPERLINK("https://www.boe.es/gazeta/dias/1800/12/16/pdfs/GMD-1800-101.pdf#page=9","Abrir facsímil")</f>
        <v>Abrir facsímil</v>
      </c>
      <c r="K4571" s="15" t="s">
        <v>23</v>
      </c>
    </row>
    <row r="4572" spans="1:11" ht="42" customHeight="1">
      <c r="A4572" s="4" t="s">
        <v>10606</v>
      </c>
      <c r="B4572" s="5" t="s">
        <v>10607</v>
      </c>
      <c r="C4572" s="5" t="s">
        <v>207</v>
      </c>
      <c r="D4572" s="5" t="s">
        <v>55</v>
      </c>
      <c r="E4572" s="5" t="s">
        <v>68</v>
      </c>
      <c r="F4572" s="9">
        <v>67</v>
      </c>
      <c r="G4572" s="9">
        <v>755</v>
      </c>
      <c r="H4572" s="5" t="s">
        <v>21</v>
      </c>
      <c r="I4572" s="5" t="s">
        <v>10608</v>
      </c>
      <c r="J4572" s="12" t="str">
        <f>HYPERLINK("https://www.boe.es/gazeta/dias/1800/08/22/pdfs/GMD-1800-67.pdf#page=7","Abrir facsímil")</f>
        <v>Abrir facsímil</v>
      </c>
      <c r="K4572" s="15" t="s">
        <v>23</v>
      </c>
    </row>
    <row r="4573" spans="1:11" ht="42" customHeight="1">
      <c r="A4573" s="4" t="s">
        <v>10609</v>
      </c>
      <c r="B4573" s="5" t="s">
        <v>10610</v>
      </c>
      <c r="C4573" s="5" t="s">
        <v>18</v>
      </c>
      <c r="D4573" s="5" t="s">
        <v>19</v>
      </c>
      <c r="E4573" s="5" t="s">
        <v>154</v>
      </c>
      <c r="F4573" s="9">
        <v>61</v>
      </c>
      <c r="G4573" s="9">
        <v>697</v>
      </c>
      <c r="H4573" s="5" t="s">
        <v>21</v>
      </c>
      <c r="I4573" s="5" t="s">
        <v>10611</v>
      </c>
      <c r="J4573" s="12" t="str">
        <f>HYPERLINK("https://www.boe.es/gazeta/dias/1800/08/01/pdfs/GMD-1800-61.pdf#page=9","Abrir facsímil")</f>
        <v>Abrir facsímil</v>
      </c>
      <c r="K4573" s="15" t="s">
        <v>23</v>
      </c>
    </row>
    <row r="4574" spans="1:11" ht="42" customHeight="1">
      <c r="A4574" s="4" t="s">
        <v>10612</v>
      </c>
      <c r="B4574" s="5" t="s">
        <v>10613</v>
      </c>
      <c r="C4574" s="5" t="s">
        <v>18</v>
      </c>
      <c r="D4574" s="5" t="s">
        <v>19</v>
      </c>
      <c r="E4574" s="5" t="s">
        <v>139</v>
      </c>
      <c r="F4574" s="9">
        <v>2</v>
      </c>
      <c r="G4574" s="9">
        <v>17</v>
      </c>
      <c r="H4574" s="5" t="s">
        <v>21</v>
      </c>
      <c r="I4574" s="5" t="s">
        <v>10614</v>
      </c>
      <c r="J4574" s="12" t="str">
        <f>HYPERLINK("https://www.boe.es/gazeta/dias/1800/01/07/pdfs/GMD-1800-2.pdf#page=9","Abrir facsímil")</f>
        <v>Abrir facsímil</v>
      </c>
      <c r="K4574" s="15" t="s">
        <v>23</v>
      </c>
    </row>
    <row r="4575" spans="1:11" ht="42" customHeight="1">
      <c r="A4575" s="4" t="s">
        <v>10615</v>
      </c>
      <c r="B4575" s="5" t="s">
        <v>10616</v>
      </c>
      <c r="C4575" s="5" t="s">
        <v>84</v>
      </c>
      <c r="D4575" s="5" t="s">
        <v>85</v>
      </c>
      <c r="E4575" s="5" t="s">
        <v>545</v>
      </c>
      <c r="F4575" s="9">
        <v>14</v>
      </c>
      <c r="G4575" s="9">
        <v>136</v>
      </c>
      <c r="H4575" s="5" t="s">
        <v>21</v>
      </c>
      <c r="I4575" s="5" t="s">
        <v>10617</v>
      </c>
      <c r="J4575" s="12" t="str">
        <f>HYPERLINK("https://www.boe.es/gazeta/dias/1800/02/18/pdfs/GMD-1800-14.pdf#page=8","Abrir facsímil")</f>
        <v>Abrir facsímil</v>
      </c>
      <c r="K4575" s="15" t="s">
        <v>23</v>
      </c>
    </row>
    <row r="4576" spans="1:11" ht="42" customHeight="1">
      <c r="A4576" s="4" t="s">
        <v>10618</v>
      </c>
      <c r="B4576" s="5" t="s">
        <v>10619</v>
      </c>
      <c r="C4576" s="5" t="s">
        <v>25</v>
      </c>
      <c r="D4576" s="5" t="s">
        <v>26</v>
      </c>
      <c r="E4576" s="5" t="s">
        <v>135</v>
      </c>
      <c r="F4576" s="9">
        <v>73</v>
      </c>
      <c r="G4576" s="9">
        <v>818</v>
      </c>
      <c r="H4576" s="5" t="s">
        <v>21</v>
      </c>
      <c r="I4576" s="5" t="s">
        <v>10620</v>
      </c>
      <c r="J4576" s="12" t="str">
        <f>HYPERLINK("https://www.boe.es/gazeta/dias/1800/09/09/pdfs/GMD-1800-73.pdf#page=12","Abrir facsímil")</f>
        <v>Abrir facsímil</v>
      </c>
      <c r="K4576" s="15" t="s">
        <v>23</v>
      </c>
    </row>
    <row r="4577" spans="1:11" ht="42" customHeight="1">
      <c r="A4577" s="4" t="s">
        <v>10621</v>
      </c>
      <c r="B4577" s="5" t="s">
        <v>10622</v>
      </c>
      <c r="C4577" s="5" t="s">
        <v>207</v>
      </c>
      <c r="D4577" s="5" t="s">
        <v>55</v>
      </c>
      <c r="E4577" s="5" t="s">
        <v>329</v>
      </c>
      <c r="F4577" s="9">
        <v>99</v>
      </c>
      <c r="G4577" s="9">
        <v>1138</v>
      </c>
      <c r="H4577" s="5" t="s">
        <v>21</v>
      </c>
      <c r="I4577" s="5" t="s">
        <v>10623</v>
      </c>
      <c r="J4577" s="12" t="str">
        <f>HYPERLINK("https://www.boe.es/gazeta/dias/1800/12/09/pdfs/GMD-1800-99.pdf#page=6","Abrir facsímil")</f>
        <v>Abrir facsímil</v>
      </c>
      <c r="K4577" s="15" t="s">
        <v>23</v>
      </c>
    </row>
    <row r="4578" spans="1:11" ht="42" customHeight="1">
      <c r="A4578" s="4" t="s">
        <v>10624</v>
      </c>
      <c r="B4578" s="5" t="s">
        <v>10625</v>
      </c>
      <c r="C4578" s="5" t="s">
        <v>25</v>
      </c>
      <c r="D4578" s="5" t="s">
        <v>26</v>
      </c>
      <c r="E4578" s="5" t="s">
        <v>240</v>
      </c>
      <c r="F4578" s="9">
        <v>26</v>
      </c>
      <c r="G4578" s="9">
        <v>271</v>
      </c>
      <c r="H4578" s="5" t="s">
        <v>21</v>
      </c>
      <c r="I4578" s="5" t="s">
        <v>10626</v>
      </c>
      <c r="J4578" s="12" t="str">
        <f>HYPERLINK("https://www.boe.es/gazeta/dias/1800/04/01/pdfs/GMD-1800-26.pdf#page=11","Abrir facsímil")</f>
        <v>Abrir facsímil</v>
      </c>
      <c r="K4578" s="15" t="s">
        <v>23</v>
      </c>
    </row>
    <row r="4579" spans="1:11" ht="42" customHeight="1">
      <c r="A4579" s="4" t="s">
        <v>10627</v>
      </c>
      <c r="B4579" s="5" t="s">
        <v>10628</v>
      </c>
      <c r="C4579" s="5" t="s">
        <v>25</v>
      </c>
      <c r="D4579" s="5" t="s">
        <v>26</v>
      </c>
      <c r="E4579" s="5" t="s">
        <v>101</v>
      </c>
      <c r="F4579" s="9">
        <v>37</v>
      </c>
      <c r="G4579" s="9">
        <v>378</v>
      </c>
      <c r="H4579" s="5" t="s">
        <v>21</v>
      </c>
      <c r="I4579" s="5" t="s">
        <v>10629</v>
      </c>
      <c r="J4579" s="12" t="str">
        <f>HYPERLINK("https://www.boe.es/gazeta/dias/1800/05/09/pdfs/GMD-1800-37.pdf#page=10","Abrir facsímil")</f>
        <v>Abrir facsímil</v>
      </c>
      <c r="K4579" s="15" t="s">
        <v>23</v>
      </c>
    </row>
    <row r="4580" spans="1:11" ht="42" customHeight="1">
      <c r="A4580" s="4" t="s">
        <v>10630</v>
      </c>
      <c r="B4580" s="5" t="s">
        <v>10631</v>
      </c>
      <c r="C4580" s="5" t="s">
        <v>25</v>
      </c>
      <c r="D4580" s="5" t="s">
        <v>26</v>
      </c>
      <c r="E4580" s="5" t="s">
        <v>45</v>
      </c>
      <c r="F4580" s="9">
        <v>47</v>
      </c>
      <c r="G4580" s="9">
        <v>502</v>
      </c>
      <c r="H4580" s="5" t="s">
        <v>21</v>
      </c>
      <c r="I4580" s="5" t="s">
        <v>10632</v>
      </c>
      <c r="J4580" s="12" t="str">
        <f>HYPERLINK("https://www.boe.es/gazeta/dias/1800/06/13/pdfs/GMD-1800-47.pdf#page=10","Abrir facsímil")</f>
        <v>Abrir facsímil</v>
      </c>
      <c r="K4580" s="15" t="s">
        <v>23</v>
      </c>
    </row>
    <row r="4581" spans="1:11" ht="42" customHeight="1">
      <c r="A4581" s="4" t="s">
        <v>10633</v>
      </c>
      <c r="B4581" s="5" t="s">
        <v>10634</v>
      </c>
      <c r="C4581" s="5" t="s">
        <v>41</v>
      </c>
      <c r="D4581" s="5" t="s">
        <v>42</v>
      </c>
      <c r="E4581" s="5" t="s">
        <v>52</v>
      </c>
      <c r="F4581" s="9">
        <v>83</v>
      </c>
      <c r="G4581" s="9">
        <v>955</v>
      </c>
      <c r="H4581" s="5" t="s">
        <v>21</v>
      </c>
      <c r="I4581" s="5" t="s">
        <v>10635</v>
      </c>
      <c r="J4581" s="12" t="str">
        <f>HYPERLINK("https://www.boe.es/gazeta/dias/1800/10/14/pdfs/GMD-1800-83.pdf#page=1","Abrir facsímil")</f>
        <v>Abrir facsímil</v>
      </c>
      <c r="K4581" s="15" t="s">
        <v>23</v>
      </c>
    </row>
    <row r="4582" spans="1:11" ht="42" customHeight="1">
      <c r="A4582" s="4" t="s">
        <v>10636</v>
      </c>
      <c r="B4582" s="5" t="s">
        <v>10637</v>
      </c>
      <c r="C4582" s="5" t="s">
        <v>207</v>
      </c>
      <c r="D4582" s="5" t="s">
        <v>55</v>
      </c>
      <c r="E4582" s="5" t="s">
        <v>31</v>
      </c>
      <c r="F4582" s="9">
        <v>20</v>
      </c>
      <c r="G4582" s="9">
        <v>191</v>
      </c>
      <c r="H4582" s="5" t="s">
        <v>21</v>
      </c>
      <c r="I4582" s="5" t="s">
        <v>10638</v>
      </c>
      <c r="J4582" s="12" t="str">
        <f>HYPERLINK("https://www.boe.es/gazeta/dias/1800/03/11/pdfs/GMD-1800-20.pdf#page=7","Abrir facsímil")</f>
        <v>Abrir facsímil</v>
      </c>
      <c r="K4582" s="15" t="s">
        <v>23</v>
      </c>
    </row>
    <row r="4583" spans="1:11" ht="42" customHeight="1">
      <c r="A4583" s="4" t="s">
        <v>10639</v>
      </c>
      <c r="B4583" s="5" t="s">
        <v>10640</v>
      </c>
      <c r="C4583" s="5" t="s">
        <v>18</v>
      </c>
      <c r="D4583" s="5" t="s">
        <v>19</v>
      </c>
      <c r="E4583" s="5" t="s">
        <v>196</v>
      </c>
      <c r="F4583" s="9">
        <v>97</v>
      </c>
      <c r="G4583" s="9">
        <v>1117</v>
      </c>
      <c r="H4583" s="5" t="s">
        <v>21</v>
      </c>
      <c r="I4583" s="5" t="s">
        <v>10641</v>
      </c>
      <c r="J4583" s="12" t="str">
        <f>HYPERLINK("https://www.boe.es/gazeta/dias/1800/12/02/pdfs/GMD-1800-97.pdf#page=9","Abrir facsímil")</f>
        <v>Abrir facsímil</v>
      </c>
      <c r="K4583" s="15" t="s">
        <v>23</v>
      </c>
    </row>
    <row r="4584" spans="1:11" ht="42" customHeight="1">
      <c r="A4584" s="4" t="s">
        <v>10642</v>
      </c>
      <c r="B4584" s="5" t="s">
        <v>10643</v>
      </c>
      <c r="C4584" s="5" t="s">
        <v>18</v>
      </c>
      <c r="D4584" s="5" t="s">
        <v>19</v>
      </c>
      <c r="E4584" s="5" t="s">
        <v>598</v>
      </c>
      <c r="F4584" s="9">
        <v>32</v>
      </c>
      <c r="G4584" s="9">
        <v>322</v>
      </c>
      <c r="H4584" s="5" t="s">
        <v>21</v>
      </c>
      <c r="I4584" s="5" t="s">
        <v>10644</v>
      </c>
      <c r="J4584" s="12" t="str">
        <f>HYPERLINK("https://www.boe.es/gazeta/dias/1800/04/22/pdfs/GMD-1800-32.pdf#page=6","Abrir facsímil")</f>
        <v>Abrir facsímil</v>
      </c>
      <c r="K4584" s="15" t="s">
        <v>23</v>
      </c>
    </row>
    <row r="4585" spans="1:11" ht="42" customHeight="1">
      <c r="A4585" s="4" t="s">
        <v>10645</v>
      </c>
      <c r="B4585" s="5" t="s">
        <v>10646</v>
      </c>
      <c r="C4585" s="5" t="s">
        <v>84</v>
      </c>
      <c r="D4585" s="5" t="s">
        <v>85</v>
      </c>
      <c r="E4585" s="5" t="s">
        <v>230</v>
      </c>
      <c r="F4585" s="9">
        <v>35</v>
      </c>
      <c r="G4585" s="9">
        <v>356</v>
      </c>
      <c r="H4585" s="5" t="s">
        <v>21</v>
      </c>
      <c r="I4585" s="5" t="s">
        <v>10647</v>
      </c>
      <c r="J4585" s="12" t="str">
        <f>HYPERLINK("https://www.boe.es/gazeta/dias/1800/05/02/pdfs/GMD-1800-35.pdf#page=8","Abrir facsímil")</f>
        <v>Abrir facsímil</v>
      </c>
      <c r="K4585" s="15" t="s">
        <v>23</v>
      </c>
    </row>
    <row r="4586" spans="1:11" ht="42" customHeight="1">
      <c r="A4586" s="4" t="s">
        <v>10648</v>
      </c>
      <c r="B4586" s="5" t="s">
        <v>10649</v>
      </c>
      <c r="C4586" s="5" t="s">
        <v>54</v>
      </c>
      <c r="D4586" s="5" t="s">
        <v>55</v>
      </c>
      <c r="E4586" s="5" t="s">
        <v>545</v>
      </c>
      <c r="F4586" s="9">
        <v>14</v>
      </c>
      <c r="G4586" s="9">
        <v>135</v>
      </c>
      <c r="H4586" s="5" t="s">
        <v>21</v>
      </c>
      <c r="I4586" s="5" t="s">
        <v>10650</v>
      </c>
      <c r="J4586" s="12" t="str">
        <f>HYPERLINK("https://www.boe.es/gazeta/dias/1800/02/18/pdfs/GMD-1800-14.pdf#page=7","Abrir facsímil")</f>
        <v>Abrir facsímil</v>
      </c>
      <c r="K4586" s="15" t="s">
        <v>23</v>
      </c>
    </row>
    <row r="4587" spans="1:11" ht="42" customHeight="1">
      <c r="A4587" s="4" t="s">
        <v>10648</v>
      </c>
      <c r="B4587" s="5" t="s">
        <v>10649</v>
      </c>
      <c r="C4587" s="5" t="s">
        <v>171</v>
      </c>
      <c r="D4587" s="5" t="s">
        <v>172</v>
      </c>
      <c r="E4587" s="5" t="s">
        <v>45</v>
      </c>
      <c r="F4587" s="9">
        <v>47</v>
      </c>
      <c r="G4587" s="9">
        <v>508</v>
      </c>
      <c r="H4587" s="5" t="s">
        <v>21</v>
      </c>
      <c r="I4587" s="5" t="s">
        <v>10651</v>
      </c>
      <c r="J4587" s="12" t="str">
        <f>HYPERLINK("https://www.boe.es/gazeta/dias/1800/06/13/pdfs/GMD-C-1800-47.pdf#page=4","Abrir facsímil")</f>
        <v>Abrir facsímil</v>
      </c>
      <c r="K4587" s="15" t="s">
        <v>23</v>
      </c>
    </row>
    <row r="4588" spans="1:11" ht="42" customHeight="1">
      <c r="A4588" s="4" t="s">
        <v>10648</v>
      </c>
      <c r="B4588" s="5" t="s">
        <v>10649</v>
      </c>
      <c r="C4588" s="5" t="s">
        <v>171</v>
      </c>
      <c r="D4588" s="5" t="s">
        <v>172</v>
      </c>
      <c r="E4588" s="5" t="s">
        <v>828</v>
      </c>
      <c r="F4588" s="9">
        <v>53</v>
      </c>
      <c r="G4588" s="9">
        <v>596</v>
      </c>
      <c r="H4588" s="5" t="s">
        <v>21</v>
      </c>
      <c r="I4588" s="5" t="s">
        <v>10652</v>
      </c>
      <c r="J4588" s="12" t="str">
        <f>HYPERLINK("https://www.boe.es/gazeta/dias/1800/07/04/pdfs/GMD-C-1800-53.pdf#page=4","Abrir facsímil")</f>
        <v>Abrir facsímil</v>
      </c>
      <c r="K4588" s="15" t="s">
        <v>23</v>
      </c>
    </row>
    <row r="4589" spans="1:11" ht="42" customHeight="1">
      <c r="A4589" s="4" t="s">
        <v>10648</v>
      </c>
      <c r="B4589" s="5" t="s">
        <v>10649</v>
      </c>
      <c r="C4589" s="5" t="s">
        <v>171</v>
      </c>
      <c r="D4589" s="5" t="s">
        <v>172</v>
      </c>
      <c r="E4589" s="5" t="s">
        <v>64</v>
      </c>
      <c r="F4589" s="9">
        <v>54</v>
      </c>
      <c r="G4589" s="9">
        <v>611</v>
      </c>
      <c r="H4589" s="5" t="s">
        <v>21</v>
      </c>
      <c r="I4589" s="5" t="s">
        <v>10653</v>
      </c>
      <c r="J4589" s="12" t="str">
        <f>HYPERLINK("https://www.boe.es/gazeta/dias/1800/07/08/pdfs/GMD-C-1800-54.pdf#page=3","Abrir facsímil")</f>
        <v>Abrir facsímil</v>
      </c>
      <c r="K4589" s="15" t="s">
        <v>23</v>
      </c>
    </row>
    <row r="4590" spans="1:11" ht="42" customHeight="1">
      <c r="A4590" s="4" t="s">
        <v>10654</v>
      </c>
      <c r="B4590" s="5" t="s">
        <v>10655</v>
      </c>
      <c r="C4590" s="5" t="s">
        <v>171</v>
      </c>
      <c r="D4590" s="5" t="s">
        <v>172</v>
      </c>
      <c r="E4590" s="5" t="s">
        <v>595</v>
      </c>
      <c r="F4590" s="9">
        <v>72</v>
      </c>
      <c r="G4590" s="9">
        <v>805</v>
      </c>
      <c r="H4590" s="5" t="s">
        <v>21</v>
      </c>
      <c r="I4590" s="5" t="s">
        <v>10656</v>
      </c>
      <c r="J4590" s="12" t="str">
        <f>HYPERLINK("https://www.boe.es/gazeta/dias/1800/09/05/pdfs/GMD-C-1800-72.pdf#page=7","Abrir facsímil")</f>
        <v>Abrir facsímil</v>
      </c>
      <c r="K4590" s="15" t="s">
        <v>23</v>
      </c>
    </row>
    <row r="4591" spans="1:11" ht="42" customHeight="1">
      <c r="A4591" s="4" t="s">
        <v>10657</v>
      </c>
      <c r="B4591" s="5" t="s">
        <v>10658</v>
      </c>
      <c r="C4591" s="5" t="s">
        <v>171</v>
      </c>
      <c r="D4591" s="5" t="s">
        <v>172</v>
      </c>
      <c r="E4591" s="5" t="s">
        <v>116</v>
      </c>
      <c r="F4591" s="9">
        <v>86</v>
      </c>
      <c r="G4591" s="9">
        <v>1002</v>
      </c>
      <c r="H4591" s="5" t="s">
        <v>21</v>
      </c>
      <c r="I4591" s="5" t="s">
        <v>10659</v>
      </c>
      <c r="J4591" s="12" t="str">
        <f>HYPERLINK("https://www.boe.es/gazeta/dias/1800/10/24/pdfs/GMD-C-1800-86.pdf#page=4","Abrir facsímil")</f>
        <v>Abrir facsímil</v>
      </c>
      <c r="K4591" s="15" t="s">
        <v>23</v>
      </c>
    </row>
    <row r="4592" spans="1:11" ht="42" customHeight="1">
      <c r="A4592" s="4" t="s">
        <v>10660</v>
      </c>
      <c r="B4592" s="5" t="s">
        <v>10661</v>
      </c>
      <c r="C4592" s="5" t="s">
        <v>25</v>
      </c>
      <c r="D4592" s="5" t="s">
        <v>26</v>
      </c>
      <c r="E4592" s="5" t="s">
        <v>48</v>
      </c>
      <c r="F4592" s="9">
        <v>66</v>
      </c>
      <c r="G4592" s="9">
        <v>747</v>
      </c>
      <c r="H4592" s="5" t="s">
        <v>21</v>
      </c>
      <c r="I4592" s="5" t="s">
        <v>10662</v>
      </c>
      <c r="J4592" s="12" t="str">
        <f>HYPERLINK("https://www.boe.es/gazeta/dias/1800/08/19/pdfs/GMD-1800-66.pdf#page=11","Abrir facsímil")</f>
        <v>Abrir facsímil</v>
      </c>
      <c r="K4592" s="15" t="s">
        <v>23</v>
      </c>
    </row>
    <row r="4593" spans="1:11" ht="42" customHeight="1">
      <c r="A4593" s="4" t="s">
        <v>10663</v>
      </c>
      <c r="B4593" s="5" t="s">
        <v>10664</v>
      </c>
      <c r="C4593" s="5" t="s">
        <v>84</v>
      </c>
      <c r="D4593" s="5" t="s">
        <v>85</v>
      </c>
      <c r="E4593" s="5" t="s">
        <v>143</v>
      </c>
      <c r="F4593" s="9">
        <v>22</v>
      </c>
      <c r="G4593" s="9">
        <v>218</v>
      </c>
      <c r="H4593" s="5" t="s">
        <v>21</v>
      </c>
      <c r="I4593" s="5" t="s">
        <v>10665</v>
      </c>
      <c r="J4593" s="12" t="str">
        <f>HYPERLINK("https://www.boe.es/gazeta/dias/1800/03/18/pdfs/GMD-1800-22.pdf#page=10","Abrir facsímil")</f>
        <v>Abrir facsímil</v>
      </c>
      <c r="K4593" s="15" t="s">
        <v>23</v>
      </c>
    </row>
    <row r="4594" spans="1:11" ht="42" customHeight="1">
      <c r="A4594" s="4" t="s">
        <v>10666</v>
      </c>
      <c r="B4594" s="5" t="s">
        <v>10667</v>
      </c>
      <c r="C4594" s="5" t="s">
        <v>18</v>
      </c>
      <c r="D4594" s="5" t="s">
        <v>19</v>
      </c>
      <c r="E4594" s="5" t="s">
        <v>131</v>
      </c>
      <c r="F4594" s="9">
        <v>8</v>
      </c>
      <c r="G4594" s="9">
        <v>76</v>
      </c>
      <c r="H4594" s="5" t="s">
        <v>21</v>
      </c>
      <c r="I4594" s="5" t="s">
        <v>10668</v>
      </c>
      <c r="J4594" s="12" t="str">
        <f>HYPERLINK("https://www.boe.es/gazeta/dias/1800/01/28/pdfs/GMD-1800-8.pdf#page=8","Abrir facsímil")</f>
        <v>Abrir facsímil</v>
      </c>
      <c r="K4594" s="15" t="s">
        <v>23</v>
      </c>
    </row>
    <row r="4595" spans="1:11" ht="42" customHeight="1">
      <c r="A4595" s="4" t="s">
        <v>10666</v>
      </c>
      <c r="B4595" s="5" t="s">
        <v>10667</v>
      </c>
      <c r="C4595" s="5" t="s">
        <v>18</v>
      </c>
      <c r="D4595" s="5" t="s">
        <v>19</v>
      </c>
      <c r="E4595" s="5" t="s">
        <v>124</v>
      </c>
      <c r="F4595" s="9">
        <v>16</v>
      </c>
      <c r="G4595" s="9">
        <v>152</v>
      </c>
      <c r="H4595" s="5" t="s">
        <v>21</v>
      </c>
      <c r="I4595" s="5" t="s">
        <v>10669</v>
      </c>
      <c r="J4595" s="12" t="str">
        <f>HYPERLINK("https://www.boe.es/gazeta/dias/1800/02/25/pdfs/GMD-1800-16.pdf#page=8","Abrir facsímil")</f>
        <v>Abrir facsímil</v>
      </c>
      <c r="K4595" s="15" t="s">
        <v>23</v>
      </c>
    </row>
    <row r="4596" spans="1:11" ht="42" customHeight="1">
      <c r="A4596" s="4" t="s">
        <v>10666</v>
      </c>
      <c r="B4596" s="5" t="s">
        <v>10667</v>
      </c>
      <c r="C4596" s="5" t="s">
        <v>54</v>
      </c>
      <c r="D4596" s="5" t="s">
        <v>55</v>
      </c>
      <c r="E4596" s="5" t="s">
        <v>530</v>
      </c>
      <c r="F4596" s="9">
        <v>55</v>
      </c>
      <c r="G4596" s="9">
        <v>622</v>
      </c>
      <c r="H4596" s="5" t="s">
        <v>21</v>
      </c>
      <c r="I4596" s="5" t="s">
        <v>10670</v>
      </c>
      <c r="J4596" s="12" t="str">
        <f>HYPERLINK("https://www.boe.es/gazeta/dias/1800/07/11/pdfs/GMD-1800-55.pdf#page=10","Abrir facsímil")</f>
        <v>Abrir facsímil</v>
      </c>
      <c r="K4596" s="15" t="s">
        <v>23</v>
      </c>
    </row>
    <row r="4597" spans="1:11" ht="42" customHeight="1">
      <c r="A4597" s="4" t="s">
        <v>10666</v>
      </c>
      <c r="B4597" s="5" t="s">
        <v>10667</v>
      </c>
      <c r="C4597" s="5" t="s">
        <v>54</v>
      </c>
      <c r="D4597" s="5" t="s">
        <v>55</v>
      </c>
      <c r="E4597" s="5" t="s">
        <v>454</v>
      </c>
      <c r="F4597" s="9">
        <v>63</v>
      </c>
      <c r="G4597" s="9">
        <v>723</v>
      </c>
      <c r="H4597" s="5" t="s">
        <v>21</v>
      </c>
      <c r="I4597" s="5" t="s">
        <v>10671</v>
      </c>
      <c r="J4597" s="12" t="str">
        <f>HYPERLINK("https://www.boe.es/gazeta/dias/1800/08/08/pdfs/GMD-1800-63.pdf#page=11","Abrir facsímil")</f>
        <v>Abrir facsímil</v>
      </c>
      <c r="K4597" s="15" t="s">
        <v>23</v>
      </c>
    </row>
    <row r="4598" spans="1:11" ht="42" customHeight="1">
      <c r="A4598" s="4" t="s">
        <v>10666</v>
      </c>
      <c r="B4598" s="5" t="s">
        <v>10667</v>
      </c>
      <c r="C4598" s="5" t="s">
        <v>171</v>
      </c>
      <c r="D4598" s="5" t="s">
        <v>172</v>
      </c>
      <c r="E4598" s="5" t="s">
        <v>147</v>
      </c>
      <c r="F4598" s="9">
        <v>84</v>
      </c>
      <c r="G4598" s="9">
        <v>975</v>
      </c>
      <c r="H4598" s="5" t="s">
        <v>21</v>
      </c>
      <c r="I4598" s="5" t="s">
        <v>10672</v>
      </c>
      <c r="J4598" s="12" t="str">
        <f>HYPERLINK("https://www.boe.es/gazeta/dias/1800/10/17/pdfs/GMD-C-1800-84.pdf#page=1","Abrir facsímil")</f>
        <v>Abrir facsímil</v>
      </c>
      <c r="K4598" s="15" t="s">
        <v>23</v>
      </c>
    </row>
    <row r="4599" spans="1:11" ht="42" customHeight="1">
      <c r="A4599" s="4" t="s">
        <v>10666</v>
      </c>
      <c r="B4599" s="5" t="s">
        <v>10667</v>
      </c>
      <c r="C4599" s="5" t="s">
        <v>54</v>
      </c>
      <c r="D4599" s="5" t="s">
        <v>55</v>
      </c>
      <c r="E4599" s="5" t="s">
        <v>445</v>
      </c>
      <c r="F4599" s="9">
        <v>96</v>
      </c>
      <c r="G4599" s="9">
        <v>1108</v>
      </c>
      <c r="H4599" s="5" t="s">
        <v>21</v>
      </c>
      <c r="I4599" s="5" t="s">
        <v>10673</v>
      </c>
      <c r="J4599" s="12" t="str">
        <f>HYPERLINK("https://www.boe.es/gazeta/dias/1800/11/28/pdfs/GMD-1800-96.pdf#page=12","Abrir facsímil")</f>
        <v>Abrir facsímil</v>
      </c>
      <c r="K4599" s="15" t="s">
        <v>23</v>
      </c>
    </row>
    <row r="4600" spans="1:11" ht="42" customHeight="1">
      <c r="A4600" s="4" t="s">
        <v>10674</v>
      </c>
      <c r="B4600" s="5" t="s">
        <v>10675</v>
      </c>
      <c r="C4600" s="5" t="s">
        <v>18</v>
      </c>
      <c r="D4600" s="5" t="s">
        <v>19</v>
      </c>
      <c r="E4600" s="5" t="s">
        <v>88</v>
      </c>
      <c r="F4600" s="9">
        <v>23</v>
      </c>
      <c r="G4600" s="9">
        <v>235</v>
      </c>
      <c r="H4600" s="5" t="s">
        <v>21</v>
      </c>
      <c r="I4600" s="5" t="s">
        <v>10676</v>
      </c>
      <c r="J4600" s="12" t="str">
        <f>HYPERLINK("https://www.boe.es/gazeta/dias/1800/03/21/pdfs/GMD-1800-23.pdf#page=11","Abrir facsímil")</f>
        <v>Abrir facsímil</v>
      </c>
      <c r="K4600" s="15" t="s">
        <v>23</v>
      </c>
    </row>
    <row r="4601" spans="1:11" ht="42" customHeight="1">
      <c r="A4601" s="4" t="s">
        <v>10677</v>
      </c>
      <c r="B4601" s="5" t="s">
        <v>10678</v>
      </c>
      <c r="C4601" s="5" t="s">
        <v>54</v>
      </c>
      <c r="D4601" s="5" t="s">
        <v>55</v>
      </c>
      <c r="E4601" s="5" t="s">
        <v>420</v>
      </c>
      <c r="F4601" s="9">
        <v>38</v>
      </c>
      <c r="G4601" s="9">
        <v>390</v>
      </c>
      <c r="H4601" s="5" t="s">
        <v>21</v>
      </c>
      <c r="I4601" s="5" t="s">
        <v>10679</v>
      </c>
      <c r="J4601" s="12" t="str">
        <f>HYPERLINK("https://www.boe.es/gazeta/dias/1800/05/13/pdfs/GMD-1800-38.pdf#page=10","Abrir facsímil")</f>
        <v>Abrir facsímil</v>
      </c>
      <c r="K4601" s="15" t="s">
        <v>23</v>
      </c>
    </row>
    <row r="4602" spans="1:11" ht="42" customHeight="1">
      <c r="A4602" s="4" t="s">
        <v>10680</v>
      </c>
      <c r="B4602" s="5" t="s">
        <v>10681</v>
      </c>
      <c r="C4602" s="5" t="s">
        <v>25</v>
      </c>
      <c r="D4602" s="5" t="s">
        <v>26</v>
      </c>
      <c r="E4602" s="5" t="s">
        <v>248</v>
      </c>
      <c r="F4602" s="9">
        <v>33</v>
      </c>
      <c r="G4602" s="9">
        <v>333</v>
      </c>
      <c r="H4602" s="5" t="s">
        <v>21</v>
      </c>
      <c r="I4602" s="5" t="s">
        <v>10682</v>
      </c>
      <c r="J4602" s="12" t="str">
        <f>HYPERLINK("https://www.boe.es/gazeta/dias/1800/04/25/pdfs/GMD-1800-33.pdf#page=9","Abrir facsímil")</f>
        <v>Abrir facsímil</v>
      </c>
      <c r="K4602" s="15" t="s">
        <v>23</v>
      </c>
    </row>
    <row r="4603" spans="1:11" ht="42" customHeight="1">
      <c r="A4603" s="4" t="s">
        <v>10683</v>
      </c>
      <c r="B4603" s="5" t="s">
        <v>10684</v>
      </c>
      <c r="C4603" s="5" t="s">
        <v>18</v>
      </c>
      <c r="D4603" s="5" t="s">
        <v>19</v>
      </c>
      <c r="E4603" s="5" t="s">
        <v>196</v>
      </c>
      <c r="F4603" s="9">
        <v>97</v>
      </c>
      <c r="G4603" s="9">
        <v>1117</v>
      </c>
      <c r="H4603" s="5" t="s">
        <v>21</v>
      </c>
      <c r="I4603" s="5" t="s">
        <v>10685</v>
      </c>
      <c r="J4603" s="12" t="str">
        <f>HYPERLINK("https://www.boe.es/gazeta/dias/1800/12/02/pdfs/GMD-1800-97.pdf#page=9","Abrir facsímil")</f>
        <v>Abrir facsímil</v>
      </c>
      <c r="K4603" s="15" t="s">
        <v>23</v>
      </c>
    </row>
    <row r="4604" spans="1:11" ht="42" customHeight="1">
      <c r="A4604" s="4" t="s">
        <v>10686</v>
      </c>
      <c r="B4604" s="5" t="s">
        <v>10687</v>
      </c>
      <c r="C4604" s="5" t="s">
        <v>18</v>
      </c>
      <c r="D4604" s="5" t="s">
        <v>19</v>
      </c>
      <c r="E4604" s="5" t="s">
        <v>139</v>
      </c>
      <c r="F4604" s="9">
        <v>2</v>
      </c>
      <c r="G4604" s="9">
        <v>17</v>
      </c>
      <c r="H4604" s="5" t="s">
        <v>21</v>
      </c>
      <c r="I4604" s="5" t="s">
        <v>10688</v>
      </c>
      <c r="J4604" s="12" t="str">
        <f>HYPERLINK("https://www.boe.es/gazeta/dias/1800/01/07/pdfs/GMD-1800-2.pdf#page=9","Abrir facsímil")</f>
        <v>Abrir facsímil</v>
      </c>
      <c r="K4604" s="15" t="s">
        <v>23</v>
      </c>
    </row>
    <row r="4605" spans="1:11" ht="42" customHeight="1">
      <c r="A4605" s="4" t="s">
        <v>10689</v>
      </c>
      <c r="B4605" s="5" t="s">
        <v>10690</v>
      </c>
      <c r="C4605" s="5" t="s">
        <v>18</v>
      </c>
      <c r="D4605" s="5" t="s">
        <v>19</v>
      </c>
      <c r="E4605" s="5" t="s">
        <v>196</v>
      </c>
      <c r="F4605" s="9">
        <v>97</v>
      </c>
      <c r="G4605" s="9">
        <v>1117</v>
      </c>
      <c r="H4605" s="5" t="s">
        <v>21</v>
      </c>
      <c r="I4605" s="5" t="s">
        <v>10691</v>
      </c>
      <c r="J4605" s="12" t="str">
        <f>HYPERLINK("https://www.boe.es/gazeta/dias/1800/12/02/pdfs/GMD-1800-97.pdf#page=9","Abrir facsímil")</f>
        <v>Abrir facsímil</v>
      </c>
      <c r="K4605" s="15" t="s">
        <v>23</v>
      </c>
    </row>
    <row r="4606" spans="1:11" ht="42" customHeight="1">
      <c r="A4606" s="4" t="s">
        <v>10692</v>
      </c>
      <c r="B4606" s="5" t="s">
        <v>10693</v>
      </c>
      <c r="C4606" s="5" t="s">
        <v>54</v>
      </c>
      <c r="D4606" s="5" t="s">
        <v>55</v>
      </c>
      <c r="E4606" s="5" t="s">
        <v>240</v>
      </c>
      <c r="F4606" s="9">
        <v>26</v>
      </c>
      <c r="G4606" s="9">
        <v>271</v>
      </c>
      <c r="H4606" s="5" t="s">
        <v>21</v>
      </c>
      <c r="I4606" s="5" t="s">
        <v>10694</v>
      </c>
      <c r="J4606" s="12" t="str">
        <f>HYPERLINK("https://www.boe.es/gazeta/dias/1800/04/01/pdfs/GMD-1800-26.pdf#page=11","Abrir facsímil")</f>
        <v>Abrir facsímil</v>
      </c>
      <c r="K4606" s="15" t="s">
        <v>23</v>
      </c>
    </row>
    <row r="4607" spans="1:11" ht="42" customHeight="1">
      <c r="A4607" s="4" t="s">
        <v>10692</v>
      </c>
      <c r="B4607" s="5" t="s">
        <v>10693</v>
      </c>
      <c r="C4607" s="5" t="s">
        <v>171</v>
      </c>
      <c r="D4607" s="5" t="s">
        <v>172</v>
      </c>
      <c r="E4607" s="5" t="s">
        <v>135</v>
      </c>
      <c r="F4607" s="9">
        <v>73</v>
      </c>
      <c r="G4607" s="9">
        <v>819</v>
      </c>
      <c r="H4607" s="5" t="s">
        <v>21</v>
      </c>
      <c r="I4607" s="5" t="s">
        <v>10695</v>
      </c>
      <c r="J4607" s="12" t="str">
        <f>HYPERLINK("https://www.boe.es/gazeta/dias/1800/09/09/pdfs/GMD-C-1800-73.pdf#page=1","Abrir facsímil")</f>
        <v>Abrir facsímil</v>
      </c>
      <c r="K4607" s="15" t="s">
        <v>23</v>
      </c>
    </row>
    <row r="4608" spans="1:11" ht="42" customHeight="1">
      <c r="A4608" s="4" t="s">
        <v>10696</v>
      </c>
      <c r="B4608" s="5" t="s">
        <v>10697</v>
      </c>
      <c r="C4608" s="5" t="s">
        <v>207</v>
      </c>
      <c r="D4608" s="5" t="s">
        <v>55</v>
      </c>
      <c r="E4608" s="5" t="s">
        <v>823</v>
      </c>
      <c r="F4608" s="9">
        <v>50</v>
      </c>
      <c r="G4608" s="9">
        <v>545</v>
      </c>
      <c r="H4608" s="5" t="s">
        <v>21</v>
      </c>
      <c r="I4608" s="5" t="s">
        <v>10698</v>
      </c>
      <c r="J4608" s="12" t="str">
        <f>HYPERLINK("https://www.boe.es/gazeta/dias/1800/06/24/pdfs/GMD-1800-50.pdf#page=9","Abrir facsímil")</f>
        <v>Abrir facsímil</v>
      </c>
      <c r="K4608" s="15" t="s">
        <v>23</v>
      </c>
    </row>
    <row r="4609" spans="1:11" ht="42" customHeight="1">
      <c r="A4609" s="4" t="s">
        <v>10699</v>
      </c>
      <c r="B4609" s="5" t="s">
        <v>10700</v>
      </c>
      <c r="C4609" s="5" t="s">
        <v>54</v>
      </c>
      <c r="D4609" s="5" t="s">
        <v>55</v>
      </c>
      <c r="E4609" s="5" t="s">
        <v>176</v>
      </c>
      <c r="F4609" s="9">
        <v>88</v>
      </c>
      <c r="G4609" s="9">
        <v>1033</v>
      </c>
      <c r="H4609" s="5" t="s">
        <v>21</v>
      </c>
      <c r="I4609" s="5" t="s">
        <v>10701</v>
      </c>
      <c r="J4609" s="12" t="str">
        <f>HYPERLINK("https://www.boe.es/gazeta/dias/1800/10/31/pdfs/GMD-1800-88.pdf#page=15","Abrir facsímil")</f>
        <v>Abrir facsímil</v>
      </c>
      <c r="K4609" s="15" t="s">
        <v>23</v>
      </c>
    </row>
    <row r="4610" spans="1:11" ht="42" customHeight="1">
      <c r="A4610" s="4" t="s">
        <v>10702</v>
      </c>
      <c r="B4610" s="5" t="s">
        <v>10703</v>
      </c>
      <c r="C4610" s="5" t="s">
        <v>18</v>
      </c>
      <c r="D4610" s="5" t="s">
        <v>19</v>
      </c>
      <c r="E4610" s="5" t="s">
        <v>111</v>
      </c>
      <c r="F4610" s="9">
        <v>98</v>
      </c>
      <c r="G4610" s="9">
        <v>1129</v>
      </c>
      <c r="H4610" s="5" t="s">
        <v>21</v>
      </c>
      <c r="I4610" s="5" t="s">
        <v>10704</v>
      </c>
      <c r="J4610" s="12" t="str">
        <f>HYPERLINK("https://www.boe.es/gazeta/dias/1800/12/05/pdfs/GMD-1800-98.pdf#page=9","Abrir facsímil")</f>
        <v>Abrir facsímil</v>
      </c>
      <c r="K4610" s="15" t="s">
        <v>23</v>
      </c>
    </row>
    <row r="4611" spans="1:11" ht="42" customHeight="1">
      <c r="A4611" s="4" t="s">
        <v>10705</v>
      </c>
      <c r="B4611" s="5" t="s">
        <v>10706</v>
      </c>
      <c r="C4611" s="5" t="s">
        <v>18</v>
      </c>
      <c r="D4611" s="5" t="s">
        <v>19</v>
      </c>
      <c r="E4611" s="5" t="s">
        <v>20</v>
      </c>
      <c r="F4611" s="9">
        <v>104</v>
      </c>
      <c r="G4611" s="9">
        <v>1209</v>
      </c>
      <c r="H4611" s="5" t="s">
        <v>21</v>
      </c>
      <c r="I4611" s="5" t="s">
        <v>10707</v>
      </c>
      <c r="J4611" s="12" t="str">
        <f>HYPERLINK("https://www.boe.es/gazeta/dias/1800/12/26/pdfs/GMD-1800-104.pdf#page=9","Abrir facsímil")</f>
        <v>Abrir facsímil</v>
      </c>
      <c r="K4611" s="15" t="s">
        <v>23</v>
      </c>
    </row>
    <row r="4612" spans="1:11" ht="42" customHeight="1">
      <c r="A4612" s="4" t="s">
        <v>10708</v>
      </c>
      <c r="B4612" s="5" t="s">
        <v>10709</v>
      </c>
      <c r="C4612" s="5" t="s">
        <v>207</v>
      </c>
      <c r="D4612" s="5" t="s">
        <v>55</v>
      </c>
      <c r="E4612" s="5" t="s">
        <v>31</v>
      </c>
      <c r="F4612" s="9">
        <v>20</v>
      </c>
      <c r="G4612" s="9">
        <v>191</v>
      </c>
      <c r="H4612" s="5" t="s">
        <v>21</v>
      </c>
      <c r="I4612" s="5" t="s">
        <v>10710</v>
      </c>
      <c r="J4612" s="12" t="str">
        <f>HYPERLINK("https://www.boe.es/gazeta/dias/1800/03/11/pdfs/GMD-1800-20.pdf#page=7","Abrir facsímil")</f>
        <v>Abrir facsímil</v>
      </c>
      <c r="K4612" s="15" t="s">
        <v>23</v>
      </c>
    </row>
    <row r="4613" spans="1:11" ht="42" customHeight="1">
      <c r="A4613" s="4" t="s">
        <v>10708</v>
      </c>
      <c r="B4613" s="5" t="s">
        <v>10709</v>
      </c>
      <c r="C4613" s="5" t="s">
        <v>18</v>
      </c>
      <c r="D4613" s="5" t="s">
        <v>19</v>
      </c>
      <c r="E4613" s="5" t="s">
        <v>226</v>
      </c>
      <c r="F4613" s="9">
        <v>27</v>
      </c>
      <c r="G4613" s="9">
        <v>281</v>
      </c>
      <c r="H4613" s="5" t="s">
        <v>21</v>
      </c>
      <c r="I4613" s="5" t="s">
        <v>10711</v>
      </c>
      <c r="J4613" s="12" t="str">
        <f>HYPERLINK("https://www.boe.es/gazeta/dias/1800/04/04/pdfs/GMD-1800-27.pdf#page=9","Abrir facsímil")</f>
        <v>Abrir facsímil</v>
      </c>
      <c r="K4613" s="15" t="s">
        <v>23</v>
      </c>
    </row>
    <row r="4614" spans="1:11" ht="42" customHeight="1">
      <c r="A4614" s="4" t="s">
        <v>10712</v>
      </c>
      <c r="B4614" s="5" t="s">
        <v>10713</v>
      </c>
      <c r="C4614" s="5" t="s">
        <v>25</v>
      </c>
      <c r="D4614" s="5" t="s">
        <v>26</v>
      </c>
      <c r="E4614" s="5" t="s">
        <v>1213</v>
      </c>
      <c r="F4614" s="9">
        <v>4</v>
      </c>
      <c r="G4614" s="9">
        <v>36</v>
      </c>
      <c r="H4614" s="5" t="s">
        <v>21</v>
      </c>
      <c r="I4614" s="5" t="s">
        <v>10714</v>
      </c>
      <c r="J4614" s="12" t="str">
        <f>HYPERLINK("https://www.boe.es/gazeta/dias/1800/01/14/pdfs/GMD-1800-4.pdf#page=8","Abrir facsímil")</f>
        <v>Abrir facsímil</v>
      </c>
      <c r="K4614" s="15" t="s">
        <v>23</v>
      </c>
    </row>
    <row r="4615" spans="1:11" ht="42" customHeight="1">
      <c r="A4615" s="4" t="s">
        <v>10715</v>
      </c>
      <c r="B4615" s="5" t="s">
        <v>10716</v>
      </c>
      <c r="C4615" s="5" t="s">
        <v>18</v>
      </c>
      <c r="D4615" s="5" t="s">
        <v>19</v>
      </c>
      <c r="E4615" s="5" t="s">
        <v>255</v>
      </c>
      <c r="F4615" s="9">
        <v>75</v>
      </c>
      <c r="G4615" s="9">
        <v>855</v>
      </c>
      <c r="H4615" s="5" t="s">
        <v>21</v>
      </c>
      <c r="I4615" s="5" t="s">
        <v>10717</v>
      </c>
      <c r="J4615" s="12" t="str">
        <f>HYPERLINK("https://www.boe.es/gazeta/dias/1800/09/16/pdfs/GMD-1800-75.pdf#page=9","Abrir facsímil")</f>
        <v>Abrir facsímil</v>
      </c>
      <c r="K4615" s="15" t="s">
        <v>23</v>
      </c>
    </row>
    <row r="4616" spans="1:11" ht="42" customHeight="1">
      <c r="A4616" s="4" t="s">
        <v>10718</v>
      </c>
      <c r="B4616" s="5" t="s">
        <v>10719</v>
      </c>
      <c r="C4616" s="5" t="s">
        <v>18</v>
      </c>
      <c r="D4616" s="5" t="s">
        <v>19</v>
      </c>
      <c r="E4616" s="5" t="s">
        <v>1294</v>
      </c>
      <c r="F4616" s="9">
        <v>59</v>
      </c>
      <c r="G4616" s="9">
        <v>678</v>
      </c>
      <c r="H4616" s="5" t="s">
        <v>21</v>
      </c>
      <c r="I4616" s="5" t="s">
        <v>10720</v>
      </c>
      <c r="J4616" s="12" t="str">
        <f>HYPERLINK("https://www.boe.es/gazeta/dias/1800/07/25/pdfs/GMD-1800-59.pdf#page=10","Abrir facsímil")</f>
        <v>Abrir facsímil</v>
      </c>
      <c r="K4616" s="15" t="s">
        <v>23</v>
      </c>
    </row>
    <row r="4617" spans="1:11" ht="42" customHeight="1">
      <c r="A4617" s="4" t="s">
        <v>10721</v>
      </c>
      <c r="B4617" s="5" t="s">
        <v>10722</v>
      </c>
      <c r="C4617" s="5" t="s">
        <v>18</v>
      </c>
      <c r="D4617" s="5" t="s">
        <v>19</v>
      </c>
      <c r="E4617" s="5" t="s">
        <v>139</v>
      </c>
      <c r="F4617" s="9">
        <v>2</v>
      </c>
      <c r="G4617" s="9">
        <v>17</v>
      </c>
      <c r="H4617" s="5" t="s">
        <v>21</v>
      </c>
      <c r="I4617" s="5" t="s">
        <v>10723</v>
      </c>
      <c r="J4617" s="12" t="str">
        <f>HYPERLINK("https://www.boe.es/gazeta/dias/1800/01/07/pdfs/GMD-1800-2.pdf#page=9","Abrir facsímil")</f>
        <v>Abrir facsímil</v>
      </c>
      <c r="K4617" s="15" t="s">
        <v>23</v>
      </c>
    </row>
    <row r="4618" spans="1:11" ht="42" customHeight="1">
      <c r="A4618" s="4" t="s">
        <v>10724</v>
      </c>
      <c r="B4618" s="5" t="s">
        <v>10725</v>
      </c>
      <c r="C4618" s="5" t="s">
        <v>18</v>
      </c>
      <c r="D4618" s="5" t="s">
        <v>19</v>
      </c>
      <c r="E4618" s="5" t="s">
        <v>283</v>
      </c>
      <c r="F4618" s="9">
        <v>68</v>
      </c>
      <c r="G4618" s="9">
        <v>765</v>
      </c>
      <c r="H4618" s="5" t="s">
        <v>21</v>
      </c>
      <c r="I4618" s="5" t="s">
        <v>10726</v>
      </c>
      <c r="J4618" s="12" t="str">
        <f>HYPERLINK("https://www.boe.es/gazeta/dias/1800/08/26/pdfs/GMD-1800-68.pdf#page=9","Abrir facsímil")</f>
        <v>Abrir facsímil</v>
      </c>
      <c r="K4618" s="15" t="s">
        <v>23</v>
      </c>
    </row>
    <row r="4619" spans="1:11" ht="42" customHeight="1">
      <c r="A4619" s="4" t="s">
        <v>10727</v>
      </c>
      <c r="B4619" s="5" t="s">
        <v>10728</v>
      </c>
      <c r="C4619" s="5" t="s">
        <v>84</v>
      </c>
      <c r="D4619" s="5" t="s">
        <v>85</v>
      </c>
      <c r="E4619" s="5" t="s">
        <v>1213</v>
      </c>
      <c r="F4619" s="9">
        <v>4</v>
      </c>
      <c r="G4619" s="9">
        <v>40</v>
      </c>
      <c r="H4619" s="5" t="s">
        <v>21</v>
      </c>
      <c r="I4619" s="5" t="s">
        <v>10729</v>
      </c>
      <c r="J4619" s="12" t="str">
        <f>HYPERLINK("https://www.boe.es/gazeta/dias/1800/01/14/pdfs/GMD-1800-4.pdf#page=12","Abrir facsímil")</f>
        <v>Abrir facsímil</v>
      </c>
      <c r="K4619" s="15" t="s">
        <v>23</v>
      </c>
    </row>
    <row r="4620" spans="1:11" ht="42" customHeight="1">
      <c r="A4620" s="4" t="s">
        <v>10727</v>
      </c>
      <c r="B4620" s="5" t="s">
        <v>10728</v>
      </c>
      <c r="C4620" s="5" t="s">
        <v>41</v>
      </c>
      <c r="D4620" s="5" t="s">
        <v>42</v>
      </c>
      <c r="E4620" s="5" t="s">
        <v>194</v>
      </c>
      <c r="F4620" s="9">
        <v>48</v>
      </c>
      <c r="G4620" s="9">
        <v>516</v>
      </c>
      <c r="H4620" s="5" t="s">
        <v>21</v>
      </c>
      <c r="I4620" s="5" t="s">
        <v>10730</v>
      </c>
      <c r="J4620" s="12" t="str">
        <f>HYPERLINK("https://www.boe.es/gazeta/dias/1800/06/17/pdfs/GMD-1800-48.pdf#page=8","Abrir facsímil")</f>
        <v>Abrir facsímil</v>
      </c>
      <c r="K4620" s="15" t="s">
        <v>23</v>
      </c>
    </row>
    <row r="4621" spans="1:11" ht="42" customHeight="1">
      <c r="A4621" s="4" t="s">
        <v>10731</v>
      </c>
      <c r="B4621" s="5" t="s">
        <v>10732</v>
      </c>
      <c r="C4621" s="5" t="s">
        <v>18</v>
      </c>
      <c r="D4621" s="5" t="s">
        <v>19</v>
      </c>
      <c r="E4621" s="5" t="s">
        <v>314</v>
      </c>
      <c r="F4621" s="9">
        <v>74</v>
      </c>
      <c r="G4621" s="9">
        <v>830</v>
      </c>
      <c r="H4621" s="5" t="s">
        <v>21</v>
      </c>
      <c r="I4621" s="5" t="s">
        <v>10733</v>
      </c>
      <c r="J4621" s="12" t="str">
        <f>HYPERLINK("https://www.boe.es/gazeta/dias/1800/09/12/pdfs/GMD-1800-74.pdf#page=8","Abrir facsímil")</f>
        <v>Abrir facsímil</v>
      </c>
      <c r="K4621" s="15" t="s">
        <v>23</v>
      </c>
    </row>
    <row r="4622" spans="1:11" ht="42" customHeight="1">
      <c r="A4622" s="4" t="s">
        <v>10734</v>
      </c>
      <c r="B4622" s="5" t="s">
        <v>10735</v>
      </c>
      <c r="C4622" s="5" t="s">
        <v>207</v>
      </c>
      <c r="D4622" s="5" t="s">
        <v>55</v>
      </c>
      <c r="E4622" s="5" t="s">
        <v>402</v>
      </c>
      <c r="F4622" s="9">
        <v>101</v>
      </c>
      <c r="G4622" s="9">
        <v>1173</v>
      </c>
      <c r="H4622" s="5" t="s">
        <v>21</v>
      </c>
      <c r="I4622" s="5" t="s">
        <v>10736</v>
      </c>
      <c r="J4622" s="12" t="str">
        <f>HYPERLINK("https://www.boe.es/gazeta/dias/1800/12/16/pdfs/GMD-1800-101.pdf#page=9","Abrir facsímil")</f>
        <v>Abrir facsímil</v>
      </c>
      <c r="K4622" s="15" t="s">
        <v>23</v>
      </c>
    </row>
    <row r="4623" spans="1:11" ht="42" customHeight="1">
      <c r="A4623" s="4" t="s">
        <v>10737</v>
      </c>
      <c r="B4623" s="5" t="s">
        <v>10738</v>
      </c>
      <c r="C4623" s="5" t="s">
        <v>18</v>
      </c>
      <c r="D4623" s="5" t="s">
        <v>19</v>
      </c>
      <c r="E4623" s="5" t="s">
        <v>120</v>
      </c>
      <c r="F4623" s="9">
        <v>52</v>
      </c>
      <c r="G4623" s="9">
        <v>572</v>
      </c>
      <c r="H4623" s="5" t="s">
        <v>21</v>
      </c>
      <c r="I4623" s="5" t="s">
        <v>10739</v>
      </c>
      <c r="J4623" s="12" t="str">
        <f>HYPERLINK("https://www.boe.es/gazeta/dias/1800/07/01/pdfs/GMD-1800-52.pdf#page=8","Abrir facsímil")</f>
        <v>Abrir facsímil</v>
      </c>
      <c r="K4623" s="15" t="s">
        <v>23</v>
      </c>
    </row>
    <row r="4624" spans="1:11" ht="42" customHeight="1">
      <c r="A4624" s="4" t="s">
        <v>10740</v>
      </c>
      <c r="B4624" s="5" t="s">
        <v>10741</v>
      </c>
      <c r="C4624" s="5" t="s">
        <v>41</v>
      </c>
      <c r="D4624" s="5" t="s">
        <v>42</v>
      </c>
      <c r="E4624" s="5" t="s">
        <v>248</v>
      </c>
      <c r="F4624" s="9">
        <v>33</v>
      </c>
      <c r="G4624" s="9">
        <v>329</v>
      </c>
      <c r="H4624" s="5" t="s">
        <v>21</v>
      </c>
      <c r="I4624" s="5" t="s">
        <v>10742</v>
      </c>
      <c r="J4624" s="12" t="str">
        <f>HYPERLINK("https://www.boe.es/gazeta/dias/1800/04/25/pdfs/GMD-1800-33.pdf#page=5","Abrir facsímil")</f>
        <v>Abrir facsímil</v>
      </c>
      <c r="K4624" s="15" t="s">
        <v>23</v>
      </c>
    </row>
    <row r="4625" spans="1:11" ht="42" customHeight="1">
      <c r="A4625" s="4" t="s">
        <v>10743</v>
      </c>
      <c r="B4625" s="5" t="s">
        <v>10743</v>
      </c>
      <c r="C4625" s="5" t="s">
        <v>18</v>
      </c>
      <c r="D4625" s="5" t="s">
        <v>19</v>
      </c>
      <c r="E4625" s="5" t="s">
        <v>230</v>
      </c>
      <c r="F4625" s="9">
        <v>35</v>
      </c>
      <c r="G4625" s="9">
        <v>355</v>
      </c>
      <c r="H4625" s="5" t="s">
        <v>21</v>
      </c>
      <c r="I4625" s="5" t="s">
        <v>10744</v>
      </c>
      <c r="J4625" s="12" t="str">
        <f>HYPERLINK("https://www.boe.es/gazeta/dias/1800/05/02/pdfs/GMD-1800-35.pdf#page=7","Abrir facsímil")</f>
        <v>Abrir facsímil</v>
      </c>
      <c r="K4625" s="15" t="s">
        <v>23</v>
      </c>
    </row>
    <row r="4626" spans="1:11" ht="42" customHeight="1">
      <c r="A4626" s="4" t="s">
        <v>10745</v>
      </c>
      <c r="B4626" s="5" t="s">
        <v>10745</v>
      </c>
      <c r="C4626" s="5" t="s">
        <v>25</v>
      </c>
      <c r="D4626" s="5" t="s">
        <v>26</v>
      </c>
      <c r="E4626" s="5" t="s">
        <v>262</v>
      </c>
      <c r="F4626" s="9">
        <v>39</v>
      </c>
      <c r="G4626" s="9">
        <v>404</v>
      </c>
      <c r="H4626" s="5" t="s">
        <v>21</v>
      </c>
      <c r="I4626" s="5" t="s">
        <v>10746</v>
      </c>
      <c r="J4626" s="12" t="str">
        <f>HYPERLINK("https://www.boe.es/gazeta/dias/1800/05/16/pdfs/GMD-1800-39.pdf#page=12","Abrir facsímil")</f>
        <v>Abrir facsímil</v>
      </c>
      <c r="K4626" s="15" t="s">
        <v>23</v>
      </c>
    </row>
    <row r="4627" spans="1:11" ht="42" customHeight="1">
      <c r="A4627" s="4" t="s">
        <v>10747</v>
      </c>
      <c r="B4627" s="5" t="s">
        <v>10748</v>
      </c>
      <c r="C4627" s="5" t="s">
        <v>207</v>
      </c>
      <c r="D4627" s="5" t="s">
        <v>55</v>
      </c>
      <c r="E4627" s="5" t="s">
        <v>244</v>
      </c>
      <c r="F4627" s="9">
        <v>9</v>
      </c>
      <c r="G4627" s="9">
        <v>85</v>
      </c>
      <c r="H4627" s="5" t="s">
        <v>21</v>
      </c>
      <c r="I4627" s="5" t="s">
        <v>10749</v>
      </c>
      <c r="J4627" s="12" t="str">
        <f>HYPERLINK("https://www.boe.es/gazeta/dias/1800/01/31/pdfs/GMD-1800-9.pdf#page=9","Abrir facsímil")</f>
        <v>Abrir facsímil</v>
      </c>
      <c r="K4627" s="15" t="s">
        <v>23</v>
      </c>
    </row>
    <row r="4628" spans="1:11" ht="42" customHeight="1">
      <c r="A4628" s="4" t="s">
        <v>10750</v>
      </c>
      <c r="B4628" s="5" t="s">
        <v>10751</v>
      </c>
      <c r="C4628" s="5" t="s">
        <v>41</v>
      </c>
      <c r="D4628" s="5" t="s">
        <v>42</v>
      </c>
      <c r="E4628" s="5" t="s">
        <v>244</v>
      </c>
      <c r="F4628" s="9">
        <v>9</v>
      </c>
      <c r="G4628" s="9">
        <v>81</v>
      </c>
      <c r="H4628" s="5" t="s">
        <v>21</v>
      </c>
      <c r="I4628" s="5" t="s">
        <v>10752</v>
      </c>
      <c r="J4628" s="12" t="str">
        <f>HYPERLINK("https://www.boe.es/gazeta/dias/1800/01/31/pdfs/GMD-1800-9.pdf#page=5","Abrir facsímil")</f>
        <v>Abrir facsímil</v>
      </c>
      <c r="K4628" s="15" t="s">
        <v>23</v>
      </c>
    </row>
    <row r="4629" spans="1:11" ht="42" customHeight="1">
      <c r="A4629" s="4" t="s">
        <v>10750</v>
      </c>
      <c r="B4629" s="5" t="s">
        <v>10751</v>
      </c>
      <c r="C4629" s="5" t="s">
        <v>41</v>
      </c>
      <c r="D4629" s="5" t="s">
        <v>42</v>
      </c>
      <c r="E4629" s="5" t="s">
        <v>406</v>
      </c>
      <c r="F4629" s="9">
        <v>44</v>
      </c>
      <c r="G4629" s="9">
        <v>459</v>
      </c>
      <c r="H4629" s="5" t="s">
        <v>21</v>
      </c>
      <c r="I4629" s="5" t="s">
        <v>10753</v>
      </c>
      <c r="J4629" s="12" t="str">
        <f>HYPERLINK("https://www.boe.es/gazeta/dias/1800/06/03/pdfs/GMD-1800-44.pdf#page=7","Abrir facsímil")</f>
        <v>Abrir facsímil</v>
      </c>
      <c r="K4629" s="15" t="s">
        <v>23</v>
      </c>
    </row>
    <row r="4630" spans="1:11" ht="42" customHeight="1">
      <c r="A4630" s="4" t="s">
        <v>10750</v>
      </c>
      <c r="B4630" s="5" t="s">
        <v>10751</v>
      </c>
      <c r="C4630" s="5" t="s">
        <v>41</v>
      </c>
      <c r="D4630" s="5" t="s">
        <v>42</v>
      </c>
      <c r="E4630" s="5" t="s">
        <v>154</v>
      </c>
      <c r="F4630" s="9">
        <v>61</v>
      </c>
      <c r="G4630" s="9">
        <v>695</v>
      </c>
      <c r="H4630" s="5" t="s">
        <v>21</v>
      </c>
      <c r="I4630" s="5" t="s">
        <v>10754</v>
      </c>
      <c r="J4630" s="12" t="str">
        <f>HYPERLINK("https://www.boe.es/gazeta/dias/1800/08/01/pdfs/GMD-1800-61.pdf#page=7","Abrir facsímil")</f>
        <v>Abrir facsímil</v>
      </c>
      <c r="K4630" s="15" t="s">
        <v>23</v>
      </c>
    </row>
    <row r="4631" spans="1:11" ht="42" customHeight="1">
      <c r="A4631" s="4" t="s">
        <v>10750</v>
      </c>
      <c r="B4631" s="5" t="s">
        <v>10751</v>
      </c>
      <c r="C4631" s="5" t="s">
        <v>41</v>
      </c>
      <c r="D4631" s="5" t="s">
        <v>42</v>
      </c>
      <c r="E4631" s="5" t="s">
        <v>27</v>
      </c>
      <c r="F4631" s="9">
        <v>65</v>
      </c>
      <c r="G4631" s="9">
        <v>730</v>
      </c>
      <c r="H4631" s="5" t="s">
        <v>21</v>
      </c>
      <c r="I4631" s="5" t="s">
        <v>10755</v>
      </c>
      <c r="J4631" s="12" t="str">
        <f>HYPERLINK("https://www.boe.es/gazeta/dias/1800/08/15/pdfs/GMD-1800-65.pdf#page=6","Abrir facsímil")</f>
        <v>Abrir facsímil</v>
      </c>
      <c r="K4631" s="15" t="s">
        <v>23</v>
      </c>
    </row>
    <row r="4632" spans="1:11" ht="42" customHeight="1">
      <c r="A4632" s="4" t="s">
        <v>10756</v>
      </c>
      <c r="B4632" s="5" t="s">
        <v>10757</v>
      </c>
      <c r="C4632" s="5" t="s">
        <v>207</v>
      </c>
      <c r="D4632" s="5" t="s">
        <v>55</v>
      </c>
      <c r="E4632" s="5" t="s">
        <v>176</v>
      </c>
      <c r="F4632" s="9">
        <v>88</v>
      </c>
      <c r="G4632" s="9">
        <v>1030</v>
      </c>
      <c r="H4632" s="5" t="s">
        <v>21</v>
      </c>
      <c r="I4632" s="5" t="s">
        <v>10758</v>
      </c>
      <c r="J4632" s="12" t="str">
        <f>HYPERLINK("https://www.boe.es/gazeta/dias/1800/10/31/pdfs/GMD-1800-88.pdf#page=12","Abrir facsímil")</f>
        <v>Abrir facsímil</v>
      </c>
      <c r="K4632" s="15" t="s">
        <v>23</v>
      </c>
    </row>
    <row r="4633" spans="1:11" ht="42" customHeight="1">
      <c r="A4633" s="4" t="s">
        <v>10759</v>
      </c>
      <c r="B4633" s="5" t="s">
        <v>10759</v>
      </c>
      <c r="C4633" s="5" t="s">
        <v>41</v>
      </c>
      <c r="D4633" s="5" t="s">
        <v>42</v>
      </c>
      <c r="E4633" s="5" t="s">
        <v>147</v>
      </c>
      <c r="F4633" s="9">
        <v>84</v>
      </c>
      <c r="G4633" s="9">
        <v>969</v>
      </c>
      <c r="H4633" s="5" t="s">
        <v>21</v>
      </c>
      <c r="I4633" s="5" t="s">
        <v>10760</v>
      </c>
      <c r="J4633" s="12" t="str">
        <f>HYPERLINK("https://www.boe.es/gazeta/dias/1800/10/17/pdfs/GMD-1800-84.pdf#page=3","Abrir facsímil")</f>
        <v>Abrir facsímil</v>
      </c>
      <c r="K4633" s="15" t="s">
        <v>23</v>
      </c>
    </row>
    <row r="4634" spans="1:11" ht="42" customHeight="1">
      <c r="A4634" s="4" t="s">
        <v>10761</v>
      </c>
      <c r="B4634" s="5" t="s">
        <v>10762</v>
      </c>
      <c r="C4634" s="5" t="s">
        <v>18</v>
      </c>
      <c r="D4634" s="5" t="s">
        <v>19</v>
      </c>
      <c r="E4634" s="5" t="s">
        <v>310</v>
      </c>
      <c r="F4634" s="9">
        <v>56</v>
      </c>
      <c r="G4634" s="9">
        <v>627</v>
      </c>
      <c r="H4634" s="5" t="s">
        <v>21</v>
      </c>
      <c r="I4634" s="5" t="s">
        <v>10763</v>
      </c>
      <c r="J4634" s="12" t="str">
        <f>HYPERLINK("https://www.boe.es/gazeta/dias/1800/07/15/pdfs/GMD-1800-56.pdf#page=3","Abrir facsímil")</f>
        <v>Abrir facsímil</v>
      </c>
      <c r="K4634" s="15" t="s">
        <v>23</v>
      </c>
    </row>
    <row r="4635" spans="1:11" ht="42" customHeight="1">
      <c r="A4635" s="4" t="s">
        <v>10764</v>
      </c>
      <c r="B4635" s="5" t="s">
        <v>10765</v>
      </c>
      <c r="C4635" s="5" t="s">
        <v>18</v>
      </c>
      <c r="D4635" s="5" t="s">
        <v>19</v>
      </c>
      <c r="E4635" s="5" t="s">
        <v>567</v>
      </c>
      <c r="F4635" s="9">
        <v>3</v>
      </c>
      <c r="G4635" s="9">
        <v>27</v>
      </c>
      <c r="H4635" s="5" t="s">
        <v>21</v>
      </c>
      <c r="I4635" s="5" t="s">
        <v>10766</v>
      </c>
      <c r="J4635" s="12" t="str">
        <f>HYPERLINK("https://www.boe.es/gazeta/dias/1800/01/10/pdfs/GMD-1800-3.pdf#page=7","Abrir facsímil")</f>
        <v>Abrir facsímil</v>
      </c>
      <c r="K4635" s="15" t="s">
        <v>23</v>
      </c>
    </row>
    <row r="4636" spans="1:11" ht="42" customHeight="1">
      <c r="A4636" s="4" t="s">
        <v>10767</v>
      </c>
      <c r="B4636" s="5" t="s">
        <v>10768</v>
      </c>
      <c r="C4636" s="5" t="s">
        <v>18</v>
      </c>
      <c r="D4636" s="5" t="s">
        <v>19</v>
      </c>
      <c r="E4636" s="5" t="s">
        <v>180</v>
      </c>
      <c r="F4636" s="9">
        <v>102</v>
      </c>
      <c r="G4636" s="9">
        <v>1185</v>
      </c>
      <c r="H4636" s="5" t="s">
        <v>21</v>
      </c>
      <c r="I4636" s="5" t="s">
        <v>10769</v>
      </c>
      <c r="J4636" s="12" t="str">
        <f>HYPERLINK("https://www.boe.es/gazeta/dias/1800/12/19/pdfs/GMD-1800-102.pdf#page=9","Abrir facsímil")</f>
        <v>Abrir facsímil</v>
      </c>
      <c r="K4636" s="15" t="s">
        <v>23</v>
      </c>
    </row>
    <row r="4637" spans="1:11" ht="42" customHeight="1">
      <c r="A4637" s="4" t="s">
        <v>10770</v>
      </c>
      <c r="B4637" s="5" t="s">
        <v>10771</v>
      </c>
      <c r="C4637" s="5" t="s">
        <v>18</v>
      </c>
      <c r="D4637" s="5" t="s">
        <v>19</v>
      </c>
      <c r="E4637" s="5" t="s">
        <v>618</v>
      </c>
      <c r="F4637" s="9">
        <v>1</v>
      </c>
      <c r="G4637" s="9">
        <v>7</v>
      </c>
      <c r="H4637" s="5" t="s">
        <v>21</v>
      </c>
      <c r="I4637" s="5" t="s">
        <v>10772</v>
      </c>
      <c r="J4637" s="12" t="str">
        <f>HYPERLINK("https://www.boe.es/gazeta/dias/1800/01/03/pdfs/GMD-1800-1.pdf#page=7","Abrir facsímil")</f>
        <v>Abrir facsímil</v>
      </c>
      <c r="K4637" s="15" t="s">
        <v>23</v>
      </c>
    </row>
    <row r="4638" spans="1:11" ht="42" customHeight="1">
      <c r="A4638" s="4" t="s">
        <v>10773</v>
      </c>
      <c r="B4638" s="5" t="s">
        <v>10774</v>
      </c>
      <c r="C4638" s="5" t="s">
        <v>18</v>
      </c>
      <c r="D4638" s="5" t="s">
        <v>19</v>
      </c>
      <c r="E4638" s="5" t="s">
        <v>618</v>
      </c>
      <c r="F4638" s="9">
        <v>1</v>
      </c>
      <c r="G4638" s="9">
        <v>7</v>
      </c>
      <c r="H4638" s="5" t="s">
        <v>21</v>
      </c>
      <c r="I4638" s="5" t="s">
        <v>10775</v>
      </c>
      <c r="J4638" s="12" t="str">
        <f>HYPERLINK("https://www.boe.es/gazeta/dias/1800/01/03/pdfs/GMD-1800-1.pdf#page=7","Abrir facsímil")</f>
        <v>Abrir facsímil</v>
      </c>
      <c r="K4638" s="15" t="s">
        <v>23</v>
      </c>
    </row>
    <row r="4639" spans="1:11" ht="42" customHeight="1">
      <c r="A4639" s="4" t="s">
        <v>10776</v>
      </c>
      <c r="B4639" s="5" t="s">
        <v>10777</v>
      </c>
      <c r="C4639" s="5" t="s">
        <v>25</v>
      </c>
      <c r="D4639" s="5" t="s">
        <v>26</v>
      </c>
      <c r="E4639" s="5" t="s">
        <v>48</v>
      </c>
      <c r="F4639" s="9">
        <v>66</v>
      </c>
      <c r="G4639" s="9">
        <v>747</v>
      </c>
      <c r="H4639" s="5" t="s">
        <v>21</v>
      </c>
      <c r="I4639" s="5" t="s">
        <v>10778</v>
      </c>
      <c r="J4639" s="12" t="str">
        <f>HYPERLINK("https://www.boe.es/gazeta/dias/1800/08/19/pdfs/GMD-1800-66.pdf#page=11","Abrir facsímil")</f>
        <v>Abrir facsímil</v>
      </c>
      <c r="K4639" s="15" t="s">
        <v>23</v>
      </c>
    </row>
    <row r="4640" spans="1:11" ht="42" customHeight="1">
      <c r="A4640" s="4" t="s">
        <v>10779</v>
      </c>
      <c r="B4640" s="5" t="s">
        <v>10780</v>
      </c>
      <c r="C4640" s="5" t="s">
        <v>171</v>
      </c>
      <c r="D4640" s="5" t="s">
        <v>172</v>
      </c>
      <c r="E4640" s="5" t="s">
        <v>45</v>
      </c>
      <c r="F4640" s="9">
        <v>47</v>
      </c>
      <c r="G4640" s="9">
        <v>506</v>
      </c>
      <c r="H4640" s="5" t="s">
        <v>21</v>
      </c>
      <c r="I4640" s="5" t="s">
        <v>10781</v>
      </c>
      <c r="J4640" s="12" t="str">
        <f>HYPERLINK("https://www.boe.es/gazeta/dias/1800/06/13/pdfs/GMD-C-1800-47.pdf#page=2","Abrir facsímil")</f>
        <v>Abrir facsímil</v>
      </c>
      <c r="K4640" s="15" t="s">
        <v>23</v>
      </c>
    </row>
    <row r="4641" spans="1:11" ht="42" customHeight="1">
      <c r="A4641" s="4" t="s">
        <v>10782</v>
      </c>
      <c r="B4641" s="5" t="s">
        <v>10783</v>
      </c>
      <c r="C4641" s="5" t="s">
        <v>25</v>
      </c>
      <c r="D4641" s="5" t="s">
        <v>26</v>
      </c>
      <c r="E4641" s="5" t="s">
        <v>20</v>
      </c>
      <c r="F4641" s="9">
        <v>104</v>
      </c>
      <c r="G4641" s="9">
        <v>1209</v>
      </c>
      <c r="H4641" s="5" t="s">
        <v>21</v>
      </c>
      <c r="I4641" s="5" t="s">
        <v>10784</v>
      </c>
      <c r="J4641" s="12" t="str">
        <f>HYPERLINK("https://www.boe.es/gazeta/dias/1800/12/26/pdfs/GMD-1800-104.pdf#page=9","Abrir facsímil")</f>
        <v>Abrir facsímil</v>
      </c>
      <c r="K4641" s="15" t="s">
        <v>23</v>
      </c>
    </row>
    <row r="4642" spans="1:11" ht="42" customHeight="1">
      <c r="A4642" s="4" t="s">
        <v>10785</v>
      </c>
      <c r="B4642" s="5" t="s">
        <v>10786</v>
      </c>
      <c r="C4642" s="5" t="s">
        <v>25</v>
      </c>
      <c r="D4642" s="5" t="s">
        <v>26</v>
      </c>
      <c r="E4642" s="5" t="s">
        <v>314</v>
      </c>
      <c r="F4642" s="9">
        <v>74</v>
      </c>
      <c r="G4642" s="9">
        <v>830</v>
      </c>
      <c r="H4642" s="5" t="s">
        <v>21</v>
      </c>
      <c r="I4642" s="5" t="s">
        <v>10787</v>
      </c>
      <c r="J4642" s="12" t="str">
        <f>HYPERLINK("https://www.boe.es/gazeta/dias/1800/09/12/pdfs/GMD-1800-74.pdf#page=8","Abrir facsímil")</f>
        <v>Abrir facsímil</v>
      </c>
      <c r="K4642" s="15" t="s">
        <v>23</v>
      </c>
    </row>
    <row r="4643" spans="1:11" ht="42" customHeight="1">
      <c r="A4643" s="4" t="s">
        <v>10788</v>
      </c>
      <c r="B4643" s="5" t="s">
        <v>10789</v>
      </c>
      <c r="C4643" s="5" t="s">
        <v>18</v>
      </c>
      <c r="D4643" s="5" t="s">
        <v>19</v>
      </c>
      <c r="E4643" s="5" t="s">
        <v>262</v>
      </c>
      <c r="F4643" s="9">
        <v>39</v>
      </c>
      <c r="G4643" s="9">
        <v>401</v>
      </c>
      <c r="H4643" s="5" t="s">
        <v>21</v>
      </c>
      <c r="I4643" s="5" t="s">
        <v>10790</v>
      </c>
      <c r="J4643" s="12" t="str">
        <f>HYPERLINK("https://www.boe.es/gazeta/dias/1800/05/16/pdfs/GMD-1800-39.pdf#page=9","Abrir facsímil")</f>
        <v>Abrir facsímil</v>
      </c>
      <c r="K4643" s="15" t="s">
        <v>23</v>
      </c>
    </row>
    <row r="4644" spans="1:11" ht="42" customHeight="1">
      <c r="A4644" s="4" t="s">
        <v>10791</v>
      </c>
      <c r="B4644" s="5" t="s">
        <v>10792</v>
      </c>
      <c r="C4644" s="5" t="s">
        <v>41</v>
      </c>
      <c r="D4644" s="5" t="s">
        <v>42</v>
      </c>
      <c r="E4644" s="5" t="s">
        <v>154</v>
      </c>
      <c r="F4644" s="9">
        <v>61</v>
      </c>
      <c r="G4644" s="9">
        <v>689</v>
      </c>
      <c r="H4644" s="5" t="s">
        <v>21</v>
      </c>
      <c r="I4644" s="5" t="s">
        <v>10793</v>
      </c>
      <c r="J4644" s="12" t="str">
        <f>HYPERLINK("https://www.boe.es/gazeta/dias/1800/08/01/pdfs/GMD-1800-61.pdf#page=1","Abrir facsímil")</f>
        <v>Abrir facsímil</v>
      </c>
      <c r="K4644" s="15" t="s">
        <v>23</v>
      </c>
    </row>
    <row r="4645" spans="1:11" ht="42" customHeight="1">
      <c r="A4645" s="4" t="s">
        <v>10794</v>
      </c>
      <c r="B4645" s="5" t="s">
        <v>10794</v>
      </c>
      <c r="C4645" s="5" t="s">
        <v>41</v>
      </c>
      <c r="D4645" s="5" t="s">
        <v>42</v>
      </c>
      <c r="E4645" s="5" t="s">
        <v>445</v>
      </c>
      <c r="F4645" s="9">
        <v>96</v>
      </c>
      <c r="G4645" s="9">
        <v>1100</v>
      </c>
      <c r="H4645" s="5" t="s">
        <v>21</v>
      </c>
      <c r="I4645" s="5" t="s">
        <v>10795</v>
      </c>
      <c r="J4645" s="12" t="str">
        <f>HYPERLINK("https://www.boe.es/gazeta/dias/1800/11/28/pdfs/GMD-1800-96.pdf#page=4","Abrir facsímil")</f>
        <v>Abrir facsímil</v>
      </c>
      <c r="K4645" s="15" t="s">
        <v>23</v>
      </c>
    </row>
    <row r="4646" spans="1:11" ht="42" customHeight="1">
      <c r="A4646" s="4" t="s">
        <v>10794</v>
      </c>
      <c r="B4646" s="5" t="s">
        <v>10794</v>
      </c>
      <c r="C4646" s="5" t="s">
        <v>18</v>
      </c>
      <c r="D4646" s="5" t="s">
        <v>19</v>
      </c>
      <c r="E4646" s="5" t="s">
        <v>445</v>
      </c>
      <c r="F4646" s="9">
        <v>96</v>
      </c>
      <c r="G4646" s="9">
        <v>1103</v>
      </c>
      <c r="H4646" s="5" t="s">
        <v>21</v>
      </c>
      <c r="I4646" s="5" t="s">
        <v>10796</v>
      </c>
      <c r="J4646" s="12" t="str">
        <f>HYPERLINK("https://www.boe.es/gazeta/dias/1800/11/28/pdfs/GMD-1800-96.pdf#page=7","Abrir facsímil")</f>
        <v>Abrir facsímil</v>
      </c>
      <c r="K4646" s="15" t="s">
        <v>23</v>
      </c>
    </row>
    <row r="4647" spans="1:11" ht="42" customHeight="1">
      <c r="A4647" s="4" t="s">
        <v>10797</v>
      </c>
      <c r="B4647" s="5" t="s">
        <v>10797</v>
      </c>
      <c r="C4647" s="5" t="s">
        <v>54</v>
      </c>
      <c r="D4647" s="5" t="s">
        <v>55</v>
      </c>
      <c r="E4647" s="5" t="s">
        <v>39</v>
      </c>
      <c r="F4647" s="9">
        <v>43</v>
      </c>
      <c r="G4647" s="9">
        <v>451</v>
      </c>
      <c r="H4647" s="5" t="s">
        <v>21</v>
      </c>
      <c r="I4647" s="5" t="s">
        <v>10798</v>
      </c>
      <c r="J4647" s="12" t="str">
        <f>HYPERLINK("https://www.boe.es/gazeta/dias/1800/05/30/pdfs/GMD-1800-43.pdf#page=11","Abrir facsímil")</f>
        <v>Abrir facsímil</v>
      </c>
      <c r="K4647" s="15" t="s">
        <v>23</v>
      </c>
    </row>
    <row r="4648" spans="1:11" ht="42" customHeight="1">
      <c r="A4648" s="4" t="s">
        <v>10799</v>
      </c>
      <c r="B4648" s="5" t="s">
        <v>10800</v>
      </c>
      <c r="C4648" s="5" t="s">
        <v>18</v>
      </c>
      <c r="D4648" s="5" t="s">
        <v>19</v>
      </c>
      <c r="E4648" s="5" t="s">
        <v>319</v>
      </c>
      <c r="F4648" s="9">
        <v>62</v>
      </c>
      <c r="G4648" s="9">
        <v>710</v>
      </c>
      <c r="H4648" s="5" t="s">
        <v>21</v>
      </c>
      <c r="I4648" s="5" t="s">
        <v>10801</v>
      </c>
      <c r="J4648" s="12" t="str">
        <f>HYPERLINK("https://www.boe.es/gazeta/dias/1800/08/05/pdfs/GMD-1800-62.pdf#page=10","Abrir facsímil")</f>
        <v>Abrir facsímil</v>
      </c>
      <c r="K4648" s="15" t="s">
        <v>23</v>
      </c>
    </row>
    <row r="4649" spans="1:11" ht="42" customHeight="1">
      <c r="A4649" s="4" t="s">
        <v>10802</v>
      </c>
      <c r="B4649" s="5" t="s">
        <v>10802</v>
      </c>
      <c r="C4649" s="5" t="s">
        <v>18</v>
      </c>
      <c r="D4649" s="5" t="s">
        <v>19</v>
      </c>
      <c r="E4649" s="5" t="s">
        <v>306</v>
      </c>
      <c r="F4649" s="9">
        <v>79</v>
      </c>
      <c r="G4649" s="9">
        <v>900</v>
      </c>
      <c r="H4649" s="5" t="s">
        <v>21</v>
      </c>
      <c r="I4649" s="5" t="s">
        <v>10803</v>
      </c>
      <c r="J4649" s="12" t="str">
        <f>HYPERLINK("https://www.boe.es/gazeta/dias/1800/09/30/pdfs/GMD-1800-79.pdf#page=10","Abrir facsímil")</f>
        <v>Abrir facsímil</v>
      </c>
      <c r="K4649" s="15" t="s">
        <v>23</v>
      </c>
    </row>
    <row r="4650" spans="1:11" ht="42" customHeight="1">
      <c r="A4650" s="4" t="s">
        <v>10804</v>
      </c>
      <c r="B4650" s="5" t="s">
        <v>10804</v>
      </c>
      <c r="C4650" s="5" t="s">
        <v>25</v>
      </c>
      <c r="D4650" s="5" t="s">
        <v>26</v>
      </c>
      <c r="E4650" s="5" t="s">
        <v>27</v>
      </c>
      <c r="F4650" s="9">
        <v>65</v>
      </c>
      <c r="G4650" s="9">
        <v>736</v>
      </c>
      <c r="H4650" s="5" t="s">
        <v>21</v>
      </c>
      <c r="I4650" s="5" t="s">
        <v>10805</v>
      </c>
      <c r="J4650" s="12" t="str">
        <f>HYPERLINK("https://www.boe.es/gazeta/dias/1800/08/15/pdfs/GMD-1800-65.pdf#page=12","Abrir facsímil")</f>
        <v>Abrir facsímil</v>
      </c>
      <c r="K4650" s="15" t="s">
        <v>23</v>
      </c>
    </row>
    <row r="4651" spans="1:11" ht="42" customHeight="1">
      <c r="A4651" s="4" t="s">
        <v>10806</v>
      </c>
      <c r="B4651" s="5" t="s">
        <v>10806</v>
      </c>
      <c r="C4651" s="5" t="s">
        <v>207</v>
      </c>
      <c r="D4651" s="5" t="s">
        <v>55</v>
      </c>
      <c r="E4651" s="5" t="s">
        <v>88</v>
      </c>
      <c r="F4651" s="9">
        <v>23</v>
      </c>
      <c r="G4651" s="9">
        <v>234</v>
      </c>
      <c r="H4651" s="5" t="s">
        <v>21</v>
      </c>
      <c r="I4651" s="5" t="s">
        <v>10807</v>
      </c>
      <c r="J4651" s="12" t="str">
        <f>HYPERLINK("https://www.boe.es/gazeta/dias/1800/03/21/pdfs/GMD-1800-23.pdf#page=10","Abrir facsímil")</f>
        <v>Abrir facsímil</v>
      </c>
      <c r="K4651" s="15" t="s">
        <v>23</v>
      </c>
    </row>
    <row r="4652" spans="1:11" ht="42" customHeight="1">
      <c r="A4652" s="4" t="s">
        <v>10808</v>
      </c>
      <c r="B4652" s="5" t="s">
        <v>10809</v>
      </c>
      <c r="C4652" s="5" t="s">
        <v>1179</v>
      </c>
      <c r="D4652" s="5" t="s">
        <v>1180</v>
      </c>
      <c r="E4652" s="5" t="s">
        <v>314</v>
      </c>
      <c r="F4652" s="9">
        <v>74</v>
      </c>
      <c r="G4652" s="9">
        <v>844</v>
      </c>
      <c r="H4652" s="5" t="s">
        <v>21</v>
      </c>
      <c r="I4652" s="5" t="s">
        <v>10810</v>
      </c>
      <c r="J4652" s="12" t="str">
        <f>HYPERLINK("https://www.boe.es/gazeta/dias/1800/09/12/pdfs/GMD-C-1800-74.pdf#page=6","Abrir facsímil")</f>
        <v>Abrir facsímil</v>
      </c>
      <c r="K4652" s="15" t="s">
        <v>23</v>
      </c>
    </row>
    <row r="4653" spans="1:11" ht="42" customHeight="1">
      <c r="A4653" s="4" t="s">
        <v>10811</v>
      </c>
      <c r="B4653" s="5" t="s">
        <v>10812</v>
      </c>
      <c r="C4653" s="5" t="s">
        <v>25</v>
      </c>
      <c r="D4653" s="5" t="s">
        <v>26</v>
      </c>
      <c r="E4653" s="5" t="s">
        <v>196</v>
      </c>
      <c r="F4653" s="9">
        <v>97</v>
      </c>
      <c r="G4653" s="9">
        <v>1116</v>
      </c>
      <c r="H4653" s="5" t="s">
        <v>21</v>
      </c>
      <c r="I4653" s="5" t="s">
        <v>10813</v>
      </c>
      <c r="J4653" s="12" t="str">
        <f>HYPERLINK("https://www.boe.es/gazeta/dias/1800/12/02/pdfs/GMD-1800-97.pdf#page=8","Abrir facsímil")</f>
        <v>Abrir facsímil</v>
      </c>
      <c r="K4653" s="15" t="s">
        <v>23</v>
      </c>
    </row>
    <row r="4654" spans="1:11" ht="42" customHeight="1">
      <c r="A4654" s="4" t="s">
        <v>10814</v>
      </c>
      <c r="B4654" s="5" t="s">
        <v>10815</v>
      </c>
      <c r="C4654" s="5" t="s">
        <v>41</v>
      </c>
      <c r="D4654" s="5" t="s">
        <v>42</v>
      </c>
      <c r="E4654" s="5" t="s">
        <v>101</v>
      </c>
      <c r="F4654" s="9">
        <v>37</v>
      </c>
      <c r="G4654" s="9">
        <v>371</v>
      </c>
      <c r="H4654" s="5" t="s">
        <v>21</v>
      </c>
      <c r="I4654" s="5" t="s">
        <v>10816</v>
      </c>
      <c r="J4654" s="12" t="str">
        <f>HYPERLINK("https://www.boe.es/gazeta/dias/1800/05/09/pdfs/GMD-1800-37.pdf#page=3","Abrir facsímil")</f>
        <v>Abrir facsímil</v>
      </c>
      <c r="K4654" s="15" t="s">
        <v>23</v>
      </c>
    </row>
    <row r="4655" spans="1:11" ht="42" customHeight="1">
      <c r="A4655" s="4" t="s">
        <v>10817</v>
      </c>
      <c r="B4655" s="5" t="s">
        <v>10818</v>
      </c>
      <c r="C4655" s="5" t="s">
        <v>41</v>
      </c>
      <c r="D4655" s="5" t="s">
        <v>42</v>
      </c>
      <c r="E4655" s="5" t="s">
        <v>836</v>
      </c>
      <c r="F4655" s="9">
        <v>71</v>
      </c>
      <c r="G4655" s="9">
        <v>785</v>
      </c>
      <c r="H4655" s="5" t="s">
        <v>21</v>
      </c>
      <c r="I4655" s="5" t="s">
        <v>10819</v>
      </c>
      <c r="J4655" s="12" t="str">
        <f>HYPERLINK("https://www.boe.es/gazeta/dias/1800/09/02/pdfs/GMD-1800-71.pdf#page=3","Abrir facsímil")</f>
        <v>Abrir facsímil</v>
      </c>
      <c r="K4655" s="15" t="s">
        <v>23</v>
      </c>
    </row>
    <row r="4656" spans="1:11" ht="42" customHeight="1">
      <c r="A4656" s="4" t="s">
        <v>10820</v>
      </c>
      <c r="B4656" s="5" t="s">
        <v>10820</v>
      </c>
      <c r="C4656" s="5" t="s">
        <v>25</v>
      </c>
      <c r="D4656" s="5" t="s">
        <v>26</v>
      </c>
      <c r="E4656" s="5" t="s">
        <v>244</v>
      </c>
      <c r="F4656" s="9">
        <v>9</v>
      </c>
      <c r="G4656" s="9">
        <v>87</v>
      </c>
      <c r="H4656" s="5" t="s">
        <v>21</v>
      </c>
      <c r="I4656" s="5" t="s">
        <v>10821</v>
      </c>
      <c r="J4656" s="12" t="str">
        <f>HYPERLINK("https://www.boe.es/gazeta/dias/1800/01/31/pdfs/GMD-1800-9.pdf#page=11","Abrir facsímil")</f>
        <v>Abrir facsímil</v>
      </c>
      <c r="K4656" s="15" t="s">
        <v>23</v>
      </c>
    </row>
    <row r="4657" spans="1:11" ht="42" customHeight="1">
      <c r="A4657" s="4" t="s">
        <v>10822</v>
      </c>
      <c r="B4657" s="5" t="s">
        <v>10822</v>
      </c>
      <c r="C4657" s="5" t="s">
        <v>25</v>
      </c>
      <c r="D4657" s="5" t="s">
        <v>26</v>
      </c>
      <c r="E4657" s="5" t="s">
        <v>244</v>
      </c>
      <c r="F4657" s="9">
        <v>9</v>
      </c>
      <c r="G4657" s="9">
        <v>87</v>
      </c>
      <c r="H4657" s="5" t="s">
        <v>21</v>
      </c>
      <c r="I4657" s="5" t="s">
        <v>10823</v>
      </c>
      <c r="J4657" s="12" t="str">
        <f>HYPERLINK("https://www.boe.es/gazeta/dias/1800/01/31/pdfs/GMD-1800-9.pdf#page=11","Abrir facsímil")</f>
        <v>Abrir facsímil</v>
      </c>
      <c r="K4657" s="15" t="s">
        <v>23</v>
      </c>
    </row>
    <row r="4658" spans="1:11" ht="42" customHeight="1">
      <c r="A4658" s="4" t="s">
        <v>10824</v>
      </c>
      <c r="B4658" s="5" t="s">
        <v>10824</v>
      </c>
      <c r="C4658" s="5" t="s">
        <v>207</v>
      </c>
      <c r="D4658" s="5" t="s">
        <v>55</v>
      </c>
      <c r="E4658" s="5" t="s">
        <v>79</v>
      </c>
      <c r="F4658" s="9">
        <v>7</v>
      </c>
      <c r="G4658" s="9">
        <v>67</v>
      </c>
      <c r="H4658" s="5" t="s">
        <v>21</v>
      </c>
      <c r="I4658" s="5" t="s">
        <v>10825</v>
      </c>
      <c r="J4658" s="12" t="str">
        <f>HYPERLINK("https://www.boe.es/gazeta/dias/1800/01/24/pdfs/GMD-1800-7.pdf#page=7","Abrir facsímil")</f>
        <v>Abrir facsímil</v>
      </c>
      <c r="K4658" s="15" t="s">
        <v>23</v>
      </c>
    </row>
    <row r="4659" spans="1:11" ht="42" customHeight="1">
      <c r="A4659" s="4" t="s">
        <v>10826</v>
      </c>
      <c r="B4659" s="5" t="s">
        <v>10827</v>
      </c>
      <c r="C4659" s="5" t="s">
        <v>207</v>
      </c>
      <c r="D4659" s="5" t="s">
        <v>55</v>
      </c>
      <c r="E4659" s="5" t="s">
        <v>64</v>
      </c>
      <c r="F4659" s="9">
        <v>54</v>
      </c>
      <c r="G4659" s="9">
        <v>606</v>
      </c>
      <c r="H4659" s="5" t="s">
        <v>21</v>
      </c>
      <c r="I4659" s="5" t="s">
        <v>10828</v>
      </c>
      <c r="J4659" s="12" t="str">
        <f>HYPERLINK("https://www.boe.es/gazeta/dias/1800/07/08/pdfs/GMD-1800-54.pdf#page=10","Abrir facsímil")</f>
        <v>Abrir facsímil</v>
      </c>
      <c r="K4659" s="15" t="s">
        <v>23</v>
      </c>
    </row>
    <row r="4660" spans="1:11" ht="42" customHeight="1">
      <c r="A4660" s="4" t="s">
        <v>10829</v>
      </c>
      <c r="B4660" s="5" t="s">
        <v>10830</v>
      </c>
      <c r="C4660" s="5" t="s">
        <v>25</v>
      </c>
      <c r="D4660" s="5" t="s">
        <v>26</v>
      </c>
      <c r="E4660" s="5" t="s">
        <v>154</v>
      </c>
      <c r="F4660" s="9">
        <v>61</v>
      </c>
      <c r="G4660" s="9">
        <v>696</v>
      </c>
      <c r="H4660" s="5" t="s">
        <v>21</v>
      </c>
      <c r="I4660" s="5" t="s">
        <v>10831</v>
      </c>
      <c r="J4660" s="12" t="str">
        <f>HYPERLINK("https://www.boe.es/gazeta/dias/1800/08/01/pdfs/GMD-1800-61.pdf#page=8","Abrir facsímil")</f>
        <v>Abrir facsímil</v>
      </c>
      <c r="K4660" s="15" t="s">
        <v>23</v>
      </c>
    </row>
    <row r="4661" spans="1:11" ht="42" customHeight="1">
      <c r="A4661" s="4" t="s">
        <v>10829</v>
      </c>
      <c r="B4661" s="5" t="s">
        <v>10830</v>
      </c>
      <c r="C4661" s="5" t="s">
        <v>18</v>
      </c>
      <c r="D4661" s="5" t="s">
        <v>19</v>
      </c>
      <c r="E4661" s="5" t="s">
        <v>283</v>
      </c>
      <c r="F4661" s="9">
        <v>68</v>
      </c>
      <c r="G4661" s="9">
        <v>764</v>
      </c>
      <c r="H4661" s="5" t="s">
        <v>21</v>
      </c>
      <c r="I4661" s="5" t="s">
        <v>10832</v>
      </c>
      <c r="J4661" s="12" t="str">
        <f>HYPERLINK("https://www.boe.es/gazeta/dias/1800/08/26/pdfs/GMD-1800-68.pdf#page=8","Abrir facsímil")</f>
        <v>Abrir facsímil</v>
      </c>
      <c r="K4661" s="15" t="s">
        <v>23</v>
      </c>
    </row>
    <row r="4662" spans="1:11" ht="42" customHeight="1">
      <c r="A4662" s="4" t="s">
        <v>10833</v>
      </c>
      <c r="B4662" s="5" t="s">
        <v>10834</v>
      </c>
      <c r="C4662" s="5" t="s">
        <v>18</v>
      </c>
      <c r="D4662" s="5" t="s">
        <v>19</v>
      </c>
      <c r="E4662" s="5" t="s">
        <v>79</v>
      </c>
      <c r="F4662" s="9">
        <v>7</v>
      </c>
      <c r="G4662" s="9">
        <v>66</v>
      </c>
      <c r="H4662" s="5" t="s">
        <v>21</v>
      </c>
      <c r="I4662" s="5" t="s">
        <v>10835</v>
      </c>
      <c r="J4662" s="12" t="str">
        <f>HYPERLINK("https://www.boe.es/gazeta/dias/1800/01/24/pdfs/GMD-1800-7.pdf#page=6","Abrir facsímil")</f>
        <v>Abrir facsímil</v>
      </c>
      <c r="K4662" s="15" t="s">
        <v>23</v>
      </c>
    </row>
    <row r="4663" spans="1:11" ht="42" customHeight="1">
      <c r="A4663" s="4" t="s">
        <v>10836</v>
      </c>
      <c r="B4663" s="5" t="s">
        <v>10837</v>
      </c>
      <c r="C4663" s="5" t="s">
        <v>18</v>
      </c>
      <c r="D4663" s="5" t="s">
        <v>19</v>
      </c>
      <c r="E4663" s="5" t="s">
        <v>48</v>
      </c>
      <c r="F4663" s="9">
        <v>66</v>
      </c>
      <c r="G4663" s="9">
        <v>746</v>
      </c>
      <c r="H4663" s="5" t="s">
        <v>21</v>
      </c>
      <c r="I4663" s="5" t="s">
        <v>10838</v>
      </c>
      <c r="J4663" s="12" t="str">
        <f>HYPERLINK("https://www.boe.es/gazeta/dias/1800/08/19/pdfs/GMD-1800-66.pdf#page=10","Abrir facsímil")</f>
        <v>Abrir facsímil</v>
      </c>
      <c r="K4663" s="15" t="s">
        <v>23</v>
      </c>
    </row>
    <row r="4664" spans="1:11" ht="42" customHeight="1">
      <c r="A4664" s="4" t="s">
        <v>10839</v>
      </c>
      <c r="B4664" s="5" t="s">
        <v>10840</v>
      </c>
      <c r="C4664" s="5" t="s">
        <v>18</v>
      </c>
      <c r="D4664" s="5" t="s">
        <v>19</v>
      </c>
      <c r="E4664" s="5" t="s">
        <v>111</v>
      </c>
      <c r="F4664" s="9">
        <v>98</v>
      </c>
      <c r="G4664" s="9">
        <v>1129</v>
      </c>
      <c r="H4664" s="5" t="s">
        <v>21</v>
      </c>
      <c r="I4664" s="5" t="s">
        <v>10841</v>
      </c>
      <c r="J4664" s="12" t="str">
        <f>HYPERLINK("https://www.boe.es/gazeta/dias/1800/12/05/pdfs/GMD-1800-98.pdf#page=9","Abrir facsímil")</f>
        <v>Abrir facsímil</v>
      </c>
      <c r="K4664" s="15" t="s">
        <v>23</v>
      </c>
    </row>
    <row r="4665" spans="1:11" ht="42" customHeight="1">
      <c r="A4665" s="4" t="s">
        <v>10842</v>
      </c>
      <c r="B4665" s="5" t="s">
        <v>10843</v>
      </c>
      <c r="C4665" s="5" t="s">
        <v>18</v>
      </c>
      <c r="D4665" s="5" t="s">
        <v>19</v>
      </c>
      <c r="E4665" s="5" t="s">
        <v>180</v>
      </c>
      <c r="F4665" s="9">
        <v>102</v>
      </c>
      <c r="G4665" s="9">
        <v>1185</v>
      </c>
      <c r="H4665" s="5" t="s">
        <v>21</v>
      </c>
      <c r="I4665" s="5" t="s">
        <v>10844</v>
      </c>
      <c r="J4665" s="12" t="str">
        <f>HYPERLINK("https://www.boe.es/gazeta/dias/1800/12/19/pdfs/GMD-1800-102.pdf#page=9","Abrir facsímil")</f>
        <v>Abrir facsímil</v>
      </c>
      <c r="K4665" s="15" t="s">
        <v>23</v>
      </c>
    </row>
    <row r="4666" spans="1:11" ht="42" customHeight="1">
      <c r="A4666" s="4" t="s">
        <v>10845</v>
      </c>
      <c r="B4666" s="5" t="s">
        <v>10846</v>
      </c>
      <c r="C4666" s="5" t="s">
        <v>18</v>
      </c>
      <c r="D4666" s="5" t="s">
        <v>19</v>
      </c>
      <c r="E4666" s="5" t="s">
        <v>56</v>
      </c>
      <c r="F4666" s="9">
        <v>90</v>
      </c>
      <c r="G4666" s="9">
        <v>1056</v>
      </c>
      <c r="H4666" s="5" t="s">
        <v>21</v>
      </c>
      <c r="I4666" s="5" t="s">
        <v>10847</v>
      </c>
      <c r="J4666" s="12" t="str">
        <f>HYPERLINK("https://www.boe.es/gazeta/dias/1800/11/07/pdfs/GMD-1800-90.pdf#page=10","Abrir facsímil")</f>
        <v>Abrir facsímil</v>
      </c>
      <c r="K4666" s="15" t="s">
        <v>23</v>
      </c>
    </row>
    <row r="4667" spans="1:11" ht="42" customHeight="1">
      <c r="A4667" s="4" t="s">
        <v>10848</v>
      </c>
      <c r="B4667" s="5" t="s">
        <v>10849</v>
      </c>
      <c r="C4667" s="5" t="s">
        <v>207</v>
      </c>
      <c r="D4667" s="5" t="s">
        <v>55</v>
      </c>
      <c r="E4667" s="5" t="s">
        <v>478</v>
      </c>
      <c r="F4667" s="9">
        <v>34</v>
      </c>
      <c r="G4667" s="9">
        <v>346</v>
      </c>
      <c r="H4667" s="5" t="s">
        <v>21</v>
      </c>
      <c r="I4667" s="5" t="s">
        <v>10850</v>
      </c>
      <c r="J4667" s="12" t="str">
        <f>HYPERLINK("https://www.boe.es/gazeta/dias/1800/04/29/pdfs/GMD-1800-34.pdf#page=10","Abrir facsímil")</f>
        <v>Abrir facsímil</v>
      </c>
      <c r="K4667" s="15" t="s">
        <v>23</v>
      </c>
    </row>
    <row r="4668" spans="1:11" ht="42" customHeight="1">
      <c r="A4668" s="4" t="s">
        <v>10851</v>
      </c>
      <c r="B4668" s="5" t="s">
        <v>10851</v>
      </c>
      <c r="C4668" s="5" t="s">
        <v>84</v>
      </c>
      <c r="D4668" s="5" t="s">
        <v>85</v>
      </c>
      <c r="E4668" s="5" t="s">
        <v>461</v>
      </c>
      <c r="F4668" s="9">
        <v>18</v>
      </c>
      <c r="G4668" s="9">
        <v>172</v>
      </c>
      <c r="H4668" s="5" t="s">
        <v>21</v>
      </c>
      <c r="I4668" s="5" t="s">
        <v>10852</v>
      </c>
      <c r="J4668" s="12" t="str">
        <f>HYPERLINK("https://www.boe.es/datos/pdfs/BOE//1800/018/C00173-00176.pdf#page=8","Abrir facsímil")</f>
        <v>Abrir facsímil</v>
      </c>
      <c r="K4668" s="15" t="s">
        <v>23</v>
      </c>
    </row>
    <row r="4669" spans="1:11" ht="42" customHeight="1">
      <c r="A4669" s="4" t="s">
        <v>10853</v>
      </c>
      <c r="B4669" s="5" t="s">
        <v>10854</v>
      </c>
      <c r="C4669" s="5" t="s">
        <v>18</v>
      </c>
      <c r="D4669" s="5" t="s">
        <v>19</v>
      </c>
      <c r="E4669" s="5" t="s">
        <v>194</v>
      </c>
      <c r="F4669" s="9">
        <v>48</v>
      </c>
      <c r="G4669" s="9">
        <v>519</v>
      </c>
      <c r="H4669" s="5" t="s">
        <v>21</v>
      </c>
      <c r="I4669" s="5" t="s">
        <v>10855</v>
      </c>
      <c r="J4669" s="12" t="str">
        <f>HYPERLINK("https://www.boe.es/gazeta/dias/1800/06/17/pdfs/GMD-1800-48.pdf#page=11","Abrir facsímil")</f>
        <v>Abrir facsímil</v>
      </c>
      <c r="K4669" s="15" t="s">
        <v>23</v>
      </c>
    </row>
    <row r="4670" spans="1:11" ht="42" customHeight="1">
      <c r="A4670" s="4" t="s">
        <v>10856</v>
      </c>
      <c r="B4670" s="5" t="s">
        <v>10856</v>
      </c>
      <c r="C4670" s="5" t="s">
        <v>18</v>
      </c>
      <c r="D4670" s="5" t="s">
        <v>19</v>
      </c>
      <c r="E4670" s="5" t="s">
        <v>275</v>
      </c>
      <c r="F4670" s="9">
        <v>60</v>
      </c>
      <c r="G4670" s="9">
        <v>682</v>
      </c>
      <c r="H4670" s="5" t="s">
        <v>21</v>
      </c>
      <c r="I4670" s="5" t="s">
        <v>10857</v>
      </c>
      <c r="J4670" s="12" t="str">
        <f>HYPERLINK("https://www.boe.es/gazeta/dias/1800/07/29/pdfs/GMD-1800-60.pdf#page=2","Abrir facsímil")</f>
        <v>Abrir facsímil</v>
      </c>
      <c r="K4670" s="15" t="s">
        <v>23</v>
      </c>
    </row>
    <row r="4671" spans="1:11" ht="42" customHeight="1">
      <c r="A4671" s="4" t="s">
        <v>10858</v>
      </c>
      <c r="B4671" s="5" t="s">
        <v>10858</v>
      </c>
      <c r="C4671" s="5" t="s">
        <v>18</v>
      </c>
      <c r="D4671" s="5" t="s">
        <v>19</v>
      </c>
      <c r="E4671" s="5" t="s">
        <v>176</v>
      </c>
      <c r="F4671" s="9">
        <v>88</v>
      </c>
      <c r="G4671" s="9">
        <v>1031</v>
      </c>
      <c r="H4671" s="5" t="s">
        <v>21</v>
      </c>
      <c r="I4671" s="5" t="s">
        <v>10859</v>
      </c>
      <c r="J4671" s="12" t="str">
        <f>HYPERLINK("https://www.boe.es/gazeta/dias/1800/10/31/pdfs/GMD-1800-88.pdf#page=13","Abrir facsímil")</f>
        <v>Abrir facsímil</v>
      </c>
      <c r="K4671" s="15" t="s">
        <v>23</v>
      </c>
    </row>
    <row r="4672" spans="1:11" ht="42" customHeight="1">
      <c r="A4672" s="4" t="s">
        <v>10860</v>
      </c>
      <c r="B4672" s="5" t="s">
        <v>10861</v>
      </c>
      <c r="C4672" s="5" t="s">
        <v>207</v>
      </c>
      <c r="D4672" s="5" t="s">
        <v>55</v>
      </c>
      <c r="E4672" s="5" t="s">
        <v>86</v>
      </c>
      <c r="F4672" s="9">
        <v>17</v>
      </c>
      <c r="G4672" s="9">
        <v>156</v>
      </c>
      <c r="H4672" s="5" t="s">
        <v>21</v>
      </c>
      <c r="I4672" s="5" t="s">
        <v>10862</v>
      </c>
      <c r="J4672" s="12" t="str">
        <f>HYPERLINK("https://www.boe.es/gazeta/dias/1800/02/28/pdfs/GMD-1800-17.pdf#page=4","Abrir facsímil")</f>
        <v>Abrir facsímil</v>
      </c>
      <c r="K4672" s="15" t="s">
        <v>23</v>
      </c>
    </row>
    <row r="4673" spans="1:11" ht="42" customHeight="1">
      <c r="A4673" s="4" t="s">
        <v>10860</v>
      </c>
      <c r="B4673" s="5" t="s">
        <v>10861</v>
      </c>
      <c r="C4673" s="5" t="s">
        <v>41</v>
      </c>
      <c r="D4673" s="5" t="s">
        <v>42</v>
      </c>
      <c r="E4673" s="5" t="s">
        <v>27</v>
      </c>
      <c r="F4673" s="9">
        <v>65</v>
      </c>
      <c r="G4673" s="9">
        <v>725</v>
      </c>
      <c r="H4673" s="5" t="s">
        <v>21</v>
      </c>
      <c r="I4673" s="5" t="s">
        <v>10863</v>
      </c>
      <c r="J4673" s="12" t="str">
        <f>HYPERLINK("https://www.boe.es/gazeta/dias/1800/08/15/pdfs/GMD-1800-65.pdf#page=1","Abrir facsímil")</f>
        <v>Abrir facsímil</v>
      </c>
      <c r="K4673" s="15" t="s">
        <v>23</v>
      </c>
    </row>
    <row r="4674" spans="1:11" ht="42" customHeight="1">
      <c r="A4674" s="4" t="s">
        <v>10864</v>
      </c>
      <c r="B4674" s="5" t="s">
        <v>10865</v>
      </c>
      <c r="C4674" s="5" t="s">
        <v>41</v>
      </c>
      <c r="D4674" s="5" t="s">
        <v>42</v>
      </c>
      <c r="E4674" s="5" t="s">
        <v>48</v>
      </c>
      <c r="F4674" s="9">
        <v>66</v>
      </c>
      <c r="G4674" s="9">
        <v>737</v>
      </c>
      <c r="H4674" s="5" t="s">
        <v>21</v>
      </c>
      <c r="I4674" s="5" t="s">
        <v>10866</v>
      </c>
      <c r="J4674" s="12" t="str">
        <f>HYPERLINK("https://www.boe.es/gazeta/dias/1800/08/19/pdfs/GMD-1800-66.pdf#page=1","Abrir facsímil")</f>
        <v>Abrir facsímil</v>
      </c>
      <c r="K4674" s="15" t="s">
        <v>23</v>
      </c>
    </row>
    <row r="4675" spans="1:11" ht="42" customHeight="1">
      <c r="A4675" s="4" t="s">
        <v>10867</v>
      </c>
      <c r="B4675" s="5" t="s">
        <v>10868</v>
      </c>
      <c r="C4675" s="5" t="s">
        <v>18</v>
      </c>
      <c r="D4675" s="5" t="s">
        <v>19</v>
      </c>
      <c r="E4675" s="5" t="s">
        <v>180</v>
      </c>
      <c r="F4675" s="9">
        <v>102</v>
      </c>
      <c r="G4675" s="9">
        <v>1183</v>
      </c>
      <c r="H4675" s="5" t="s">
        <v>21</v>
      </c>
      <c r="I4675" s="5" t="s">
        <v>10869</v>
      </c>
      <c r="J4675" s="12" t="str">
        <f>HYPERLINK("https://www.boe.es/gazeta/dias/1800/12/19/pdfs/GMD-1800-102.pdf#page=7","Abrir facsímil")</f>
        <v>Abrir facsímil</v>
      </c>
      <c r="K4675" s="15" t="s">
        <v>23</v>
      </c>
    </row>
    <row r="4676" spans="1:11" ht="42" customHeight="1">
      <c r="A4676" s="4" t="s">
        <v>10870</v>
      </c>
      <c r="B4676" s="5" t="s">
        <v>10871</v>
      </c>
      <c r="C4676" s="5" t="s">
        <v>18</v>
      </c>
      <c r="D4676" s="5" t="s">
        <v>19</v>
      </c>
      <c r="E4676" s="5" t="s">
        <v>255</v>
      </c>
      <c r="F4676" s="9">
        <v>75</v>
      </c>
      <c r="G4676" s="9">
        <v>852</v>
      </c>
      <c r="H4676" s="5" t="s">
        <v>21</v>
      </c>
      <c r="I4676" s="5" t="s">
        <v>10872</v>
      </c>
      <c r="J4676" s="12" t="str">
        <f>HYPERLINK("https://www.boe.es/gazeta/dias/1800/09/16/pdfs/GMD-1800-75.pdf#page=6","Abrir facsímil")</f>
        <v>Abrir facsímil</v>
      </c>
      <c r="K4676" s="15" t="s">
        <v>23</v>
      </c>
    </row>
    <row r="4677" spans="1:11" ht="42" customHeight="1">
      <c r="A4677" s="4" t="s">
        <v>10873</v>
      </c>
      <c r="B4677" s="5" t="s">
        <v>10874</v>
      </c>
      <c r="C4677" s="5" t="s">
        <v>41</v>
      </c>
      <c r="D4677" s="5" t="s">
        <v>42</v>
      </c>
      <c r="E4677" s="5" t="s">
        <v>184</v>
      </c>
      <c r="F4677" s="9">
        <v>82</v>
      </c>
      <c r="G4677" s="9">
        <v>947</v>
      </c>
      <c r="H4677" s="5" t="s">
        <v>21</v>
      </c>
      <c r="I4677" s="5" t="s">
        <v>10875</v>
      </c>
      <c r="J4677" s="12" t="str">
        <f>HYPERLINK("https://www.boe.es/gazeta/dias/1800/10/10/pdfs/GMD-1800-82.pdf#page=5","Abrir facsímil")</f>
        <v>Abrir facsímil</v>
      </c>
      <c r="K4677" s="15" t="s">
        <v>23</v>
      </c>
    </row>
    <row r="4678" spans="1:11" ht="42" customHeight="1">
      <c r="A4678" s="4" t="s">
        <v>10873</v>
      </c>
      <c r="B4678" s="5" t="s">
        <v>10874</v>
      </c>
      <c r="C4678" s="5" t="s">
        <v>41</v>
      </c>
      <c r="D4678" s="5" t="s">
        <v>42</v>
      </c>
      <c r="E4678" s="5" t="s">
        <v>52</v>
      </c>
      <c r="F4678" s="9">
        <v>83</v>
      </c>
      <c r="G4678" s="9">
        <v>958</v>
      </c>
      <c r="H4678" s="5" t="s">
        <v>21</v>
      </c>
      <c r="I4678" s="5" t="s">
        <v>10876</v>
      </c>
      <c r="J4678" s="12" t="str">
        <f>HYPERLINK("https://www.boe.es/gazeta/dias/1800/10/14/pdfs/GMD-1800-83.pdf#page=4","Abrir facsímil")</f>
        <v>Abrir facsímil</v>
      </c>
      <c r="K4678" s="15" t="s">
        <v>23</v>
      </c>
    </row>
    <row r="4679" spans="1:11" ht="42" customHeight="1">
      <c r="A4679" s="4" t="s">
        <v>10873</v>
      </c>
      <c r="B4679" s="5" t="s">
        <v>10874</v>
      </c>
      <c r="C4679" s="5" t="s">
        <v>41</v>
      </c>
      <c r="D4679" s="5" t="s">
        <v>42</v>
      </c>
      <c r="E4679" s="5" t="s">
        <v>52</v>
      </c>
      <c r="F4679" s="9">
        <v>83</v>
      </c>
      <c r="G4679" s="9">
        <v>959</v>
      </c>
      <c r="H4679" s="5" t="s">
        <v>21</v>
      </c>
      <c r="I4679" s="5" t="s">
        <v>10877</v>
      </c>
      <c r="J4679" s="12" t="str">
        <f>HYPERLINK("https://www.boe.es/gazeta/dias/1800/10/14/pdfs/GMD-1800-83.pdf#page=5","Abrir facsímil")</f>
        <v>Abrir facsímil</v>
      </c>
      <c r="K4679" s="15" t="s">
        <v>23</v>
      </c>
    </row>
    <row r="4680" spans="1:11" ht="42" customHeight="1">
      <c r="A4680" s="4" t="s">
        <v>10873</v>
      </c>
      <c r="B4680" s="5" t="s">
        <v>10874</v>
      </c>
      <c r="C4680" s="5" t="s">
        <v>54</v>
      </c>
      <c r="D4680" s="5" t="s">
        <v>55</v>
      </c>
      <c r="E4680" s="5" t="s">
        <v>147</v>
      </c>
      <c r="F4680" s="9">
        <v>84</v>
      </c>
      <c r="G4680" s="9">
        <v>969</v>
      </c>
      <c r="H4680" s="5" t="s">
        <v>21</v>
      </c>
      <c r="I4680" s="5" t="s">
        <v>10878</v>
      </c>
      <c r="J4680" s="12" t="str">
        <f>HYPERLINK("https://www.boe.es/gazeta/dias/1800/10/17/pdfs/GMD-1800-84.pdf#page=3","Abrir facsímil")</f>
        <v>Abrir facsímil</v>
      </c>
      <c r="K4680" s="15" t="s">
        <v>23</v>
      </c>
    </row>
    <row r="4681" spans="1:11" ht="42" customHeight="1">
      <c r="A4681" s="4" t="s">
        <v>10873</v>
      </c>
      <c r="B4681" s="5" t="s">
        <v>10874</v>
      </c>
      <c r="C4681" s="5" t="s">
        <v>41</v>
      </c>
      <c r="D4681" s="5" t="s">
        <v>42</v>
      </c>
      <c r="E4681" s="5" t="s">
        <v>410</v>
      </c>
      <c r="F4681" s="9">
        <v>87</v>
      </c>
      <c r="G4681" s="9">
        <v>1006</v>
      </c>
      <c r="H4681" s="5" t="s">
        <v>21</v>
      </c>
      <c r="I4681" s="5" t="s">
        <v>10879</v>
      </c>
      <c r="J4681" s="12" t="str">
        <f>HYPERLINK("https://www.boe.es/gazeta/dias/1800/10/28/pdfs/GMD-1800-87.pdf#page=4","Abrir facsímil")</f>
        <v>Abrir facsímil</v>
      </c>
      <c r="K4681" s="15" t="s">
        <v>23</v>
      </c>
    </row>
    <row r="4682" spans="1:11" ht="42" customHeight="1">
      <c r="A4682" s="4" t="s">
        <v>10873</v>
      </c>
      <c r="B4682" s="5" t="s">
        <v>10874</v>
      </c>
      <c r="C4682" s="5" t="s">
        <v>41</v>
      </c>
      <c r="D4682" s="5" t="s">
        <v>42</v>
      </c>
      <c r="E4682" s="5" t="s">
        <v>56</v>
      </c>
      <c r="F4682" s="9">
        <v>90</v>
      </c>
      <c r="G4682" s="9">
        <v>1048</v>
      </c>
      <c r="H4682" s="5" t="s">
        <v>21</v>
      </c>
      <c r="I4682" s="5" t="s">
        <v>10880</v>
      </c>
      <c r="J4682" s="12" t="str">
        <f>HYPERLINK("https://www.boe.es/gazeta/dias/1800/11/07/pdfs/GMD-1800-90.pdf#page=2","Abrir facsímil")</f>
        <v>Abrir facsímil</v>
      </c>
      <c r="K4682" s="15" t="s">
        <v>23</v>
      </c>
    </row>
    <row r="4683" spans="1:11" ht="42" customHeight="1">
      <c r="A4683" s="4" t="s">
        <v>10873</v>
      </c>
      <c r="B4683" s="5" t="s">
        <v>10874</v>
      </c>
      <c r="C4683" s="5" t="s">
        <v>41</v>
      </c>
      <c r="D4683" s="5" t="s">
        <v>42</v>
      </c>
      <c r="E4683" s="5" t="s">
        <v>329</v>
      </c>
      <c r="F4683" s="9">
        <v>99</v>
      </c>
      <c r="G4683" s="9">
        <v>1136</v>
      </c>
      <c r="H4683" s="5" t="s">
        <v>21</v>
      </c>
      <c r="I4683" s="5" t="s">
        <v>10881</v>
      </c>
      <c r="J4683" s="12" t="str">
        <f>HYPERLINK("https://www.boe.es/gazeta/dias/1800/12/09/pdfs/GMD-1800-99.pdf#page=4","Abrir facsímil")</f>
        <v>Abrir facsímil</v>
      </c>
      <c r="K4683" s="15" t="s">
        <v>23</v>
      </c>
    </row>
    <row r="4684" spans="1:11" ht="42" customHeight="1">
      <c r="A4684" s="4" t="s">
        <v>10873</v>
      </c>
      <c r="B4684" s="5" t="s">
        <v>10874</v>
      </c>
      <c r="C4684" s="5" t="s">
        <v>41</v>
      </c>
      <c r="D4684" s="5" t="s">
        <v>42</v>
      </c>
      <c r="E4684" s="5" t="s">
        <v>180</v>
      </c>
      <c r="F4684" s="9">
        <v>102</v>
      </c>
      <c r="G4684" s="9">
        <v>1184</v>
      </c>
      <c r="H4684" s="5" t="s">
        <v>21</v>
      </c>
      <c r="I4684" s="5" t="s">
        <v>10882</v>
      </c>
      <c r="J4684" s="12" t="str">
        <f>HYPERLINK("https://www.boe.es/gazeta/dias/1800/12/19/pdfs/GMD-1800-102.pdf#page=8","Abrir facsímil")</f>
        <v>Abrir facsímil</v>
      </c>
      <c r="K4684" s="15" t="s">
        <v>23</v>
      </c>
    </row>
    <row r="4685" spans="1:11" ht="42" customHeight="1">
      <c r="A4685" s="4" t="s">
        <v>10873</v>
      </c>
      <c r="B4685" s="5" t="s">
        <v>10874</v>
      </c>
      <c r="C4685" s="5" t="s">
        <v>41</v>
      </c>
      <c r="D4685" s="5" t="s">
        <v>42</v>
      </c>
      <c r="E4685" s="5" t="s">
        <v>279</v>
      </c>
      <c r="F4685" s="9">
        <v>103</v>
      </c>
      <c r="G4685" s="9">
        <v>1194</v>
      </c>
      <c r="H4685" s="5" t="s">
        <v>21</v>
      </c>
      <c r="I4685" s="5" t="s">
        <v>10883</v>
      </c>
      <c r="J4685" s="12" t="str">
        <f>HYPERLINK("https://www.boe.es/gazeta/dias/1800/12/23/pdfs/GMD-1800-103.pdf#page=6","Abrir facsímil")</f>
        <v>Abrir facsímil</v>
      </c>
      <c r="K4685" s="15" t="s">
        <v>23</v>
      </c>
    </row>
    <row r="4686" spans="1:11" ht="42" customHeight="1">
      <c r="A4686" s="4" t="s">
        <v>10873</v>
      </c>
      <c r="B4686" s="5" t="s">
        <v>10874</v>
      </c>
      <c r="C4686" s="5" t="s">
        <v>41</v>
      </c>
      <c r="D4686" s="5" t="s">
        <v>42</v>
      </c>
      <c r="E4686" s="5" t="s">
        <v>60</v>
      </c>
      <c r="F4686" s="9">
        <v>105</v>
      </c>
      <c r="G4686" s="9">
        <v>1222</v>
      </c>
      <c r="H4686" s="5" t="s">
        <v>21</v>
      </c>
      <c r="I4686" s="5" t="s">
        <v>10884</v>
      </c>
      <c r="J4686" s="12" t="str">
        <f>HYPERLINK("https://www.boe.es/gazeta/dias/1800/12/30/pdfs/GMD-1800-105.pdf#page=6","Abrir facsímil")</f>
        <v>Abrir facsímil</v>
      </c>
      <c r="K4686" s="15" t="s">
        <v>23</v>
      </c>
    </row>
    <row r="4687" spans="1:11" ht="42" customHeight="1">
      <c r="A4687" s="4" t="s">
        <v>10885</v>
      </c>
      <c r="B4687" s="5" t="s">
        <v>10886</v>
      </c>
      <c r="C4687" s="5" t="s">
        <v>18</v>
      </c>
      <c r="D4687" s="5" t="s">
        <v>19</v>
      </c>
      <c r="E4687" s="5" t="s">
        <v>135</v>
      </c>
      <c r="F4687" s="9">
        <v>73</v>
      </c>
      <c r="G4687" s="9">
        <v>815</v>
      </c>
      <c r="H4687" s="5" t="s">
        <v>21</v>
      </c>
      <c r="I4687" s="5" t="s">
        <v>10887</v>
      </c>
      <c r="J4687" s="12" t="str">
        <f>HYPERLINK("https://www.boe.es/gazeta/dias/1800/09/09/pdfs/GMD-1800-73.pdf#page=9","Abrir facsímil")</f>
        <v>Abrir facsímil</v>
      </c>
      <c r="K4687" s="15" t="s">
        <v>23</v>
      </c>
    </row>
    <row r="4688" spans="1:11" ht="42" customHeight="1">
      <c r="A4688" s="4" t="s">
        <v>10888</v>
      </c>
      <c r="B4688" s="5" t="s">
        <v>10888</v>
      </c>
      <c r="C4688" s="5" t="s">
        <v>41</v>
      </c>
      <c r="D4688" s="5" t="s">
        <v>42</v>
      </c>
      <c r="E4688" s="5" t="s">
        <v>158</v>
      </c>
      <c r="F4688" s="9">
        <v>25</v>
      </c>
      <c r="G4688" s="9">
        <v>255</v>
      </c>
      <c r="H4688" s="5" t="s">
        <v>21</v>
      </c>
      <c r="I4688" s="5" t="s">
        <v>10889</v>
      </c>
      <c r="J4688" s="12" t="str">
        <f>HYPERLINK("https://www.boe.es/gazeta/dias/1800/03/28/pdfs/GMD-1800-25.pdf#page=7","Abrir facsímil")</f>
        <v>Abrir facsímil</v>
      </c>
      <c r="K4688" s="15" t="s">
        <v>23</v>
      </c>
    </row>
    <row r="4689" spans="1:11" ht="42" customHeight="1">
      <c r="A4689" s="4" t="s">
        <v>10890</v>
      </c>
      <c r="B4689" s="5" t="s">
        <v>10891</v>
      </c>
      <c r="C4689" s="5" t="s">
        <v>18</v>
      </c>
      <c r="D4689" s="5" t="s">
        <v>19</v>
      </c>
      <c r="E4689" s="5" t="s">
        <v>56</v>
      </c>
      <c r="F4689" s="9">
        <v>90</v>
      </c>
      <c r="G4689" s="9">
        <v>1055</v>
      </c>
      <c r="H4689" s="5" t="s">
        <v>21</v>
      </c>
      <c r="I4689" s="5" t="s">
        <v>10892</v>
      </c>
      <c r="J4689" s="12" t="str">
        <f>HYPERLINK("https://www.boe.es/gazeta/dias/1800/11/07/pdfs/GMD-1800-90.pdf#page=9","Abrir facsímil")</f>
        <v>Abrir facsímil</v>
      </c>
      <c r="K4689" s="15" t="s">
        <v>23</v>
      </c>
    </row>
    <row r="4690" spans="1:11" ht="42" customHeight="1">
      <c r="A4690" s="4" t="s">
        <v>10893</v>
      </c>
      <c r="B4690" s="5" t="s">
        <v>10894</v>
      </c>
      <c r="C4690" s="5" t="s">
        <v>18</v>
      </c>
      <c r="D4690" s="5" t="s">
        <v>19</v>
      </c>
      <c r="E4690" s="5" t="s">
        <v>190</v>
      </c>
      <c r="F4690" s="9">
        <v>93</v>
      </c>
      <c r="G4690" s="9">
        <v>1066</v>
      </c>
      <c r="H4690" s="5" t="s">
        <v>21</v>
      </c>
      <c r="I4690" s="5" t="s">
        <v>10895</v>
      </c>
      <c r="J4690" s="12" t="str">
        <f>HYPERLINK("https://www.boe.es/gazeta/dias/1800/11/18/pdfs/GMD-1800-93.pdf#page=12","Abrir facsímil")</f>
        <v>Abrir facsímil</v>
      </c>
      <c r="K4690" s="15" t="s">
        <v>23</v>
      </c>
    </row>
    <row r="4691" spans="1:11" ht="42" customHeight="1">
      <c r="A4691" s="4" t="s">
        <v>10896</v>
      </c>
      <c r="B4691" s="5" t="s">
        <v>10896</v>
      </c>
      <c r="C4691" s="5" t="s">
        <v>41</v>
      </c>
      <c r="D4691" s="5" t="s">
        <v>42</v>
      </c>
      <c r="E4691" s="5" t="s">
        <v>158</v>
      </c>
      <c r="F4691" s="9">
        <v>25</v>
      </c>
      <c r="G4691" s="9">
        <v>252</v>
      </c>
      <c r="H4691" s="5" t="s">
        <v>21</v>
      </c>
      <c r="I4691" s="5" t="s">
        <v>10897</v>
      </c>
      <c r="J4691" s="12" t="str">
        <f>HYPERLINK("https://www.boe.es/gazeta/dias/1800/03/28/pdfs/GMD-1800-25.pdf#page=4","Abrir facsímil")</f>
        <v>Abrir facsímil</v>
      </c>
      <c r="K4691" s="15" t="s">
        <v>23</v>
      </c>
    </row>
    <row r="4692" spans="1:11" ht="42" customHeight="1">
      <c r="A4692" s="4" t="s">
        <v>10896</v>
      </c>
      <c r="B4692" s="5" t="s">
        <v>10896</v>
      </c>
      <c r="C4692" s="5" t="s">
        <v>18</v>
      </c>
      <c r="D4692" s="5" t="s">
        <v>19</v>
      </c>
      <c r="E4692" s="5" t="s">
        <v>600</v>
      </c>
      <c r="F4692" s="9">
        <v>45</v>
      </c>
      <c r="G4692" s="9">
        <v>466</v>
      </c>
      <c r="H4692" s="5" t="s">
        <v>21</v>
      </c>
      <c r="I4692" s="5" t="s">
        <v>10898</v>
      </c>
      <c r="J4692" s="12" t="str">
        <f>HYPERLINK("https://www.boe.es/gazeta/dias/1800/06/06/pdfs/GMD-1800-45.pdf#page=2","Abrir facsímil")</f>
        <v>Abrir facsímil</v>
      </c>
      <c r="K4692" s="15" t="s">
        <v>23</v>
      </c>
    </row>
    <row r="4693" spans="1:11" ht="42" customHeight="1">
      <c r="A4693" s="4" t="s">
        <v>10896</v>
      </c>
      <c r="B4693" s="5" t="s">
        <v>10896</v>
      </c>
      <c r="C4693" s="5" t="s">
        <v>18</v>
      </c>
      <c r="D4693" s="5" t="s">
        <v>19</v>
      </c>
      <c r="E4693" s="5" t="s">
        <v>465</v>
      </c>
      <c r="F4693" s="9">
        <v>49</v>
      </c>
      <c r="G4693" s="9">
        <v>525</v>
      </c>
      <c r="H4693" s="5" t="s">
        <v>21</v>
      </c>
      <c r="I4693" s="5" t="s">
        <v>10899</v>
      </c>
      <c r="J4693" s="12" t="str">
        <f>HYPERLINK("https://www.boe.es/gazeta/dias/1800/06/20/pdfs/GMD-1800-49.pdf#page=1","Abrir facsímil")</f>
        <v>Abrir facsímil</v>
      </c>
      <c r="K4693" s="15" t="s">
        <v>23</v>
      </c>
    </row>
    <row r="4694" spans="1:11" ht="42" customHeight="1">
      <c r="A4694" s="4" t="s">
        <v>10900</v>
      </c>
      <c r="B4694" s="5" t="s">
        <v>10901</v>
      </c>
      <c r="C4694" s="5" t="s">
        <v>41</v>
      </c>
      <c r="D4694" s="5" t="s">
        <v>42</v>
      </c>
      <c r="E4694" s="5" t="s">
        <v>214</v>
      </c>
      <c r="F4694" s="9">
        <v>41</v>
      </c>
      <c r="G4694" s="9">
        <v>421</v>
      </c>
      <c r="H4694" s="5" t="s">
        <v>21</v>
      </c>
      <c r="I4694" s="5" t="s">
        <v>10902</v>
      </c>
      <c r="J4694" s="12" t="str">
        <f>HYPERLINK("https://www.boe.es/gazeta/dias/1800/05/23/pdfs/GMD-1800-41.pdf#page=5","Abrir facsímil")</f>
        <v>Abrir facsímil</v>
      </c>
      <c r="K4694" s="15" t="s">
        <v>23</v>
      </c>
    </row>
    <row r="4695" spans="1:11" ht="42" customHeight="1">
      <c r="A4695" s="4" t="s">
        <v>10900</v>
      </c>
      <c r="B4695" s="5" t="s">
        <v>10901</v>
      </c>
      <c r="C4695" s="5" t="s">
        <v>41</v>
      </c>
      <c r="D4695" s="5" t="s">
        <v>42</v>
      </c>
      <c r="E4695" s="5" t="s">
        <v>600</v>
      </c>
      <c r="F4695" s="9">
        <v>45</v>
      </c>
      <c r="G4695" s="9">
        <v>466</v>
      </c>
      <c r="H4695" s="5" t="s">
        <v>21</v>
      </c>
      <c r="I4695" s="5" t="s">
        <v>10903</v>
      </c>
      <c r="J4695" s="12" t="str">
        <f>HYPERLINK("https://www.boe.es/gazeta/dias/1800/06/06/pdfs/GMD-1800-45.pdf#page=2","Abrir facsímil")</f>
        <v>Abrir facsímil</v>
      </c>
      <c r="K4695" s="15" t="s">
        <v>23</v>
      </c>
    </row>
    <row r="4696" spans="1:11" ht="42" customHeight="1">
      <c r="A4696" s="4" t="s">
        <v>10900</v>
      </c>
      <c r="B4696" s="5" t="s">
        <v>10901</v>
      </c>
      <c r="C4696" s="5" t="s">
        <v>18</v>
      </c>
      <c r="D4696" s="5" t="s">
        <v>19</v>
      </c>
      <c r="E4696" s="5" t="s">
        <v>465</v>
      </c>
      <c r="F4696" s="9">
        <v>49</v>
      </c>
      <c r="G4696" s="9">
        <v>525</v>
      </c>
      <c r="H4696" s="5" t="s">
        <v>21</v>
      </c>
      <c r="I4696" s="5" t="s">
        <v>10904</v>
      </c>
      <c r="J4696" s="12" t="str">
        <f>HYPERLINK("https://www.boe.es/gazeta/dias/1800/06/20/pdfs/GMD-1800-49.pdf#page=1","Abrir facsímil")</f>
        <v>Abrir facsímil</v>
      </c>
      <c r="K4696" s="15" t="s">
        <v>23</v>
      </c>
    </row>
    <row r="4697" spans="1:11" ht="42" customHeight="1">
      <c r="A4697" s="4" t="s">
        <v>10900</v>
      </c>
      <c r="B4697" s="5" t="s">
        <v>10901</v>
      </c>
      <c r="C4697" s="5" t="s">
        <v>41</v>
      </c>
      <c r="D4697" s="5" t="s">
        <v>42</v>
      </c>
      <c r="E4697" s="5" t="s">
        <v>310</v>
      </c>
      <c r="F4697" s="9">
        <v>56</v>
      </c>
      <c r="G4697" s="9">
        <v>626</v>
      </c>
      <c r="H4697" s="5" t="s">
        <v>21</v>
      </c>
      <c r="I4697" s="5" t="s">
        <v>10905</v>
      </c>
      <c r="J4697" s="12" t="str">
        <f>HYPERLINK("https://www.boe.es/gazeta/dias/1800/07/15/pdfs/GMD-1800-56.pdf#page=2","Abrir facsímil")</f>
        <v>Abrir facsímil</v>
      </c>
      <c r="K4697" s="15" t="s">
        <v>23</v>
      </c>
    </row>
    <row r="4698" spans="1:11" ht="42" customHeight="1">
      <c r="A4698" s="4" t="s">
        <v>10900</v>
      </c>
      <c r="B4698" s="5" t="s">
        <v>10901</v>
      </c>
      <c r="C4698" s="5" t="s">
        <v>207</v>
      </c>
      <c r="D4698" s="5" t="s">
        <v>55</v>
      </c>
      <c r="E4698" s="5" t="s">
        <v>196</v>
      </c>
      <c r="F4698" s="9">
        <v>97</v>
      </c>
      <c r="G4698" s="9">
        <v>1111</v>
      </c>
      <c r="H4698" s="5" t="s">
        <v>21</v>
      </c>
      <c r="I4698" s="5" t="s">
        <v>10906</v>
      </c>
      <c r="J4698" s="12" t="str">
        <f>HYPERLINK("https://www.boe.es/gazeta/dias/1800/12/02/pdfs/GMD-1800-97.pdf#page=3","Abrir facsímil")</f>
        <v>Abrir facsímil</v>
      </c>
      <c r="K4698" s="15" t="s">
        <v>23</v>
      </c>
    </row>
    <row r="4699" spans="1:11" ht="42" customHeight="1">
      <c r="A4699" s="4" t="s">
        <v>10907</v>
      </c>
      <c r="B4699" s="5" t="s">
        <v>10908</v>
      </c>
      <c r="C4699" s="5" t="s">
        <v>41</v>
      </c>
      <c r="D4699" s="5" t="s">
        <v>42</v>
      </c>
      <c r="E4699" s="5" t="s">
        <v>101</v>
      </c>
      <c r="F4699" s="9">
        <v>37</v>
      </c>
      <c r="G4699" s="9">
        <v>373</v>
      </c>
      <c r="H4699" s="5" t="s">
        <v>21</v>
      </c>
      <c r="I4699" s="5" t="s">
        <v>10909</v>
      </c>
      <c r="J4699" s="12" t="str">
        <f>HYPERLINK("https://www.boe.es/gazeta/dias/1800/05/09/pdfs/GMD-1800-37.pdf#page=5","Abrir facsímil")</f>
        <v>Abrir facsímil</v>
      </c>
      <c r="K4699" s="15" t="s">
        <v>23</v>
      </c>
    </row>
    <row r="4700" spans="1:11" ht="42" customHeight="1">
      <c r="A4700" s="4" t="s">
        <v>10910</v>
      </c>
      <c r="B4700" s="5" t="s">
        <v>10911</v>
      </c>
      <c r="C4700" s="5" t="s">
        <v>207</v>
      </c>
      <c r="D4700" s="5" t="s">
        <v>55</v>
      </c>
      <c r="E4700" s="5" t="s">
        <v>52</v>
      </c>
      <c r="F4700" s="9">
        <v>83</v>
      </c>
      <c r="G4700" s="9">
        <v>963</v>
      </c>
      <c r="H4700" s="5" t="s">
        <v>21</v>
      </c>
      <c r="I4700" s="5" t="s">
        <v>10912</v>
      </c>
      <c r="J4700" s="12" t="str">
        <f>HYPERLINK("https://www.boe.es/gazeta/dias/1800/10/14/pdfs/GMD-1800-83.pdf#page=9","Abrir facsímil")</f>
        <v>Abrir facsímil</v>
      </c>
      <c r="K4700" s="15" t="s">
        <v>23</v>
      </c>
    </row>
    <row r="4701" spans="1:11" ht="42" customHeight="1">
      <c r="A4701" s="4" t="s">
        <v>10913</v>
      </c>
      <c r="B4701" s="5" t="s">
        <v>10914</v>
      </c>
      <c r="C4701" s="5" t="s">
        <v>18</v>
      </c>
      <c r="D4701" s="5" t="s">
        <v>19</v>
      </c>
      <c r="E4701" s="5" t="s">
        <v>135</v>
      </c>
      <c r="F4701" s="9">
        <v>73</v>
      </c>
      <c r="G4701" s="9">
        <v>815</v>
      </c>
      <c r="H4701" s="5" t="s">
        <v>21</v>
      </c>
      <c r="I4701" s="5" t="s">
        <v>10915</v>
      </c>
      <c r="J4701" s="12" t="str">
        <f>HYPERLINK("https://www.boe.es/gazeta/dias/1800/09/09/pdfs/GMD-1800-73.pdf#page=9","Abrir facsímil")</f>
        <v>Abrir facsímil</v>
      </c>
      <c r="K4701" s="15" t="s">
        <v>23</v>
      </c>
    </row>
    <row r="4702" spans="1:11" ht="42" customHeight="1">
      <c r="A4702" s="4" t="s">
        <v>10916</v>
      </c>
      <c r="B4702" s="5" t="s">
        <v>10916</v>
      </c>
      <c r="C4702" s="5" t="s">
        <v>25</v>
      </c>
      <c r="D4702" s="5" t="s">
        <v>26</v>
      </c>
      <c r="E4702" s="5" t="s">
        <v>255</v>
      </c>
      <c r="F4702" s="9">
        <v>75</v>
      </c>
      <c r="G4702" s="9">
        <v>854</v>
      </c>
      <c r="H4702" s="5" t="s">
        <v>21</v>
      </c>
      <c r="I4702" s="5" t="s">
        <v>10917</v>
      </c>
      <c r="J4702" s="12" t="str">
        <f>HYPERLINK("https://www.boe.es/gazeta/dias/1800/09/16/pdfs/GMD-1800-75.pdf#page=8","Abrir facsímil")</f>
        <v>Abrir facsímil</v>
      </c>
      <c r="K4702" s="15" t="s">
        <v>23</v>
      </c>
    </row>
    <row r="4703" spans="1:11" ht="42" customHeight="1">
      <c r="A4703" s="4" t="s">
        <v>10918</v>
      </c>
      <c r="B4703" s="5" t="s">
        <v>10918</v>
      </c>
      <c r="C4703" s="5" t="s">
        <v>84</v>
      </c>
      <c r="D4703" s="5" t="s">
        <v>85</v>
      </c>
      <c r="E4703" s="5" t="s">
        <v>823</v>
      </c>
      <c r="F4703" s="9">
        <v>50</v>
      </c>
      <c r="G4703" s="9">
        <v>542</v>
      </c>
      <c r="H4703" s="5" t="s">
        <v>21</v>
      </c>
      <c r="I4703" s="5" t="s">
        <v>10919</v>
      </c>
      <c r="J4703" s="12" t="str">
        <f>HYPERLINK("https://www.boe.es/gazeta/dias/1800/06/24/pdfs/GMD-1800-50.pdf#page=6","Abrir facsímil")</f>
        <v>Abrir facsímil</v>
      </c>
      <c r="K4703" s="15" t="s">
        <v>23</v>
      </c>
    </row>
    <row r="4704" spans="1:11" ht="42" customHeight="1">
      <c r="A4704" s="4" t="s">
        <v>10920</v>
      </c>
      <c r="B4704" s="5" t="s">
        <v>10921</v>
      </c>
      <c r="C4704" s="5" t="s">
        <v>18</v>
      </c>
      <c r="D4704" s="5" t="s">
        <v>19</v>
      </c>
      <c r="E4704" s="5" t="s">
        <v>111</v>
      </c>
      <c r="F4704" s="9">
        <v>98</v>
      </c>
      <c r="G4704" s="9">
        <v>1128</v>
      </c>
      <c r="H4704" s="5" t="s">
        <v>21</v>
      </c>
      <c r="I4704" s="5" t="s">
        <v>10922</v>
      </c>
      <c r="J4704" s="12" t="str">
        <f>HYPERLINK("https://www.boe.es/gazeta/dias/1800/12/05/pdfs/GMD-1800-98.pdf#page=8","Abrir facsímil")</f>
        <v>Abrir facsímil</v>
      </c>
      <c r="K4704" s="15" t="s">
        <v>23</v>
      </c>
    </row>
    <row r="4705" spans="1:11" ht="42" customHeight="1">
      <c r="A4705" s="4" t="s">
        <v>10923</v>
      </c>
      <c r="B4705" s="5" t="s">
        <v>10924</v>
      </c>
      <c r="C4705" s="5" t="s">
        <v>25</v>
      </c>
      <c r="D4705" s="5" t="s">
        <v>26</v>
      </c>
      <c r="E4705" s="5" t="s">
        <v>402</v>
      </c>
      <c r="F4705" s="9">
        <v>101</v>
      </c>
      <c r="G4705" s="9">
        <v>1173</v>
      </c>
      <c r="H4705" s="5" t="s">
        <v>21</v>
      </c>
      <c r="I4705" s="5" t="s">
        <v>10925</v>
      </c>
      <c r="J4705" s="12" t="str">
        <f>HYPERLINK("https://www.boe.es/gazeta/dias/1800/12/16/pdfs/GMD-1800-101.pdf#page=9","Abrir facsímil")</f>
        <v>Abrir facsímil</v>
      </c>
      <c r="K4705" s="15" t="s">
        <v>23</v>
      </c>
    </row>
    <row r="4706" spans="1:11" ht="42" customHeight="1">
      <c r="A4706" s="4" t="s">
        <v>10926</v>
      </c>
      <c r="B4706" s="5" t="s">
        <v>10927</v>
      </c>
      <c r="C4706" s="5" t="s">
        <v>54</v>
      </c>
      <c r="D4706" s="5" t="s">
        <v>55</v>
      </c>
      <c r="E4706" s="5" t="s">
        <v>139</v>
      </c>
      <c r="F4706" s="9">
        <v>2</v>
      </c>
      <c r="G4706" s="9">
        <v>19</v>
      </c>
      <c r="H4706" s="5" t="s">
        <v>21</v>
      </c>
      <c r="I4706" s="5" t="s">
        <v>10928</v>
      </c>
      <c r="J4706" s="12" t="str">
        <f>HYPERLINK("https://www.boe.es/gazeta/dias/1800/01/07/pdfs/GMD-1800-2.pdf#page=11","Abrir facsímil")</f>
        <v>Abrir facsímil</v>
      </c>
      <c r="K4706" s="15" t="s">
        <v>23</v>
      </c>
    </row>
    <row r="4707" spans="1:11" ht="42" customHeight="1">
      <c r="A4707" s="4" t="s">
        <v>10929</v>
      </c>
      <c r="B4707" s="5" t="s">
        <v>10930</v>
      </c>
      <c r="C4707" s="5" t="s">
        <v>114</v>
      </c>
      <c r="D4707" s="5" t="s">
        <v>115</v>
      </c>
      <c r="E4707" s="5" t="s">
        <v>116</v>
      </c>
      <c r="F4707" s="9">
        <v>86</v>
      </c>
      <c r="G4707" s="9" t="s">
        <v>117</v>
      </c>
      <c r="H4707" s="5" t="s">
        <v>21</v>
      </c>
      <c r="I4707" s="5" t="s">
        <v>10931</v>
      </c>
      <c r="J4707" s="12" t="str">
        <f>HYPERLINK("https://www.boe.es/gazeta/dias/1800/10/24/pdfs/GMD-D-1800-86.pdf#page=3","Abrir facsímil")</f>
        <v>Abrir facsímil</v>
      </c>
      <c r="K4707" s="15" t="s">
        <v>23</v>
      </c>
    </row>
    <row r="4708" spans="1:11" ht="42" customHeight="1">
      <c r="A4708" s="4" t="s">
        <v>10932</v>
      </c>
      <c r="B4708" s="5" t="s">
        <v>10933</v>
      </c>
      <c r="C4708" s="5" t="s">
        <v>18</v>
      </c>
      <c r="D4708" s="5" t="s">
        <v>19</v>
      </c>
      <c r="E4708" s="5" t="s">
        <v>124</v>
      </c>
      <c r="F4708" s="9">
        <v>16</v>
      </c>
      <c r="G4708" s="9">
        <v>151</v>
      </c>
      <c r="H4708" s="5" t="s">
        <v>21</v>
      </c>
      <c r="I4708" s="5" t="s">
        <v>10934</v>
      </c>
      <c r="J4708" s="12" t="str">
        <f>HYPERLINK("https://www.boe.es/gazeta/dias/1800/02/25/pdfs/GMD-1800-16.pdf#page=7","Abrir facsímil")</f>
        <v>Abrir facsímil</v>
      </c>
      <c r="K4708" s="15" t="s">
        <v>23</v>
      </c>
    </row>
    <row r="4709" spans="1:11" ht="42" customHeight="1">
      <c r="A4709" s="4" t="s">
        <v>10935</v>
      </c>
      <c r="B4709" s="5" t="s">
        <v>10936</v>
      </c>
      <c r="C4709" s="5" t="s">
        <v>18</v>
      </c>
      <c r="D4709" s="5" t="s">
        <v>19</v>
      </c>
      <c r="E4709" s="5" t="s">
        <v>194</v>
      </c>
      <c r="F4709" s="9">
        <v>48</v>
      </c>
      <c r="G4709" s="9">
        <v>518</v>
      </c>
      <c r="H4709" s="5" t="s">
        <v>21</v>
      </c>
      <c r="I4709" s="5" t="s">
        <v>10937</v>
      </c>
      <c r="J4709" s="12" t="str">
        <f>HYPERLINK("https://www.boe.es/gazeta/dias/1800/06/17/pdfs/GMD-1800-48.pdf#page=10","Abrir facsímil")</f>
        <v>Abrir facsímil</v>
      </c>
      <c r="K4709" s="15" t="s">
        <v>23</v>
      </c>
    </row>
    <row r="4710" spans="1:11" ht="42" customHeight="1">
      <c r="A4710" s="4" t="s">
        <v>10938</v>
      </c>
      <c r="B4710" s="5" t="s">
        <v>10939</v>
      </c>
      <c r="C4710" s="5" t="s">
        <v>207</v>
      </c>
      <c r="D4710" s="5" t="s">
        <v>55</v>
      </c>
      <c r="E4710" s="5" t="s">
        <v>240</v>
      </c>
      <c r="F4710" s="9">
        <v>26</v>
      </c>
      <c r="G4710" s="9">
        <v>268</v>
      </c>
      <c r="H4710" s="5" t="s">
        <v>21</v>
      </c>
      <c r="I4710" s="5" t="s">
        <v>10940</v>
      </c>
      <c r="J4710" s="12" t="str">
        <f>HYPERLINK("https://www.boe.es/gazeta/dias/1800/04/01/pdfs/GMD-1800-26.pdf#page=8","Abrir facsímil")</f>
        <v>Abrir facsímil</v>
      </c>
      <c r="K4710" s="15" t="s">
        <v>23</v>
      </c>
    </row>
    <row r="4711" spans="1:11" ht="42" customHeight="1">
      <c r="A4711" s="4" t="s">
        <v>10941</v>
      </c>
      <c r="B4711" s="5" t="s">
        <v>10942</v>
      </c>
      <c r="C4711" s="5" t="s">
        <v>18</v>
      </c>
      <c r="D4711" s="5" t="s">
        <v>19</v>
      </c>
      <c r="E4711" s="5" t="s">
        <v>422</v>
      </c>
      <c r="F4711" s="9">
        <v>85</v>
      </c>
      <c r="G4711" s="9">
        <v>984</v>
      </c>
      <c r="H4711" s="5" t="s">
        <v>21</v>
      </c>
      <c r="I4711" s="5" t="s">
        <v>10943</v>
      </c>
      <c r="J4711" s="12" t="str">
        <f>HYPERLINK("https://www.boe.es/gazeta/dias/1800/10/21/pdfs/GMD-1800-85.pdf#page=6","Abrir facsímil")</f>
        <v>Abrir facsímil</v>
      </c>
      <c r="K4711" s="15" t="s">
        <v>23</v>
      </c>
    </row>
    <row r="4712" spans="1:11" ht="42" customHeight="1">
      <c r="A4712" s="4" t="s">
        <v>10944</v>
      </c>
      <c r="B4712" s="5" t="s">
        <v>10944</v>
      </c>
      <c r="C4712" s="5" t="s">
        <v>114</v>
      </c>
      <c r="D4712" s="5" t="s">
        <v>115</v>
      </c>
      <c r="E4712" s="5" t="s">
        <v>116</v>
      </c>
      <c r="F4712" s="9">
        <v>86</v>
      </c>
      <c r="G4712" s="9" t="s">
        <v>991</v>
      </c>
      <c r="H4712" s="5" t="s">
        <v>21</v>
      </c>
      <c r="I4712" s="5" t="s">
        <v>10945</v>
      </c>
      <c r="J4712" s="12" t="str">
        <f>HYPERLINK("https://www.boe.es/gazeta/dias/1800/10/24/pdfs/GMD-D-1800-86.pdf#page=4","Abrir facsímil")</f>
        <v>Abrir facsímil</v>
      </c>
      <c r="K4712" s="15" t="s">
        <v>23</v>
      </c>
    </row>
    <row r="4713" spans="1:11" ht="42" customHeight="1">
      <c r="A4713" s="4" t="s">
        <v>10946</v>
      </c>
      <c r="B4713" s="5" t="s">
        <v>10946</v>
      </c>
      <c r="C4713" s="5" t="s">
        <v>25</v>
      </c>
      <c r="D4713" s="5" t="s">
        <v>26</v>
      </c>
      <c r="E4713" s="5" t="s">
        <v>1213</v>
      </c>
      <c r="F4713" s="9">
        <v>4</v>
      </c>
      <c r="G4713" s="9">
        <v>40</v>
      </c>
      <c r="H4713" s="5" t="s">
        <v>21</v>
      </c>
      <c r="I4713" s="5" t="s">
        <v>10947</v>
      </c>
      <c r="J4713" s="12" t="str">
        <f>HYPERLINK("https://www.boe.es/gazeta/dias/1800/01/14/pdfs/GMD-1800-4.pdf#page=12","Abrir facsímil")</f>
        <v>Abrir facsímil</v>
      </c>
      <c r="K4713" s="15" t="s">
        <v>23</v>
      </c>
    </row>
    <row r="4714" spans="1:11" ht="42" customHeight="1">
      <c r="A4714" s="4" t="s">
        <v>10948</v>
      </c>
      <c r="B4714" s="5" t="s">
        <v>10949</v>
      </c>
      <c r="C4714" s="5" t="s">
        <v>25</v>
      </c>
      <c r="D4714" s="5" t="s">
        <v>26</v>
      </c>
      <c r="E4714" s="5" t="s">
        <v>214</v>
      </c>
      <c r="F4714" s="9">
        <v>41</v>
      </c>
      <c r="G4714" s="9">
        <v>424</v>
      </c>
      <c r="H4714" s="5" t="s">
        <v>21</v>
      </c>
      <c r="I4714" s="5" t="s">
        <v>10950</v>
      </c>
      <c r="J4714" s="12" t="str">
        <f>HYPERLINK("https://www.boe.es/gazeta/dias/1800/05/23/pdfs/GMD-1800-41.pdf#page=8","Abrir facsímil")</f>
        <v>Abrir facsímil</v>
      </c>
      <c r="K4714" s="15" t="s">
        <v>23</v>
      </c>
    </row>
    <row r="4715" spans="1:11" ht="42" customHeight="1">
      <c r="A4715" s="4" t="s">
        <v>10951</v>
      </c>
      <c r="B4715" s="5" t="s">
        <v>10952</v>
      </c>
      <c r="C4715" s="5" t="s">
        <v>54</v>
      </c>
      <c r="D4715" s="5" t="s">
        <v>55</v>
      </c>
      <c r="E4715" s="5" t="s">
        <v>572</v>
      </c>
      <c r="F4715" s="9">
        <v>76</v>
      </c>
      <c r="G4715" s="9">
        <v>868</v>
      </c>
      <c r="H4715" s="5" t="s">
        <v>21</v>
      </c>
      <c r="I4715" s="5" t="s">
        <v>10953</v>
      </c>
      <c r="J4715" s="12" t="str">
        <f>HYPERLINK("https://www.boe.es/gazeta/dias/1800/09/19/pdfs/GMD-1800-76.pdf#page=10","Abrir facsímil")</f>
        <v>Abrir facsímil</v>
      </c>
      <c r="K4715" s="15" t="s">
        <v>23</v>
      </c>
    </row>
    <row r="4716" spans="1:11" ht="42" customHeight="1">
      <c r="A4716" s="4" t="s">
        <v>10954</v>
      </c>
      <c r="B4716" s="5" t="s">
        <v>10955</v>
      </c>
      <c r="C4716" s="5" t="s">
        <v>18</v>
      </c>
      <c r="D4716" s="5" t="s">
        <v>19</v>
      </c>
      <c r="E4716" s="5" t="s">
        <v>31</v>
      </c>
      <c r="F4716" s="9">
        <v>20</v>
      </c>
      <c r="G4716" s="9">
        <v>192</v>
      </c>
      <c r="H4716" s="5" t="s">
        <v>21</v>
      </c>
      <c r="I4716" s="5" t="s">
        <v>10956</v>
      </c>
      <c r="J4716" s="12" t="str">
        <f>HYPERLINK("https://www.boe.es/gazeta/dias/1800/03/11/pdfs/GMD-1800-20.pdf#page=8","Abrir facsímil")</f>
        <v>Abrir facsímil</v>
      </c>
      <c r="K4716" s="15" t="s">
        <v>23</v>
      </c>
    </row>
    <row r="4717" spans="1:11" ht="42" customHeight="1">
      <c r="A4717" s="4" t="s">
        <v>10957</v>
      </c>
      <c r="B4717" s="5" t="s">
        <v>10958</v>
      </c>
      <c r="C4717" s="5" t="s">
        <v>18</v>
      </c>
      <c r="D4717" s="5" t="s">
        <v>19</v>
      </c>
      <c r="E4717" s="5" t="s">
        <v>135</v>
      </c>
      <c r="F4717" s="9">
        <v>73</v>
      </c>
      <c r="G4717" s="9">
        <v>816</v>
      </c>
      <c r="H4717" s="5" t="s">
        <v>21</v>
      </c>
      <c r="I4717" s="5" t="s">
        <v>10959</v>
      </c>
      <c r="J4717" s="12" t="str">
        <f>HYPERLINK("https://www.boe.es/gazeta/dias/1800/09/09/pdfs/GMD-1800-73.pdf#page=10","Abrir facsímil")</f>
        <v>Abrir facsímil</v>
      </c>
      <c r="K4717" s="15" t="s">
        <v>23</v>
      </c>
    </row>
    <row r="4718" spans="1:11" ht="42" customHeight="1">
      <c r="A4718" s="4" t="s">
        <v>10960</v>
      </c>
      <c r="B4718" s="5" t="s">
        <v>10961</v>
      </c>
      <c r="C4718" s="5" t="s">
        <v>18</v>
      </c>
      <c r="D4718" s="5" t="s">
        <v>19</v>
      </c>
      <c r="E4718" s="5" t="s">
        <v>116</v>
      </c>
      <c r="F4718" s="9">
        <v>86</v>
      </c>
      <c r="G4718" s="9">
        <v>996</v>
      </c>
      <c r="H4718" s="5" t="s">
        <v>21</v>
      </c>
      <c r="I4718" s="5" t="s">
        <v>10962</v>
      </c>
      <c r="J4718" s="12" t="str">
        <f>HYPERLINK("https://www.boe.es/gazeta/dias/1800/10/24/pdfs/GMD-1800-86.pdf#page=6","Abrir facsímil")</f>
        <v>Abrir facsímil</v>
      </c>
      <c r="K4718" s="15" t="s">
        <v>23</v>
      </c>
    </row>
    <row r="4719" spans="1:11" ht="42" customHeight="1">
      <c r="A4719" s="4" t="s">
        <v>10963</v>
      </c>
      <c r="B4719" s="5" t="s">
        <v>10964</v>
      </c>
      <c r="C4719" s="5" t="s">
        <v>84</v>
      </c>
      <c r="D4719" s="5" t="s">
        <v>85</v>
      </c>
      <c r="E4719" s="5" t="s">
        <v>88</v>
      </c>
      <c r="F4719" s="9">
        <v>23</v>
      </c>
      <c r="G4719" s="9">
        <v>227</v>
      </c>
      <c r="H4719" s="5" t="s">
        <v>21</v>
      </c>
      <c r="I4719" s="5" t="s">
        <v>10965</v>
      </c>
      <c r="J4719" s="12" t="str">
        <f>HYPERLINK("https://www.boe.es/gazeta/dias/1800/03/21/pdfs/GMD-1800-23.pdf#page=3","Abrir facsímil")</f>
        <v>Abrir facsímil</v>
      </c>
      <c r="K4719" s="15" t="s">
        <v>23</v>
      </c>
    </row>
    <row r="4720" spans="1:11" ht="42" customHeight="1">
      <c r="A4720" s="4" t="s">
        <v>10963</v>
      </c>
      <c r="B4720" s="5" t="s">
        <v>10964</v>
      </c>
      <c r="C4720" s="5" t="s">
        <v>41</v>
      </c>
      <c r="D4720" s="5" t="s">
        <v>42</v>
      </c>
      <c r="E4720" s="5" t="s">
        <v>158</v>
      </c>
      <c r="F4720" s="9">
        <v>25</v>
      </c>
      <c r="G4720" s="9">
        <v>252</v>
      </c>
      <c r="H4720" s="5" t="s">
        <v>21</v>
      </c>
      <c r="I4720" s="5" t="s">
        <v>10966</v>
      </c>
      <c r="J4720" s="12" t="str">
        <f>HYPERLINK("https://www.boe.es/gazeta/dias/1800/03/28/pdfs/GMD-1800-25.pdf#page=4","Abrir facsímil")</f>
        <v>Abrir facsímil</v>
      </c>
      <c r="K4720" s="15" t="s">
        <v>23</v>
      </c>
    </row>
    <row r="4721" spans="1:11" ht="42" customHeight="1">
      <c r="A4721" s="4" t="s">
        <v>10963</v>
      </c>
      <c r="B4721" s="5" t="s">
        <v>10964</v>
      </c>
      <c r="C4721" s="5" t="s">
        <v>41</v>
      </c>
      <c r="D4721" s="5" t="s">
        <v>42</v>
      </c>
      <c r="E4721" s="5" t="s">
        <v>240</v>
      </c>
      <c r="F4721" s="9">
        <v>26</v>
      </c>
      <c r="G4721" s="9">
        <v>263</v>
      </c>
      <c r="H4721" s="5" t="s">
        <v>21</v>
      </c>
      <c r="I4721" s="5" t="s">
        <v>10967</v>
      </c>
      <c r="J4721" s="12" t="str">
        <f>HYPERLINK("https://www.boe.es/gazeta/dias/1800/04/01/pdfs/GMD-1800-26.pdf#page=3","Abrir facsímil")</f>
        <v>Abrir facsímil</v>
      </c>
      <c r="K4721" s="15" t="s">
        <v>23</v>
      </c>
    </row>
    <row r="4722" spans="1:11" ht="42" customHeight="1">
      <c r="A4722" s="4" t="s">
        <v>10963</v>
      </c>
      <c r="B4722" s="5" t="s">
        <v>10964</v>
      </c>
      <c r="C4722" s="5" t="s">
        <v>18</v>
      </c>
      <c r="D4722" s="5" t="s">
        <v>19</v>
      </c>
      <c r="E4722" s="5" t="s">
        <v>56</v>
      </c>
      <c r="F4722" s="9">
        <v>90</v>
      </c>
      <c r="G4722" s="9">
        <v>1050</v>
      </c>
      <c r="H4722" s="5" t="s">
        <v>21</v>
      </c>
      <c r="I4722" s="5" t="s">
        <v>10968</v>
      </c>
      <c r="J4722" s="12" t="str">
        <f>HYPERLINK("https://www.boe.es/gazeta/dias/1800/11/07/pdfs/GMD-1800-90.pdf#page=4","Abrir facsímil")</f>
        <v>Abrir facsímil</v>
      </c>
      <c r="K4722" s="15" t="s">
        <v>23</v>
      </c>
    </row>
    <row r="4723" spans="1:11" ht="42" customHeight="1">
      <c r="A4723" s="4" t="s">
        <v>10969</v>
      </c>
      <c r="B4723" s="5" t="s">
        <v>10970</v>
      </c>
      <c r="C4723" s="5" t="s">
        <v>18</v>
      </c>
      <c r="D4723" s="5" t="s">
        <v>19</v>
      </c>
      <c r="E4723" s="5" t="s">
        <v>534</v>
      </c>
      <c r="F4723" s="9">
        <v>100</v>
      </c>
      <c r="G4723" s="9">
        <v>1160</v>
      </c>
      <c r="H4723" s="5" t="s">
        <v>21</v>
      </c>
      <c r="I4723" s="5" t="s">
        <v>10971</v>
      </c>
      <c r="J4723" s="12" t="str">
        <f>HYPERLINK("https://www.boe.es/gazeta/dias/1800/12/12/pdfs/GMD-1800-100.pdf#page=12","Abrir facsímil")</f>
        <v>Abrir facsímil</v>
      </c>
      <c r="K4723" s="15" t="s">
        <v>23</v>
      </c>
    </row>
    <row r="4724" spans="1:11" ht="42" customHeight="1">
      <c r="A4724" s="4" t="s">
        <v>10972</v>
      </c>
      <c r="B4724" s="5" t="s">
        <v>10972</v>
      </c>
      <c r="C4724" s="5" t="s">
        <v>41</v>
      </c>
      <c r="D4724" s="5" t="s">
        <v>42</v>
      </c>
      <c r="E4724" s="5" t="s">
        <v>68</v>
      </c>
      <c r="F4724" s="9">
        <v>67</v>
      </c>
      <c r="G4724" s="9">
        <v>750</v>
      </c>
      <c r="H4724" s="5" t="s">
        <v>21</v>
      </c>
      <c r="I4724" s="5" t="s">
        <v>10973</v>
      </c>
      <c r="J4724" s="12" t="str">
        <f>HYPERLINK("https://www.boe.es/gazeta/dias/1800/08/22/pdfs/GMD-1800-67.pdf#page=2","Abrir facsímil")</f>
        <v>Abrir facsímil</v>
      </c>
      <c r="K4724" s="15" t="s">
        <v>23</v>
      </c>
    </row>
    <row r="4725" spans="1:11" ht="42" customHeight="1">
      <c r="A4725" s="4" t="s">
        <v>10974</v>
      </c>
      <c r="B4725" s="5" t="s">
        <v>10975</v>
      </c>
      <c r="C4725" s="5" t="s">
        <v>18</v>
      </c>
      <c r="D4725" s="5" t="s">
        <v>19</v>
      </c>
      <c r="E4725" s="5" t="s">
        <v>248</v>
      </c>
      <c r="F4725" s="9">
        <v>33</v>
      </c>
      <c r="G4725" s="9">
        <v>328</v>
      </c>
      <c r="H4725" s="5" t="s">
        <v>21</v>
      </c>
      <c r="I4725" s="5" t="s">
        <v>10976</v>
      </c>
      <c r="J4725" s="12" t="str">
        <f>HYPERLINK("https://www.boe.es/gazeta/dias/1800/04/25/pdfs/GMD-1800-33.pdf#page=4","Abrir facsímil")</f>
        <v>Abrir facsímil</v>
      </c>
      <c r="K4725" s="15" t="s">
        <v>23</v>
      </c>
    </row>
    <row r="4726" spans="1:11" ht="42" customHeight="1">
      <c r="A4726" s="4" t="s">
        <v>10977</v>
      </c>
      <c r="B4726" s="5" t="s">
        <v>10978</v>
      </c>
      <c r="C4726" s="5" t="s">
        <v>18</v>
      </c>
      <c r="D4726" s="5" t="s">
        <v>19</v>
      </c>
      <c r="E4726" s="5" t="s">
        <v>346</v>
      </c>
      <c r="F4726" s="9">
        <v>24</v>
      </c>
      <c r="G4726" s="9">
        <v>239</v>
      </c>
      <c r="H4726" s="5" t="s">
        <v>21</v>
      </c>
      <c r="I4726" s="5" t="s">
        <v>10979</v>
      </c>
      <c r="J4726" s="12" t="str">
        <f>HYPERLINK("https://www.boe.es/gazeta/dias/1800/03/25/pdfs/GMD-1800-24.pdf#page=3","Abrir facsímil")</f>
        <v>Abrir facsímil</v>
      </c>
      <c r="K4726" s="15" t="s">
        <v>23</v>
      </c>
    </row>
    <row r="4727" spans="1:11" ht="42" customHeight="1">
      <c r="A4727" s="4" t="s">
        <v>10977</v>
      </c>
      <c r="B4727" s="5" t="s">
        <v>10978</v>
      </c>
      <c r="C4727" s="5" t="s">
        <v>41</v>
      </c>
      <c r="D4727" s="5" t="s">
        <v>42</v>
      </c>
      <c r="E4727" s="5" t="s">
        <v>68</v>
      </c>
      <c r="F4727" s="9">
        <v>67</v>
      </c>
      <c r="G4727" s="9">
        <v>750</v>
      </c>
      <c r="H4727" s="5" t="s">
        <v>21</v>
      </c>
      <c r="I4727" s="5" t="s">
        <v>10980</v>
      </c>
      <c r="J4727" s="12" t="str">
        <f>HYPERLINK("https://www.boe.es/gazeta/dias/1800/08/22/pdfs/GMD-1800-67.pdf#page=2","Abrir facsímil")</f>
        <v>Abrir facsímil</v>
      </c>
      <c r="K4727" s="15" t="s">
        <v>23</v>
      </c>
    </row>
    <row r="4728" spans="1:11" ht="42" customHeight="1">
      <c r="A4728" s="4" t="s">
        <v>10981</v>
      </c>
      <c r="B4728" s="5" t="s">
        <v>10982</v>
      </c>
      <c r="C4728" s="5" t="s">
        <v>54</v>
      </c>
      <c r="D4728" s="5" t="s">
        <v>55</v>
      </c>
      <c r="E4728" s="5" t="s">
        <v>410</v>
      </c>
      <c r="F4728" s="9">
        <v>87</v>
      </c>
      <c r="G4728" s="9">
        <v>1003</v>
      </c>
      <c r="H4728" s="5" t="s">
        <v>21</v>
      </c>
      <c r="I4728" s="5" t="s">
        <v>10983</v>
      </c>
      <c r="J4728" s="12" t="str">
        <f>HYPERLINK("https://www.boe.es/gazeta/dias/1800/10/28/pdfs/GMD-1800-87.pdf#page=1","Abrir facsímil")</f>
        <v>Abrir facsímil</v>
      </c>
      <c r="K4728" s="15" t="s">
        <v>23</v>
      </c>
    </row>
    <row r="4729" spans="1:11" ht="42" customHeight="1">
      <c r="A4729" s="4" t="s">
        <v>10984</v>
      </c>
      <c r="B4729" s="5" t="s">
        <v>10985</v>
      </c>
      <c r="C4729" s="5" t="s">
        <v>25</v>
      </c>
      <c r="D4729" s="5" t="s">
        <v>26</v>
      </c>
      <c r="E4729" s="5" t="s">
        <v>1213</v>
      </c>
      <c r="F4729" s="9">
        <v>4</v>
      </c>
      <c r="G4729" s="9">
        <v>38</v>
      </c>
      <c r="H4729" s="5" t="s">
        <v>21</v>
      </c>
      <c r="I4729" s="5" t="s">
        <v>10986</v>
      </c>
      <c r="J4729" s="12" t="str">
        <f>HYPERLINK("https://www.boe.es/gazeta/dias/1800/01/14/pdfs/GMD-1800-4.pdf#page=10","Abrir facsímil")</f>
        <v>Abrir facsímil</v>
      </c>
      <c r="K4729" s="15" t="s">
        <v>23</v>
      </c>
    </row>
    <row r="4730" spans="1:11" ht="42" customHeight="1">
      <c r="A4730" s="4" t="s">
        <v>10984</v>
      </c>
      <c r="B4730" s="5" t="s">
        <v>10985</v>
      </c>
      <c r="C4730" s="5" t="s">
        <v>84</v>
      </c>
      <c r="D4730" s="5" t="s">
        <v>85</v>
      </c>
      <c r="E4730" s="5" t="s">
        <v>48</v>
      </c>
      <c r="F4730" s="9">
        <v>66</v>
      </c>
      <c r="G4730" s="9">
        <v>748</v>
      </c>
      <c r="H4730" s="5" t="s">
        <v>21</v>
      </c>
      <c r="I4730" s="5" t="s">
        <v>10987</v>
      </c>
      <c r="J4730" s="12" t="str">
        <f>HYPERLINK("https://www.boe.es/gazeta/dias/1800/08/19/pdfs/GMD-1800-66.pdf#page=12","Abrir facsímil")</f>
        <v>Abrir facsímil</v>
      </c>
      <c r="K4730" s="15" t="s">
        <v>23</v>
      </c>
    </row>
    <row r="4731" spans="1:11" ht="42" customHeight="1">
      <c r="A4731" s="4" t="s">
        <v>10988</v>
      </c>
      <c r="B4731" s="5" t="s">
        <v>10989</v>
      </c>
      <c r="C4731" s="5" t="s">
        <v>18</v>
      </c>
      <c r="D4731" s="5" t="s">
        <v>19</v>
      </c>
      <c r="E4731" s="5" t="s">
        <v>314</v>
      </c>
      <c r="F4731" s="9">
        <v>74</v>
      </c>
      <c r="G4731" s="9">
        <v>833</v>
      </c>
      <c r="H4731" s="5" t="s">
        <v>21</v>
      </c>
      <c r="I4731" s="5" t="s">
        <v>10990</v>
      </c>
      <c r="J4731" s="12" t="str">
        <f>HYPERLINK("https://www.boe.es/gazeta/dias/1800/09/12/pdfs/GMD-1800-74.pdf#page=11","Abrir facsímil")</f>
        <v>Abrir facsímil</v>
      </c>
      <c r="K4731" s="15" t="s">
        <v>23</v>
      </c>
    </row>
    <row r="4732" spans="1:11" ht="42" customHeight="1">
      <c r="A4732" s="4" t="s">
        <v>10991</v>
      </c>
      <c r="B4732" s="5" t="s">
        <v>10992</v>
      </c>
      <c r="C4732" s="5" t="s">
        <v>18</v>
      </c>
      <c r="D4732" s="5" t="s">
        <v>19</v>
      </c>
      <c r="E4732" s="5" t="s">
        <v>346</v>
      </c>
      <c r="F4732" s="9">
        <v>24</v>
      </c>
      <c r="G4732" s="9">
        <v>243</v>
      </c>
      <c r="H4732" s="5" t="s">
        <v>21</v>
      </c>
      <c r="I4732" s="5" t="s">
        <v>10993</v>
      </c>
      <c r="J4732" s="12" t="str">
        <f>HYPERLINK("https://www.boe.es/gazeta/dias/1800/03/25/pdfs/GMD-1800-24.pdf#page=7","Abrir facsímil")</f>
        <v>Abrir facsímil</v>
      </c>
      <c r="K4732" s="15" t="s">
        <v>23</v>
      </c>
    </row>
    <row r="4733" spans="1:11" ht="42" customHeight="1">
      <c r="A4733" s="4" t="s">
        <v>10994</v>
      </c>
      <c r="B4733" s="5" t="s">
        <v>10994</v>
      </c>
      <c r="C4733" s="5" t="s">
        <v>41</v>
      </c>
      <c r="D4733" s="5" t="s">
        <v>42</v>
      </c>
      <c r="E4733" s="5" t="s">
        <v>534</v>
      </c>
      <c r="F4733" s="9">
        <v>100</v>
      </c>
      <c r="G4733" s="9">
        <v>1155</v>
      </c>
      <c r="H4733" s="5" t="s">
        <v>21</v>
      </c>
      <c r="I4733" s="5" t="s">
        <v>2395</v>
      </c>
      <c r="J4733" s="12" t="str">
        <f>HYPERLINK("https://www.boe.es/gazeta/dias/1800/12/12/pdfs/GMD-1800-100.pdf#page=7","Abrir facsímil")</f>
        <v>Abrir facsímil</v>
      </c>
      <c r="K4733" s="15" t="s">
        <v>23</v>
      </c>
    </row>
    <row r="4734" spans="1:11" ht="42" customHeight="1">
      <c r="A4734" s="4" t="s">
        <v>10994</v>
      </c>
      <c r="B4734" s="5" t="s">
        <v>10994</v>
      </c>
      <c r="C4734" s="5" t="s">
        <v>41</v>
      </c>
      <c r="D4734" s="5" t="s">
        <v>42</v>
      </c>
      <c r="E4734" s="5" t="s">
        <v>534</v>
      </c>
      <c r="F4734" s="9">
        <v>100</v>
      </c>
      <c r="G4734" s="9">
        <v>1156</v>
      </c>
      <c r="H4734" s="5" t="s">
        <v>21</v>
      </c>
      <c r="I4734" s="5" t="s">
        <v>10995</v>
      </c>
      <c r="J4734" s="12" t="str">
        <f>HYPERLINK("https://www.boe.es/gazeta/dias/1800/12/12/pdfs/GMD-1800-100.pdf#page=8","Abrir facsímil")</f>
        <v>Abrir facsímil</v>
      </c>
      <c r="K4734" s="15" t="s">
        <v>23</v>
      </c>
    </row>
    <row r="4735" spans="1:11" ht="42" customHeight="1">
      <c r="A4735" s="4" t="s">
        <v>10996</v>
      </c>
      <c r="B4735" s="5" t="s">
        <v>10997</v>
      </c>
      <c r="C4735" s="5" t="s">
        <v>41</v>
      </c>
      <c r="D4735" s="5" t="s">
        <v>42</v>
      </c>
      <c r="E4735" s="5" t="s">
        <v>190</v>
      </c>
      <c r="F4735" s="9">
        <v>93</v>
      </c>
      <c r="G4735" s="9">
        <v>1064</v>
      </c>
      <c r="H4735" s="5" t="s">
        <v>21</v>
      </c>
      <c r="I4735" s="5" t="s">
        <v>10998</v>
      </c>
      <c r="J4735" s="12" t="str">
        <f>HYPERLINK("https://www.boe.es/gazeta/dias/1800/11/18/pdfs/GMD-1800-93.pdf#page=10","Abrir facsímil")</f>
        <v>Abrir facsímil</v>
      </c>
      <c r="K4735" s="15" t="s">
        <v>23</v>
      </c>
    </row>
    <row r="4736" spans="1:11" ht="42" customHeight="1">
      <c r="A4736" s="4" t="s">
        <v>10996</v>
      </c>
      <c r="B4736" s="5" t="s">
        <v>10997</v>
      </c>
      <c r="C4736" s="5" t="s">
        <v>41</v>
      </c>
      <c r="D4736" s="5" t="s">
        <v>42</v>
      </c>
      <c r="E4736" s="5" t="s">
        <v>402</v>
      </c>
      <c r="F4736" s="9">
        <v>101</v>
      </c>
      <c r="G4736" s="9">
        <v>1171</v>
      </c>
      <c r="H4736" s="5" t="s">
        <v>21</v>
      </c>
      <c r="I4736" s="5" t="s">
        <v>10999</v>
      </c>
      <c r="J4736" s="12" t="str">
        <f>HYPERLINK("https://www.boe.es/gazeta/dias/1800/12/16/pdfs/GMD-1800-101.pdf#page=7","Abrir facsímil")</f>
        <v>Abrir facsímil</v>
      </c>
      <c r="K4736" s="15" t="s">
        <v>23</v>
      </c>
    </row>
    <row r="4737" spans="1:11" ht="42" customHeight="1">
      <c r="A4737" s="4" t="s">
        <v>11000</v>
      </c>
      <c r="B4737" s="5" t="s">
        <v>11001</v>
      </c>
      <c r="C4737" s="5" t="s">
        <v>84</v>
      </c>
      <c r="D4737" s="5" t="s">
        <v>85</v>
      </c>
      <c r="E4737" s="5" t="s">
        <v>135</v>
      </c>
      <c r="F4737" s="9">
        <v>73</v>
      </c>
      <c r="G4737" s="9">
        <v>818</v>
      </c>
      <c r="H4737" s="5" t="s">
        <v>21</v>
      </c>
      <c r="I4737" s="5" t="s">
        <v>11002</v>
      </c>
      <c r="J4737" s="12" t="str">
        <f>HYPERLINK("https://www.boe.es/gazeta/dias/1800/09/09/pdfs/GMD-1800-73.pdf#page=12","Abrir facsímil")</f>
        <v>Abrir facsímil</v>
      </c>
      <c r="K4737" s="15" t="s">
        <v>23</v>
      </c>
    </row>
    <row r="4738" spans="1:11" ht="42" customHeight="1">
      <c r="A4738" s="4" t="s">
        <v>11003</v>
      </c>
      <c r="B4738" s="5" t="s">
        <v>11004</v>
      </c>
      <c r="C4738" s="5" t="s">
        <v>41</v>
      </c>
      <c r="D4738" s="5" t="s">
        <v>42</v>
      </c>
      <c r="E4738" s="5" t="s">
        <v>598</v>
      </c>
      <c r="F4738" s="9">
        <v>32</v>
      </c>
      <c r="G4738" s="9">
        <v>321</v>
      </c>
      <c r="H4738" s="5" t="s">
        <v>21</v>
      </c>
      <c r="I4738" s="5" t="s">
        <v>11005</v>
      </c>
      <c r="J4738" s="12" t="str">
        <f>HYPERLINK("https://www.boe.es/gazeta/dias/1800/04/22/pdfs/GMD-1800-32.pdf#page=5","Abrir facsímil")</f>
        <v>Abrir facsímil</v>
      </c>
      <c r="K4738" s="15" t="s">
        <v>23</v>
      </c>
    </row>
    <row r="4739" spans="1:11" ht="42" customHeight="1">
      <c r="A4739" s="4" t="s">
        <v>11006</v>
      </c>
      <c r="B4739" s="5" t="s">
        <v>11007</v>
      </c>
      <c r="C4739" s="5" t="s">
        <v>18</v>
      </c>
      <c r="D4739" s="5" t="s">
        <v>19</v>
      </c>
      <c r="E4739" s="5" t="s">
        <v>158</v>
      </c>
      <c r="F4739" s="9">
        <v>25</v>
      </c>
      <c r="G4739" s="9">
        <v>256</v>
      </c>
      <c r="H4739" s="5" t="s">
        <v>21</v>
      </c>
      <c r="I4739" s="5" t="s">
        <v>11008</v>
      </c>
      <c r="J4739" s="12" t="str">
        <f>HYPERLINK("https://www.boe.es/gazeta/dias/1800/03/28/pdfs/GMD-1800-25.pdf#page=8","Abrir facsímil")</f>
        <v>Abrir facsímil</v>
      </c>
      <c r="K4739" s="15" t="s">
        <v>23</v>
      </c>
    </row>
    <row r="4740" spans="1:11" ht="42" customHeight="1">
      <c r="A4740" s="4" t="s">
        <v>11009</v>
      </c>
      <c r="B4740" s="5" t="s">
        <v>11010</v>
      </c>
      <c r="C4740" s="5" t="s">
        <v>84</v>
      </c>
      <c r="D4740" s="5" t="s">
        <v>85</v>
      </c>
      <c r="E4740" s="5" t="s">
        <v>230</v>
      </c>
      <c r="F4740" s="9">
        <v>35</v>
      </c>
      <c r="G4740" s="9">
        <v>356</v>
      </c>
      <c r="H4740" s="5" t="s">
        <v>21</v>
      </c>
      <c r="I4740" s="5" t="s">
        <v>11011</v>
      </c>
      <c r="J4740" s="12" t="str">
        <f>HYPERLINK("https://www.boe.es/gazeta/dias/1800/05/02/pdfs/GMD-1800-35.pdf#page=8","Abrir facsímil")</f>
        <v>Abrir facsímil</v>
      </c>
      <c r="K4740" s="15" t="s">
        <v>23</v>
      </c>
    </row>
    <row r="4741" spans="1:11" ht="42" customHeight="1">
      <c r="A4741" s="4" t="s">
        <v>11012</v>
      </c>
      <c r="B4741" s="5" t="s">
        <v>11013</v>
      </c>
      <c r="C4741" s="5" t="s">
        <v>18</v>
      </c>
      <c r="D4741" s="5" t="s">
        <v>19</v>
      </c>
      <c r="E4741" s="5" t="s">
        <v>595</v>
      </c>
      <c r="F4741" s="9">
        <v>72</v>
      </c>
      <c r="G4741" s="9">
        <v>797</v>
      </c>
      <c r="H4741" s="5" t="s">
        <v>21</v>
      </c>
      <c r="I4741" s="5" t="s">
        <v>11014</v>
      </c>
      <c r="J4741" s="12" t="str">
        <f>HYPERLINK("https://www.boe.es/gazeta/dias/1800/09/05/pdfs/GMD-1800-72.pdf#page=7","Abrir facsímil")</f>
        <v>Abrir facsímil</v>
      </c>
      <c r="K4741" s="15" t="s">
        <v>23</v>
      </c>
    </row>
    <row r="4742" spans="1:11" ht="42" customHeight="1">
      <c r="A4742" s="4" t="s">
        <v>11015</v>
      </c>
      <c r="B4742" s="5" t="s">
        <v>11016</v>
      </c>
      <c r="C4742" s="5" t="s">
        <v>18</v>
      </c>
      <c r="D4742" s="5" t="s">
        <v>19</v>
      </c>
      <c r="E4742" s="5" t="s">
        <v>56</v>
      </c>
      <c r="F4742" s="9">
        <v>90</v>
      </c>
      <c r="G4742" s="9">
        <v>1055</v>
      </c>
      <c r="H4742" s="5" t="s">
        <v>21</v>
      </c>
      <c r="I4742" s="5" t="s">
        <v>11017</v>
      </c>
      <c r="J4742" s="12" t="str">
        <f>HYPERLINK("https://www.boe.es/gazeta/dias/1800/11/07/pdfs/GMD-1800-90.pdf#page=9","Abrir facsímil")</f>
        <v>Abrir facsímil</v>
      </c>
      <c r="K4742" s="15" t="s">
        <v>23</v>
      </c>
    </row>
    <row r="4743" spans="1:11" ht="42" customHeight="1">
      <c r="A4743" s="4" t="s">
        <v>11018</v>
      </c>
      <c r="B4743" s="5" t="s">
        <v>11019</v>
      </c>
      <c r="C4743" s="5" t="s">
        <v>18</v>
      </c>
      <c r="D4743" s="5" t="s">
        <v>19</v>
      </c>
      <c r="E4743" s="5" t="s">
        <v>194</v>
      </c>
      <c r="F4743" s="9">
        <v>48</v>
      </c>
      <c r="G4743" s="9">
        <v>519</v>
      </c>
      <c r="H4743" s="5" t="s">
        <v>21</v>
      </c>
      <c r="I4743" s="5" t="s">
        <v>11020</v>
      </c>
      <c r="J4743" s="12" t="str">
        <f>HYPERLINK("https://www.boe.es/gazeta/dias/1800/06/17/pdfs/GMD-1800-48.pdf#page=11","Abrir facsímil")</f>
        <v>Abrir facsímil</v>
      </c>
      <c r="K4743" s="15" t="s">
        <v>23</v>
      </c>
    </row>
    <row r="4744" spans="1:11" ht="42" customHeight="1">
      <c r="A4744" s="4" t="s">
        <v>11021</v>
      </c>
      <c r="B4744" s="5" t="s">
        <v>11022</v>
      </c>
      <c r="C4744" s="5" t="s">
        <v>18</v>
      </c>
      <c r="D4744" s="5" t="s">
        <v>19</v>
      </c>
      <c r="E4744" s="5" t="s">
        <v>116</v>
      </c>
      <c r="F4744" s="9">
        <v>86</v>
      </c>
      <c r="G4744" s="9">
        <v>996</v>
      </c>
      <c r="H4744" s="5" t="s">
        <v>21</v>
      </c>
      <c r="I4744" s="5" t="s">
        <v>11023</v>
      </c>
      <c r="J4744" s="12" t="str">
        <f>HYPERLINK("https://www.boe.es/gazeta/dias/1800/10/24/pdfs/GMD-1800-86.pdf#page=6","Abrir facsímil")</f>
        <v>Abrir facsímil</v>
      </c>
      <c r="K4744" s="15" t="s">
        <v>23</v>
      </c>
    </row>
    <row r="4745" spans="1:11" ht="42" customHeight="1">
      <c r="A4745" s="4" t="s">
        <v>11024</v>
      </c>
      <c r="B4745" s="5" t="s">
        <v>11025</v>
      </c>
      <c r="C4745" s="5" t="s">
        <v>18</v>
      </c>
      <c r="D4745" s="5" t="s">
        <v>19</v>
      </c>
      <c r="E4745" s="5" t="s">
        <v>314</v>
      </c>
      <c r="F4745" s="9">
        <v>74</v>
      </c>
      <c r="G4745" s="9">
        <v>831</v>
      </c>
      <c r="H4745" s="5" t="s">
        <v>21</v>
      </c>
      <c r="I4745" s="5" t="s">
        <v>11026</v>
      </c>
      <c r="J4745" s="12" t="str">
        <f>HYPERLINK("https://www.boe.es/gazeta/dias/1800/09/12/pdfs/GMD-1800-74.pdf#page=9","Abrir facsímil")</f>
        <v>Abrir facsímil</v>
      </c>
      <c r="K4745" s="15" t="s">
        <v>23</v>
      </c>
    </row>
    <row r="4746" spans="1:11" ht="42" customHeight="1">
      <c r="A4746" s="4" t="s">
        <v>11027</v>
      </c>
      <c r="B4746" s="5" t="s">
        <v>11027</v>
      </c>
      <c r="C4746" s="5" t="s">
        <v>41</v>
      </c>
      <c r="D4746" s="5" t="s">
        <v>42</v>
      </c>
      <c r="E4746" s="5" t="s">
        <v>445</v>
      </c>
      <c r="F4746" s="9">
        <v>96</v>
      </c>
      <c r="G4746" s="9">
        <v>1102</v>
      </c>
      <c r="H4746" s="5" t="s">
        <v>21</v>
      </c>
      <c r="I4746" s="5" t="s">
        <v>11028</v>
      </c>
      <c r="J4746" s="12" t="str">
        <f>HYPERLINK("https://www.boe.es/gazeta/dias/1800/11/28/pdfs/GMD-1800-96.pdf#page=6","Abrir facsímil")</f>
        <v>Abrir facsímil</v>
      </c>
      <c r="K4746" s="15" t="s">
        <v>23</v>
      </c>
    </row>
    <row r="4747" spans="1:11" ht="42" customHeight="1">
      <c r="A4747" s="4" t="s">
        <v>11029</v>
      </c>
      <c r="B4747" s="5" t="s">
        <v>11030</v>
      </c>
      <c r="C4747" s="5" t="s">
        <v>18</v>
      </c>
      <c r="D4747" s="5" t="s">
        <v>19</v>
      </c>
      <c r="E4747" s="5" t="s">
        <v>158</v>
      </c>
      <c r="F4747" s="9">
        <v>25</v>
      </c>
      <c r="G4747" s="9">
        <v>256</v>
      </c>
      <c r="H4747" s="5" t="s">
        <v>21</v>
      </c>
      <c r="I4747" s="5" t="s">
        <v>11031</v>
      </c>
      <c r="J4747" s="12" t="str">
        <f>HYPERLINK("https://www.boe.es/gazeta/dias/1800/03/28/pdfs/GMD-1800-25.pdf#page=8","Abrir facsímil")</f>
        <v>Abrir facsímil</v>
      </c>
      <c r="K4747" s="15" t="s">
        <v>23</v>
      </c>
    </row>
    <row r="4748" spans="1:11" ht="42" customHeight="1">
      <c r="A4748" s="4" t="s">
        <v>11032</v>
      </c>
      <c r="B4748" s="5" t="s">
        <v>11033</v>
      </c>
      <c r="C4748" s="5" t="s">
        <v>18</v>
      </c>
      <c r="D4748" s="5" t="s">
        <v>19</v>
      </c>
      <c r="E4748" s="5" t="s">
        <v>310</v>
      </c>
      <c r="F4748" s="9">
        <v>56</v>
      </c>
      <c r="G4748" s="9">
        <v>633</v>
      </c>
      <c r="H4748" s="5" t="s">
        <v>21</v>
      </c>
      <c r="I4748" s="5" t="s">
        <v>11034</v>
      </c>
      <c r="J4748" s="12" t="str">
        <f>HYPERLINK("https://www.boe.es/gazeta/dias/1800/07/15/pdfs/GMD-1800-56.pdf#page=9","Abrir facsímil")</f>
        <v>Abrir facsímil</v>
      </c>
      <c r="K4748" s="15" t="s">
        <v>23</v>
      </c>
    </row>
    <row r="4749" spans="1:11" ht="42" customHeight="1">
      <c r="A4749" s="4" t="s">
        <v>11035</v>
      </c>
      <c r="B4749" s="5" t="s">
        <v>11036</v>
      </c>
      <c r="C4749" s="5" t="s">
        <v>18</v>
      </c>
      <c r="D4749" s="5" t="s">
        <v>19</v>
      </c>
      <c r="E4749" s="5" t="s">
        <v>79</v>
      </c>
      <c r="F4749" s="9">
        <v>7</v>
      </c>
      <c r="G4749" s="9">
        <v>66</v>
      </c>
      <c r="H4749" s="5" t="s">
        <v>21</v>
      </c>
      <c r="I4749" s="5" t="s">
        <v>11037</v>
      </c>
      <c r="J4749" s="12" t="str">
        <f>HYPERLINK("https://www.boe.es/gazeta/dias/1800/01/24/pdfs/GMD-1800-7.pdf#page=6","Abrir facsímil")</f>
        <v>Abrir facsímil</v>
      </c>
      <c r="K4749" s="15" t="s">
        <v>23</v>
      </c>
    </row>
    <row r="4750" spans="1:11" ht="42" customHeight="1">
      <c r="A4750" s="4" t="s">
        <v>11038</v>
      </c>
      <c r="B4750" s="5" t="s">
        <v>11038</v>
      </c>
      <c r="C4750" s="5" t="s">
        <v>41</v>
      </c>
      <c r="D4750" s="5" t="s">
        <v>42</v>
      </c>
      <c r="E4750" s="5" t="s">
        <v>88</v>
      </c>
      <c r="F4750" s="9">
        <v>23</v>
      </c>
      <c r="G4750" s="9">
        <v>231</v>
      </c>
      <c r="H4750" s="5" t="s">
        <v>21</v>
      </c>
      <c r="I4750" s="5" t="s">
        <v>11039</v>
      </c>
      <c r="J4750" s="12" t="str">
        <f>HYPERLINK("https://www.boe.es/gazeta/dias/1800/03/21/pdfs/GMD-1800-23.pdf#page=7","Abrir facsímil")</f>
        <v>Abrir facsímil</v>
      </c>
      <c r="K4750" s="15" t="s">
        <v>23</v>
      </c>
    </row>
    <row r="4751" spans="1:11" ht="42" customHeight="1">
      <c r="A4751" s="4" t="s">
        <v>11040</v>
      </c>
      <c r="B4751" s="5" t="s">
        <v>11040</v>
      </c>
      <c r="C4751" s="5" t="s">
        <v>18</v>
      </c>
      <c r="D4751" s="5" t="s">
        <v>19</v>
      </c>
      <c r="E4751" s="5" t="s">
        <v>64</v>
      </c>
      <c r="F4751" s="9">
        <v>54</v>
      </c>
      <c r="G4751" s="9">
        <v>606</v>
      </c>
      <c r="H4751" s="5" t="s">
        <v>21</v>
      </c>
      <c r="I4751" s="5" t="s">
        <v>11041</v>
      </c>
      <c r="J4751" s="12" t="str">
        <f>HYPERLINK("https://www.boe.es/gazeta/dias/1800/07/08/pdfs/GMD-1800-54.pdf#page=10","Abrir facsímil")</f>
        <v>Abrir facsímil</v>
      </c>
      <c r="K4751" s="15" t="s">
        <v>23</v>
      </c>
    </row>
    <row r="4752" spans="1:11" ht="42" customHeight="1">
      <c r="A4752" s="4" t="s">
        <v>11042</v>
      </c>
      <c r="B4752" s="5" t="s">
        <v>11042</v>
      </c>
      <c r="C4752" s="5" t="s">
        <v>41</v>
      </c>
      <c r="D4752" s="5" t="s">
        <v>42</v>
      </c>
      <c r="E4752" s="5" t="s">
        <v>86</v>
      </c>
      <c r="F4752" s="9">
        <v>17</v>
      </c>
      <c r="G4752" s="9">
        <v>161</v>
      </c>
      <c r="H4752" s="5" t="s">
        <v>21</v>
      </c>
      <c r="I4752" s="5" t="s">
        <v>11043</v>
      </c>
      <c r="J4752" s="12" t="str">
        <f>HYPERLINK("https://www.boe.es/gazeta/dias/1800/02/28/pdfs/GMD-1800-17.pdf#page=9","Abrir facsímil")</f>
        <v>Abrir facsímil</v>
      </c>
      <c r="K4752" s="15" t="s">
        <v>23</v>
      </c>
    </row>
    <row r="4753" spans="1:11" ht="42" customHeight="1">
      <c r="A4753" s="4" t="s">
        <v>11042</v>
      </c>
      <c r="B4753" s="5" t="s">
        <v>11042</v>
      </c>
      <c r="C4753" s="5" t="s">
        <v>18</v>
      </c>
      <c r="D4753" s="5" t="s">
        <v>19</v>
      </c>
      <c r="E4753" s="5" t="s">
        <v>31</v>
      </c>
      <c r="F4753" s="9">
        <v>20</v>
      </c>
      <c r="G4753" s="9">
        <v>191</v>
      </c>
      <c r="H4753" s="5" t="s">
        <v>21</v>
      </c>
      <c r="I4753" s="5" t="s">
        <v>11044</v>
      </c>
      <c r="J4753" s="12" t="str">
        <f>HYPERLINK("https://www.boe.es/gazeta/dias/1800/03/11/pdfs/GMD-1800-20.pdf#page=7","Abrir facsímil")</f>
        <v>Abrir facsímil</v>
      </c>
      <c r="K4753" s="15" t="s">
        <v>23</v>
      </c>
    </row>
    <row r="4754" spans="1:11" ht="42" customHeight="1">
      <c r="A4754" s="4" t="s">
        <v>11045</v>
      </c>
      <c r="B4754" s="5" t="s">
        <v>11045</v>
      </c>
      <c r="C4754" s="5" t="s">
        <v>25</v>
      </c>
      <c r="D4754" s="5" t="s">
        <v>26</v>
      </c>
      <c r="E4754" s="5" t="s">
        <v>530</v>
      </c>
      <c r="F4754" s="9">
        <v>55</v>
      </c>
      <c r="G4754" s="9">
        <v>622</v>
      </c>
      <c r="H4754" s="5" t="s">
        <v>21</v>
      </c>
      <c r="I4754" s="5" t="s">
        <v>11046</v>
      </c>
      <c r="J4754" s="12" t="str">
        <f>HYPERLINK("https://www.boe.es/gazeta/dias/1800/07/11/pdfs/GMD-1800-55.pdf#page=10","Abrir facsímil")</f>
        <v>Abrir facsímil</v>
      </c>
      <c r="K4754" s="15" t="s">
        <v>23</v>
      </c>
    </row>
    <row r="4755" spans="1:11" ht="42" customHeight="1">
      <c r="A4755" s="4" t="s">
        <v>11047</v>
      </c>
      <c r="B4755" s="5" t="s">
        <v>11048</v>
      </c>
      <c r="C4755" s="5" t="s">
        <v>171</v>
      </c>
      <c r="D4755" s="5" t="s">
        <v>172</v>
      </c>
      <c r="E4755" s="5" t="s">
        <v>828</v>
      </c>
      <c r="F4755" s="9">
        <v>53</v>
      </c>
      <c r="G4755" s="9">
        <v>593</v>
      </c>
      <c r="H4755" s="5" t="s">
        <v>21</v>
      </c>
      <c r="I4755" s="5" t="s">
        <v>11049</v>
      </c>
      <c r="J4755" s="12" t="str">
        <f>HYPERLINK("https://www.boe.es/gazeta/dias/1800/07/04/pdfs/GMD-C-1800-53.pdf#page=1","Abrir facsímil")</f>
        <v>Abrir facsímil</v>
      </c>
      <c r="K4755" s="15" t="s">
        <v>23</v>
      </c>
    </row>
    <row r="4756" spans="1:11" ht="42" customHeight="1">
      <c r="A4756" s="4" t="s">
        <v>11047</v>
      </c>
      <c r="B4756" s="5" t="s">
        <v>11048</v>
      </c>
      <c r="C4756" s="5" t="s">
        <v>54</v>
      </c>
      <c r="D4756" s="5" t="s">
        <v>55</v>
      </c>
      <c r="E4756" s="5" t="s">
        <v>454</v>
      </c>
      <c r="F4756" s="9">
        <v>63</v>
      </c>
      <c r="G4756" s="9">
        <v>722</v>
      </c>
      <c r="H4756" s="5" t="s">
        <v>21</v>
      </c>
      <c r="I4756" s="5" t="s">
        <v>11050</v>
      </c>
      <c r="J4756" s="12" t="str">
        <f>HYPERLINK("https://www.boe.es/gazeta/dias/1800/08/08/pdfs/GMD-1800-63.pdf#page=10","Abrir facsímil")</f>
        <v>Abrir facsímil</v>
      </c>
      <c r="K4756" s="15" t="s">
        <v>23</v>
      </c>
    </row>
    <row r="4757" spans="1:11" ht="42" customHeight="1">
      <c r="A4757" s="4" t="s">
        <v>11051</v>
      </c>
      <c r="B4757" s="5" t="s">
        <v>11051</v>
      </c>
      <c r="C4757" s="5" t="s">
        <v>18</v>
      </c>
      <c r="D4757" s="5" t="s">
        <v>19</v>
      </c>
      <c r="E4757" s="5" t="s">
        <v>491</v>
      </c>
      <c r="F4757" s="9">
        <v>29</v>
      </c>
      <c r="G4757" s="9">
        <v>300</v>
      </c>
      <c r="H4757" s="5" t="s">
        <v>21</v>
      </c>
      <c r="I4757" s="5" t="s">
        <v>11052</v>
      </c>
      <c r="J4757" s="12" t="str">
        <f>HYPERLINK("https://www.boe.es/gazeta/dias/1800/04/11/pdfs/GMD-1800-29.pdf#page=8","Abrir facsímil")</f>
        <v>Abrir facsímil</v>
      </c>
      <c r="K4757" s="15" t="s">
        <v>23</v>
      </c>
    </row>
    <row r="4758" spans="1:11" ht="42" customHeight="1">
      <c r="A4758" s="4" t="s">
        <v>11053</v>
      </c>
      <c r="B4758" s="5" t="s">
        <v>11054</v>
      </c>
      <c r="C4758" s="5" t="s">
        <v>207</v>
      </c>
      <c r="D4758" s="5" t="s">
        <v>55</v>
      </c>
      <c r="E4758" s="5" t="s">
        <v>143</v>
      </c>
      <c r="F4758" s="9">
        <v>22</v>
      </c>
      <c r="G4758" s="9">
        <v>221</v>
      </c>
      <c r="H4758" s="5" t="s">
        <v>21</v>
      </c>
      <c r="I4758" s="5" t="s">
        <v>11055</v>
      </c>
      <c r="J4758" s="12" t="str">
        <f>HYPERLINK("https://www.boe.es/gazeta/dias/1800/03/18/pdfs/GMD-1800-22.pdf#page=13","Abrir facsímil")</f>
        <v>Abrir facsímil</v>
      </c>
      <c r="K4758" s="15" t="s">
        <v>23</v>
      </c>
    </row>
    <row r="4759" spans="1:11" ht="42" customHeight="1">
      <c r="A4759" s="4" t="s">
        <v>11056</v>
      </c>
      <c r="B4759" s="5" t="s">
        <v>11056</v>
      </c>
      <c r="C4759" s="5" t="s">
        <v>25</v>
      </c>
      <c r="D4759" s="5" t="s">
        <v>26</v>
      </c>
      <c r="E4759" s="5" t="s">
        <v>491</v>
      </c>
      <c r="F4759" s="9">
        <v>29</v>
      </c>
      <c r="G4759" s="9">
        <v>300</v>
      </c>
      <c r="H4759" s="5" t="s">
        <v>21</v>
      </c>
      <c r="I4759" s="5" t="s">
        <v>11057</v>
      </c>
      <c r="J4759" s="12" t="str">
        <f>HYPERLINK("https://www.boe.es/gazeta/dias/1800/04/11/pdfs/GMD-1800-29.pdf#page=8","Abrir facsímil")</f>
        <v>Abrir facsímil</v>
      </c>
      <c r="K4759" s="15" t="s">
        <v>23</v>
      </c>
    </row>
    <row r="4760" spans="1:11" ht="42" customHeight="1">
      <c r="A4760" s="4" t="s">
        <v>11058</v>
      </c>
      <c r="B4760" s="5" t="s">
        <v>11059</v>
      </c>
      <c r="C4760" s="5" t="s">
        <v>25</v>
      </c>
      <c r="D4760" s="5" t="s">
        <v>26</v>
      </c>
      <c r="E4760" s="5" t="s">
        <v>68</v>
      </c>
      <c r="F4760" s="9">
        <v>67</v>
      </c>
      <c r="G4760" s="9">
        <v>756</v>
      </c>
      <c r="H4760" s="5" t="s">
        <v>21</v>
      </c>
      <c r="I4760" s="5" t="s">
        <v>11060</v>
      </c>
      <c r="J4760" s="12" t="str">
        <f>HYPERLINK("https://www.boe.es/gazeta/dias/1800/08/22/pdfs/GMD-1800-67.pdf#page=8","Abrir facsímil")</f>
        <v>Abrir facsímil</v>
      </c>
      <c r="K4760" s="15" t="s">
        <v>23</v>
      </c>
    </row>
    <row r="4761" spans="1:11" ht="42" customHeight="1">
      <c r="A4761" s="4" t="s">
        <v>11061</v>
      </c>
      <c r="B4761" s="5" t="s">
        <v>11062</v>
      </c>
      <c r="C4761" s="5" t="s">
        <v>25</v>
      </c>
      <c r="D4761" s="5" t="s">
        <v>26</v>
      </c>
      <c r="E4761" s="5" t="s">
        <v>420</v>
      </c>
      <c r="F4761" s="9">
        <v>38</v>
      </c>
      <c r="G4761" s="9">
        <v>389</v>
      </c>
      <c r="H4761" s="5" t="s">
        <v>21</v>
      </c>
      <c r="I4761" s="5" t="s">
        <v>11063</v>
      </c>
      <c r="J4761" s="12" t="str">
        <f>HYPERLINK("https://www.boe.es/gazeta/dias/1800/05/13/pdfs/GMD-1800-38.pdf#page=9","Abrir facsímil")</f>
        <v>Abrir facsímil</v>
      </c>
      <c r="K4761" s="15" t="s">
        <v>23</v>
      </c>
    </row>
    <row r="4762" spans="1:11" ht="42" customHeight="1">
      <c r="A4762" s="4" t="s">
        <v>11064</v>
      </c>
      <c r="B4762" s="5" t="s">
        <v>11065</v>
      </c>
      <c r="C4762" s="5" t="s">
        <v>25</v>
      </c>
      <c r="D4762" s="5" t="s">
        <v>26</v>
      </c>
      <c r="E4762" s="5" t="s">
        <v>478</v>
      </c>
      <c r="F4762" s="9">
        <v>34</v>
      </c>
      <c r="G4762" s="9">
        <v>347</v>
      </c>
      <c r="H4762" s="5" t="s">
        <v>21</v>
      </c>
      <c r="I4762" s="5" t="s">
        <v>11066</v>
      </c>
      <c r="J4762" s="12" t="str">
        <f>HYPERLINK("https://www.boe.es/gazeta/dias/1800/04/29/pdfs/GMD-1800-34.pdf#page=11","Abrir facsímil")</f>
        <v>Abrir facsímil</v>
      </c>
      <c r="K4762" s="15" t="s">
        <v>23</v>
      </c>
    </row>
    <row r="4763" spans="1:11" ht="42" customHeight="1">
      <c r="A4763" s="4" t="s">
        <v>11064</v>
      </c>
      <c r="B4763" s="5" t="s">
        <v>11065</v>
      </c>
      <c r="C4763" s="5" t="s">
        <v>171</v>
      </c>
      <c r="D4763" s="5" t="s">
        <v>172</v>
      </c>
      <c r="E4763" s="5" t="s">
        <v>90</v>
      </c>
      <c r="F4763" s="9">
        <v>58</v>
      </c>
      <c r="G4763" s="9">
        <v>665</v>
      </c>
      <c r="H4763" s="5" t="s">
        <v>21</v>
      </c>
      <c r="I4763" s="5" t="s">
        <v>11067</v>
      </c>
      <c r="J4763" s="12" t="str">
        <f>HYPERLINK("https://www.boe.es/gazeta/dias/1800/07/22/pdfs/GMD-C-1800-58.pdf#page=1","Abrir facsímil")</f>
        <v>Abrir facsímil</v>
      </c>
      <c r="K4763" s="15" t="s">
        <v>23</v>
      </c>
    </row>
    <row r="4764" spans="1:11" ht="42" customHeight="1">
      <c r="A4764" s="4" t="s">
        <v>11068</v>
      </c>
      <c r="B4764" s="5" t="s">
        <v>11069</v>
      </c>
      <c r="C4764" s="5" t="s">
        <v>18</v>
      </c>
      <c r="D4764" s="5" t="s">
        <v>19</v>
      </c>
      <c r="E4764" s="5" t="s">
        <v>530</v>
      </c>
      <c r="F4764" s="9">
        <v>55</v>
      </c>
      <c r="G4764" s="9">
        <v>622</v>
      </c>
      <c r="H4764" s="5" t="s">
        <v>21</v>
      </c>
      <c r="I4764" s="5" t="s">
        <v>11070</v>
      </c>
      <c r="J4764" s="12" t="str">
        <f>HYPERLINK("https://www.boe.es/gazeta/dias/1800/07/11/pdfs/GMD-1800-55.pdf#page=10","Abrir facsímil")</f>
        <v>Abrir facsímil</v>
      </c>
      <c r="K4764" s="15" t="s">
        <v>23</v>
      </c>
    </row>
    <row r="4765" spans="1:11" ht="42" customHeight="1">
      <c r="A4765" s="4" t="s">
        <v>11071</v>
      </c>
      <c r="B4765" s="5" t="s">
        <v>11071</v>
      </c>
      <c r="C4765" s="5" t="s">
        <v>54</v>
      </c>
      <c r="D4765" s="5" t="s">
        <v>55</v>
      </c>
      <c r="E4765" s="5" t="s">
        <v>310</v>
      </c>
      <c r="F4765" s="9">
        <v>56</v>
      </c>
      <c r="G4765" s="9">
        <v>634</v>
      </c>
      <c r="H4765" s="5" t="s">
        <v>21</v>
      </c>
      <c r="I4765" s="5" t="s">
        <v>11072</v>
      </c>
      <c r="J4765" s="12" t="str">
        <f>HYPERLINK("https://www.boe.es/gazeta/dias/1800/07/15/pdfs/GMD-1800-56.pdf#page=10","Abrir facsímil")</f>
        <v>Abrir facsímil</v>
      </c>
      <c r="K4765" s="15" t="s">
        <v>23</v>
      </c>
    </row>
    <row r="4766" spans="1:11" ht="42" customHeight="1">
      <c r="A4766" s="4" t="s">
        <v>11073</v>
      </c>
      <c r="B4766" s="5" t="s">
        <v>11074</v>
      </c>
      <c r="C4766" s="5" t="s">
        <v>18</v>
      </c>
      <c r="D4766" s="5" t="s">
        <v>19</v>
      </c>
      <c r="E4766" s="5" t="s">
        <v>465</v>
      </c>
      <c r="F4766" s="9">
        <v>49</v>
      </c>
      <c r="G4766" s="9">
        <v>530</v>
      </c>
      <c r="H4766" s="5" t="s">
        <v>21</v>
      </c>
      <c r="I4766" s="5" t="s">
        <v>11075</v>
      </c>
      <c r="J4766" s="12" t="str">
        <f>HYPERLINK("https://www.boe.es/gazeta/dias/1800/06/20/pdfs/GMD-1800-49.pdf#page=6","Abrir facsímil")</f>
        <v>Abrir facsímil</v>
      </c>
      <c r="K4766" s="15" t="s">
        <v>23</v>
      </c>
    </row>
    <row r="4767" spans="1:11" ht="42" customHeight="1">
      <c r="A4767" s="4" t="s">
        <v>11076</v>
      </c>
      <c r="B4767" s="5" t="s">
        <v>11077</v>
      </c>
      <c r="C4767" s="5" t="s">
        <v>18</v>
      </c>
      <c r="D4767" s="5" t="s">
        <v>19</v>
      </c>
      <c r="E4767" s="5" t="s">
        <v>82</v>
      </c>
      <c r="F4767" s="9">
        <v>10</v>
      </c>
      <c r="G4767" s="9">
        <v>94</v>
      </c>
      <c r="H4767" s="5" t="s">
        <v>21</v>
      </c>
      <c r="I4767" s="5" t="s">
        <v>11078</v>
      </c>
      <c r="J4767" s="12" t="str">
        <f>HYPERLINK("https://www.boe.es/gazeta/dias/1800/02/04/pdfs/GMD-1800-10.pdf#page=6","Abrir facsímil")</f>
        <v>Abrir facsímil</v>
      </c>
      <c r="K4767" s="15" t="s">
        <v>23</v>
      </c>
    </row>
    <row r="4768" spans="1:11" ht="42" customHeight="1">
      <c r="A4768" s="4" t="s">
        <v>11076</v>
      </c>
      <c r="B4768" s="5" t="s">
        <v>11077</v>
      </c>
      <c r="C4768" s="5" t="s">
        <v>41</v>
      </c>
      <c r="D4768" s="5" t="s">
        <v>42</v>
      </c>
      <c r="E4768" s="5" t="s">
        <v>503</v>
      </c>
      <c r="F4768" s="9">
        <v>13</v>
      </c>
      <c r="G4768" s="9">
        <v>123</v>
      </c>
      <c r="H4768" s="5" t="s">
        <v>21</v>
      </c>
      <c r="I4768" s="5" t="s">
        <v>11079</v>
      </c>
      <c r="J4768" s="12" t="str">
        <f>HYPERLINK("https://www.boe.es/gazeta/dias/1800/02/14/pdfs/GMD-1800-13.pdf#page=7","Abrir facsímil")</f>
        <v>Abrir facsímil</v>
      </c>
      <c r="K4768" s="15" t="s">
        <v>23</v>
      </c>
    </row>
    <row r="4769" spans="1:11" ht="42" customHeight="1">
      <c r="A4769" s="4" t="s">
        <v>11076</v>
      </c>
      <c r="B4769" s="5" t="s">
        <v>11077</v>
      </c>
      <c r="C4769" s="5" t="s">
        <v>25</v>
      </c>
      <c r="D4769" s="5" t="s">
        <v>26</v>
      </c>
      <c r="E4769" s="5" t="s">
        <v>162</v>
      </c>
      <c r="F4769" s="9">
        <v>15</v>
      </c>
      <c r="G4769" s="9">
        <v>142</v>
      </c>
      <c r="H4769" s="5" t="s">
        <v>21</v>
      </c>
      <c r="I4769" s="5" t="s">
        <v>11080</v>
      </c>
      <c r="J4769" s="12" t="str">
        <f>HYPERLINK("https://www.boe.es/gazeta/dias/1800/02/21/pdfs/GMD-1800-15.pdf#page=6","Abrir facsímil")</f>
        <v>Abrir facsímil</v>
      </c>
      <c r="K4769" s="15" t="s">
        <v>23</v>
      </c>
    </row>
    <row r="4770" spans="1:11" ht="42" customHeight="1">
      <c r="A4770" s="4" t="s">
        <v>11076</v>
      </c>
      <c r="B4770" s="5" t="s">
        <v>11077</v>
      </c>
      <c r="C4770" s="5" t="s">
        <v>41</v>
      </c>
      <c r="D4770" s="5" t="s">
        <v>42</v>
      </c>
      <c r="E4770" s="5" t="s">
        <v>620</v>
      </c>
      <c r="F4770" s="9">
        <v>19</v>
      </c>
      <c r="G4770" s="9">
        <v>181</v>
      </c>
      <c r="H4770" s="5" t="s">
        <v>21</v>
      </c>
      <c r="I4770" s="5" t="s">
        <v>11081</v>
      </c>
      <c r="J4770" s="12" t="str">
        <f>HYPERLINK("https://www.boe.es/gazeta/dias/1800/03/07/pdfs/GMD-1800-19.pdf#page=5","Abrir facsímil")</f>
        <v>Abrir facsímil</v>
      </c>
      <c r="K4770" s="15" t="s">
        <v>23</v>
      </c>
    </row>
    <row r="4771" spans="1:11" ht="42" customHeight="1">
      <c r="A4771" s="4" t="s">
        <v>11076</v>
      </c>
      <c r="B4771" s="5" t="s">
        <v>11077</v>
      </c>
      <c r="C4771" s="5" t="s">
        <v>41</v>
      </c>
      <c r="D4771" s="5" t="s">
        <v>42</v>
      </c>
      <c r="E4771" s="5" t="s">
        <v>143</v>
      </c>
      <c r="F4771" s="9">
        <v>22</v>
      </c>
      <c r="G4771" s="9">
        <v>217</v>
      </c>
      <c r="H4771" s="5" t="s">
        <v>21</v>
      </c>
      <c r="I4771" s="5" t="s">
        <v>11082</v>
      </c>
      <c r="J4771" s="12" t="str">
        <f>HYPERLINK("https://www.boe.es/gazeta/dias/1800/03/18/pdfs/GMD-1800-22.pdf#page=9","Abrir facsímil")</f>
        <v>Abrir facsímil</v>
      </c>
      <c r="K4771" s="15" t="s">
        <v>23</v>
      </c>
    </row>
    <row r="4772" spans="1:11" ht="42" customHeight="1">
      <c r="A4772" s="4" t="s">
        <v>11076</v>
      </c>
      <c r="B4772" s="5" t="s">
        <v>11077</v>
      </c>
      <c r="C4772" s="5" t="s">
        <v>207</v>
      </c>
      <c r="D4772" s="5" t="s">
        <v>55</v>
      </c>
      <c r="E4772" s="5" t="s">
        <v>406</v>
      </c>
      <c r="F4772" s="9">
        <v>44</v>
      </c>
      <c r="G4772" s="9">
        <v>460</v>
      </c>
      <c r="H4772" s="5" t="s">
        <v>21</v>
      </c>
      <c r="I4772" s="5" t="s">
        <v>11083</v>
      </c>
      <c r="J4772" s="12" t="str">
        <f>HYPERLINK("https://www.boe.es/gazeta/dias/1800/06/03/pdfs/GMD-1800-44.pdf#page=8","Abrir facsímil")</f>
        <v>Abrir facsímil</v>
      </c>
      <c r="K4772" s="15" t="s">
        <v>23</v>
      </c>
    </row>
    <row r="4773" spans="1:11" ht="42" customHeight="1">
      <c r="A4773" s="4" t="s">
        <v>11084</v>
      </c>
      <c r="B4773" s="5" t="s">
        <v>11085</v>
      </c>
      <c r="C4773" s="5" t="s">
        <v>1035</v>
      </c>
      <c r="D4773" s="5" t="s">
        <v>1036</v>
      </c>
      <c r="E4773" s="5" t="s">
        <v>50</v>
      </c>
      <c r="F4773" s="9">
        <v>81</v>
      </c>
      <c r="G4773" s="9">
        <v>942</v>
      </c>
      <c r="H4773" s="5" t="s">
        <v>21</v>
      </c>
      <c r="I4773" s="5" t="s">
        <v>11086</v>
      </c>
      <c r="J4773" s="12" t="str">
        <f>HYPERLINK("https://www.boe.es/gazeta/dias/1800/10/07/pdfs/GMD-C-1800-81.pdf#page=24","Abrir facsímil")</f>
        <v>Abrir facsímil</v>
      </c>
      <c r="K4773" s="15" t="s">
        <v>23</v>
      </c>
    </row>
    <row r="4774" spans="1:11" ht="42" customHeight="1">
      <c r="A4774" s="4" t="s">
        <v>11087</v>
      </c>
      <c r="B4774" s="5" t="s">
        <v>11087</v>
      </c>
      <c r="C4774" s="5" t="s">
        <v>25</v>
      </c>
      <c r="D4774" s="5" t="s">
        <v>26</v>
      </c>
      <c r="E4774" s="5" t="s">
        <v>139</v>
      </c>
      <c r="F4774" s="9">
        <v>2</v>
      </c>
      <c r="G4774" s="9">
        <v>19</v>
      </c>
      <c r="H4774" s="5" t="s">
        <v>21</v>
      </c>
      <c r="I4774" s="5" t="s">
        <v>11088</v>
      </c>
      <c r="J4774" s="12" t="str">
        <f>HYPERLINK("https://www.boe.es/gazeta/dias/1800/01/07/pdfs/GMD-1800-2.pdf#page=11","Abrir facsímil")</f>
        <v>Abrir facsímil</v>
      </c>
      <c r="K4774" s="15" t="s">
        <v>23</v>
      </c>
    </row>
    <row r="4775" spans="1:11" ht="42" customHeight="1">
      <c r="A4775" s="4" t="s">
        <v>11089</v>
      </c>
      <c r="B4775" s="5" t="s">
        <v>11089</v>
      </c>
      <c r="C4775" s="5" t="s">
        <v>18</v>
      </c>
      <c r="D4775" s="5" t="s">
        <v>19</v>
      </c>
      <c r="E4775" s="5" t="s">
        <v>135</v>
      </c>
      <c r="F4775" s="9">
        <v>73</v>
      </c>
      <c r="G4775" s="9">
        <v>817</v>
      </c>
      <c r="H4775" s="5" t="s">
        <v>21</v>
      </c>
      <c r="I4775" s="5" t="s">
        <v>11090</v>
      </c>
      <c r="J4775" s="12" t="str">
        <f>HYPERLINK("https://www.boe.es/gazeta/dias/1800/09/09/pdfs/GMD-1800-73.pdf#page=11","Abrir facsímil")</f>
        <v>Abrir facsímil</v>
      </c>
      <c r="K4775" s="15" t="s">
        <v>23</v>
      </c>
    </row>
    <row r="4776" spans="1:11" ht="42" customHeight="1">
      <c r="A4776" s="4" t="s">
        <v>11091</v>
      </c>
      <c r="B4776" s="5" t="s">
        <v>11092</v>
      </c>
      <c r="C4776" s="5" t="s">
        <v>18</v>
      </c>
      <c r="D4776" s="5" t="s">
        <v>19</v>
      </c>
      <c r="E4776" s="5" t="s">
        <v>58</v>
      </c>
      <c r="F4776" s="9">
        <v>92</v>
      </c>
      <c r="G4776" s="9">
        <v>1053</v>
      </c>
      <c r="H4776" s="5" t="s">
        <v>21</v>
      </c>
      <c r="I4776" s="5" t="s">
        <v>11093</v>
      </c>
      <c r="J4776" s="12" t="str">
        <f>HYPERLINK("https://www.boe.es/gazeta/dias/1800/11/14/pdfs/GMD-1800-92.pdf#page=7","Abrir facsímil")</f>
        <v>Abrir facsímil</v>
      </c>
      <c r="K4776" s="15" t="s">
        <v>23</v>
      </c>
    </row>
    <row r="4777" spans="1:11" ht="42" customHeight="1">
      <c r="A4777" s="4" t="s">
        <v>11094</v>
      </c>
      <c r="B4777" s="5" t="s">
        <v>11095</v>
      </c>
      <c r="C4777" s="5" t="s">
        <v>207</v>
      </c>
      <c r="D4777" s="5" t="s">
        <v>55</v>
      </c>
      <c r="E4777" s="5" t="s">
        <v>31</v>
      </c>
      <c r="F4777" s="9">
        <v>20</v>
      </c>
      <c r="G4777" s="9">
        <v>191</v>
      </c>
      <c r="H4777" s="5" t="s">
        <v>21</v>
      </c>
      <c r="I4777" s="5" t="s">
        <v>11096</v>
      </c>
      <c r="J4777" s="12" t="str">
        <f>HYPERLINK("https://www.boe.es/gazeta/dias/1800/03/11/pdfs/GMD-1800-20.pdf#page=7","Abrir facsímil")</f>
        <v>Abrir facsímil</v>
      </c>
      <c r="K4777" s="15" t="s">
        <v>23</v>
      </c>
    </row>
    <row r="4778" spans="1:11" ht="42" customHeight="1">
      <c r="A4778" s="4" t="s">
        <v>11097</v>
      </c>
      <c r="B4778" s="5" t="s">
        <v>11098</v>
      </c>
      <c r="C4778" s="5" t="s">
        <v>18</v>
      </c>
      <c r="D4778" s="5" t="s">
        <v>19</v>
      </c>
      <c r="E4778" s="5" t="s">
        <v>422</v>
      </c>
      <c r="F4778" s="9">
        <v>85</v>
      </c>
      <c r="G4778" s="9">
        <v>985</v>
      </c>
      <c r="H4778" s="5" t="s">
        <v>21</v>
      </c>
      <c r="I4778" s="5" t="s">
        <v>11099</v>
      </c>
      <c r="J4778" s="12" t="str">
        <f>HYPERLINK("https://www.boe.es/gazeta/dias/1800/10/21/pdfs/GMD-1800-85.pdf#page=7","Abrir facsímil")</f>
        <v>Abrir facsímil</v>
      </c>
      <c r="K4778" s="15" t="s">
        <v>23</v>
      </c>
    </row>
    <row r="4779" spans="1:11" ht="42" customHeight="1">
      <c r="A4779" s="4" t="s">
        <v>11100</v>
      </c>
      <c r="B4779" s="5" t="s">
        <v>11101</v>
      </c>
      <c r="C4779" s="5" t="s">
        <v>207</v>
      </c>
      <c r="D4779" s="5" t="s">
        <v>55</v>
      </c>
      <c r="E4779" s="5" t="s">
        <v>306</v>
      </c>
      <c r="F4779" s="9">
        <v>79</v>
      </c>
      <c r="G4779" s="9">
        <v>899</v>
      </c>
      <c r="H4779" s="5" t="s">
        <v>21</v>
      </c>
      <c r="I4779" s="5" t="s">
        <v>11102</v>
      </c>
      <c r="J4779" s="12" t="str">
        <f>HYPERLINK("https://www.boe.es/gazeta/dias/1800/09/30/pdfs/GMD-1800-79.pdf#page=9","Abrir facsímil")</f>
        <v>Abrir facsímil</v>
      </c>
      <c r="K4779" s="15" t="s">
        <v>23</v>
      </c>
    </row>
    <row r="4780" spans="1:11" ht="42" customHeight="1">
      <c r="A4780" s="4" t="s">
        <v>11103</v>
      </c>
      <c r="B4780" s="5" t="s">
        <v>11104</v>
      </c>
      <c r="C4780" s="5" t="s">
        <v>84</v>
      </c>
      <c r="D4780" s="5" t="s">
        <v>85</v>
      </c>
      <c r="E4780" s="5" t="s">
        <v>465</v>
      </c>
      <c r="F4780" s="9">
        <v>49</v>
      </c>
      <c r="G4780" s="9">
        <v>532</v>
      </c>
      <c r="H4780" s="5" t="s">
        <v>21</v>
      </c>
      <c r="I4780" s="5" t="s">
        <v>11105</v>
      </c>
      <c r="J4780" s="12" t="str">
        <f>HYPERLINK("https://www.boe.es/gazeta/dias/1800/06/20/pdfs/GMD-1800-49.pdf#page=8","Abrir facsímil")</f>
        <v>Abrir facsímil</v>
      </c>
      <c r="K4780" s="15" t="s">
        <v>23</v>
      </c>
    </row>
    <row r="4781" spans="1:11" ht="42" customHeight="1">
      <c r="A4781" s="4" t="s">
        <v>11106</v>
      </c>
      <c r="B4781" s="5" t="s">
        <v>11106</v>
      </c>
      <c r="C4781" s="5" t="s">
        <v>41</v>
      </c>
      <c r="D4781" s="5" t="s">
        <v>42</v>
      </c>
      <c r="E4781" s="5" t="s">
        <v>101</v>
      </c>
      <c r="F4781" s="9">
        <v>37</v>
      </c>
      <c r="G4781" s="9">
        <v>373</v>
      </c>
      <c r="H4781" s="5" t="s">
        <v>21</v>
      </c>
      <c r="I4781" s="5" t="s">
        <v>11107</v>
      </c>
      <c r="J4781" s="12" t="str">
        <f>HYPERLINK("https://www.boe.es/gazeta/dias/1800/05/09/pdfs/GMD-1800-37.pdf#page=5","Abrir facsímil")</f>
        <v>Abrir facsímil</v>
      </c>
      <c r="K4781" s="15" t="s">
        <v>23</v>
      </c>
    </row>
    <row r="4782" spans="1:11" ht="42" customHeight="1">
      <c r="A4782" s="4" t="s">
        <v>11108</v>
      </c>
      <c r="B4782" s="5" t="s">
        <v>11109</v>
      </c>
      <c r="C4782" s="5" t="s">
        <v>41</v>
      </c>
      <c r="D4782" s="5" t="s">
        <v>42</v>
      </c>
      <c r="E4782" s="5" t="s">
        <v>226</v>
      </c>
      <c r="F4782" s="9">
        <v>27</v>
      </c>
      <c r="G4782" s="9">
        <v>279</v>
      </c>
      <c r="H4782" s="5" t="s">
        <v>21</v>
      </c>
      <c r="I4782" s="5" t="s">
        <v>11110</v>
      </c>
      <c r="J4782" s="12" t="str">
        <f>HYPERLINK("https://www.boe.es/gazeta/dias/1800/04/04/pdfs/GMD-1800-27.pdf#page=7","Abrir facsímil")</f>
        <v>Abrir facsímil</v>
      </c>
      <c r="K4782" s="15" t="s">
        <v>23</v>
      </c>
    </row>
    <row r="4783" spans="1:11" ht="42" customHeight="1">
      <c r="A4783" s="4" t="s">
        <v>11111</v>
      </c>
      <c r="B4783" s="5" t="s">
        <v>11111</v>
      </c>
      <c r="C4783" s="5" t="s">
        <v>54</v>
      </c>
      <c r="D4783" s="5" t="s">
        <v>55</v>
      </c>
      <c r="E4783" s="5" t="s">
        <v>445</v>
      </c>
      <c r="F4783" s="9">
        <v>96</v>
      </c>
      <c r="G4783" s="9">
        <v>1107</v>
      </c>
      <c r="H4783" s="5" t="s">
        <v>21</v>
      </c>
      <c r="I4783" s="5" t="s">
        <v>11112</v>
      </c>
      <c r="J4783" s="12" t="str">
        <f>HYPERLINK("https://www.boe.es/gazeta/dias/1800/11/28/pdfs/GMD-1800-96.pdf#page=11","Abrir facsímil")</f>
        <v>Abrir facsímil</v>
      </c>
      <c r="K4783" s="15" t="s">
        <v>23</v>
      </c>
    </row>
    <row r="4784" spans="1:11" ht="42" customHeight="1">
      <c r="A4784" s="4" t="s">
        <v>11113</v>
      </c>
      <c r="B4784" s="5" t="s">
        <v>11113</v>
      </c>
      <c r="C4784" s="5" t="s">
        <v>25</v>
      </c>
      <c r="D4784" s="5" t="s">
        <v>26</v>
      </c>
      <c r="E4784" s="5" t="s">
        <v>139</v>
      </c>
      <c r="F4784" s="9">
        <v>2</v>
      </c>
      <c r="G4784" s="9">
        <v>19</v>
      </c>
      <c r="H4784" s="5" t="s">
        <v>21</v>
      </c>
      <c r="I4784" s="5" t="s">
        <v>11114</v>
      </c>
      <c r="J4784" s="12" t="str">
        <f>HYPERLINK("https://www.boe.es/gazeta/dias/1800/01/07/pdfs/GMD-1800-2.pdf#page=11","Abrir facsímil")</f>
        <v>Abrir facsímil</v>
      </c>
      <c r="K4784" s="15" t="s">
        <v>23</v>
      </c>
    </row>
    <row r="4785" spans="1:11" ht="42" customHeight="1">
      <c r="A4785" s="4" t="s">
        <v>11115</v>
      </c>
      <c r="B4785" s="5" t="s">
        <v>11115</v>
      </c>
      <c r="C4785" s="5" t="s">
        <v>207</v>
      </c>
      <c r="D4785" s="5" t="s">
        <v>55</v>
      </c>
      <c r="E4785" s="5" t="s">
        <v>214</v>
      </c>
      <c r="F4785" s="9">
        <v>41</v>
      </c>
      <c r="G4785" s="9">
        <v>424</v>
      </c>
      <c r="H4785" s="5" t="s">
        <v>21</v>
      </c>
      <c r="I4785" s="5" t="s">
        <v>11116</v>
      </c>
      <c r="J4785" s="12" t="str">
        <f>HYPERLINK("https://www.boe.es/gazeta/dias/1800/05/23/pdfs/GMD-1800-41.pdf#page=8","Abrir facsímil")</f>
        <v>Abrir facsímil</v>
      </c>
      <c r="K4785" s="15" t="s">
        <v>23</v>
      </c>
    </row>
    <row r="4786" spans="1:11" ht="42" customHeight="1">
      <c r="A4786" s="4" t="s">
        <v>11117</v>
      </c>
      <c r="B4786" s="5" t="s">
        <v>11117</v>
      </c>
      <c r="C4786" s="5" t="s">
        <v>18</v>
      </c>
      <c r="D4786" s="5" t="s">
        <v>19</v>
      </c>
      <c r="E4786" s="5" t="s">
        <v>283</v>
      </c>
      <c r="F4786" s="9">
        <v>68</v>
      </c>
      <c r="G4786" s="9">
        <v>764</v>
      </c>
      <c r="H4786" s="5" t="s">
        <v>21</v>
      </c>
      <c r="I4786" s="5" t="s">
        <v>11118</v>
      </c>
      <c r="J4786" s="12" t="str">
        <f>HYPERLINK("https://www.boe.es/gazeta/dias/1800/08/26/pdfs/GMD-1800-68.pdf#page=8","Abrir facsímil")</f>
        <v>Abrir facsímil</v>
      </c>
      <c r="K4786" s="15" t="s">
        <v>23</v>
      </c>
    </row>
    <row r="4787" spans="1:11" ht="42" customHeight="1">
      <c r="A4787" s="4" t="s">
        <v>11119</v>
      </c>
      <c r="B4787" s="5" t="s">
        <v>11119</v>
      </c>
      <c r="C4787" s="5" t="s">
        <v>171</v>
      </c>
      <c r="D4787" s="5" t="s">
        <v>172</v>
      </c>
      <c r="E4787" s="5" t="s">
        <v>90</v>
      </c>
      <c r="F4787" s="9">
        <v>58</v>
      </c>
      <c r="G4787" s="9">
        <v>667</v>
      </c>
      <c r="H4787" s="5" t="s">
        <v>21</v>
      </c>
      <c r="I4787" s="5" t="s">
        <v>11120</v>
      </c>
      <c r="J4787" s="12" t="str">
        <f>HYPERLINK("https://www.boe.es/gazeta/dias/1800/07/22/pdfs/GMD-C-1800-58.pdf#page=3","Abrir facsímil")</f>
        <v>Abrir facsímil</v>
      </c>
      <c r="K4787" s="15" t="s">
        <v>23</v>
      </c>
    </row>
    <row r="4788" spans="1:11" ht="42" customHeight="1">
      <c r="A4788" s="4" t="s">
        <v>11121</v>
      </c>
      <c r="B4788" s="5" t="s">
        <v>11122</v>
      </c>
      <c r="C4788" s="5" t="s">
        <v>18</v>
      </c>
      <c r="D4788" s="5" t="s">
        <v>19</v>
      </c>
      <c r="E4788" s="5" t="s">
        <v>356</v>
      </c>
      <c r="F4788" s="9">
        <v>31</v>
      </c>
      <c r="G4788" s="9">
        <v>314</v>
      </c>
      <c r="H4788" s="5" t="s">
        <v>21</v>
      </c>
      <c r="I4788" s="5" t="s">
        <v>11123</v>
      </c>
      <c r="J4788" s="12" t="str">
        <f>HYPERLINK("https://www.boe.es/gazeta/dias/1800/04/18/pdfs/GMD-1800-31.pdf#page=6","Abrir facsímil")</f>
        <v>Abrir facsímil</v>
      </c>
      <c r="K4788" s="15" t="s">
        <v>23</v>
      </c>
    </row>
    <row r="4789" spans="1:11" ht="42" customHeight="1">
      <c r="A4789" s="4" t="s">
        <v>11124</v>
      </c>
      <c r="B4789" s="5" t="s">
        <v>11124</v>
      </c>
      <c r="C4789" s="5" t="s">
        <v>84</v>
      </c>
      <c r="D4789" s="5" t="s">
        <v>85</v>
      </c>
      <c r="E4789" s="5" t="s">
        <v>196</v>
      </c>
      <c r="F4789" s="9">
        <v>97</v>
      </c>
      <c r="G4789" s="9">
        <v>1116</v>
      </c>
      <c r="H4789" s="5" t="s">
        <v>21</v>
      </c>
      <c r="I4789" s="5" t="s">
        <v>11125</v>
      </c>
      <c r="J4789" s="12" t="str">
        <f>HYPERLINK("https://www.boe.es/gazeta/dias/1800/12/02/pdfs/GMD-1800-97.pdf#page=8","Abrir facsímil")</f>
        <v>Abrir facsímil</v>
      </c>
      <c r="K4789" s="15" t="s">
        <v>23</v>
      </c>
    </row>
    <row r="4790" spans="1:11" ht="42" customHeight="1">
      <c r="A4790" s="4" t="s">
        <v>11126</v>
      </c>
      <c r="B4790" s="5" t="s">
        <v>11126</v>
      </c>
      <c r="C4790" s="5" t="s">
        <v>18</v>
      </c>
      <c r="D4790" s="5" t="s">
        <v>19</v>
      </c>
      <c r="E4790" s="5" t="s">
        <v>56</v>
      </c>
      <c r="F4790" s="9">
        <v>90</v>
      </c>
      <c r="G4790" s="9">
        <v>1055</v>
      </c>
      <c r="H4790" s="5" t="s">
        <v>21</v>
      </c>
      <c r="I4790" s="5" t="s">
        <v>11127</v>
      </c>
      <c r="J4790" s="12" t="str">
        <f>HYPERLINK("https://www.boe.es/gazeta/dias/1800/11/07/pdfs/GMD-1800-90.pdf#page=9","Abrir facsímil")</f>
        <v>Abrir facsímil</v>
      </c>
      <c r="K4790" s="15" t="s">
        <v>23</v>
      </c>
    </row>
    <row r="4791" spans="1:11" ht="42" customHeight="1">
      <c r="A4791" s="4" t="s">
        <v>11128</v>
      </c>
      <c r="B4791" s="5" t="s">
        <v>11128</v>
      </c>
      <c r="C4791" s="5" t="s">
        <v>18</v>
      </c>
      <c r="D4791" s="5" t="s">
        <v>19</v>
      </c>
      <c r="E4791" s="5" t="s">
        <v>90</v>
      </c>
      <c r="F4791" s="9">
        <v>58</v>
      </c>
      <c r="G4791" s="9">
        <v>663</v>
      </c>
      <c r="H4791" s="5" t="s">
        <v>21</v>
      </c>
      <c r="I4791" s="5" t="s">
        <v>11129</v>
      </c>
      <c r="J4791" s="12" t="str">
        <f>HYPERLINK("https://www.boe.es/gazeta/dias/1800/07/22/pdfs/GMD-1800-58.pdf#page=11","Abrir facsímil")</f>
        <v>Abrir facsímil</v>
      </c>
      <c r="K4791" s="15" t="s">
        <v>23</v>
      </c>
    </row>
    <row r="4792" spans="1:11" ht="42" customHeight="1">
      <c r="A4792" s="4" t="s">
        <v>11130</v>
      </c>
      <c r="B4792" s="5" t="s">
        <v>11130</v>
      </c>
      <c r="C4792" s="5" t="s">
        <v>18</v>
      </c>
      <c r="D4792" s="5" t="s">
        <v>19</v>
      </c>
      <c r="E4792" s="5" t="s">
        <v>422</v>
      </c>
      <c r="F4792" s="9">
        <v>85</v>
      </c>
      <c r="G4792" s="9">
        <v>985</v>
      </c>
      <c r="H4792" s="5" t="s">
        <v>21</v>
      </c>
      <c r="I4792" s="5" t="s">
        <v>11131</v>
      </c>
      <c r="J4792" s="12" t="str">
        <f>HYPERLINK("https://www.boe.es/gazeta/dias/1800/10/21/pdfs/GMD-1800-85.pdf#page=7","Abrir facsímil")</f>
        <v>Abrir facsímil</v>
      </c>
      <c r="K4792" s="15" t="s">
        <v>23</v>
      </c>
    </row>
    <row r="4793" spans="1:11" ht="42" customHeight="1">
      <c r="A4793" s="4" t="s">
        <v>11130</v>
      </c>
      <c r="B4793" s="5" t="s">
        <v>11130</v>
      </c>
      <c r="C4793" s="5" t="s">
        <v>18</v>
      </c>
      <c r="D4793" s="5" t="s">
        <v>19</v>
      </c>
      <c r="E4793" s="5" t="s">
        <v>176</v>
      </c>
      <c r="F4793" s="9">
        <v>88</v>
      </c>
      <c r="G4793" s="9">
        <v>1031</v>
      </c>
      <c r="H4793" s="5" t="s">
        <v>21</v>
      </c>
      <c r="I4793" s="5" t="s">
        <v>11132</v>
      </c>
      <c r="J4793" s="12" t="str">
        <f>HYPERLINK("https://www.boe.es/gazeta/dias/1800/10/31/pdfs/GMD-1800-88.pdf#page=13","Abrir facsímil")</f>
        <v>Abrir facsímil</v>
      </c>
      <c r="K4793" s="15" t="s">
        <v>23</v>
      </c>
    </row>
    <row r="4794" spans="1:11" ht="42" customHeight="1">
      <c r="A4794" s="4" t="s">
        <v>11133</v>
      </c>
      <c r="B4794" s="5" t="s">
        <v>11133</v>
      </c>
      <c r="C4794" s="5" t="s">
        <v>84</v>
      </c>
      <c r="D4794" s="5" t="s">
        <v>85</v>
      </c>
      <c r="E4794" s="5" t="s">
        <v>1108</v>
      </c>
      <c r="F4794" s="9">
        <v>30</v>
      </c>
      <c r="G4794" s="9">
        <v>307</v>
      </c>
      <c r="H4794" s="5" t="s">
        <v>21</v>
      </c>
      <c r="I4794" s="5" t="s">
        <v>11134</v>
      </c>
      <c r="J4794" s="12" t="str">
        <f>HYPERLINK("https://www.boe.es/gazeta/dias/1800/04/15/pdfs/GMD-1800-30.pdf#page=7","Abrir facsímil")</f>
        <v>Abrir facsímil</v>
      </c>
      <c r="K4794" s="15" t="s">
        <v>23</v>
      </c>
    </row>
    <row r="4795" spans="1:11" ht="42" customHeight="1">
      <c r="A4795" s="4" t="s">
        <v>11133</v>
      </c>
      <c r="B4795" s="5" t="s">
        <v>11133</v>
      </c>
      <c r="C4795" s="5" t="s">
        <v>207</v>
      </c>
      <c r="D4795" s="5" t="s">
        <v>55</v>
      </c>
      <c r="E4795" s="5" t="s">
        <v>180</v>
      </c>
      <c r="F4795" s="9">
        <v>102</v>
      </c>
      <c r="G4795" s="9">
        <v>1186</v>
      </c>
      <c r="H4795" s="5" t="s">
        <v>21</v>
      </c>
      <c r="I4795" s="5" t="s">
        <v>11135</v>
      </c>
      <c r="J4795" s="12" t="str">
        <f>HYPERLINK("https://www.boe.es/gazeta/dias/1800/12/19/pdfs/GMD-1800-102.pdf#page=10","Abrir facsímil")</f>
        <v>Abrir facsímil</v>
      </c>
      <c r="K4795" s="15" t="s">
        <v>23</v>
      </c>
    </row>
    <row r="4796" spans="1:11" ht="42" customHeight="1">
      <c r="A4796" s="4" t="s">
        <v>11136</v>
      </c>
      <c r="B4796" s="5" t="s">
        <v>11136</v>
      </c>
      <c r="C4796" s="5" t="s">
        <v>18</v>
      </c>
      <c r="D4796" s="5" t="s">
        <v>19</v>
      </c>
      <c r="E4796" s="5" t="s">
        <v>314</v>
      </c>
      <c r="F4796" s="9">
        <v>74</v>
      </c>
      <c r="G4796" s="9">
        <v>832</v>
      </c>
      <c r="H4796" s="5" t="s">
        <v>21</v>
      </c>
      <c r="I4796" s="5" t="s">
        <v>11137</v>
      </c>
      <c r="J4796" s="12" t="str">
        <f>HYPERLINK("https://www.boe.es/gazeta/dias/1800/09/12/pdfs/GMD-1800-74.pdf#page=10","Abrir facsímil")</f>
        <v>Abrir facsímil</v>
      </c>
      <c r="K4796" s="15" t="s">
        <v>23</v>
      </c>
    </row>
    <row r="4797" spans="1:11" ht="42" customHeight="1">
      <c r="A4797" s="4" t="s">
        <v>11138</v>
      </c>
      <c r="B4797" s="5" t="s">
        <v>11138</v>
      </c>
      <c r="C4797" s="5" t="s">
        <v>18</v>
      </c>
      <c r="D4797" s="5" t="s">
        <v>19</v>
      </c>
      <c r="E4797" s="5" t="s">
        <v>176</v>
      </c>
      <c r="F4797" s="9">
        <v>88</v>
      </c>
      <c r="G4797" s="9">
        <v>1031</v>
      </c>
      <c r="H4797" s="5" t="s">
        <v>21</v>
      </c>
      <c r="I4797" s="5" t="s">
        <v>11139</v>
      </c>
      <c r="J4797" s="12" t="str">
        <f>HYPERLINK("https://www.boe.es/gazeta/dias/1800/10/31/pdfs/GMD-1800-88.pdf#page=13","Abrir facsímil")</f>
        <v>Abrir facsímil</v>
      </c>
      <c r="K4797" s="15" t="s">
        <v>23</v>
      </c>
    </row>
    <row r="4798" spans="1:11" ht="42" customHeight="1">
      <c r="A4798" s="4" t="s">
        <v>11140</v>
      </c>
      <c r="B4798" s="5" t="s">
        <v>11140</v>
      </c>
      <c r="C4798" s="5" t="s">
        <v>18</v>
      </c>
      <c r="D4798" s="5" t="s">
        <v>19</v>
      </c>
      <c r="E4798" s="5" t="s">
        <v>111</v>
      </c>
      <c r="F4798" s="9">
        <v>98</v>
      </c>
      <c r="G4798" s="9">
        <v>1129</v>
      </c>
      <c r="H4798" s="5" t="s">
        <v>21</v>
      </c>
      <c r="I4798" s="5" t="s">
        <v>11141</v>
      </c>
      <c r="J4798" s="12" t="str">
        <f>HYPERLINK("https://www.boe.es/gazeta/dias/1800/12/05/pdfs/GMD-1800-98.pdf#page=9","Abrir facsímil")</f>
        <v>Abrir facsímil</v>
      </c>
      <c r="K4798" s="15" t="s">
        <v>23</v>
      </c>
    </row>
    <row r="4799" spans="1:11" ht="42" customHeight="1">
      <c r="A4799" s="4" t="s">
        <v>11142</v>
      </c>
      <c r="B4799" s="5" t="s">
        <v>11142</v>
      </c>
      <c r="C4799" s="5" t="s">
        <v>18</v>
      </c>
      <c r="D4799" s="5" t="s">
        <v>19</v>
      </c>
      <c r="E4799" s="5" t="s">
        <v>275</v>
      </c>
      <c r="F4799" s="9">
        <v>60</v>
      </c>
      <c r="G4799" s="9">
        <v>687</v>
      </c>
      <c r="H4799" s="5" t="s">
        <v>21</v>
      </c>
      <c r="I4799" s="5" t="s">
        <v>11143</v>
      </c>
      <c r="J4799" s="12" t="str">
        <f>HYPERLINK("https://www.boe.es/gazeta/dias/1800/07/29/pdfs/GMD-1800-60.pdf#page=7","Abrir facsímil")</f>
        <v>Abrir facsímil</v>
      </c>
      <c r="K4799" s="15" t="s">
        <v>23</v>
      </c>
    </row>
    <row r="4800" spans="1:11" ht="42" customHeight="1">
      <c r="A4800" s="4" t="s">
        <v>11144</v>
      </c>
      <c r="B4800" s="5" t="s">
        <v>11144</v>
      </c>
      <c r="C4800" s="5" t="s">
        <v>18</v>
      </c>
      <c r="D4800" s="5" t="s">
        <v>19</v>
      </c>
      <c r="E4800" s="5" t="s">
        <v>673</v>
      </c>
      <c r="F4800" s="9">
        <v>89</v>
      </c>
      <c r="G4800" s="9">
        <v>1043</v>
      </c>
      <c r="H4800" s="5" t="s">
        <v>21</v>
      </c>
      <c r="I4800" s="5" t="s">
        <v>11145</v>
      </c>
      <c r="J4800" s="12" t="str">
        <f>HYPERLINK("https://www.boe.es/gazeta/dias/1800/11/04/pdfs/GMD-1800-89.pdf#page=9","Abrir facsímil")</f>
        <v>Abrir facsímil</v>
      </c>
      <c r="K4800" s="15" t="s">
        <v>23</v>
      </c>
    </row>
    <row r="4801" spans="1:11" ht="42" customHeight="1">
      <c r="A4801" s="4" t="s">
        <v>11146</v>
      </c>
      <c r="B4801" s="5" t="s">
        <v>11146</v>
      </c>
      <c r="C4801" s="5" t="s">
        <v>18</v>
      </c>
      <c r="D4801" s="5" t="s">
        <v>19</v>
      </c>
      <c r="E4801" s="5" t="s">
        <v>314</v>
      </c>
      <c r="F4801" s="9">
        <v>74</v>
      </c>
      <c r="G4801" s="9">
        <v>832</v>
      </c>
      <c r="H4801" s="5" t="s">
        <v>21</v>
      </c>
      <c r="I4801" s="5" t="s">
        <v>11147</v>
      </c>
      <c r="J4801" s="12" t="str">
        <f>HYPERLINK("https://www.boe.es/gazeta/dias/1800/09/12/pdfs/GMD-1800-74.pdf#page=10","Abrir facsímil")</f>
        <v>Abrir facsímil</v>
      </c>
      <c r="K4801" s="15" t="s">
        <v>23</v>
      </c>
    </row>
    <row r="4802" spans="1:11" ht="42" customHeight="1">
      <c r="A4802" s="4" t="s">
        <v>11148</v>
      </c>
      <c r="B4802" s="5" t="s">
        <v>11148</v>
      </c>
      <c r="C4802" s="5" t="s">
        <v>18</v>
      </c>
      <c r="D4802" s="5" t="s">
        <v>19</v>
      </c>
      <c r="E4802" s="5" t="s">
        <v>56</v>
      </c>
      <c r="F4802" s="9">
        <v>90</v>
      </c>
      <c r="G4802" s="9">
        <v>1055</v>
      </c>
      <c r="H4802" s="5" t="s">
        <v>21</v>
      </c>
      <c r="I4802" s="5" t="s">
        <v>11149</v>
      </c>
      <c r="J4802" s="12" t="str">
        <f>HYPERLINK("https://www.boe.es/gazeta/dias/1800/11/07/pdfs/GMD-1800-90.pdf#page=9","Abrir facsímil")</f>
        <v>Abrir facsímil</v>
      </c>
      <c r="K4802" s="15" t="s">
        <v>23</v>
      </c>
    </row>
    <row r="4803" spans="1:11" ht="42" customHeight="1">
      <c r="A4803" s="4" t="s">
        <v>11150</v>
      </c>
      <c r="B4803" s="5" t="s">
        <v>11150</v>
      </c>
      <c r="C4803" s="5" t="s">
        <v>207</v>
      </c>
      <c r="D4803" s="5" t="s">
        <v>55</v>
      </c>
      <c r="E4803" s="5" t="s">
        <v>203</v>
      </c>
      <c r="F4803" s="9">
        <v>94</v>
      </c>
      <c r="G4803" s="9">
        <v>1077</v>
      </c>
      <c r="H4803" s="5" t="s">
        <v>21</v>
      </c>
      <c r="I4803" s="5" t="s">
        <v>11151</v>
      </c>
      <c r="J4803" s="12" t="str">
        <f>HYPERLINK("https://www.boe.es/gazeta/dias/1800/11/21/pdfs/GMD-1800-94.pdf#page=7","Abrir facsímil")</f>
        <v>Abrir facsímil</v>
      </c>
      <c r="K4803" s="15" t="s">
        <v>23</v>
      </c>
    </row>
    <row r="4804" spans="1:11" ht="42" customHeight="1">
      <c r="A4804" s="4" t="s">
        <v>11152</v>
      </c>
      <c r="B4804" s="5" t="s">
        <v>11153</v>
      </c>
      <c r="C4804" s="5" t="s">
        <v>25</v>
      </c>
      <c r="D4804" s="5" t="s">
        <v>26</v>
      </c>
      <c r="E4804" s="5" t="s">
        <v>64</v>
      </c>
      <c r="F4804" s="9">
        <v>54</v>
      </c>
      <c r="G4804" s="9">
        <v>606</v>
      </c>
      <c r="H4804" s="5" t="s">
        <v>21</v>
      </c>
      <c r="I4804" s="5" t="s">
        <v>11154</v>
      </c>
      <c r="J4804" s="12" t="str">
        <f>HYPERLINK("https://www.boe.es/gazeta/dias/1800/07/08/pdfs/GMD-1800-54.pdf#page=10","Abrir facsímil")</f>
        <v>Abrir facsímil</v>
      </c>
      <c r="K4804" s="15" t="s">
        <v>23</v>
      </c>
    </row>
    <row r="4805" spans="1:11" ht="42" customHeight="1">
      <c r="A4805" s="4" t="s">
        <v>11155</v>
      </c>
      <c r="B4805" s="5" t="s">
        <v>11155</v>
      </c>
      <c r="C4805" s="5" t="s">
        <v>18</v>
      </c>
      <c r="D4805" s="5" t="s">
        <v>19</v>
      </c>
      <c r="E4805" s="5" t="s">
        <v>194</v>
      </c>
      <c r="F4805" s="9">
        <v>48</v>
      </c>
      <c r="G4805" s="9">
        <v>518</v>
      </c>
      <c r="H4805" s="5" t="s">
        <v>21</v>
      </c>
      <c r="I4805" s="5" t="s">
        <v>11156</v>
      </c>
      <c r="J4805" s="12" t="str">
        <f>HYPERLINK("https://www.boe.es/gazeta/dias/1800/06/17/pdfs/GMD-1800-48.pdf#page=10","Abrir facsímil")</f>
        <v>Abrir facsímil</v>
      </c>
      <c r="K4805" s="15" t="s">
        <v>23</v>
      </c>
    </row>
    <row r="4806" spans="1:11" ht="42" customHeight="1">
      <c r="A4806" s="4" t="s">
        <v>11157</v>
      </c>
      <c r="B4806" s="5" t="s">
        <v>11157</v>
      </c>
      <c r="C4806" s="5" t="s">
        <v>18</v>
      </c>
      <c r="D4806" s="5" t="s">
        <v>19</v>
      </c>
      <c r="E4806" s="5" t="s">
        <v>60</v>
      </c>
      <c r="F4806" s="9">
        <v>105</v>
      </c>
      <c r="G4806" s="9">
        <v>1226</v>
      </c>
      <c r="H4806" s="5" t="s">
        <v>21</v>
      </c>
      <c r="I4806" s="5" t="s">
        <v>11158</v>
      </c>
      <c r="J4806" s="12" t="str">
        <f>HYPERLINK("https://www.boe.es/gazeta/dias/1800/12/30/pdfs/GMD-1800-105.pdf#page=10","Abrir facsímil")</f>
        <v>Abrir facsímil</v>
      </c>
      <c r="K4806" s="15" t="s">
        <v>23</v>
      </c>
    </row>
    <row r="4807" spans="1:11" ht="42" customHeight="1">
      <c r="A4807" s="4" t="s">
        <v>11159</v>
      </c>
      <c r="B4807" s="5" t="s">
        <v>11159</v>
      </c>
      <c r="C4807" s="5" t="s">
        <v>18</v>
      </c>
      <c r="D4807" s="5" t="s">
        <v>19</v>
      </c>
      <c r="E4807" s="5" t="s">
        <v>135</v>
      </c>
      <c r="F4807" s="9">
        <v>73</v>
      </c>
      <c r="G4807" s="9">
        <v>816</v>
      </c>
      <c r="H4807" s="5" t="s">
        <v>21</v>
      </c>
      <c r="I4807" s="5" t="s">
        <v>11160</v>
      </c>
      <c r="J4807" s="12" t="str">
        <f>HYPERLINK("https://www.boe.es/gazeta/dias/1800/09/09/pdfs/GMD-1800-73.pdf#page=10","Abrir facsímil")</f>
        <v>Abrir facsímil</v>
      </c>
      <c r="K4807" s="15" t="s">
        <v>23</v>
      </c>
    </row>
    <row r="4808" spans="1:11" ht="42" customHeight="1">
      <c r="A4808" s="4" t="s">
        <v>11161</v>
      </c>
      <c r="B4808" s="5" t="s">
        <v>11161</v>
      </c>
      <c r="C4808" s="5" t="s">
        <v>84</v>
      </c>
      <c r="D4808" s="5" t="s">
        <v>85</v>
      </c>
      <c r="E4808" s="5" t="s">
        <v>194</v>
      </c>
      <c r="F4808" s="9">
        <v>48</v>
      </c>
      <c r="G4808" s="9">
        <v>516</v>
      </c>
      <c r="H4808" s="5" t="s">
        <v>21</v>
      </c>
      <c r="I4808" s="5" t="s">
        <v>11162</v>
      </c>
      <c r="J4808" s="12" t="str">
        <f>HYPERLINK("https://www.boe.es/gazeta/dias/1800/06/17/pdfs/GMD-1800-48.pdf#page=8","Abrir facsímil")</f>
        <v>Abrir facsímil</v>
      </c>
      <c r="K4808" s="15" t="s">
        <v>23</v>
      </c>
    </row>
    <row r="4809" spans="1:11" ht="42" customHeight="1">
      <c r="A4809" s="4" t="s">
        <v>11163</v>
      </c>
      <c r="B4809" s="5" t="s">
        <v>11163</v>
      </c>
      <c r="C4809" s="5" t="s">
        <v>207</v>
      </c>
      <c r="D4809" s="5" t="s">
        <v>55</v>
      </c>
      <c r="E4809" s="5" t="s">
        <v>306</v>
      </c>
      <c r="F4809" s="9">
        <v>79</v>
      </c>
      <c r="G4809" s="9">
        <v>899</v>
      </c>
      <c r="H4809" s="5" t="s">
        <v>21</v>
      </c>
      <c r="I4809" s="5" t="s">
        <v>11164</v>
      </c>
      <c r="J4809" s="12" t="str">
        <f>HYPERLINK("https://www.boe.es/gazeta/dias/1800/09/30/pdfs/GMD-1800-79.pdf#page=9","Abrir facsímil")</f>
        <v>Abrir facsímil</v>
      </c>
      <c r="K4809" s="15" t="s">
        <v>23</v>
      </c>
    </row>
    <row r="4810" spans="1:11" ht="42" customHeight="1">
      <c r="A4810" s="4" t="s">
        <v>11165</v>
      </c>
      <c r="B4810" s="5" t="s">
        <v>11165</v>
      </c>
      <c r="C4810" s="5" t="s">
        <v>54</v>
      </c>
      <c r="D4810" s="5" t="s">
        <v>55</v>
      </c>
      <c r="E4810" s="5" t="s">
        <v>306</v>
      </c>
      <c r="F4810" s="9">
        <v>79</v>
      </c>
      <c r="G4810" s="9">
        <v>900</v>
      </c>
      <c r="H4810" s="5" t="s">
        <v>21</v>
      </c>
      <c r="I4810" s="5" t="s">
        <v>11166</v>
      </c>
      <c r="J4810" s="12" t="str">
        <f>HYPERLINK("https://www.boe.es/gazeta/dias/1800/09/30/pdfs/GMD-1800-79.pdf#page=10","Abrir facsímil")</f>
        <v>Abrir facsímil</v>
      </c>
      <c r="K4810" s="15" t="s">
        <v>23</v>
      </c>
    </row>
    <row r="4811" spans="1:11" ht="42" customHeight="1">
      <c r="A4811" s="4" t="s">
        <v>11167</v>
      </c>
      <c r="B4811" s="5" t="s">
        <v>11167</v>
      </c>
      <c r="C4811" s="5" t="s">
        <v>84</v>
      </c>
      <c r="D4811" s="5" t="s">
        <v>85</v>
      </c>
      <c r="E4811" s="5" t="s">
        <v>45</v>
      </c>
      <c r="F4811" s="9">
        <v>47</v>
      </c>
      <c r="G4811" s="9">
        <v>504</v>
      </c>
      <c r="H4811" s="5" t="s">
        <v>21</v>
      </c>
      <c r="I4811" s="5" t="s">
        <v>11168</v>
      </c>
      <c r="J4811" s="12" t="str">
        <f>HYPERLINK("https://www.boe.es/gazeta/dias/1800/06/13/pdfs/GMD-1800-47.pdf#page=12","Abrir facsímil")</f>
        <v>Abrir facsímil</v>
      </c>
      <c r="K4811" s="15" t="s">
        <v>23</v>
      </c>
    </row>
    <row r="4812" spans="1:11" ht="42" customHeight="1">
      <c r="A4812" s="4" t="s">
        <v>11167</v>
      </c>
      <c r="B4812" s="5" t="s">
        <v>11167</v>
      </c>
      <c r="C4812" s="5" t="s">
        <v>25</v>
      </c>
      <c r="D4812" s="5" t="s">
        <v>26</v>
      </c>
      <c r="E4812" s="5" t="s">
        <v>310</v>
      </c>
      <c r="F4812" s="9">
        <v>56</v>
      </c>
      <c r="G4812" s="9">
        <v>634</v>
      </c>
      <c r="H4812" s="5" t="s">
        <v>21</v>
      </c>
      <c r="I4812" s="5" t="s">
        <v>11169</v>
      </c>
      <c r="J4812" s="12" t="str">
        <f>HYPERLINK("https://www.boe.es/gazeta/dias/1800/07/15/pdfs/GMD-1800-56.pdf#page=10","Abrir facsímil")</f>
        <v>Abrir facsímil</v>
      </c>
      <c r="K4812" s="15" t="s">
        <v>23</v>
      </c>
    </row>
    <row r="4813" spans="1:11" ht="42" customHeight="1">
      <c r="A4813" s="4" t="s">
        <v>11167</v>
      </c>
      <c r="B4813" s="5" t="s">
        <v>11167</v>
      </c>
      <c r="C4813" s="5" t="s">
        <v>84</v>
      </c>
      <c r="D4813" s="5" t="s">
        <v>85</v>
      </c>
      <c r="E4813" s="5" t="s">
        <v>454</v>
      </c>
      <c r="F4813" s="9">
        <v>63</v>
      </c>
      <c r="G4813" s="9">
        <v>721</v>
      </c>
      <c r="H4813" s="5" t="s">
        <v>21</v>
      </c>
      <c r="I4813" s="5" t="s">
        <v>11170</v>
      </c>
      <c r="J4813" s="12" t="str">
        <f>HYPERLINK("https://www.boe.es/gazeta/dias/1800/08/08/pdfs/GMD-1800-63.pdf#page=9","Abrir facsímil")</f>
        <v>Abrir facsímil</v>
      </c>
      <c r="K4813" s="15" t="s">
        <v>23</v>
      </c>
    </row>
    <row r="4814" spans="1:11" ht="42" customHeight="1">
      <c r="A4814" s="4" t="s">
        <v>11167</v>
      </c>
      <c r="B4814" s="5" t="s">
        <v>11167</v>
      </c>
      <c r="C4814" s="5" t="s">
        <v>18</v>
      </c>
      <c r="D4814" s="5" t="s">
        <v>19</v>
      </c>
      <c r="E4814" s="5" t="s">
        <v>534</v>
      </c>
      <c r="F4814" s="9">
        <v>100</v>
      </c>
      <c r="G4814" s="9">
        <v>1158</v>
      </c>
      <c r="H4814" s="5" t="s">
        <v>21</v>
      </c>
      <c r="I4814" s="5" t="s">
        <v>11171</v>
      </c>
      <c r="J4814" s="12" t="str">
        <f>HYPERLINK("https://www.boe.es/gazeta/dias/1800/12/12/pdfs/GMD-1800-100.pdf#page=10","Abrir facsímil")</f>
        <v>Abrir facsímil</v>
      </c>
      <c r="K4814" s="15" t="s">
        <v>23</v>
      </c>
    </row>
    <row r="4815" spans="1:11" ht="42" customHeight="1">
      <c r="A4815" s="4" t="s">
        <v>11172</v>
      </c>
      <c r="B4815" s="5" t="s">
        <v>11172</v>
      </c>
      <c r="C4815" s="5" t="s">
        <v>18</v>
      </c>
      <c r="D4815" s="5" t="s">
        <v>19</v>
      </c>
      <c r="E4815" s="5" t="s">
        <v>43</v>
      </c>
      <c r="F4815" s="9">
        <v>46</v>
      </c>
      <c r="G4815" s="9">
        <v>488</v>
      </c>
      <c r="H4815" s="5" t="s">
        <v>21</v>
      </c>
      <c r="I4815" s="5" t="s">
        <v>11173</v>
      </c>
      <c r="J4815" s="12" t="str">
        <f>HYPERLINK("https://www.boe.es/gazeta/dias/1800/06/10/pdfs/GMD-1800-46.pdf#page=12","Abrir facsímil")</f>
        <v>Abrir facsímil</v>
      </c>
      <c r="K4815" s="15" t="s">
        <v>23</v>
      </c>
    </row>
    <row r="4816" spans="1:11" ht="42" customHeight="1">
      <c r="A4816" s="4" t="s">
        <v>11174</v>
      </c>
      <c r="B4816" s="5" t="s">
        <v>11174</v>
      </c>
      <c r="C4816" s="5" t="s">
        <v>18</v>
      </c>
      <c r="D4816" s="5" t="s">
        <v>19</v>
      </c>
      <c r="E4816" s="5" t="s">
        <v>79</v>
      </c>
      <c r="F4816" s="9">
        <v>7</v>
      </c>
      <c r="G4816" s="9">
        <v>66</v>
      </c>
      <c r="H4816" s="5" t="s">
        <v>21</v>
      </c>
      <c r="I4816" s="5" t="s">
        <v>11175</v>
      </c>
      <c r="J4816" s="12" t="str">
        <f>HYPERLINK("https://www.boe.es/gazeta/dias/1800/01/24/pdfs/GMD-1800-7.pdf#page=6","Abrir facsímil")</f>
        <v>Abrir facsímil</v>
      </c>
      <c r="K4816" s="15" t="s">
        <v>23</v>
      </c>
    </row>
    <row r="4817" spans="1:11" ht="42" customHeight="1">
      <c r="A4817" s="4" t="s">
        <v>11176</v>
      </c>
      <c r="B4817" s="5" t="s">
        <v>11176</v>
      </c>
      <c r="C4817" s="5" t="s">
        <v>18</v>
      </c>
      <c r="D4817" s="5" t="s">
        <v>19</v>
      </c>
      <c r="E4817" s="5" t="s">
        <v>35</v>
      </c>
      <c r="F4817" s="9">
        <v>21</v>
      </c>
      <c r="G4817" s="9">
        <v>206</v>
      </c>
      <c r="H4817" s="5" t="s">
        <v>21</v>
      </c>
      <c r="I4817" s="5" t="s">
        <v>11177</v>
      </c>
      <c r="J4817" s="12" t="str">
        <f>HYPERLINK("https://www.boe.es/gazeta/dias/1800/03/14/pdfs/GMD-1800-21.pdf#page=10","Abrir facsímil")</f>
        <v>Abrir facsímil</v>
      </c>
      <c r="K4817" s="15" t="s">
        <v>23</v>
      </c>
    </row>
    <row r="4818" spans="1:11" ht="42" customHeight="1">
      <c r="A4818" s="4" t="s">
        <v>11178</v>
      </c>
      <c r="B4818" s="5" t="s">
        <v>11178</v>
      </c>
      <c r="C4818" s="5" t="s">
        <v>18</v>
      </c>
      <c r="D4818" s="5" t="s">
        <v>19</v>
      </c>
      <c r="E4818" s="5" t="s">
        <v>135</v>
      </c>
      <c r="F4818" s="9">
        <v>73</v>
      </c>
      <c r="G4818" s="9">
        <v>815</v>
      </c>
      <c r="H4818" s="5" t="s">
        <v>21</v>
      </c>
      <c r="I4818" s="5" t="s">
        <v>11179</v>
      </c>
      <c r="J4818" s="12" t="str">
        <f>HYPERLINK("https://www.boe.es/gazeta/dias/1800/09/09/pdfs/GMD-1800-73.pdf#page=9","Abrir facsímil")</f>
        <v>Abrir facsímil</v>
      </c>
      <c r="K4818" s="15" t="s">
        <v>23</v>
      </c>
    </row>
    <row r="4819" spans="1:11" ht="42" customHeight="1">
      <c r="A4819" s="4" t="s">
        <v>11180</v>
      </c>
      <c r="B4819" s="5" t="s">
        <v>11180</v>
      </c>
      <c r="C4819" s="5" t="s">
        <v>18</v>
      </c>
      <c r="D4819" s="5" t="s">
        <v>19</v>
      </c>
      <c r="E4819" s="5" t="s">
        <v>90</v>
      </c>
      <c r="F4819" s="9">
        <v>58</v>
      </c>
      <c r="G4819" s="9">
        <v>663</v>
      </c>
      <c r="H4819" s="5" t="s">
        <v>21</v>
      </c>
      <c r="I4819" s="5" t="s">
        <v>11181</v>
      </c>
      <c r="J4819" s="12" t="str">
        <f>HYPERLINK("https://www.boe.es/gazeta/dias/1800/07/22/pdfs/GMD-1800-58.pdf#page=11","Abrir facsímil")</f>
        <v>Abrir facsímil</v>
      </c>
      <c r="K4819" s="15" t="s">
        <v>23</v>
      </c>
    </row>
    <row r="4820" spans="1:11" ht="42" customHeight="1">
      <c r="A4820" s="4" t="s">
        <v>11182</v>
      </c>
      <c r="B4820" s="5" t="s">
        <v>11183</v>
      </c>
      <c r="C4820" s="5" t="s">
        <v>84</v>
      </c>
      <c r="D4820" s="5" t="s">
        <v>85</v>
      </c>
      <c r="E4820" s="5" t="s">
        <v>147</v>
      </c>
      <c r="F4820" s="9">
        <v>84</v>
      </c>
      <c r="G4820" s="9">
        <v>974</v>
      </c>
      <c r="H4820" s="5" t="s">
        <v>21</v>
      </c>
      <c r="I4820" s="5" t="s">
        <v>11184</v>
      </c>
      <c r="J4820" s="12" t="str">
        <f>HYPERLINK("https://www.boe.es/gazeta/dias/1800/10/17/pdfs/GMD-1800-84.pdf#page=8","Abrir facsímil")</f>
        <v>Abrir facsímil</v>
      </c>
      <c r="K4820" s="15" t="s">
        <v>23</v>
      </c>
    </row>
    <row r="4821" spans="1:11" ht="42" customHeight="1">
      <c r="A4821" s="4" t="s">
        <v>11185</v>
      </c>
      <c r="B4821" s="5" t="s">
        <v>11186</v>
      </c>
      <c r="C4821" s="5" t="s">
        <v>18</v>
      </c>
      <c r="D4821" s="5" t="s">
        <v>19</v>
      </c>
      <c r="E4821" s="5" t="s">
        <v>1213</v>
      </c>
      <c r="F4821" s="9">
        <v>4</v>
      </c>
      <c r="G4821" s="9">
        <v>36</v>
      </c>
      <c r="H4821" s="5" t="s">
        <v>21</v>
      </c>
      <c r="I4821" s="5" t="s">
        <v>11187</v>
      </c>
      <c r="J4821" s="12" t="str">
        <f>HYPERLINK("https://www.boe.es/gazeta/dias/1800/01/14/pdfs/GMD-1800-4.pdf#page=8","Abrir facsímil")</f>
        <v>Abrir facsímil</v>
      </c>
      <c r="K4821" s="15" t="s">
        <v>23</v>
      </c>
    </row>
    <row r="4822" spans="1:11" ht="42" customHeight="1">
      <c r="A4822" s="4" t="s">
        <v>11188</v>
      </c>
      <c r="B4822" s="5" t="s">
        <v>11188</v>
      </c>
      <c r="C4822" s="5" t="s">
        <v>18</v>
      </c>
      <c r="D4822" s="5" t="s">
        <v>19</v>
      </c>
      <c r="E4822" s="5" t="s">
        <v>194</v>
      </c>
      <c r="F4822" s="9">
        <v>48</v>
      </c>
      <c r="G4822" s="9">
        <v>518</v>
      </c>
      <c r="H4822" s="5" t="s">
        <v>21</v>
      </c>
      <c r="I4822" s="5" t="s">
        <v>11189</v>
      </c>
      <c r="J4822" s="12" t="str">
        <f>HYPERLINK("https://www.boe.es/gazeta/dias/1800/06/17/pdfs/GMD-1800-48.pdf#page=10","Abrir facsímil")</f>
        <v>Abrir facsímil</v>
      </c>
      <c r="K4822" s="15" t="s">
        <v>23</v>
      </c>
    </row>
    <row r="4823" spans="1:11" ht="42" customHeight="1">
      <c r="A4823" s="4" t="s">
        <v>11190</v>
      </c>
      <c r="B4823" s="5" t="s">
        <v>11190</v>
      </c>
      <c r="C4823" s="5" t="s">
        <v>84</v>
      </c>
      <c r="D4823" s="5" t="s">
        <v>85</v>
      </c>
      <c r="E4823" s="5" t="s">
        <v>823</v>
      </c>
      <c r="F4823" s="9">
        <v>50</v>
      </c>
      <c r="G4823" s="9">
        <v>546</v>
      </c>
      <c r="H4823" s="5" t="s">
        <v>21</v>
      </c>
      <c r="I4823" s="5" t="s">
        <v>11191</v>
      </c>
      <c r="J4823" s="12" t="str">
        <f>HYPERLINK("https://www.boe.es/gazeta/dias/1800/06/24/pdfs/GMD-1800-50.pdf#page=10","Abrir facsímil")</f>
        <v>Abrir facsímil</v>
      </c>
      <c r="K4823" s="15" t="s">
        <v>23</v>
      </c>
    </row>
    <row r="4824" spans="1:11" ht="42" customHeight="1">
      <c r="A4824" s="4" t="s">
        <v>11192</v>
      </c>
      <c r="B4824" s="5" t="s">
        <v>11192</v>
      </c>
      <c r="C4824" s="5" t="s">
        <v>18</v>
      </c>
      <c r="D4824" s="5" t="s">
        <v>19</v>
      </c>
      <c r="E4824" s="5" t="s">
        <v>420</v>
      </c>
      <c r="F4824" s="9">
        <v>38</v>
      </c>
      <c r="G4824" s="9">
        <v>388</v>
      </c>
      <c r="H4824" s="5" t="s">
        <v>21</v>
      </c>
      <c r="I4824" s="5" t="s">
        <v>11193</v>
      </c>
      <c r="J4824" s="12" t="str">
        <f>HYPERLINK("https://www.boe.es/gazeta/dias/1800/05/13/pdfs/GMD-1800-38.pdf#page=8","Abrir facsímil")</f>
        <v>Abrir facsímil</v>
      </c>
      <c r="K4824" s="15" t="s">
        <v>23</v>
      </c>
    </row>
    <row r="4825" spans="1:11" ht="42" customHeight="1">
      <c r="A4825" s="4" t="s">
        <v>11194</v>
      </c>
      <c r="B4825" s="5" t="s">
        <v>11194</v>
      </c>
      <c r="C4825" s="5" t="s">
        <v>171</v>
      </c>
      <c r="D4825" s="5" t="s">
        <v>172</v>
      </c>
      <c r="E4825" s="5" t="s">
        <v>90</v>
      </c>
      <c r="F4825" s="9">
        <v>58</v>
      </c>
      <c r="G4825" s="9">
        <v>668</v>
      </c>
      <c r="H4825" s="5" t="s">
        <v>21</v>
      </c>
      <c r="I4825" s="5" t="s">
        <v>11195</v>
      </c>
      <c r="J4825" s="12" t="str">
        <f>HYPERLINK("https://www.boe.es/gazeta/dias/1800/07/22/pdfs/GMD-C-1800-58.pdf#page=4","Abrir facsímil")</f>
        <v>Abrir facsímil</v>
      </c>
      <c r="K4825" s="15" t="s">
        <v>23</v>
      </c>
    </row>
    <row r="4826" spans="1:11" ht="42" customHeight="1">
      <c r="A4826" s="4" t="s">
        <v>11196</v>
      </c>
      <c r="B4826" s="5" t="s">
        <v>11196</v>
      </c>
      <c r="C4826" s="5" t="s">
        <v>18</v>
      </c>
      <c r="D4826" s="5" t="s">
        <v>19</v>
      </c>
      <c r="E4826" s="5" t="s">
        <v>306</v>
      </c>
      <c r="F4826" s="9">
        <v>79</v>
      </c>
      <c r="G4826" s="9">
        <v>900</v>
      </c>
      <c r="H4826" s="5" t="s">
        <v>21</v>
      </c>
      <c r="I4826" s="5" t="s">
        <v>11197</v>
      </c>
      <c r="J4826" s="12" t="str">
        <f>HYPERLINK("https://www.boe.es/gazeta/dias/1800/09/30/pdfs/GMD-1800-79.pdf#page=10","Abrir facsímil")</f>
        <v>Abrir facsímil</v>
      </c>
      <c r="K4826" s="15" t="s">
        <v>23</v>
      </c>
    </row>
    <row r="4827" spans="1:11" ht="42" customHeight="1">
      <c r="A4827" s="4" t="s">
        <v>11198</v>
      </c>
      <c r="B4827" s="5" t="s">
        <v>11198</v>
      </c>
      <c r="C4827" s="5" t="s">
        <v>18</v>
      </c>
      <c r="D4827" s="5" t="s">
        <v>19</v>
      </c>
      <c r="E4827" s="5" t="s">
        <v>116</v>
      </c>
      <c r="F4827" s="9">
        <v>86</v>
      </c>
      <c r="G4827" s="9">
        <v>996</v>
      </c>
      <c r="H4827" s="5" t="s">
        <v>21</v>
      </c>
      <c r="I4827" s="5" t="s">
        <v>11199</v>
      </c>
      <c r="J4827" s="12" t="str">
        <f>HYPERLINK("https://www.boe.es/gazeta/dias/1800/10/24/pdfs/GMD-1800-86.pdf#page=6","Abrir facsímil")</f>
        <v>Abrir facsímil</v>
      </c>
      <c r="K4827" s="15" t="s">
        <v>23</v>
      </c>
    </row>
    <row r="4828" spans="1:11" ht="42" customHeight="1">
      <c r="A4828" s="4" t="s">
        <v>11200</v>
      </c>
      <c r="B4828" s="5" t="s">
        <v>11200</v>
      </c>
      <c r="C4828" s="5" t="s">
        <v>207</v>
      </c>
      <c r="D4828" s="5" t="s">
        <v>55</v>
      </c>
      <c r="E4828" s="5" t="s">
        <v>422</v>
      </c>
      <c r="F4828" s="9">
        <v>85</v>
      </c>
      <c r="G4828" s="9">
        <v>984</v>
      </c>
      <c r="H4828" s="5" t="s">
        <v>21</v>
      </c>
      <c r="I4828" s="5" t="s">
        <v>11201</v>
      </c>
      <c r="J4828" s="12" t="str">
        <f>HYPERLINK("https://www.boe.es/gazeta/dias/1800/10/21/pdfs/GMD-1800-85.pdf#page=6","Abrir facsímil")</f>
        <v>Abrir facsímil</v>
      </c>
      <c r="K4828" s="15" t="s">
        <v>23</v>
      </c>
    </row>
    <row r="4829" spans="1:11" ht="42" customHeight="1">
      <c r="A4829" s="4" t="s">
        <v>11202</v>
      </c>
      <c r="B4829" s="5" t="s">
        <v>11202</v>
      </c>
      <c r="C4829" s="5" t="s">
        <v>18</v>
      </c>
      <c r="D4829" s="5" t="s">
        <v>19</v>
      </c>
      <c r="E4829" s="5" t="s">
        <v>576</v>
      </c>
      <c r="F4829" s="9">
        <v>91</v>
      </c>
      <c r="G4829" s="9">
        <v>1067</v>
      </c>
      <c r="H4829" s="5" t="s">
        <v>21</v>
      </c>
      <c r="I4829" s="5" t="s">
        <v>11203</v>
      </c>
      <c r="J4829" s="12" t="str">
        <f>HYPERLINK("https://www.boe.es/gazeta/dias/1800/11/11/pdfs/GMD-1800-91.pdf#page=9","Abrir facsímil")</f>
        <v>Abrir facsímil</v>
      </c>
      <c r="K4829" s="15" t="s">
        <v>23</v>
      </c>
    </row>
    <row r="4830" spans="1:11" ht="42" customHeight="1">
      <c r="A4830" s="4" t="s">
        <v>11204</v>
      </c>
      <c r="B4830" s="5" t="s">
        <v>11204</v>
      </c>
      <c r="C4830" s="5" t="s">
        <v>41</v>
      </c>
      <c r="D4830" s="5" t="s">
        <v>42</v>
      </c>
      <c r="E4830" s="5" t="s">
        <v>194</v>
      </c>
      <c r="F4830" s="9">
        <v>48</v>
      </c>
      <c r="G4830" s="9">
        <v>517</v>
      </c>
      <c r="H4830" s="5" t="s">
        <v>21</v>
      </c>
      <c r="I4830" s="5" t="s">
        <v>11205</v>
      </c>
      <c r="J4830" s="12" t="str">
        <f>HYPERLINK("https://www.boe.es/gazeta/dias/1800/06/17/pdfs/GMD-1800-48.pdf#page=9","Abrir facsímil")</f>
        <v>Abrir facsímil</v>
      </c>
      <c r="K4830" s="15" t="s">
        <v>23</v>
      </c>
    </row>
    <row r="4831" spans="1:11" ht="42" customHeight="1">
      <c r="A4831" s="4" t="s">
        <v>11206</v>
      </c>
      <c r="B4831" s="5" t="s">
        <v>11206</v>
      </c>
      <c r="C4831" s="5" t="s">
        <v>84</v>
      </c>
      <c r="D4831" s="5" t="s">
        <v>85</v>
      </c>
      <c r="E4831" s="5" t="s">
        <v>43</v>
      </c>
      <c r="F4831" s="9">
        <v>46</v>
      </c>
      <c r="G4831" s="9">
        <v>486</v>
      </c>
      <c r="H4831" s="5" t="s">
        <v>21</v>
      </c>
      <c r="I4831" s="5" t="s">
        <v>11207</v>
      </c>
      <c r="J4831" s="12" t="str">
        <f>HYPERLINK("https://www.boe.es/gazeta/dias/1800/06/10/pdfs/GMD-1800-46.pdf#page=10","Abrir facsímil")</f>
        <v>Abrir facsímil</v>
      </c>
      <c r="K4831" s="15" t="s">
        <v>23</v>
      </c>
    </row>
    <row r="4832" spans="1:11" ht="42" customHeight="1">
      <c r="A4832" s="4" t="s">
        <v>11208</v>
      </c>
      <c r="B4832" s="5" t="s">
        <v>11208</v>
      </c>
      <c r="C4832" s="5" t="s">
        <v>25</v>
      </c>
      <c r="D4832" s="5" t="s">
        <v>26</v>
      </c>
      <c r="E4832" s="5" t="s">
        <v>45</v>
      </c>
      <c r="F4832" s="9">
        <v>47</v>
      </c>
      <c r="G4832" s="9">
        <v>503</v>
      </c>
      <c r="H4832" s="5" t="s">
        <v>21</v>
      </c>
      <c r="I4832" s="5" t="s">
        <v>11209</v>
      </c>
      <c r="J4832" s="12" t="str">
        <f>HYPERLINK("https://www.boe.es/gazeta/dias/1800/06/13/pdfs/GMD-1800-47.pdf#page=11","Abrir facsímil")</f>
        <v>Abrir facsímil</v>
      </c>
      <c r="K4832" s="15" t="s">
        <v>23</v>
      </c>
    </row>
    <row r="4833" spans="1:11" ht="42" customHeight="1">
      <c r="A4833" s="4" t="s">
        <v>11210</v>
      </c>
      <c r="B4833" s="5" t="s">
        <v>11211</v>
      </c>
      <c r="C4833" s="5" t="s">
        <v>1035</v>
      </c>
      <c r="D4833" s="5" t="s">
        <v>1036</v>
      </c>
      <c r="E4833" s="5" t="s">
        <v>50</v>
      </c>
      <c r="F4833" s="9">
        <v>81</v>
      </c>
      <c r="G4833" s="9">
        <v>942</v>
      </c>
      <c r="H4833" s="5" t="s">
        <v>21</v>
      </c>
      <c r="I4833" s="5" t="s">
        <v>11212</v>
      </c>
      <c r="J4833" s="12" t="str">
        <f>HYPERLINK("https://www.boe.es/gazeta/dias/1800/10/07/pdfs/GMD-C-1800-81.pdf#page=24","Abrir facsímil")</f>
        <v>Abrir facsímil</v>
      </c>
      <c r="K4833" s="15" t="s">
        <v>23</v>
      </c>
    </row>
    <row r="4834" spans="1:11" ht="42" customHeight="1">
      <c r="A4834" s="4" t="s">
        <v>11213</v>
      </c>
      <c r="B4834" s="5" t="s">
        <v>11213</v>
      </c>
      <c r="C4834" s="5" t="s">
        <v>18</v>
      </c>
      <c r="D4834" s="5" t="s">
        <v>19</v>
      </c>
      <c r="E4834" s="5" t="s">
        <v>56</v>
      </c>
      <c r="F4834" s="9">
        <v>90</v>
      </c>
      <c r="G4834" s="9">
        <v>1055</v>
      </c>
      <c r="H4834" s="5" t="s">
        <v>21</v>
      </c>
      <c r="I4834" s="5" t="s">
        <v>11214</v>
      </c>
      <c r="J4834" s="12" t="str">
        <f>HYPERLINK("https://www.boe.es/gazeta/dias/1800/11/07/pdfs/GMD-1800-90.pdf#page=9","Abrir facsímil")</f>
        <v>Abrir facsímil</v>
      </c>
      <c r="K4834" s="15" t="s">
        <v>23</v>
      </c>
    </row>
    <row r="4835" spans="1:11" ht="42" customHeight="1">
      <c r="A4835" s="4" t="s">
        <v>11215</v>
      </c>
      <c r="B4835" s="5" t="s">
        <v>11215</v>
      </c>
      <c r="C4835" s="5" t="s">
        <v>18</v>
      </c>
      <c r="D4835" s="5" t="s">
        <v>19</v>
      </c>
      <c r="E4835" s="5" t="s">
        <v>111</v>
      </c>
      <c r="F4835" s="9">
        <v>98</v>
      </c>
      <c r="G4835" s="9">
        <v>1129</v>
      </c>
      <c r="H4835" s="5" t="s">
        <v>21</v>
      </c>
      <c r="I4835" s="5" t="s">
        <v>11216</v>
      </c>
      <c r="J4835" s="12" t="str">
        <f>HYPERLINK("https://www.boe.es/gazeta/dias/1800/12/05/pdfs/GMD-1800-98.pdf#page=9","Abrir facsímil")</f>
        <v>Abrir facsímil</v>
      </c>
      <c r="K4835" s="15" t="s">
        <v>23</v>
      </c>
    </row>
    <row r="4836" spans="1:11" ht="42" customHeight="1">
      <c r="A4836" s="4" t="s">
        <v>11217</v>
      </c>
      <c r="B4836" s="5" t="s">
        <v>11217</v>
      </c>
      <c r="C4836" s="5" t="s">
        <v>114</v>
      </c>
      <c r="D4836" s="5" t="s">
        <v>115</v>
      </c>
      <c r="E4836" s="5" t="s">
        <v>116</v>
      </c>
      <c r="F4836" s="9">
        <v>86</v>
      </c>
      <c r="G4836" s="9" t="s">
        <v>725</v>
      </c>
      <c r="H4836" s="5" t="s">
        <v>21</v>
      </c>
      <c r="I4836" s="5" t="s">
        <v>11218</v>
      </c>
      <c r="J4836" s="12" t="str">
        <f>HYPERLINK("https://www.boe.es/gazeta/dias/1800/10/24/pdfs/GMD-D-1800-86.pdf#page=1","Abrir facsímil")</f>
        <v>Abrir facsímil</v>
      </c>
      <c r="K4836" s="15" t="s">
        <v>23</v>
      </c>
    </row>
    <row r="4837" spans="1:11" ht="42" customHeight="1">
      <c r="A4837" s="4" t="s">
        <v>11219</v>
      </c>
      <c r="B4837" s="5" t="s">
        <v>11220</v>
      </c>
      <c r="C4837" s="5" t="s">
        <v>1035</v>
      </c>
      <c r="D4837" s="5" t="s">
        <v>1036</v>
      </c>
      <c r="E4837" s="5" t="s">
        <v>50</v>
      </c>
      <c r="F4837" s="9">
        <v>81</v>
      </c>
      <c r="G4837" s="9">
        <v>942</v>
      </c>
      <c r="H4837" s="5" t="s">
        <v>21</v>
      </c>
      <c r="I4837" s="5" t="s">
        <v>11221</v>
      </c>
      <c r="J4837" s="12" t="str">
        <f>HYPERLINK("https://www.boe.es/gazeta/dias/1800/10/07/pdfs/GMD-C-1800-81.pdf#page=24","Abrir facsímil")</f>
        <v>Abrir facsímil</v>
      </c>
      <c r="K4837" s="15" t="s">
        <v>23</v>
      </c>
    </row>
    <row r="4838" spans="1:11" ht="42" customHeight="1">
      <c r="A4838" s="4" t="s">
        <v>11219</v>
      </c>
      <c r="B4838" s="5" t="s">
        <v>11220</v>
      </c>
      <c r="C4838" s="5" t="s">
        <v>25</v>
      </c>
      <c r="D4838" s="5" t="s">
        <v>26</v>
      </c>
      <c r="E4838" s="5" t="s">
        <v>190</v>
      </c>
      <c r="F4838" s="9">
        <v>93</v>
      </c>
      <c r="G4838" s="9">
        <v>1068</v>
      </c>
      <c r="H4838" s="5" t="s">
        <v>21</v>
      </c>
      <c r="I4838" s="5" t="s">
        <v>11222</v>
      </c>
      <c r="J4838" s="12" t="str">
        <f>HYPERLINK("https://www.boe.es/gazeta/dias/1800/11/18/pdfs/GMD-1800-93.pdf#page=14","Abrir facsímil")</f>
        <v>Abrir facsímil</v>
      </c>
      <c r="K4838" s="15" t="s">
        <v>23</v>
      </c>
    </row>
    <row r="4839" spans="1:11" ht="42" customHeight="1">
      <c r="A4839" s="4" t="s">
        <v>11219</v>
      </c>
      <c r="B4839" s="5" t="s">
        <v>11220</v>
      </c>
      <c r="C4839" s="5" t="s">
        <v>25</v>
      </c>
      <c r="D4839" s="5" t="s">
        <v>26</v>
      </c>
      <c r="E4839" s="5" t="s">
        <v>203</v>
      </c>
      <c r="F4839" s="9">
        <v>94</v>
      </c>
      <c r="G4839" s="9">
        <v>1080</v>
      </c>
      <c r="H4839" s="5" t="s">
        <v>21</v>
      </c>
      <c r="I4839" s="5" t="s">
        <v>11223</v>
      </c>
      <c r="J4839" s="12" t="str">
        <f>HYPERLINK("https://www.boe.es/gazeta/dias/1800/11/21/pdfs/GMD-1800-94.pdf#page=10","Abrir facsímil")</f>
        <v>Abrir facsímil</v>
      </c>
      <c r="K4839" s="15" t="s">
        <v>23</v>
      </c>
    </row>
    <row r="4840" spans="1:11" ht="42" customHeight="1">
      <c r="A4840" s="4" t="s">
        <v>11224</v>
      </c>
      <c r="B4840" s="5" t="s">
        <v>11225</v>
      </c>
      <c r="C4840" s="5" t="s">
        <v>18</v>
      </c>
      <c r="D4840" s="5" t="s">
        <v>19</v>
      </c>
      <c r="E4840" s="5" t="s">
        <v>576</v>
      </c>
      <c r="F4840" s="9">
        <v>91</v>
      </c>
      <c r="G4840" s="9">
        <v>1067</v>
      </c>
      <c r="H4840" s="5" t="s">
        <v>21</v>
      </c>
      <c r="I4840" s="5" t="s">
        <v>11226</v>
      </c>
      <c r="J4840" s="12" t="str">
        <f>HYPERLINK("https://www.boe.es/gazeta/dias/1800/11/11/pdfs/GMD-1800-91.pdf#page=9","Abrir facsímil")</f>
        <v>Abrir facsímil</v>
      </c>
      <c r="K4840" s="15" t="s">
        <v>23</v>
      </c>
    </row>
    <row r="4841" spans="1:11" ht="42" customHeight="1">
      <c r="A4841" s="4" t="s">
        <v>11227</v>
      </c>
      <c r="B4841" s="5" t="s">
        <v>11228</v>
      </c>
      <c r="C4841" s="5" t="s">
        <v>18</v>
      </c>
      <c r="D4841" s="5" t="s">
        <v>19</v>
      </c>
      <c r="E4841" s="5" t="s">
        <v>583</v>
      </c>
      <c r="F4841" s="9">
        <v>77</v>
      </c>
      <c r="G4841" s="9">
        <v>878</v>
      </c>
      <c r="H4841" s="5" t="s">
        <v>21</v>
      </c>
      <c r="I4841" s="5" t="s">
        <v>11229</v>
      </c>
      <c r="J4841" s="12" t="str">
        <f>HYPERLINK("https://www.boe.es/gazeta/dias/1800/09/23/pdfs/GMD-1800-77.pdf#page=8","Abrir facsímil")</f>
        <v>Abrir facsímil</v>
      </c>
      <c r="K4841" s="15" t="s">
        <v>23</v>
      </c>
    </row>
    <row r="4842" spans="1:11" ht="42" customHeight="1">
      <c r="A4842" s="4" t="s">
        <v>11230</v>
      </c>
      <c r="B4842" s="5" t="s">
        <v>11231</v>
      </c>
      <c r="C4842" s="5" t="s">
        <v>41</v>
      </c>
      <c r="D4842" s="5" t="s">
        <v>42</v>
      </c>
      <c r="E4842" s="5" t="s">
        <v>90</v>
      </c>
      <c r="F4842" s="9">
        <v>58</v>
      </c>
      <c r="G4842" s="9">
        <v>659</v>
      </c>
      <c r="H4842" s="5" t="s">
        <v>21</v>
      </c>
      <c r="I4842" s="5" t="s">
        <v>11232</v>
      </c>
      <c r="J4842" s="12" t="str">
        <f>HYPERLINK("https://www.boe.es/gazeta/dias/1800/07/22/pdfs/GMD-1800-58.pdf#page=7","Abrir facsímil")</f>
        <v>Abrir facsímil</v>
      </c>
      <c r="K4842" s="15" t="s">
        <v>23</v>
      </c>
    </row>
    <row r="4843" spans="1:11" ht="42" customHeight="1">
      <c r="A4843" s="4" t="s">
        <v>11233</v>
      </c>
      <c r="B4843" s="5" t="s">
        <v>11234</v>
      </c>
      <c r="C4843" s="5" t="s">
        <v>18</v>
      </c>
      <c r="D4843" s="5" t="s">
        <v>19</v>
      </c>
      <c r="E4843" s="5" t="s">
        <v>111</v>
      </c>
      <c r="F4843" s="9">
        <v>98</v>
      </c>
      <c r="G4843" s="9">
        <v>1129</v>
      </c>
      <c r="H4843" s="5" t="s">
        <v>21</v>
      </c>
      <c r="I4843" s="5" t="s">
        <v>11235</v>
      </c>
      <c r="J4843" s="12" t="str">
        <f>HYPERLINK("https://www.boe.es/gazeta/dias/1800/12/05/pdfs/GMD-1800-98.pdf#page=9","Abrir facsímil")</f>
        <v>Abrir facsímil</v>
      </c>
      <c r="K4843" s="15" t="s">
        <v>23</v>
      </c>
    </row>
    <row r="4844" spans="1:11" ht="42" customHeight="1">
      <c r="A4844" s="4" t="s">
        <v>11236</v>
      </c>
      <c r="B4844" s="5" t="s">
        <v>11237</v>
      </c>
      <c r="C4844" s="5" t="s">
        <v>18</v>
      </c>
      <c r="D4844" s="5" t="s">
        <v>19</v>
      </c>
      <c r="E4844" s="5" t="s">
        <v>180</v>
      </c>
      <c r="F4844" s="9">
        <v>102</v>
      </c>
      <c r="G4844" s="9">
        <v>1185</v>
      </c>
      <c r="H4844" s="5" t="s">
        <v>21</v>
      </c>
      <c r="I4844" s="5" t="s">
        <v>11238</v>
      </c>
      <c r="J4844" s="12" t="str">
        <f>HYPERLINK("https://www.boe.es/gazeta/dias/1800/12/19/pdfs/GMD-1800-102.pdf#page=9","Abrir facsímil")</f>
        <v>Abrir facsímil</v>
      </c>
      <c r="K4844" s="15" t="s">
        <v>23</v>
      </c>
    </row>
    <row r="4845" spans="1:11" ht="42" customHeight="1">
      <c r="A4845" s="4" t="s">
        <v>11239</v>
      </c>
      <c r="B4845" s="5" t="s">
        <v>11239</v>
      </c>
      <c r="C4845" s="5" t="s">
        <v>25</v>
      </c>
      <c r="D4845" s="5" t="s">
        <v>26</v>
      </c>
      <c r="E4845" s="5" t="s">
        <v>88</v>
      </c>
      <c r="F4845" s="9">
        <v>23</v>
      </c>
      <c r="G4845" s="9">
        <v>232</v>
      </c>
      <c r="H4845" s="5" t="s">
        <v>21</v>
      </c>
      <c r="I4845" s="5" t="s">
        <v>11240</v>
      </c>
      <c r="J4845" s="12" t="str">
        <f>HYPERLINK("https://www.boe.es/gazeta/dias/1800/03/21/pdfs/GMD-1800-23.pdf#page=8","Abrir facsímil")</f>
        <v>Abrir facsímil</v>
      </c>
      <c r="K4845" s="15" t="s">
        <v>23</v>
      </c>
    </row>
    <row r="4846" spans="1:11" ht="42" customHeight="1">
      <c r="A4846" s="4" t="s">
        <v>11241</v>
      </c>
      <c r="B4846" s="5" t="s">
        <v>11242</v>
      </c>
      <c r="C4846" s="5" t="s">
        <v>18</v>
      </c>
      <c r="D4846" s="5" t="s">
        <v>19</v>
      </c>
      <c r="E4846" s="5" t="s">
        <v>314</v>
      </c>
      <c r="F4846" s="9">
        <v>74</v>
      </c>
      <c r="G4846" s="9">
        <v>831</v>
      </c>
      <c r="H4846" s="5" t="s">
        <v>21</v>
      </c>
      <c r="I4846" s="5" t="s">
        <v>11243</v>
      </c>
      <c r="J4846" s="12" t="str">
        <f>HYPERLINK("https://www.boe.es/gazeta/dias/1800/09/12/pdfs/GMD-1800-74.pdf#page=9","Abrir facsímil")</f>
        <v>Abrir facsímil</v>
      </c>
      <c r="K4846" s="15" t="s">
        <v>23</v>
      </c>
    </row>
    <row r="4847" spans="1:11" ht="42" customHeight="1">
      <c r="A4847" s="4" t="s">
        <v>11244</v>
      </c>
      <c r="B4847" s="5" t="s">
        <v>11245</v>
      </c>
      <c r="C4847" s="5" t="s">
        <v>18</v>
      </c>
      <c r="D4847" s="5" t="s">
        <v>19</v>
      </c>
      <c r="E4847" s="5" t="s">
        <v>190</v>
      </c>
      <c r="F4847" s="9">
        <v>93</v>
      </c>
      <c r="G4847" s="9">
        <v>1066</v>
      </c>
      <c r="H4847" s="5" t="s">
        <v>21</v>
      </c>
      <c r="I4847" s="5" t="s">
        <v>11246</v>
      </c>
      <c r="J4847" s="12" t="str">
        <f>HYPERLINK("https://www.boe.es/gazeta/dias/1800/11/18/pdfs/GMD-1800-93.pdf#page=12","Abrir facsímil")</f>
        <v>Abrir facsímil</v>
      </c>
      <c r="K4847" s="15" t="s">
        <v>23</v>
      </c>
    </row>
    <row r="4848" spans="1:11" ht="42" customHeight="1">
      <c r="A4848" s="4" t="s">
        <v>11247</v>
      </c>
      <c r="B4848" s="5" t="s">
        <v>11248</v>
      </c>
      <c r="C4848" s="5" t="s">
        <v>25</v>
      </c>
      <c r="D4848" s="5" t="s">
        <v>26</v>
      </c>
      <c r="E4848" s="5" t="s">
        <v>478</v>
      </c>
      <c r="F4848" s="9">
        <v>34</v>
      </c>
      <c r="G4848" s="9">
        <v>346</v>
      </c>
      <c r="H4848" s="5" t="s">
        <v>21</v>
      </c>
      <c r="I4848" s="5" t="s">
        <v>11249</v>
      </c>
      <c r="J4848" s="12" t="str">
        <f>HYPERLINK("https://www.boe.es/gazeta/dias/1800/04/29/pdfs/GMD-1800-34.pdf#page=10","Abrir facsímil")</f>
        <v>Abrir facsímil</v>
      </c>
      <c r="K4848" s="15" t="s">
        <v>23</v>
      </c>
    </row>
    <row r="4849" spans="1:11" ht="42" customHeight="1">
      <c r="A4849" s="4" t="s">
        <v>11250</v>
      </c>
      <c r="B4849" s="5" t="s">
        <v>11251</v>
      </c>
      <c r="C4849" s="5" t="s">
        <v>18</v>
      </c>
      <c r="D4849" s="5" t="s">
        <v>19</v>
      </c>
      <c r="E4849" s="5" t="s">
        <v>116</v>
      </c>
      <c r="F4849" s="9">
        <v>86</v>
      </c>
      <c r="G4849" s="9">
        <v>996</v>
      </c>
      <c r="H4849" s="5" t="s">
        <v>21</v>
      </c>
      <c r="I4849" s="5" t="s">
        <v>11252</v>
      </c>
      <c r="J4849" s="12" t="str">
        <f>HYPERLINK("https://www.boe.es/gazeta/dias/1800/10/24/pdfs/GMD-1800-86.pdf#page=6","Abrir facsímil")</f>
        <v>Abrir facsímil</v>
      </c>
      <c r="K4849" s="15" t="s">
        <v>23</v>
      </c>
    </row>
    <row r="4850" spans="1:11" ht="42" customHeight="1">
      <c r="A4850" s="4" t="s">
        <v>11253</v>
      </c>
      <c r="B4850" s="5" t="s">
        <v>11254</v>
      </c>
      <c r="C4850" s="5" t="s">
        <v>18</v>
      </c>
      <c r="D4850" s="5" t="s">
        <v>19</v>
      </c>
      <c r="E4850" s="5" t="s">
        <v>583</v>
      </c>
      <c r="F4850" s="9">
        <v>77</v>
      </c>
      <c r="G4850" s="9">
        <v>878</v>
      </c>
      <c r="H4850" s="5" t="s">
        <v>21</v>
      </c>
      <c r="I4850" s="5" t="s">
        <v>11255</v>
      </c>
      <c r="J4850" s="12" t="str">
        <f>HYPERLINK("https://www.boe.es/gazeta/dias/1800/09/23/pdfs/GMD-1800-77.pdf#page=8","Abrir facsímil")</f>
        <v>Abrir facsímil</v>
      </c>
      <c r="K4850" s="15" t="s">
        <v>23</v>
      </c>
    </row>
    <row r="4851" spans="1:11" ht="42" customHeight="1">
      <c r="A4851" s="4" t="s">
        <v>11256</v>
      </c>
      <c r="B4851" s="5" t="s">
        <v>11257</v>
      </c>
      <c r="C4851" s="5" t="s">
        <v>18</v>
      </c>
      <c r="D4851" s="5" t="s">
        <v>19</v>
      </c>
      <c r="E4851" s="5" t="s">
        <v>255</v>
      </c>
      <c r="F4851" s="9">
        <v>75</v>
      </c>
      <c r="G4851" s="9">
        <v>855</v>
      </c>
      <c r="H4851" s="5" t="s">
        <v>21</v>
      </c>
      <c r="I4851" s="5" t="s">
        <v>11258</v>
      </c>
      <c r="J4851" s="12" t="str">
        <f>HYPERLINK("https://www.boe.es/gazeta/dias/1800/09/16/pdfs/GMD-1800-75.pdf#page=9","Abrir facsímil")</f>
        <v>Abrir facsímil</v>
      </c>
      <c r="K4851" s="15" t="s">
        <v>23</v>
      </c>
    </row>
    <row r="4852" spans="1:11" ht="42" customHeight="1">
      <c r="A4852" s="4" t="s">
        <v>11259</v>
      </c>
      <c r="B4852" s="5" t="s">
        <v>11260</v>
      </c>
      <c r="C4852" s="5" t="s">
        <v>18</v>
      </c>
      <c r="D4852" s="5" t="s">
        <v>19</v>
      </c>
      <c r="E4852" s="5" t="s">
        <v>190</v>
      </c>
      <c r="F4852" s="9">
        <v>93</v>
      </c>
      <c r="G4852" s="9">
        <v>1066</v>
      </c>
      <c r="H4852" s="5" t="s">
        <v>21</v>
      </c>
      <c r="I4852" s="5" t="s">
        <v>11261</v>
      </c>
      <c r="J4852" s="12" t="str">
        <f>HYPERLINK("https://www.boe.es/gazeta/dias/1800/11/18/pdfs/GMD-1800-93.pdf#page=12","Abrir facsímil")</f>
        <v>Abrir facsímil</v>
      </c>
      <c r="K4852" s="15" t="s">
        <v>23</v>
      </c>
    </row>
    <row r="4853" spans="1:11" ht="42" customHeight="1">
      <c r="A4853" s="4" t="s">
        <v>11262</v>
      </c>
      <c r="B4853" s="5" t="s">
        <v>11263</v>
      </c>
      <c r="C4853" s="5" t="s">
        <v>18</v>
      </c>
      <c r="D4853" s="5" t="s">
        <v>19</v>
      </c>
      <c r="E4853" s="5" t="s">
        <v>248</v>
      </c>
      <c r="F4853" s="9">
        <v>33</v>
      </c>
      <c r="G4853" s="9">
        <v>333</v>
      </c>
      <c r="H4853" s="5" t="s">
        <v>21</v>
      </c>
      <c r="I4853" s="5" t="s">
        <v>11264</v>
      </c>
      <c r="J4853" s="12" t="str">
        <f>HYPERLINK("https://www.boe.es/gazeta/dias/1800/04/25/pdfs/GMD-1800-33.pdf#page=9","Abrir facsímil")</f>
        <v>Abrir facsímil</v>
      </c>
      <c r="K4853" s="15" t="s">
        <v>23</v>
      </c>
    </row>
    <row r="4854" spans="1:11" ht="42" customHeight="1">
      <c r="A4854" s="4" t="s">
        <v>11265</v>
      </c>
      <c r="B4854" s="5" t="s">
        <v>11266</v>
      </c>
      <c r="C4854" s="5" t="s">
        <v>18</v>
      </c>
      <c r="D4854" s="5" t="s">
        <v>19</v>
      </c>
      <c r="E4854" s="5" t="s">
        <v>283</v>
      </c>
      <c r="F4854" s="9">
        <v>68</v>
      </c>
      <c r="G4854" s="9">
        <v>765</v>
      </c>
      <c r="H4854" s="5" t="s">
        <v>21</v>
      </c>
      <c r="I4854" s="5" t="s">
        <v>11267</v>
      </c>
      <c r="J4854" s="12" t="str">
        <f>HYPERLINK("https://www.boe.es/gazeta/dias/1800/08/26/pdfs/GMD-1800-68.pdf#page=9","Abrir facsímil")</f>
        <v>Abrir facsímil</v>
      </c>
      <c r="K4854" s="15" t="s">
        <v>23</v>
      </c>
    </row>
    <row r="4855" spans="1:11" ht="42" customHeight="1">
      <c r="A4855" s="4" t="s">
        <v>11268</v>
      </c>
      <c r="B4855" s="5" t="s">
        <v>11269</v>
      </c>
      <c r="C4855" s="5" t="s">
        <v>25</v>
      </c>
      <c r="D4855" s="5" t="s">
        <v>26</v>
      </c>
      <c r="E4855" s="5" t="s">
        <v>48</v>
      </c>
      <c r="F4855" s="9">
        <v>66</v>
      </c>
      <c r="G4855" s="9">
        <v>747</v>
      </c>
      <c r="H4855" s="5" t="s">
        <v>21</v>
      </c>
      <c r="I4855" s="5" t="s">
        <v>11270</v>
      </c>
      <c r="J4855" s="12" t="str">
        <f>HYPERLINK("https://www.boe.es/gazeta/dias/1800/08/19/pdfs/GMD-1800-66.pdf#page=11","Abrir facsímil")</f>
        <v>Abrir facsímil</v>
      </c>
      <c r="K4855" s="15" t="s">
        <v>23</v>
      </c>
    </row>
    <row r="4856" spans="1:11" ht="42" customHeight="1">
      <c r="A4856" s="4" t="s">
        <v>11271</v>
      </c>
      <c r="B4856" s="5" t="s">
        <v>11272</v>
      </c>
      <c r="C4856" s="5" t="s">
        <v>18</v>
      </c>
      <c r="D4856" s="5" t="s">
        <v>19</v>
      </c>
      <c r="E4856" s="5" t="s">
        <v>31</v>
      </c>
      <c r="F4856" s="9">
        <v>20</v>
      </c>
      <c r="G4856" s="9">
        <v>192</v>
      </c>
      <c r="H4856" s="5" t="s">
        <v>21</v>
      </c>
      <c r="I4856" s="5" t="s">
        <v>11273</v>
      </c>
      <c r="J4856" s="12" t="str">
        <f>HYPERLINK("https://www.boe.es/gazeta/dias/1800/03/11/pdfs/GMD-1800-20.pdf#page=8","Abrir facsímil")</f>
        <v>Abrir facsímil</v>
      </c>
      <c r="K4856" s="15" t="s">
        <v>23</v>
      </c>
    </row>
    <row r="4857" spans="1:11" ht="42" customHeight="1">
      <c r="A4857" s="4" t="s">
        <v>11274</v>
      </c>
      <c r="B4857" s="5" t="s">
        <v>11275</v>
      </c>
      <c r="C4857" s="5" t="s">
        <v>25</v>
      </c>
      <c r="D4857" s="5" t="s">
        <v>26</v>
      </c>
      <c r="E4857" s="5" t="s">
        <v>1213</v>
      </c>
      <c r="F4857" s="9">
        <v>4</v>
      </c>
      <c r="G4857" s="9">
        <v>37</v>
      </c>
      <c r="H4857" s="5" t="s">
        <v>21</v>
      </c>
      <c r="I4857" s="5" t="s">
        <v>11276</v>
      </c>
      <c r="J4857" s="12" t="str">
        <f>HYPERLINK("https://www.boe.es/gazeta/dias/1800/01/14/pdfs/GMD-1800-4.pdf#page=9","Abrir facsímil")</f>
        <v>Abrir facsímil</v>
      </c>
      <c r="K4857" s="15" t="s">
        <v>23</v>
      </c>
    </row>
    <row r="4858" spans="1:11" ht="42" customHeight="1">
      <c r="A4858" s="4" t="s">
        <v>11277</v>
      </c>
      <c r="B4858" s="5" t="s">
        <v>11278</v>
      </c>
      <c r="C4858" s="5" t="s">
        <v>207</v>
      </c>
      <c r="D4858" s="5" t="s">
        <v>55</v>
      </c>
      <c r="E4858" s="5" t="s">
        <v>836</v>
      </c>
      <c r="F4858" s="9">
        <v>71</v>
      </c>
      <c r="G4858" s="9">
        <v>789</v>
      </c>
      <c r="H4858" s="5" t="s">
        <v>21</v>
      </c>
      <c r="I4858" s="5" t="s">
        <v>11279</v>
      </c>
      <c r="J4858" s="12" t="str">
        <f>HYPERLINK("https://www.boe.es/gazeta/dias/1800/09/02/pdfs/GMD-1800-71.pdf#page=7","Abrir facsímil")</f>
        <v>Abrir facsímil</v>
      </c>
      <c r="K4858" s="15" t="s">
        <v>23</v>
      </c>
    </row>
    <row r="4859" spans="1:11" ht="42" customHeight="1">
      <c r="A4859" s="4" t="s">
        <v>11280</v>
      </c>
      <c r="B4859" s="5" t="s">
        <v>11281</v>
      </c>
      <c r="C4859" s="5" t="s">
        <v>41</v>
      </c>
      <c r="D4859" s="5" t="s">
        <v>42</v>
      </c>
      <c r="E4859" s="5" t="s">
        <v>248</v>
      </c>
      <c r="F4859" s="9">
        <v>33</v>
      </c>
      <c r="G4859" s="9">
        <v>329</v>
      </c>
      <c r="H4859" s="5" t="s">
        <v>21</v>
      </c>
      <c r="I4859" s="5" t="s">
        <v>11282</v>
      </c>
      <c r="J4859" s="12" t="str">
        <f>HYPERLINK("https://www.boe.es/gazeta/dias/1800/04/25/pdfs/GMD-1800-33.pdf#page=5","Abrir facsímil")</f>
        <v>Abrir facsímil</v>
      </c>
      <c r="K4859" s="15" t="s">
        <v>23</v>
      </c>
    </row>
    <row r="4860" spans="1:11" ht="42" customHeight="1">
      <c r="A4860" s="4" t="s">
        <v>11280</v>
      </c>
      <c r="B4860" s="5" t="s">
        <v>11281</v>
      </c>
      <c r="C4860" s="5" t="s">
        <v>18</v>
      </c>
      <c r="D4860" s="5" t="s">
        <v>19</v>
      </c>
      <c r="E4860" s="5" t="s">
        <v>101</v>
      </c>
      <c r="F4860" s="9">
        <v>37</v>
      </c>
      <c r="G4860" s="9">
        <v>373</v>
      </c>
      <c r="H4860" s="5" t="s">
        <v>21</v>
      </c>
      <c r="I4860" s="5" t="s">
        <v>11283</v>
      </c>
      <c r="J4860" s="12" t="str">
        <f>HYPERLINK("https://www.boe.es/gazeta/dias/1800/05/09/pdfs/GMD-1800-37.pdf#page=5","Abrir facsímil")</f>
        <v>Abrir facsímil</v>
      </c>
      <c r="K4860" s="15" t="s">
        <v>23</v>
      </c>
    </row>
    <row r="4861" spans="1:11" ht="42" customHeight="1">
      <c r="A4861" s="4" t="s">
        <v>11280</v>
      </c>
      <c r="B4861" s="5" t="s">
        <v>11281</v>
      </c>
      <c r="C4861" s="5" t="s">
        <v>41</v>
      </c>
      <c r="D4861" s="5" t="s">
        <v>42</v>
      </c>
      <c r="E4861" s="5" t="s">
        <v>1287</v>
      </c>
      <c r="F4861" s="9">
        <v>57</v>
      </c>
      <c r="G4861" s="9">
        <v>644</v>
      </c>
      <c r="H4861" s="5" t="s">
        <v>21</v>
      </c>
      <c r="I4861" s="5" t="s">
        <v>11284</v>
      </c>
      <c r="J4861" s="12" t="str">
        <f>HYPERLINK("https://www.boe.es/gazeta/dias/1800/07/18/pdfs/GMD-1800-57.pdf#page=8","Abrir facsímil")</f>
        <v>Abrir facsímil</v>
      </c>
      <c r="K4861" s="15" t="s">
        <v>23</v>
      </c>
    </row>
    <row r="4862" spans="1:11" ht="42" customHeight="1">
      <c r="A4862" s="4" t="s">
        <v>11280</v>
      </c>
      <c r="B4862" s="5" t="s">
        <v>11281</v>
      </c>
      <c r="C4862" s="5" t="s">
        <v>54</v>
      </c>
      <c r="D4862" s="5" t="s">
        <v>55</v>
      </c>
      <c r="E4862" s="5" t="s">
        <v>154</v>
      </c>
      <c r="F4862" s="9">
        <v>61</v>
      </c>
      <c r="G4862" s="9">
        <v>694</v>
      </c>
      <c r="H4862" s="5" t="s">
        <v>21</v>
      </c>
      <c r="I4862" s="5" t="s">
        <v>11285</v>
      </c>
      <c r="J4862" s="12" t="str">
        <f>HYPERLINK("https://www.boe.es/gazeta/dias/1800/08/01/pdfs/GMD-1800-61.pdf#page=6","Abrir facsímil")</f>
        <v>Abrir facsímil</v>
      </c>
      <c r="K4862" s="15" t="s">
        <v>23</v>
      </c>
    </row>
    <row r="4863" spans="1:11" ht="42" customHeight="1">
      <c r="A4863" s="4" t="s">
        <v>11280</v>
      </c>
      <c r="B4863" s="5" t="s">
        <v>11281</v>
      </c>
      <c r="C4863" s="5" t="s">
        <v>18</v>
      </c>
      <c r="D4863" s="5" t="s">
        <v>19</v>
      </c>
      <c r="E4863" s="5" t="s">
        <v>845</v>
      </c>
      <c r="F4863" s="9">
        <v>80</v>
      </c>
      <c r="G4863" s="9">
        <v>906</v>
      </c>
      <c r="H4863" s="5" t="s">
        <v>21</v>
      </c>
      <c r="I4863" s="5" t="s">
        <v>11286</v>
      </c>
      <c r="J4863" s="12" t="str">
        <f>HYPERLINK("https://www.boe.es/gazeta/dias/1800/10/03/pdfs/GMD-1800-80.pdf#page=4","Abrir facsímil")</f>
        <v>Abrir facsímil</v>
      </c>
      <c r="K4863" s="15" t="s">
        <v>23</v>
      </c>
    </row>
    <row r="4864" spans="1:11" ht="42" customHeight="1">
      <c r="A4864" s="4" t="s">
        <v>11280</v>
      </c>
      <c r="B4864" s="5" t="s">
        <v>11281</v>
      </c>
      <c r="C4864" s="5" t="s">
        <v>41</v>
      </c>
      <c r="D4864" s="5" t="s">
        <v>42</v>
      </c>
      <c r="E4864" s="5" t="s">
        <v>58</v>
      </c>
      <c r="F4864" s="9">
        <v>92</v>
      </c>
      <c r="G4864" s="9">
        <v>1049</v>
      </c>
      <c r="H4864" s="5" t="s">
        <v>21</v>
      </c>
      <c r="I4864" s="5" t="s">
        <v>11287</v>
      </c>
      <c r="J4864" s="12" t="str">
        <f>HYPERLINK("https://www.boe.es/gazeta/dias/1800/11/14/pdfs/GMD-1800-92.pdf#page=3","Abrir facsímil")</f>
        <v>Abrir facsímil</v>
      </c>
      <c r="K4864" s="15" t="s">
        <v>23</v>
      </c>
    </row>
    <row r="4865" spans="1:11" ht="42" customHeight="1">
      <c r="A4865" s="4" t="s">
        <v>11280</v>
      </c>
      <c r="B4865" s="5" t="s">
        <v>11281</v>
      </c>
      <c r="C4865" s="5" t="s">
        <v>41</v>
      </c>
      <c r="D4865" s="5" t="s">
        <v>42</v>
      </c>
      <c r="E4865" s="5" t="s">
        <v>279</v>
      </c>
      <c r="F4865" s="9">
        <v>103</v>
      </c>
      <c r="G4865" s="9">
        <v>1194</v>
      </c>
      <c r="H4865" s="5" t="s">
        <v>21</v>
      </c>
      <c r="I4865" s="5" t="s">
        <v>11288</v>
      </c>
      <c r="J4865" s="12" t="str">
        <f>HYPERLINK("https://www.boe.es/gazeta/dias/1800/12/23/pdfs/GMD-1800-103.pdf#page=6","Abrir facsímil")</f>
        <v>Abrir facsímil</v>
      </c>
      <c r="K4865" s="15" t="s">
        <v>23</v>
      </c>
    </row>
    <row r="4866" spans="1:11" ht="42" customHeight="1">
      <c r="A4866" s="4" t="s">
        <v>11280</v>
      </c>
      <c r="B4866" s="5" t="s">
        <v>11281</v>
      </c>
      <c r="C4866" s="5" t="s">
        <v>41</v>
      </c>
      <c r="D4866" s="5" t="s">
        <v>42</v>
      </c>
      <c r="E4866" s="5" t="s">
        <v>20</v>
      </c>
      <c r="F4866" s="9">
        <v>104</v>
      </c>
      <c r="G4866" s="9">
        <v>1206</v>
      </c>
      <c r="H4866" s="5" t="s">
        <v>21</v>
      </c>
      <c r="I4866" s="5" t="s">
        <v>11289</v>
      </c>
      <c r="J4866" s="12" t="str">
        <f>HYPERLINK("https://www.boe.es/gazeta/dias/1800/12/26/pdfs/GMD-1800-104.pdf#page=6","Abrir facsímil")</f>
        <v>Abrir facsímil</v>
      </c>
      <c r="K4866" s="15" t="s">
        <v>23</v>
      </c>
    </row>
    <row r="4867" spans="1:11" ht="42" customHeight="1">
      <c r="A4867" s="4" t="s">
        <v>11290</v>
      </c>
      <c r="B4867" s="5" t="s">
        <v>11290</v>
      </c>
      <c r="C4867" s="5" t="s">
        <v>207</v>
      </c>
      <c r="D4867" s="5" t="s">
        <v>55</v>
      </c>
      <c r="E4867" s="5" t="s">
        <v>545</v>
      </c>
      <c r="F4867" s="9">
        <v>14</v>
      </c>
      <c r="G4867" s="9">
        <v>129</v>
      </c>
      <c r="H4867" s="5" t="s">
        <v>21</v>
      </c>
      <c r="I4867" s="5" t="s">
        <v>11291</v>
      </c>
      <c r="J4867" s="12" t="str">
        <f>HYPERLINK("https://www.boe.es/gazeta/dias/1800/02/18/pdfs/GMD-1800-14.pdf#page=1","Abrir facsímil")</f>
        <v>Abrir facsímil</v>
      </c>
      <c r="K4867" s="15" t="s">
        <v>23</v>
      </c>
    </row>
    <row r="4868" spans="1:11" ht="42" customHeight="1">
      <c r="A4868" s="4" t="s">
        <v>11292</v>
      </c>
      <c r="B4868" s="5" t="s">
        <v>11292</v>
      </c>
      <c r="C4868" s="5" t="s">
        <v>41</v>
      </c>
      <c r="D4868" s="5" t="s">
        <v>42</v>
      </c>
      <c r="E4868" s="5" t="s">
        <v>346</v>
      </c>
      <c r="F4868" s="9">
        <v>24</v>
      </c>
      <c r="G4868" s="9">
        <v>241</v>
      </c>
      <c r="H4868" s="5" t="s">
        <v>21</v>
      </c>
      <c r="I4868" s="5" t="s">
        <v>11293</v>
      </c>
      <c r="J4868" s="12" t="str">
        <f>HYPERLINK("https://www.boe.es/gazeta/dias/1800/03/25/pdfs/GMD-1800-24.pdf#page=5","Abrir facsímil")</f>
        <v>Abrir facsímil</v>
      </c>
      <c r="K4868" s="15" t="s">
        <v>23</v>
      </c>
    </row>
    <row r="4869" spans="1:11" ht="42" customHeight="1">
      <c r="A4869" s="4" t="s">
        <v>11294</v>
      </c>
      <c r="B4869" s="5" t="s">
        <v>11295</v>
      </c>
      <c r="C4869" s="5" t="s">
        <v>18</v>
      </c>
      <c r="D4869" s="5" t="s">
        <v>19</v>
      </c>
      <c r="E4869" s="5" t="s">
        <v>1213</v>
      </c>
      <c r="F4869" s="9">
        <v>4</v>
      </c>
      <c r="G4869" s="9">
        <v>36</v>
      </c>
      <c r="H4869" s="5" t="s">
        <v>21</v>
      </c>
      <c r="I4869" s="5" t="s">
        <v>11296</v>
      </c>
      <c r="J4869" s="12" t="str">
        <f>HYPERLINK("https://www.boe.es/gazeta/dias/1800/01/14/pdfs/GMD-1800-4.pdf#page=8","Abrir facsímil")</f>
        <v>Abrir facsímil</v>
      </c>
      <c r="K4869" s="15" t="s">
        <v>23</v>
      </c>
    </row>
    <row r="4870" spans="1:11" ht="42" customHeight="1">
      <c r="A4870" s="4" t="s">
        <v>11297</v>
      </c>
      <c r="B4870" s="5" t="s">
        <v>11297</v>
      </c>
      <c r="C4870" s="5" t="s">
        <v>25</v>
      </c>
      <c r="D4870" s="5" t="s">
        <v>26</v>
      </c>
      <c r="E4870" s="5" t="s">
        <v>139</v>
      </c>
      <c r="F4870" s="9">
        <v>2</v>
      </c>
      <c r="G4870" s="9">
        <v>18</v>
      </c>
      <c r="H4870" s="5" t="s">
        <v>21</v>
      </c>
      <c r="I4870" s="5" t="s">
        <v>11298</v>
      </c>
      <c r="J4870" s="12" t="str">
        <f>HYPERLINK("https://www.boe.es/gazeta/dias/1800/01/07/pdfs/GMD-1800-2.pdf#page=10","Abrir facsímil")</f>
        <v>Abrir facsímil</v>
      </c>
      <c r="K4870" s="15" t="s">
        <v>23</v>
      </c>
    </row>
    <row r="4871" spans="1:11" ht="42" customHeight="1">
      <c r="A4871" s="4" t="s">
        <v>11299</v>
      </c>
      <c r="B4871" s="5" t="s">
        <v>11299</v>
      </c>
      <c r="C4871" s="5" t="s">
        <v>41</v>
      </c>
      <c r="D4871" s="5" t="s">
        <v>42</v>
      </c>
      <c r="E4871" s="5" t="s">
        <v>111</v>
      </c>
      <c r="F4871" s="9">
        <v>98</v>
      </c>
      <c r="G4871" s="9">
        <v>1127</v>
      </c>
      <c r="H4871" s="5" t="s">
        <v>21</v>
      </c>
      <c r="I4871" s="5" t="s">
        <v>11300</v>
      </c>
      <c r="J4871" s="12" t="str">
        <f>HYPERLINK("https://www.boe.es/gazeta/dias/1800/12/05/pdfs/GMD-1800-98.pdf#page=7","Abrir facsímil")</f>
        <v>Abrir facsímil</v>
      </c>
      <c r="K4871" s="15" t="s">
        <v>23</v>
      </c>
    </row>
    <row r="4872" spans="1:11" ht="42" customHeight="1">
      <c r="A4872" s="4" t="s">
        <v>11301</v>
      </c>
      <c r="B4872" s="5" t="s">
        <v>11302</v>
      </c>
      <c r="C4872" s="5" t="s">
        <v>18</v>
      </c>
      <c r="D4872" s="5" t="s">
        <v>19</v>
      </c>
      <c r="E4872" s="5" t="s">
        <v>60</v>
      </c>
      <c r="F4872" s="9">
        <v>105</v>
      </c>
      <c r="G4872" s="9">
        <v>1226</v>
      </c>
      <c r="H4872" s="5" t="s">
        <v>21</v>
      </c>
      <c r="I4872" s="5" t="s">
        <v>11303</v>
      </c>
      <c r="J4872" s="12" t="str">
        <f>HYPERLINK("https://www.boe.es/gazeta/dias/1800/12/30/pdfs/GMD-1800-105.pdf#page=10","Abrir facsímil")</f>
        <v>Abrir facsímil</v>
      </c>
      <c r="K4872" s="15" t="s">
        <v>23</v>
      </c>
    </row>
    <row r="4873" spans="1:11" ht="42" customHeight="1">
      <c r="A4873" s="4" t="s">
        <v>11304</v>
      </c>
      <c r="B4873" s="5" t="s">
        <v>11305</v>
      </c>
      <c r="C4873" s="5" t="s">
        <v>18</v>
      </c>
      <c r="D4873" s="5" t="s">
        <v>19</v>
      </c>
      <c r="E4873" s="5" t="s">
        <v>255</v>
      </c>
      <c r="F4873" s="9">
        <v>75</v>
      </c>
      <c r="G4873" s="9">
        <v>855</v>
      </c>
      <c r="H4873" s="5" t="s">
        <v>21</v>
      </c>
      <c r="I4873" s="5" t="s">
        <v>11306</v>
      </c>
      <c r="J4873" s="12" t="str">
        <f>HYPERLINK("https://www.boe.es/gazeta/dias/1800/09/16/pdfs/GMD-1800-75.pdf#page=9","Abrir facsímil")</f>
        <v>Abrir facsímil</v>
      </c>
      <c r="K4873" s="15" t="s">
        <v>23</v>
      </c>
    </row>
    <row r="4874" spans="1:11" ht="42" customHeight="1">
      <c r="A4874" s="4" t="s">
        <v>11307</v>
      </c>
      <c r="B4874" s="5" t="s">
        <v>11308</v>
      </c>
      <c r="C4874" s="5" t="s">
        <v>18</v>
      </c>
      <c r="D4874" s="5" t="s">
        <v>19</v>
      </c>
      <c r="E4874" s="5" t="s">
        <v>20</v>
      </c>
      <c r="F4874" s="9">
        <v>104</v>
      </c>
      <c r="G4874" s="9">
        <v>1210</v>
      </c>
      <c r="H4874" s="5" t="s">
        <v>21</v>
      </c>
      <c r="I4874" s="5" t="s">
        <v>11309</v>
      </c>
      <c r="J4874" s="12" t="str">
        <f>HYPERLINK("https://www.boe.es/gazeta/dias/1800/12/26/pdfs/GMD-1800-104.pdf#page=10","Abrir facsímil")</f>
        <v>Abrir facsímil</v>
      </c>
      <c r="K4874" s="15" t="s">
        <v>23</v>
      </c>
    </row>
    <row r="4875" spans="1:11" ht="42" customHeight="1">
      <c r="A4875" s="4" t="s">
        <v>11310</v>
      </c>
      <c r="B4875" s="5" t="s">
        <v>11311</v>
      </c>
      <c r="C4875" s="5" t="s">
        <v>18</v>
      </c>
      <c r="D4875" s="5" t="s">
        <v>19</v>
      </c>
      <c r="E4875" s="5" t="s">
        <v>139</v>
      </c>
      <c r="F4875" s="9">
        <v>2</v>
      </c>
      <c r="G4875" s="9">
        <v>17</v>
      </c>
      <c r="H4875" s="5" t="s">
        <v>21</v>
      </c>
      <c r="I4875" s="5" t="s">
        <v>11312</v>
      </c>
      <c r="J4875" s="12" t="str">
        <f>HYPERLINK("https://www.boe.es/gazeta/dias/1800/01/07/pdfs/GMD-1800-2.pdf#page=9","Abrir facsímil")</f>
        <v>Abrir facsímil</v>
      </c>
      <c r="K4875" s="15" t="s">
        <v>23</v>
      </c>
    </row>
    <row r="4876" spans="1:11" ht="42" customHeight="1">
      <c r="A4876" s="4" t="s">
        <v>11313</v>
      </c>
      <c r="B4876" s="5" t="s">
        <v>11313</v>
      </c>
      <c r="C4876" s="5" t="s">
        <v>207</v>
      </c>
      <c r="D4876" s="5" t="s">
        <v>55</v>
      </c>
      <c r="E4876" s="5" t="s">
        <v>595</v>
      </c>
      <c r="F4876" s="9">
        <v>72</v>
      </c>
      <c r="G4876" s="9">
        <v>798</v>
      </c>
      <c r="H4876" s="5" t="s">
        <v>21</v>
      </c>
      <c r="I4876" s="5" t="s">
        <v>11314</v>
      </c>
      <c r="J4876" s="12" t="str">
        <f>HYPERLINK("https://www.boe.es/gazeta/dias/1800/09/05/pdfs/GMD-1800-72.pdf#page=8","Abrir facsímil")</f>
        <v>Abrir facsímil</v>
      </c>
      <c r="K4876" s="15" t="s">
        <v>23</v>
      </c>
    </row>
    <row r="4877" spans="1:11" ht="42" customHeight="1">
      <c r="A4877" s="4" t="s">
        <v>11315</v>
      </c>
      <c r="B4877" s="5" t="s">
        <v>11316</v>
      </c>
      <c r="C4877" s="5" t="s">
        <v>171</v>
      </c>
      <c r="D4877" s="5" t="s">
        <v>172</v>
      </c>
      <c r="E4877" s="5" t="s">
        <v>465</v>
      </c>
      <c r="F4877" s="9">
        <v>49</v>
      </c>
      <c r="G4877" s="9">
        <v>534</v>
      </c>
      <c r="H4877" s="5" t="s">
        <v>21</v>
      </c>
      <c r="I4877" s="5" t="s">
        <v>11317</v>
      </c>
      <c r="J4877" s="12" t="str">
        <f>HYPERLINK("https://www.boe.es/gazeta/dias/1800/06/20/pdfs/GMD-C-1800-49.pdf#page=2","Abrir facsímil")</f>
        <v>Abrir facsímil</v>
      </c>
      <c r="K4877" s="15" t="s">
        <v>23</v>
      </c>
    </row>
    <row r="4878" spans="1:11" ht="42" customHeight="1">
      <c r="A4878" s="4" t="s">
        <v>11318</v>
      </c>
      <c r="B4878" s="5" t="s">
        <v>11319</v>
      </c>
      <c r="C4878" s="5" t="s">
        <v>18</v>
      </c>
      <c r="D4878" s="5" t="s">
        <v>19</v>
      </c>
      <c r="E4878" s="5" t="s">
        <v>314</v>
      </c>
      <c r="F4878" s="9">
        <v>74</v>
      </c>
      <c r="G4878" s="9">
        <v>833</v>
      </c>
      <c r="H4878" s="5" t="s">
        <v>21</v>
      </c>
      <c r="I4878" s="5" t="s">
        <v>11320</v>
      </c>
      <c r="J4878" s="12" t="str">
        <f>HYPERLINK("https://www.boe.es/gazeta/dias/1800/09/12/pdfs/GMD-1800-74.pdf#page=11","Abrir facsímil")</f>
        <v>Abrir facsímil</v>
      </c>
      <c r="K4878" s="15" t="s">
        <v>23</v>
      </c>
    </row>
    <row r="4879" spans="1:11" ht="42" customHeight="1">
      <c r="A4879" s="4" t="s">
        <v>11321</v>
      </c>
      <c r="B4879" s="5" t="s">
        <v>11321</v>
      </c>
      <c r="C4879" s="5" t="s">
        <v>41</v>
      </c>
      <c r="D4879" s="5" t="s">
        <v>42</v>
      </c>
      <c r="E4879" s="5" t="s">
        <v>203</v>
      </c>
      <c r="F4879" s="9">
        <v>94</v>
      </c>
      <c r="G4879" s="9">
        <v>1074</v>
      </c>
      <c r="H4879" s="5" t="s">
        <v>21</v>
      </c>
      <c r="I4879" s="5" t="s">
        <v>11322</v>
      </c>
      <c r="J4879" s="12" t="str">
        <f>HYPERLINK("https://www.boe.es/gazeta/dias/1800/11/21/pdfs/GMD-1800-94.pdf#page=4","Abrir facsímil")</f>
        <v>Abrir facsímil</v>
      </c>
      <c r="K4879" s="15" t="s">
        <v>23</v>
      </c>
    </row>
    <row r="4880" spans="1:11" ht="42" customHeight="1">
      <c r="A4880" s="4" t="s">
        <v>11323</v>
      </c>
      <c r="B4880" s="5" t="s">
        <v>11324</v>
      </c>
      <c r="C4880" s="5" t="s">
        <v>18</v>
      </c>
      <c r="D4880" s="5" t="s">
        <v>19</v>
      </c>
      <c r="E4880" s="5" t="s">
        <v>31</v>
      </c>
      <c r="F4880" s="9">
        <v>20</v>
      </c>
      <c r="G4880" s="9">
        <v>187</v>
      </c>
      <c r="H4880" s="5" t="s">
        <v>21</v>
      </c>
      <c r="I4880" s="5" t="s">
        <v>11325</v>
      </c>
      <c r="J4880" s="12" t="str">
        <f>HYPERLINK("https://www.boe.es/gazeta/dias/1800/03/11/pdfs/GMD-1800-20.pdf#page=3","Abrir facsímil")</f>
        <v>Abrir facsímil</v>
      </c>
      <c r="K4880" s="15" t="s">
        <v>23</v>
      </c>
    </row>
    <row r="4881" spans="1:11" ht="42" customHeight="1">
      <c r="A4881" s="4" t="s">
        <v>11326</v>
      </c>
      <c r="B4881" s="5" t="s">
        <v>11326</v>
      </c>
      <c r="C4881" s="5" t="s">
        <v>18</v>
      </c>
      <c r="D4881" s="5" t="s">
        <v>19</v>
      </c>
      <c r="E4881" s="5" t="s">
        <v>319</v>
      </c>
      <c r="F4881" s="9">
        <v>62</v>
      </c>
      <c r="G4881" s="9">
        <v>710</v>
      </c>
      <c r="H4881" s="5" t="s">
        <v>21</v>
      </c>
      <c r="I4881" s="5" t="s">
        <v>11327</v>
      </c>
      <c r="J4881" s="12" t="str">
        <f>HYPERLINK("https://www.boe.es/gazeta/dias/1800/08/05/pdfs/GMD-1800-62.pdf#page=10","Abrir facsímil")</f>
        <v>Abrir facsímil</v>
      </c>
      <c r="K4881" s="15" t="s">
        <v>23</v>
      </c>
    </row>
    <row r="4882" spans="1:11" ht="42" customHeight="1">
      <c r="A4882" s="4" t="s">
        <v>11328</v>
      </c>
      <c r="B4882" s="5" t="s">
        <v>11329</v>
      </c>
      <c r="C4882" s="5" t="s">
        <v>41</v>
      </c>
      <c r="D4882" s="5" t="s">
        <v>42</v>
      </c>
      <c r="E4882" s="5" t="s">
        <v>176</v>
      </c>
      <c r="F4882" s="9">
        <v>88</v>
      </c>
      <c r="G4882" s="9">
        <v>1025</v>
      </c>
      <c r="H4882" s="5" t="s">
        <v>21</v>
      </c>
      <c r="I4882" s="5" t="s">
        <v>11330</v>
      </c>
      <c r="J4882" s="12" t="str">
        <f>HYPERLINK("https://www.boe.es/gazeta/dias/1800/10/31/pdfs/GMD-1800-88.pdf#page=7","Abrir facsímil")</f>
        <v>Abrir facsímil</v>
      </c>
      <c r="K4882" s="15" t="s">
        <v>23</v>
      </c>
    </row>
    <row r="4883" spans="1:11" ht="42" customHeight="1">
      <c r="A4883" s="4" t="s">
        <v>11331</v>
      </c>
      <c r="B4883" s="5" t="s">
        <v>11332</v>
      </c>
      <c r="C4883" s="5" t="s">
        <v>41</v>
      </c>
      <c r="D4883" s="5" t="s">
        <v>42</v>
      </c>
      <c r="E4883" s="5" t="s">
        <v>226</v>
      </c>
      <c r="F4883" s="9">
        <v>27</v>
      </c>
      <c r="G4883" s="9">
        <v>275</v>
      </c>
      <c r="H4883" s="5" t="s">
        <v>21</v>
      </c>
      <c r="I4883" s="5" t="s">
        <v>11333</v>
      </c>
      <c r="J4883" s="12" t="str">
        <f>HYPERLINK("https://www.boe.es/gazeta/dias/1800/04/04/pdfs/GMD-1800-27.pdf#page=3","Abrir facsímil")</f>
        <v>Abrir facsímil</v>
      </c>
      <c r="K4883" s="15" t="s">
        <v>23</v>
      </c>
    </row>
    <row r="4884" spans="1:11" ht="42" customHeight="1">
      <c r="A4884" s="4" t="s">
        <v>11334</v>
      </c>
      <c r="B4884" s="5" t="s">
        <v>11335</v>
      </c>
      <c r="C4884" s="5" t="s">
        <v>207</v>
      </c>
      <c r="D4884" s="5" t="s">
        <v>55</v>
      </c>
      <c r="E4884" s="5" t="s">
        <v>306</v>
      </c>
      <c r="F4884" s="9">
        <v>79</v>
      </c>
      <c r="G4884" s="9">
        <v>899</v>
      </c>
      <c r="H4884" s="5" t="s">
        <v>21</v>
      </c>
      <c r="I4884" s="5" t="s">
        <v>11336</v>
      </c>
      <c r="J4884" s="12" t="str">
        <f>HYPERLINK("https://www.boe.es/gazeta/dias/1800/09/30/pdfs/GMD-1800-79.pdf#page=9","Abrir facsímil")</f>
        <v>Abrir facsímil</v>
      </c>
      <c r="K4884" s="15" t="s">
        <v>23</v>
      </c>
    </row>
    <row r="4885" spans="1:11" ht="42" customHeight="1">
      <c r="A4885" s="4" t="s">
        <v>11337</v>
      </c>
      <c r="B4885" s="5" t="s">
        <v>11338</v>
      </c>
      <c r="C4885" s="5" t="s">
        <v>18</v>
      </c>
      <c r="D4885" s="5" t="s">
        <v>19</v>
      </c>
      <c r="E4885" s="5" t="s">
        <v>314</v>
      </c>
      <c r="F4885" s="9">
        <v>74</v>
      </c>
      <c r="G4885" s="9">
        <v>832</v>
      </c>
      <c r="H4885" s="5" t="s">
        <v>21</v>
      </c>
      <c r="I4885" s="5" t="s">
        <v>11339</v>
      </c>
      <c r="J4885" s="12" t="str">
        <f>HYPERLINK("https://www.boe.es/gazeta/dias/1800/09/12/pdfs/GMD-1800-74.pdf#page=10","Abrir facsímil")</f>
        <v>Abrir facsímil</v>
      </c>
      <c r="K4885" s="15" t="s">
        <v>23</v>
      </c>
    </row>
    <row r="4886" spans="1:11" ht="42" customHeight="1">
      <c r="A4886" s="4" t="s">
        <v>11340</v>
      </c>
      <c r="B4886" s="5" t="s">
        <v>11341</v>
      </c>
      <c r="C4886" s="5" t="s">
        <v>54</v>
      </c>
      <c r="D4886" s="5" t="s">
        <v>55</v>
      </c>
      <c r="E4886" s="5" t="s">
        <v>306</v>
      </c>
      <c r="F4886" s="9">
        <v>79</v>
      </c>
      <c r="G4886" s="9">
        <v>900</v>
      </c>
      <c r="H4886" s="5" t="s">
        <v>21</v>
      </c>
      <c r="I4886" s="5" t="s">
        <v>11342</v>
      </c>
      <c r="J4886" s="12" t="str">
        <f>HYPERLINK("https://www.boe.es/gazeta/dias/1800/09/30/pdfs/GMD-1800-79.pdf#page=10","Abrir facsímil")</f>
        <v>Abrir facsímil</v>
      </c>
      <c r="K4886" s="15" t="s">
        <v>23</v>
      </c>
    </row>
    <row r="4887" spans="1:11" ht="42" customHeight="1">
      <c r="A4887" s="4" t="s">
        <v>11343</v>
      </c>
      <c r="B4887" s="5" t="s">
        <v>11344</v>
      </c>
      <c r="C4887" s="5" t="s">
        <v>18</v>
      </c>
      <c r="D4887" s="5" t="s">
        <v>19</v>
      </c>
      <c r="E4887" s="5" t="s">
        <v>673</v>
      </c>
      <c r="F4887" s="9">
        <v>89</v>
      </c>
      <c r="G4887" s="9">
        <v>1043</v>
      </c>
      <c r="H4887" s="5" t="s">
        <v>21</v>
      </c>
      <c r="I4887" s="5" t="s">
        <v>11345</v>
      </c>
      <c r="J4887" s="12" t="str">
        <f>HYPERLINK("https://www.boe.es/gazeta/dias/1800/11/04/pdfs/GMD-1800-89.pdf#page=9","Abrir facsímil")</f>
        <v>Abrir facsímil</v>
      </c>
      <c r="K4887" s="15" t="s">
        <v>23</v>
      </c>
    </row>
    <row r="4888" spans="1:11" ht="42" customHeight="1">
      <c r="A4888" s="4" t="s">
        <v>11346</v>
      </c>
      <c r="B4888" s="5" t="s">
        <v>11347</v>
      </c>
      <c r="C4888" s="5" t="s">
        <v>171</v>
      </c>
      <c r="D4888" s="5" t="s">
        <v>172</v>
      </c>
      <c r="E4888" s="5" t="s">
        <v>90</v>
      </c>
      <c r="F4888" s="9">
        <v>58</v>
      </c>
      <c r="G4888" s="9">
        <v>668</v>
      </c>
      <c r="H4888" s="5" t="s">
        <v>21</v>
      </c>
      <c r="I4888" s="5" t="s">
        <v>11348</v>
      </c>
      <c r="J4888" s="12" t="str">
        <f>HYPERLINK("https://www.boe.es/gazeta/dias/1800/07/22/pdfs/GMD-C-1800-58.pdf#page=4","Abrir facsímil")</f>
        <v>Abrir facsímil</v>
      </c>
      <c r="K4888" s="15" t="s">
        <v>23</v>
      </c>
    </row>
    <row r="4889" spans="1:11" ht="42" customHeight="1">
      <c r="A4889" s="4" t="s">
        <v>11349</v>
      </c>
      <c r="B4889" s="5" t="s">
        <v>11350</v>
      </c>
      <c r="C4889" s="5" t="s">
        <v>1035</v>
      </c>
      <c r="D4889" s="5" t="s">
        <v>1036</v>
      </c>
      <c r="E4889" s="5" t="s">
        <v>50</v>
      </c>
      <c r="F4889" s="9">
        <v>81</v>
      </c>
      <c r="G4889" s="9">
        <v>942</v>
      </c>
      <c r="H4889" s="5" t="s">
        <v>21</v>
      </c>
      <c r="I4889" s="5" t="s">
        <v>11351</v>
      </c>
      <c r="J4889" s="12" t="str">
        <f>HYPERLINK("https://www.boe.es/gazeta/dias/1800/10/07/pdfs/GMD-C-1800-81.pdf#page=24","Abrir facsímil")</f>
        <v>Abrir facsímil</v>
      </c>
      <c r="K4889" s="15" t="s">
        <v>23</v>
      </c>
    </row>
    <row r="4890" spans="1:11" ht="42" customHeight="1">
      <c r="A4890" s="4" t="s">
        <v>11349</v>
      </c>
      <c r="B4890" s="5" t="s">
        <v>11350</v>
      </c>
      <c r="C4890" s="5" t="s">
        <v>54</v>
      </c>
      <c r="D4890" s="5" t="s">
        <v>55</v>
      </c>
      <c r="E4890" s="5" t="s">
        <v>190</v>
      </c>
      <c r="F4890" s="9">
        <v>93</v>
      </c>
      <c r="G4890" s="9">
        <v>1068</v>
      </c>
      <c r="H4890" s="5" t="s">
        <v>21</v>
      </c>
      <c r="I4890" s="5" t="s">
        <v>11352</v>
      </c>
      <c r="J4890" s="12" t="str">
        <f>HYPERLINK("https://www.boe.es/gazeta/dias/1800/11/18/pdfs/GMD-1800-93.pdf#page=14","Abrir facsímil")</f>
        <v>Abrir facsímil</v>
      </c>
      <c r="K4890" s="15" t="s">
        <v>23</v>
      </c>
    </row>
    <row r="4891" spans="1:11" ht="42" customHeight="1">
      <c r="A4891" s="4" t="s">
        <v>11349</v>
      </c>
      <c r="B4891" s="5" t="s">
        <v>11350</v>
      </c>
      <c r="C4891" s="5" t="s">
        <v>54</v>
      </c>
      <c r="D4891" s="5" t="s">
        <v>55</v>
      </c>
      <c r="E4891" s="5" t="s">
        <v>203</v>
      </c>
      <c r="F4891" s="9">
        <v>94</v>
      </c>
      <c r="G4891" s="9">
        <v>1080</v>
      </c>
      <c r="H4891" s="5" t="s">
        <v>21</v>
      </c>
      <c r="I4891" s="5" t="s">
        <v>11353</v>
      </c>
      <c r="J4891" s="12" t="str">
        <f>HYPERLINK("https://www.boe.es/gazeta/dias/1800/11/21/pdfs/GMD-1800-94.pdf#page=10","Abrir facsímil")</f>
        <v>Abrir facsímil</v>
      </c>
      <c r="K4891" s="15" t="s">
        <v>23</v>
      </c>
    </row>
    <row r="4892" spans="1:11" ht="42" customHeight="1">
      <c r="A4892" s="4" t="s">
        <v>11354</v>
      </c>
      <c r="B4892" s="5" t="s">
        <v>11355</v>
      </c>
      <c r="C4892" s="5" t="s">
        <v>18</v>
      </c>
      <c r="D4892" s="5" t="s">
        <v>19</v>
      </c>
      <c r="E4892" s="5" t="s">
        <v>154</v>
      </c>
      <c r="F4892" s="9">
        <v>61</v>
      </c>
      <c r="G4892" s="9">
        <v>697</v>
      </c>
      <c r="H4892" s="5" t="s">
        <v>21</v>
      </c>
      <c r="I4892" s="5" t="s">
        <v>11356</v>
      </c>
      <c r="J4892" s="12" t="str">
        <f>HYPERLINK("https://www.boe.es/gazeta/dias/1800/08/01/pdfs/GMD-1800-61.pdf#page=9","Abrir facsímil")</f>
        <v>Abrir facsímil</v>
      </c>
      <c r="K4892" s="15" t="s">
        <v>23</v>
      </c>
    </row>
    <row r="4893" spans="1:11" ht="42" customHeight="1">
      <c r="A4893" s="4" t="s">
        <v>11357</v>
      </c>
      <c r="B4893" s="5" t="s">
        <v>11358</v>
      </c>
      <c r="C4893" s="5" t="s">
        <v>25</v>
      </c>
      <c r="D4893" s="5" t="s">
        <v>26</v>
      </c>
      <c r="E4893" s="5" t="s">
        <v>139</v>
      </c>
      <c r="F4893" s="9">
        <v>2</v>
      </c>
      <c r="G4893" s="9">
        <v>16</v>
      </c>
      <c r="H4893" s="5" t="s">
        <v>21</v>
      </c>
      <c r="I4893" s="5" t="s">
        <v>11359</v>
      </c>
      <c r="J4893" s="12" t="str">
        <f>HYPERLINK("https://www.boe.es/gazeta/dias/1800/01/07/pdfs/GMD-1800-2.pdf#page=8","Abrir facsímil")</f>
        <v>Abrir facsímil</v>
      </c>
      <c r="K4893" s="15" t="s">
        <v>23</v>
      </c>
    </row>
    <row r="4894" spans="1:11" ht="42" customHeight="1">
      <c r="A4894" s="4" t="s">
        <v>11360</v>
      </c>
      <c r="B4894" s="5" t="s">
        <v>11361</v>
      </c>
      <c r="C4894" s="5" t="s">
        <v>18</v>
      </c>
      <c r="D4894" s="5" t="s">
        <v>19</v>
      </c>
      <c r="E4894" s="5" t="s">
        <v>75</v>
      </c>
      <c r="F4894" s="9">
        <v>64</v>
      </c>
      <c r="G4894" s="9">
        <v>732</v>
      </c>
      <c r="H4894" s="5" t="s">
        <v>21</v>
      </c>
      <c r="I4894" s="5" t="s">
        <v>11362</v>
      </c>
      <c r="J4894" s="12" t="str">
        <f>HYPERLINK("https://www.boe.es/gazeta/dias/1800/08/12/pdfs/GMD-1800-64.pdf#page=8","Abrir facsímil")</f>
        <v>Abrir facsímil</v>
      </c>
      <c r="K4894" s="15" t="s">
        <v>23</v>
      </c>
    </row>
    <row r="4895" spans="1:11" ht="42" customHeight="1">
      <c r="A4895" s="4" t="s">
        <v>11363</v>
      </c>
      <c r="B4895" s="5" t="s">
        <v>11364</v>
      </c>
      <c r="C4895" s="5" t="s">
        <v>54</v>
      </c>
      <c r="D4895" s="5" t="s">
        <v>55</v>
      </c>
      <c r="E4895" s="5" t="s">
        <v>572</v>
      </c>
      <c r="F4895" s="9">
        <v>76</v>
      </c>
      <c r="G4895" s="9">
        <v>868</v>
      </c>
      <c r="H4895" s="5" t="s">
        <v>21</v>
      </c>
      <c r="I4895" s="5" t="s">
        <v>11365</v>
      </c>
      <c r="J4895" s="12" t="str">
        <f>HYPERLINK("https://www.boe.es/gazeta/dias/1800/09/19/pdfs/GMD-1800-76.pdf#page=10","Abrir facsímil")</f>
        <v>Abrir facsímil</v>
      </c>
      <c r="K4895" s="15" t="s">
        <v>23</v>
      </c>
    </row>
    <row r="4896" spans="1:11" ht="42" customHeight="1">
      <c r="A4896" s="4" t="s">
        <v>11366</v>
      </c>
      <c r="B4896" s="5" t="s">
        <v>11367</v>
      </c>
      <c r="C4896" s="5" t="s">
        <v>207</v>
      </c>
      <c r="D4896" s="5" t="s">
        <v>55</v>
      </c>
      <c r="E4896" s="5" t="s">
        <v>306</v>
      </c>
      <c r="F4896" s="9">
        <v>79</v>
      </c>
      <c r="G4896" s="9">
        <v>899</v>
      </c>
      <c r="H4896" s="5" t="s">
        <v>21</v>
      </c>
      <c r="I4896" s="5" t="s">
        <v>11368</v>
      </c>
      <c r="J4896" s="12" t="str">
        <f>HYPERLINK("https://www.boe.es/gazeta/dias/1800/09/30/pdfs/GMD-1800-79.pdf#page=9","Abrir facsímil")</f>
        <v>Abrir facsímil</v>
      </c>
      <c r="K4896" s="15" t="s">
        <v>23</v>
      </c>
    </row>
    <row r="4897" spans="1:11" ht="42" customHeight="1">
      <c r="A4897" s="4" t="s">
        <v>11369</v>
      </c>
      <c r="B4897" s="5" t="s">
        <v>11370</v>
      </c>
      <c r="C4897" s="5" t="s">
        <v>18</v>
      </c>
      <c r="D4897" s="5" t="s">
        <v>19</v>
      </c>
      <c r="E4897" s="5" t="s">
        <v>275</v>
      </c>
      <c r="F4897" s="9">
        <v>60</v>
      </c>
      <c r="G4897" s="9">
        <v>688</v>
      </c>
      <c r="H4897" s="5" t="s">
        <v>21</v>
      </c>
      <c r="I4897" s="5" t="s">
        <v>11371</v>
      </c>
      <c r="J4897" s="12" t="str">
        <f>HYPERLINK("https://www.boe.es/gazeta/dias/1800/07/29/pdfs/GMD-1800-60.pdf#page=8","Abrir facsímil")</f>
        <v>Abrir facsímil</v>
      </c>
      <c r="K4897" s="15" t="s">
        <v>23</v>
      </c>
    </row>
    <row r="4898" spans="1:11" ht="42" customHeight="1">
      <c r="A4898" s="4" t="s">
        <v>11372</v>
      </c>
      <c r="B4898" s="5" t="s">
        <v>11373</v>
      </c>
      <c r="C4898" s="5" t="s">
        <v>41</v>
      </c>
      <c r="D4898" s="5" t="s">
        <v>42</v>
      </c>
      <c r="E4898" s="5" t="s">
        <v>64</v>
      </c>
      <c r="F4898" s="9">
        <v>54</v>
      </c>
      <c r="G4898" s="9">
        <v>605</v>
      </c>
      <c r="H4898" s="5" t="s">
        <v>21</v>
      </c>
      <c r="I4898" s="5" t="s">
        <v>11374</v>
      </c>
      <c r="J4898" s="12" t="str">
        <f>HYPERLINK("https://www.boe.es/gazeta/dias/1800/07/08/pdfs/GMD-1800-54.pdf#page=9","Abrir facsímil")</f>
        <v>Abrir facsímil</v>
      </c>
      <c r="K4898" s="15" t="s">
        <v>23</v>
      </c>
    </row>
    <row r="4899" spans="1:11" ht="42" customHeight="1">
      <c r="A4899" s="4" t="s">
        <v>11375</v>
      </c>
      <c r="B4899" s="5" t="s">
        <v>11376</v>
      </c>
      <c r="C4899" s="5" t="s">
        <v>25</v>
      </c>
      <c r="D4899" s="5" t="s">
        <v>26</v>
      </c>
      <c r="E4899" s="5" t="s">
        <v>1213</v>
      </c>
      <c r="F4899" s="9">
        <v>4</v>
      </c>
      <c r="G4899" s="9">
        <v>36</v>
      </c>
      <c r="H4899" s="5" t="s">
        <v>21</v>
      </c>
      <c r="I4899" s="5" t="s">
        <v>11377</v>
      </c>
      <c r="J4899" s="12" t="str">
        <f>HYPERLINK("https://www.boe.es/gazeta/dias/1800/01/14/pdfs/GMD-1800-4.pdf#page=8","Abrir facsímil")</f>
        <v>Abrir facsímil</v>
      </c>
      <c r="K4899" s="15" t="s">
        <v>23</v>
      </c>
    </row>
    <row r="4900" spans="1:11" ht="42" customHeight="1">
      <c r="A4900" s="4" t="s">
        <v>11378</v>
      </c>
      <c r="B4900" s="5" t="s">
        <v>11379</v>
      </c>
      <c r="C4900" s="5" t="s">
        <v>54</v>
      </c>
      <c r="D4900" s="5" t="s">
        <v>55</v>
      </c>
      <c r="E4900" s="5" t="s">
        <v>27</v>
      </c>
      <c r="F4900" s="9">
        <v>65</v>
      </c>
      <c r="G4900" s="9">
        <v>733</v>
      </c>
      <c r="H4900" s="5" t="s">
        <v>21</v>
      </c>
      <c r="I4900" s="5" t="s">
        <v>11380</v>
      </c>
      <c r="J4900" s="12" t="str">
        <f>HYPERLINK("https://www.boe.es/gazeta/dias/1800/08/15/pdfs/GMD-1800-65.pdf#page=9","Abrir facsímil")</f>
        <v>Abrir facsímil</v>
      </c>
      <c r="K4900" s="15" t="s">
        <v>23</v>
      </c>
    </row>
    <row r="4901" spans="1:11" ht="42" customHeight="1">
      <c r="A4901" s="4" t="s">
        <v>11378</v>
      </c>
      <c r="B4901" s="5" t="s">
        <v>11379</v>
      </c>
      <c r="C4901" s="5" t="s">
        <v>1035</v>
      </c>
      <c r="D4901" s="5" t="s">
        <v>1036</v>
      </c>
      <c r="E4901" s="5" t="s">
        <v>50</v>
      </c>
      <c r="F4901" s="9">
        <v>81</v>
      </c>
      <c r="G4901" s="9">
        <v>942</v>
      </c>
      <c r="H4901" s="5" t="s">
        <v>21</v>
      </c>
      <c r="I4901" s="5" t="s">
        <v>11381</v>
      </c>
      <c r="J4901" s="12" t="str">
        <f>HYPERLINK("https://www.boe.es/gazeta/dias/1800/10/07/pdfs/GMD-C-1800-81.pdf#page=24","Abrir facsímil")</f>
        <v>Abrir facsímil</v>
      </c>
      <c r="K4901" s="15" t="s">
        <v>23</v>
      </c>
    </row>
    <row r="4902" spans="1:11" ht="42" customHeight="1">
      <c r="A4902" s="4" t="s">
        <v>11382</v>
      </c>
      <c r="B4902" s="5" t="s">
        <v>11383</v>
      </c>
      <c r="C4902" s="5" t="s">
        <v>54</v>
      </c>
      <c r="D4902" s="5" t="s">
        <v>55</v>
      </c>
      <c r="E4902" s="5" t="s">
        <v>787</v>
      </c>
      <c r="F4902" s="9">
        <v>6</v>
      </c>
      <c r="G4902" s="9">
        <v>59</v>
      </c>
      <c r="H4902" s="5" t="s">
        <v>21</v>
      </c>
      <c r="I4902" s="5" t="s">
        <v>11384</v>
      </c>
      <c r="J4902" s="12" t="str">
        <f>HYPERLINK("https://www.boe.es/gazeta/dias/1800/01/21/pdfs/GMD-1800-6.pdf#page=11","Abrir facsímil")</f>
        <v>Abrir facsímil</v>
      </c>
      <c r="K4902" s="15" t="s">
        <v>23</v>
      </c>
    </row>
    <row r="4903" spans="1:11" ht="42" customHeight="1">
      <c r="A4903" s="4" t="s">
        <v>11385</v>
      </c>
      <c r="B4903" s="5" t="s">
        <v>11386</v>
      </c>
      <c r="C4903" s="5" t="s">
        <v>25</v>
      </c>
      <c r="D4903" s="5" t="s">
        <v>26</v>
      </c>
      <c r="E4903" s="5" t="s">
        <v>45</v>
      </c>
      <c r="F4903" s="9">
        <v>47</v>
      </c>
      <c r="G4903" s="9">
        <v>503</v>
      </c>
      <c r="H4903" s="5" t="s">
        <v>21</v>
      </c>
      <c r="I4903" s="5" t="s">
        <v>11387</v>
      </c>
      <c r="J4903" s="12" t="str">
        <f>HYPERLINK("https://www.boe.es/gazeta/dias/1800/06/13/pdfs/GMD-1800-47.pdf#page=11","Abrir facsímil")</f>
        <v>Abrir facsímil</v>
      </c>
      <c r="K4903" s="15" t="s">
        <v>23</v>
      </c>
    </row>
    <row r="4904" spans="1:11" ht="42" customHeight="1">
      <c r="A4904" s="4" t="s">
        <v>11388</v>
      </c>
      <c r="B4904" s="5" t="s">
        <v>11389</v>
      </c>
      <c r="C4904" s="5" t="s">
        <v>25</v>
      </c>
      <c r="D4904" s="5" t="s">
        <v>26</v>
      </c>
      <c r="E4904" s="5" t="s">
        <v>319</v>
      </c>
      <c r="F4904" s="9">
        <v>62</v>
      </c>
      <c r="G4904" s="9">
        <v>708</v>
      </c>
      <c r="H4904" s="5" t="s">
        <v>21</v>
      </c>
      <c r="I4904" s="5" t="s">
        <v>11390</v>
      </c>
      <c r="J4904" s="12" t="str">
        <f>HYPERLINK("https://www.boe.es/gazeta/dias/1800/08/05/pdfs/GMD-1800-62.pdf#page=8","Abrir facsímil")</f>
        <v>Abrir facsímil</v>
      </c>
      <c r="K4904" s="15" t="s">
        <v>23</v>
      </c>
    </row>
    <row r="4905" spans="1:11" ht="42" customHeight="1">
      <c r="A4905" s="4" t="s">
        <v>11391</v>
      </c>
      <c r="B4905" s="5" t="s">
        <v>11392</v>
      </c>
      <c r="C4905" s="5" t="s">
        <v>25</v>
      </c>
      <c r="D4905" s="5" t="s">
        <v>26</v>
      </c>
      <c r="E4905" s="5" t="s">
        <v>329</v>
      </c>
      <c r="F4905" s="9">
        <v>99</v>
      </c>
      <c r="G4905" s="9">
        <v>1138</v>
      </c>
      <c r="H4905" s="5" t="s">
        <v>21</v>
      </c>
      <c r="I4905" s="5" t="s">
        <v>11393</v>
      </c>
      <c r="J4905" s="12" t="str">
        <f>HYPERLINK("https://www.boe.es/gazeta/dias/1800/12/09/pdfs/GMD-1800-99.pdf#page=6","Abrir facsímil")</f>
        <v>Abrir facsímil</v>
      </c>
      <c r="K4905" s="15" t="s">
        <v>23</v>
      </c>
    </row>
    <row r="4906" spans="1:11" ht="42" customHeight="1">
      <c r="A4906" s="4" t="s">
        <v>11394</v>
      </c>
      <c r="B4906" s="5" t="s">
        <v>11395</v>
      </c>
      <c r="C4906" s="5" t="s">
        <v>18</v>
      </c>
      <c r="D4906" s="5" t="s">
        <v>19</v>
      </c>
      <c r="E4906" s="5" t="s">
        <v>823</v>
      </c>
      <c r="F4906" s="9">
        <v>50</v>
      </c>
      <c r="G4906" s="9">
        <v>546</v>
      </c>
      <c r="H4906" s="5" t="s">
        <v>21</v>
      </c>
      <c r="I4906" s="5" t="s">
        <v>11396</v>
      </c>
      <c r="J4906" s="12" t="str">
        <f>HYPERLINK("https://www.boe.es/gazeta/dias/1800/06/24/pdfs/GMD-1800-50.pdf#page=10","Abrir facsímil")</f>
        <v>Abrir facsímil</v>
      </c>
      <c r="K4906" s="15" t="s">
        <v>23</v>
      </c>
    </row>
    <row r="4907" spans="1:11" ht="42" customHeight="1">
      <c r="A4907" s="4" t="s">
        <v>11397</v>
      </c>
      <c r="B4907" s="5" t="s">
        <v>11398</v>
      </c>
      <c r="C4907" s="5" t="s">
        <v>25</v>
      </c>
      <c r="D4907" s="5" t="s">
        <v>26</v>
      </c>
      <c r="E4907" s="5" t="s">
        <v>143</v>
      </c>
      <c r="F4907" s="9">
        <v>22</v>
      </c>
      <c r="G4907" s="9">
        <v>220</v>
      </c>
      <c r="H4907" s="5" t="s">
        <v>21</v>
      </c>
      <c r="I4907" s="5" t="s">
        <v>11399</v>
      </c>
      <c r="J4907" s="12" t="str">
        <f>HYPERLINK("https://www.boe.es/gazeta/dias/1800/03/18/pdfs/GMD-1800-22.pdf#page=12","Abrir facsímil")</f>
        <v>Abrir facsímil</v>
      </c>
      <c r="K4907" s="15" t="s">
        <v>23</v>
      </c>
    </row>
    <row r="4908" spans="1:11" ht="42" customHeight="1">
      <c r="A4908" s="4" t="s">
        <v>11400</v>
      </c>
      <c r="B4908" s="5" t="s">
        <v>11401</v>
      </c>
      <c r="C4908" s="5" t="s">
        <v>25</v>
      </c>
      <c r="D4908" s="5" t="s">
        <v>26</v>
      </c>
      <c r="E4908" s="5" t="s">
        <v>143</v>
      </c>
      <c r="F4908" s="9">
        <v>22</v>
      </c>
      <c r="G4908" s="9">
        <v>220</v>
      </c>
      <c r="H4908" s="5" t="s">
        <v>21</v>
      </c>
      <c r="I4908" s="5" t="s">
        <v>11402</v>
      </c>
      <c r="J4908" s="12" t="str">
        <f>HYPERLINK("https://www.boe.es/gazeta/dias/1800/03/18/pdfs/GMD-1800-22.pdf#page=12","Abrir facsímil")</f>
        <v>Abrir facsímil</v>
      </c>
      <c r="K4908" s="15" t="s">
        <v>23</v>
      </c>
    </row>
    <row r="4909" spans="1:11" ht="42" customHeight="1">
      <c r="A4909" s="4" t="s">
        <v>11403</v>
      </c>
      <c r="B4909" s="5" t="s">
        <v>11404</v>
      </c>
      <c r="C4909" s="5" t="s">
        <v>54</v>
      </c>
      <c r="D4909" s="5" t="s">
        <v>55</v>
      </c>
      <c r="E4909" s="5" t="s">
        <v>20</v>
      </c>
      <c r="F4909" s="9">
        <v>104</v>
      </c>
      <c r="G4909" s="9">
        <v>1209</v>
      </c>
      <c r="H4909" s="5" t="s">
        <v>21</v>
      </c>
      <c r="I4909" s="5" t="s">
        <v>11405</v>
      </c>
      <c r="J4909" s="12" t="str">
        <f>HYPERLINK("https://www.boe.es/gazeta/dias/1800/12/26/pdfs/GMD-1800-104.pdf#page=9","Abrir facsímil")</f>
        <v>Abrir facsímil</v>
      </c>
      <c r="K4909" s="15" t="s">
        <v>23</v>
      </c>
    </row>
    <row r="4910" spans="1:11" ht="42" customHeight="1">
      <c r="A4910" s="4" t="s">
        <v>11406</v>
      </c>
      <c r="B4910" s="5" t="s">
        <v>11407</v>
      </c>
      <c r="C4910" s="5" t="s">
        <v>207</v>
      </c>
      <c r="D4910" s="5" t="s">
        <v>55</v>
      </c>
      <c r="E4910" s="5" t="s">
        <v>176</v>
      </c>
      <c r="F4910" s="9">
        <v>88</v>
      </c>
      <c r="G4910" s="9">
        <v>1030</v>
      </c>
      <c r="H4910" s="5" t="s">
        <v>21</v>
      </c>
      <c r="I4910" s="5" t="s">
        <v>11408</v>
      </c>
      <c r="J4910" s="12" t="str">
        <f>HYPERLINK("https://www.boe.es/gazeta/dias/1800/10/31/pdfs/GMD-1800-88.pdf#page=12","Abrir facsímil")</f>
        <v>Abrir facsímil</v>
      </c>
      <c r="K4910" s="15" t="s">
        <v>23</v>
      </c>
    </row>
    <row r="4911" spans="1:11" ht="42" customHeight="1">
      <c r="A4911" s="4" t="s">
        <v>11409</v>
      </c>
      <c r="B4911" s="5" t="s">
        <v>11410</v>
      </c>
      <c r="C4911" s="5" t="s">
        <v>18</v>
      </c>
      <c r="D4911" s="5" t="s">
        <v>19</v>
      </c>
      <c r="E4911" s="5" t="s">
        <v>422</v>
      </c>
      <c r="F4911" s="9">
        <v>85</v>
      </c>
      <c r="G4911" s="9">
        <v>985</v>
      </c>
      <c r="H4911" s="5" t="s">
        <v>21</v>
      </c>
      <c r="I4911" s="5" t="s">
        <v>11411</v>
      </c>
      <c r="J4911" s="12" t="str">
        <f>HYPERLINK("https://www.boe.es/gazeta/dias/1800/10/21/pdfs/GMD-1800-85.pdf#page=7","Abrir facsímil")</f>
        <v>Abrir facsímil</v>
      </c>
      <c r="K4911" s="15" t="s">
        <v>23</v>
      </c>
    </row>
    <row r="4912" spans="1:11" ht="42" customHeight="1">
      <c r="A4912" s="4" t="s">
        <v>11412</v>
      </c>
      <c r="B4912" s="5" t="s">
        <v>11413</v>
      </c>
      <c r="C4912" s="5" t="s">
        <v>18</v>
      </c>
      <c r="D4912" s="5" t="s">
        <v>19</v>
      </c>
      <c r="E4912" s="5" t="s">
        <v>56</v>
      </c>
      <c r="F4912" s="9">
        <v>90</v>
      </c>
      <c r="G4912" s="9">
        <v>1054</v>
      </c>
      <c r="H4912" s="5" t="s">
        <v>21</v>
      </c>
      <c r="I4912" s="5" t="s">
        <v>11414</v>
      </c>
      <c r="J4912" s="12" t="str">
        <f>HYPERLINK("https://www.boe.es/gazeta/dias/1800/11/07/pdfs/GMD-1800-90.pdf#page=8","Abrir facsímil")</f>
        <v>Abrir facsímil</v>
      </c>
      <c r="K4912" s="15" t="s">
        <v>23</v>
      </c>
    </row>
    <row r="4913" spans="1:11" ht="42" customHeight="1">
      <c r="A4913" s="4" t="s">
        <v>11415</v>
      </c>
      <c r="B4913" s="5" t="s">
        <v>11416</v>
      </c>
      <c r="C4913" s="5" t="s">
        <v>207</v>
      </c>
      <c r="D4913" s="5" t="s">
        <v>55</v>
      </c>
      <c r="E4913" s="5" t="s">
        <v>240</v>
      </c>
      <c r="F4913" s="9">
        <v>26</v>
      </c>
      <c r="G4913" s="9">
        <v>268</v>
      </c>
      <c r="H4913" s="5" t="s">
        <v>21</v>
      </c>
      <c r="I4913" s="5" t="s">
        <v>11417</v>
      </c>
      <c r="J4913" s="12" t="str">
        <f>HYPERLINK("https://www.boe.es/gazeta/dias/1800/04/01/pdfs/GMD-1800-26.pdf#page=8","Abrir facsímil")</f>
        <v>Abrir facsímil</v>
      </c>
      <c r="K4913" s="15" t="s">
        <v>23</v>
      </c>
    </row>
    <row r="4914" spans="1:11" ht="42" customHeight="1">
      <c r="A4914" s="4" t="s">
        <v>11418</v>
      </c>
      <c r="B4914" s="5" t="s">
        <v>11419</v>
      </c>
      <c r="C4914" s="5" t="s">
        <v>18</v>
      </c>
      <c r="D4914" s="5" t="s">
        <v>19</v>
      </c>
      <c r="E4914" s="5" t="s">
        <v>90</v>
      </c>
      <c r="F4914" s="9">
        <v>58</v>
      </c>
      <c r="G4914" s="9">
        <v>662</v>
      </c>
      <c r="H4914" s="5" t="s">
        <v>21</v>
      </c>
      <c r="I4914" s="5" t="s">
        <v>11420</v>
      </c>
      <c r="J4914" s="12" t="str">
        <f>HYPERLINK("https://www.boe.es/gazeta/dias/1800/07/22/pdfs/GMD-1800-58.pdf#page=10","Abrir facsímil")</f>
        <v>Abrir facsímil</v>
      </c>
      <c r="K4914" s="15" t="s">
        <v>23</v>
      </c>
    </row>
    <row r="4915" spans="1:11" ht="42" customHeight="1">
      <c r="A4915" s="4" t="s">
        <v>11421</v>
      </c>
      <c r="B4915" s="5" t="s">
        <v>11422</v>
      </c>
      <c r="C4915" s="5" t="s">
        <v>25</v>
      </c>
      <c r="D4915" s="5" t="s">
        <v>26</v>
      </c>
      <c r="E4915" s="5" t="s">
        <v>1213</v>
      </c>
      <c r="F4915" s="9">
        <v>4</v>
      </c>
      <c r="G4915" s="9">
        <v>36</v>
      </c>
      <c r="H4915" s="5" t="s">
        <v>21</v>
      </c>
      <c r="I4915" s="5" t="s">
        <v>11423</v>
      </c>
      <c r="J4915" s="12" t="str">
        <f>HYPERLINK("https://www.boe.es/gazeta/dias/1800/01/14/pdfs/GMD-1800-4.pdf#page=8","Abrir facsímil")</f>
        <v>Abrir facsímil</v>
      </c>
      <c r="K4915" s="15" t="s">
        <v>23</v>
      </c>
    </row>
    <row r="4916" spans="1:11" ht="42" customHeight="1">
      <c r="A4916" s="4" t="s">
        <v>11424</v>
      </c>
      <c r="B4916" s="5" t="s">
        <v>11425</v>
      </c>
      <c r="C4916" s="5" t="s">
        <v>18</v>
      </c>
      <c r="D4916" s="5" t="s">
        <v>19</v>
      </c>
      <c r="E4916" s="5" t="s">
        <v>240</v>
      </c>
      <c r="F4916" s="9">
        <v>26</v>
      </c>
      <c r="G4916" s="9">
        <v>269</v>
      </c>
      <c r="H4916" s="5" t="s">
        <v>21</v>
      </c>
      <c r="I4916" s="5" t="s">
        <v>11426</v>
      </c>
      <c r="J4916" s="12" t="str">
        <f>HYPERLINK("https://www.boe.es/gazeta/dias/1800/04/01/pdfs/GMD-1800-26.pdf#page=9","Abrir facsímil")</f>
        <v>Abrir facsímil</v>
      </c>
      <c r="K4916" s="15" t="s">
        <v>23</v>
      </c>
    </row>
    <row r="4917" spans="1:11" ht="42" customHeight="1">
      <c r="A4917" s="4" t="s">
        <v>11427</v>
      </c>
      <c r="B4917" s="5" t="s">
        <v>11428</v>
      </c>
      <c r="C4917" s="5" t="s">
        <v>18</v>
      </c>
      <c r="D4917" s="5" t="s">
        <v>19</v>
      </c>
      <c r="E4917" s="5" t="s">
        <v>244</v>
      </c>
      <c r="F4917" s="9">
        <v>9</v>
      </c>
      <c r="G4917" s="9">
        <v>85</v>
      </c>
      <c r="H4917" s="5" t="s">
        <v>21</v>
      </c>
      <c r="I4917" s="5" t="s">
        <v>11429</v>
      </c>
      <c r="J4917" s="12" t="str">
        <f>HYPERLINK("https://www.boe.es/gazeta/dias/1800/01/31/pdfs/GMD-1800-9.pdf#page=9","Abrir facsímil")</f>
        <v>Abrir facsímil</v>
      </c>
      <c r="K4917" s="15" t="s">
        <v>23</v>
      </c>
    </row>
    <row r="4918" spans="1:11" ht="42" customHeight="1">
      <c r="A4918" s="4" t="s">
        <v>11430</v>
      </c>
      <c r="B4918" s="5" t="s">
        <v>11431</v>
      </c>
      <c r="C4918" s="5" t="s">
        <v>25</v>
      </c>
      <c r="D4918" s="5" t="s">
        <v>26</v>
      </c>
      <c r="E4918" s="5" t="s">
        <v>105</v>
      </c>
      <c r="F4918" s="9">
        <v>28</v>
      </c>
      <c r="G4918" s="9">
        <v>292</v>
      </c>
      <c r="H4918" s="5" t="s">
        <v>21</v>
      </c>
      <c r="I4918" s="5" t="s">
        <v>11432</v>
      </c>
      <c r="J4918" s="12" t="str">
        <f>HYPERLINK("https://www.boe.es/gazeta/dias/1800/04/08/pdfs/GMD-1800-28.pdf#page=8","Abrir facsímil")</f>
        <v>Abrir facsímil</v>
      </c>
      <c r="K4918" s="15" t="s">
        <v>23</v>
      </c>
    </row>
    <row r="4919" spans="1:11" ht="42" customHeight="1">
      <c r="A4919" s="4" t="s">
        <v>11433</v>
      </c>
      <c r="B4919" s="5" t="s">
        <v>11434</v>
      </c>
      <c r="C4919" s="5" t="s">
        <v>18</v>
      </c>
      <c r="D4919" s="5" t="s">
        <v>19</v>
      </c>
      <c r="E4919" s="5" t="s">
        <v>135</v>
      </c>
      <c r="F4919" s="9">
        <v>73</v>
      </c>
      <c r="G4919" s="9">
        <v>816</v>
      </c>
      <c r="H4919" s="5" t="s">
        <v>21</v>
      </c>
      <c r="I4919" s="5" t="s">
        <v>11435</v>
      </c>
      <c r="J4919" s="12" t="str">
        <f>HYPERLINK("https://www.boe.es/gazeta/dias/1800/09/09/pdfs/GMD-1800-73.pdf#page=10","Abrir facsímil")</f>
        <v>Abrir facsímil</v>
      </c>
      <c r="K4919" s="15" t="s">
        <v>23</v>
      </c>
    </row>
    <row r="4920" spans="1:11" ht="42" customHeight="1">
      <c r="A4920" s="4" t="s">
        <v>11433</v>
      </c>
      <c r="B4920" s="5" t="s">
        <v>11434</v>
      </c>
      <c r="C4920" s="5" t="s">
        <v>18</v>
      </c>
      <c r="D4920" s="5" t="s">
        <v>19</v>
      </c>
      <c r="E4920" s="5" t="s">
        <v>314</v>
      </c>
      <c r="F4920" s="9">
        <v>74</v>
      </c>
      <c r="G4920" s="9">
        <v>831</v>
      </c>
      <c r="H4920" s="5" t="s">
        <v>21</v>
      </c>
      <c r="I4920" s="5" t="s">
        <v>11436</v>
      </c>
      <c r="J4920" s="12" t="str">
        <f>HYPERLINK("https://www.boe.es/gazeta/dias/1800/09/12/pdfs/GMD-1800-74.pdf#page=9","Abrir facsímil")</f>
        <v>Abrir facsímil</v>
      </c>
      <c r="K4920" s="15" t="s">
        <v>23</v>
      </c>
    </row>
    <row r="4921" spans="1:11" ht="42" customHeight="1">
      <c r="A4921" s="4" t="s">
        <v>11437</v>
      </c>
      <c r="B4921" s="5" t="s">
        <v>11438</v>
      </c>
      <c r="C4921" s="5" t="s">
        <v>207</v>
      </c>
      <c r="D4921" s="5" t="s">
        <v>55</v>
      </c>
      <c r="E4921" s="5" t="s">
        <v>52</v>
      </c>
      <c r="F4921" s="9">
        <v>83</v>
      </c>
      <c r="G4921" s="9">
        <v>963</v>
      </c>
      <c r="H4921" s="5" t="s">
        <v>21</v>
      </c>
      <c r="I4921" s="5" t="s">
        <v>11439</v>
      </c>
      <c r="J4921" s="12" t="str">
        <f>HYPERLINK("https://www.boe.es/gazeta/dias/1800/10/14/pdfs/GMD-1800-83.pdf#page=9","Abrir facsímil")</f>
        <v>Abrir facsímil</v>
      </c>
      <c r="K4921" s="15" t="s">
        <v>23</v>
      </c>
    </row>
    <row r="4922" spans="1:11" ht="42" customHeight="1">
      <c r="A4922" s="4" t="s">
        <v>11440</v>
      </c>
      <c r="B4922" s="5" t="s">
        <v>11441</v>
      </c>
      <c r="C4922" s="5" t="s">
        <v>18</v>
      </c>
      <c r="D4922" s="5" t="s">
        <v>19</v>
      </c>
      <c r="E4922" s="5" t="s">
        <v>43</v>
      </c>
      <c r="F4922" s="9">
        <v>46</v>
      </c>
      <c r="G4922" s="9">
        <v>487</v>
      </c>
      <c r="H4922" s="5" t="s">
        <v>21</v>
      </c>
      <c r="I4922" s="5" t="s">
        <v>11442</v>
      </c>
      <c r="J4922" s="12" t="str">
        <f>HYPERLINK("https://www.boe.es/gazeta/dias/1800/06/10/pdfs/GMD-1800-46.pdf#page=11","Abrir facsímil")</f>
        <v>Abrir facsímil</v>
      </c>
      <c r="K4922" s="15" t="s">
        <v>23</v>
      </c>
    </row>
    <row r="4923" spans="1:11" ht="42" customHeight="1">
      <c r="A4923" s="4" t="s">
        <v>11443</v>
      </c>
      <c r="B4923" s="5" t="s">
        <v>11444</v>
      </c>
      <c r="C4923" s="5" t="s">
        <v>25</v>
      </c>
      <c r="D4923" s="5" t="s">
        <v>26</v>
      </c>
      <c r="E4923" s="5" t="s">
        <v>356</v>
      </c>
      <c r="F4923" s="9">
        <v>31</v>
      </c>
      <c r="G4923" s="9">
        <v>314</v>
      </c>
      <c r="H4923" s="5" t="s">
        <v>21</v>
      </c>
      <c r="I4923" s="5" t="s">
        <v>11445</v>
      </c>
      <c r="J4923" s="12" t="str">
        <f>HYPERLINK("https://www.boe.es/gazeta/dias/1800/04/18/pdfs/GMD-1800-31.pdf#page=6","Abrir facsímil")</f>
        <v>Abrir facsímil</v>
      </c>
      <c r="K4923" s="15" t="s">
        <v>23</v>
      </c>
    </row>
    <row r="4924" spans="1:11" ht="42" customHeight="1">
      <c r="A4924" s="4" t="s">
        <v>11446</v>
      </c>
      <c r="B4924" s="5" t="s">
        <v>11447</v>
      </c>
      <c r="C4924" s="5" t="s">
        <v>18</v>
      </c>
      <c r="D4924" s="5" t="s">
        <v>19</v>
      </c>
      <c r="E4924" s="5" t="s">
        <v>116</v>
      </c>
      <c r="F4924" s="9">
        <v>86</v>
      </c>
      <c r="G4924" s="9">
        <v>996</v>
      </c>
      <c r="H4924" s="5" t="s">
        <v>21</v>
      </c>
      <c r="I4924" s="5" t="s">
        <v>11448</v>
      </c>
      <c r="J4924" s="12" t="str">
        <f>HYPERLINK("https://www.boe.es/gazeta/dias/1800/10/24/pdfs/GMD-1800-86.pdf#page=6","Abrir facsímil")</f>
        <v>Abrir facsímil</v>
      </c>
      <c r="K4924" s="15" t="s">
        <v>23</v>
      </c>
    </row>
    <row r="4925" spans="1:11" ht="42" customHeight="1">
      <c r="A4925" s="4" t="s">
        <v>11443</v>
      </c>
      <c r="B4925" s="5" t="s">
        <v>11444</v>
      </c>
      <c r="C4925" s="5" t="s">
        <v>54</v>
      </c>
      <c r="D4925" s="5" t="s">
        <v>55</v>
      </c>
      <c r="E4925" s="5" t="s">
        <v>60</v>
      </c>
      <c r="F4925" s="9">
        <v>105</v>
      </c>
      <c r="G4925" s="9">
        <v>1226</v>
      </c>
      <c r="H4925" s="5" t="s">
        <v>21</v>
      </c>
      <c r="I4925" s="5" t="s">
        <v>11449</v>
      </c>
      <c r="J4925" s="12" t="str">
        <f>HYPERLINK("https://www.boe.es/gazeta/dias/1800/12/30/pdfs/GMD-1800-105.pdf#page=10","Abrir facsímil")</f>
        <v>Abrir facsímil</v>
      </c>
      <c r="K4925" s="15" t="s">
        <v>23</v>
      </c>
    </row>
    <row r="4926" spans="1:11" ht="42" customHeight="1">
      <c r="A4926" s="4" t="s">
        <v>11450</v>
      </c>
      <c r="B4926" s="5" t="s">
        <v>11451</v>
      </c>
      <c r="C4926" s="5" t="s">
        <v>207</v>
      </c>
      <c r="D4926" s="5" t="s">
        <v>55</v>
      </c>
      <c r="E4926" s="5" t="s">
        <v>299</v>
      </c>
      <c r="F4926" s="9">
        <v>40</v>
      </c>
      <c r="G4926" s="9">
        <v>412</v>
      </c>
      <c r="H4926" s="5" t="s">
        <v>21</v>
      </c>
      <c r="I4926" s="5" t="s">
        <v>11452</v>
      </c>
      <c r="J4926" s="12" t="str">
        <f>HYPERLINK("https://www.boe.es/gazeta/dias/1800/05/20/pdfs/GMD-1800-40.pdf#page=8","Abrir facsímil")</f>
        <v>Abrir facsímil</v>
      </c>
      <c r="K4926" s="15" t="s">
        <v>23</v>
      </c>
    </row>
    <row r="4927" spans="1:11" ht="42" customHeight="1">
      <c r="A4927" s="4" t="s">
        <v>11450</v>
      </c>
      <c r="B4927" s="5" t="s">
        <v>11451</v>
      </c>
      <c r="C4927" s="5" t="s">
        <v>18</v>
      </c>
      <c r="D4927" s="5" t="s">
        <v>19</v>
      </c>
      <c r="E4927" s="5" t="s">
        <v>50</v>
      </c>
      <c r="F4927" s="9">
        <v>81</v>
      </c>
      <c r="G4927" s="9">
        <v>918</v>
      </c>
      <c r="H4927" s="5" t="s">
        <v>21</v>
      </c>
      <c r="I4927" s="5" t="s">
        <v>11453</v>
      </c>
      <c r="J4927" s="12" t="str">
        <f>HYPERLINK("https://www.boe.es/gazeta/dias/1800/10/07/pdfs/GMD-1800-81.pdf#page=8","Abrir facsímil")</f>
        <v>Abrir facsímil</v>
      </c>
      <c r="K4927" s="15" t="s">
        <v>23</v>
      </c>
    </row>
    <row r="4928" spans="1:11" ht="42" customHeight="1">
      <c r="A4928" s="4" t="s">
        <v>11454</v>
      </c>
      <c r="B4928" s="5" t="s">
        <v>11455</v>
      </c>
      <c r="C4928" s="5" t="s">
        <v>207</v>
      </c>
      <c r="D4928" s="5" t="s">
        <v>55</v>
      </c>
      <c r="E4928" s="5" t="s">
        <v>420</v>
      </c>
      <c r="F4928" s="9">
        <v>38</v>
      </c>
      <c r="G4928" s="9">
        <v>391</v>
      </c>
      <c r="H4928" s="5" t="s">
        <v>21</v>
      </c>
      <c r="I4928" s="5" t="s">
        <v>11456</v>
      </c>
      <c r="J4928" s="12" t="str">
        <f>HYPERLINK("https://www.boe.es/gazeta/dias/1800/05/13/pdfs/GMD-1800-38.pdf#page=11","Abrir facsímil")</f>
        <v>Abrir facsímil</v>
      </c>
      <c r="K4928" s="15" t="s">
        <v>23</v>
      </c>
    </row>
    <row r="4929" spans="1:11" ht="42" customHeight="1">
      <c r="A4929" s="4" t="s">
        <v>11457</v>
      </c>
      <c r="B4929" s="5" t="s">
        <v>11458</v>
      </c>
      <c r="C4929" s="5" t="s">
        <v>54</v>
      </c>
      <c r="D4929" s="5" t="s">
        <v>55</v>
      </c>
      <c r="E4929" s="5" t="s">
        <v>445</v>
      </c>
      <c r="F4929" s="9">
        <v>96</v>
      </c>
      <c r="G4929" s="9">
        <v>1106</v>
      </c>
      <c r="H4929" s="5" t="s">
        <v>21</v>
      </c>
      <c r="I4929" s="5" t="s">
        <v>11459</v>
      </c>
      <c r="J4929" s="12" t="str">
        <f>HYPERLINK("https://www.boe.es/gazeta/dias/1800/11/28/pdfs/GMD-1800-96.pdf#page=10","Abrir facsímil")</f>
        <v>Abrir facsímil</v>
      </c>
      <c r="K4929" s="15" t="s">
        <v>23</v>
      </c>
    </row>
    <row r="4930" spans="1:11" ht="42" customHeight="1">
      <c r="A4930" s="4" t="s">
        <v>11460</v>
      </c>
      <c r="B4930" s="5" t="s">
        <v>11461</v>
      </c>
      <c r="C4930" s="5" t="s">
        <v>18</v>
      </c>
      <c r="D4930" s="5" t="s">
        <v>19</v>
      </c>
      <c r="E4930" s="5" t="s">
        <v>111</v>
      </c>
      <c r="F4930" s="9">
        <v>98</v>
      </c>
      <c r="G4930" s="9">
        <v>1129</v>
      </c>
      <c r="H4930" s="5" t="s">
        <v>21</v>
      </c>
      <c r="I4930" s="5" t="s">
        <v>11462</v>
      </c>
      <c r="J4930" s="12" t="str">
        <f>HYPERLINK("https://www.boe.es/gazeta/dias/1800/12/05/pdfs/GMD-1800-98.pdf#page=9","Abrir facsímil")</f>
        <v>Abrir facsímil</v>
      </c>
      <c r="K4930" s="15" t="s">
        <v>23</v>
      </c>
    </row>
    <row r="4931" spans="1:11" ht="42" customHeight="1">
      <c r="A4931" s="4" t="s">
        <v>11463</v>
      </c>
      <c r="B4931" s="5" t="s">
        <v>11464</v>
      </c>
      <c r="C4931" s="5" t="s">
        <v>18</v>
      </c>
      <c r="D4931" s="5" t="s">
        <v>19</v>
      </c>
      <c r="E4931" s="5" t="s">
        <v>314</v>
      </c>
      <c r="F4931" s="9">
        <v>74</v>
      </c>
      <c r="G4931" s="9">
        <v>832</v>
      </c>
      <c r="H4931" s="5" t="s">
        <v>21</v>
      </c>
      <c r="I4931" s="5" t="s">
        <v>11465</v>
      </c>
      <c r="J4931" s="12" t="str">
        <f>HYPERLINK("https://www.boe.es/gazeta/dias/1800/09/12/pdfs/GMD-1800-74.pdf#page=10","Abrir facsímil")</f>
        <v>Abrir facsímil</v>
      </c>
      <c r="K4931" s="15" t="s">
        <v>23</v>
      </c>
    </row>
    <row r="4932" spans="1:11" ht="42" customHeight="1">
      <c r="A4932" s="4" t="s">
        <v>11463</v>
      </c>
      <c r="B4932" s="5" t="s">
        <v>11464</v>
      </c>
      <c r="C4932" s="5" t="s">
        <v>25</v>
      </c>
      <c r="D4932" s="5" t="s">
        <v>26</v>
      </c>
      <c r="E4932" s="5" t="s">
        <v>180</v>
      </c>
      <c r="F4932" s="9">
        <v>102</v>
      </c>
      <c r="G4932" s="9">
        <v>1186</v>
      </c>
      <c r="H4932" s="5" t="s">
        <v>21</v>
      </c>
      <c r="I4932" s="5" t="s">
        <v>11466</v>
      </c>
      <c r="J4932" s="12" t="str">
        <f>HYPERLINK("https://www.boe.es/gazeta/dias/1800/12/19/pdfs/GMD-1800-102.pdf#page=10","Abrir facsímil")</f>
        <v>Abrir facsímil</v>
      </c>
      <c r="K4932" s="15" t="s">
        <v>23</v>
      </c>
    </row>
    <row r="4933" spans="1:11" ht="42" customHeight="1">
      <c r="A4933" s="4" t="s">
        <v>11467</v>
      </c>
      <c r="B4933" s="5" t="s">
        <v>11468</v>
      </c>
      <c r="C4933" s="5" t="s">
        <v>25</v>
      </c>
      <c r="D4933" s="5" t="s">
        <v>26</v>
      </c>
      <c r="E4933" s="5" t="s">
        <v>248</v>
      </c>
      <c r="F4933" s="9">
        <v>33</v>
      </c>
      <c r="G4933" s="9">
        <v>333</v>
      </c>
      <c r="H4933" s="5" t="s">
        <v>21</v>
      </c>
      <c r="I4933" s="5" t="s">
        <v>11469</v>
      </c>
      <c r="J4933" s="12" t="str">
        <f>HYPERLINK("https://www.boe.es/gazeta/dias/1800/04/25/pdfs/GMD-1800-33.pdf#page=9","Abrir facsímil")</f>
        <v>Abrir facsímil</v>
      </c>
      <c r="K4933" s="15" t="s">
        <v>23</v>
      </c>
    </row>
    <row r="4934" spans="1:11" ht="42" customHeight="1">
      <c r="A4934" s="4" t="s">
        <v>11467</v>
      </c>
      <c r="B4934" s="5" t="s">
        <v>11468</v>
      </c>
      <c r="C4934" s="5" t="s">
        <v>18</v>
      </c>
      <c r="D4934" s="5" t="s">
        <v>19</v>
      </c>
      <c r="E4934" s="5" t="s">
        <v>68</v>
      </c>
      <c r="F4934" s="9">
        <v>67</v>
      </c>
      <c r="G4934" s="9">
        <v>755</v>
      </c>
      <c r="H4934" s="5" t="s">
        <v>21</v>
      </c>
      <c r="I4934" s="5" t="s">
        <v>11470</v>
      </c>
      <c r="J4934" s="12" t="str">
        <f>HYPERLINK("https://www.boe.es/gazeta/dias/1800/08/22/pdfs/GMD-1800-67.pdf#page=7","Abrir facsímil")</f>
        <v>Abrir facsímil</v>
      </c>
      <c r="K4934" s="15" t="s">
        <v>23</v>
      </c>
    </row>
    <row r="4935" spans="1:11" ht="42" customHeight="1">
      <c r="A4935" s="4" t="s">
        <v>11471</v>
      </c>
      <c r="B4935" s="5" t="s">
        <v>11472</v>
      </c>
      <c r="C4935" s="5" t="s">
        <v>25</v>
      </c>
      <c r="D4935" s="5" t="s">
        <v>26</v>
      </c>
      <c r="E4935" s="5" t="s">
        <v>620</v>
      </c>
      <c r="F4935" s="9">
        <v>19</v>
      </c>
      <c r="G4935" s="9">
        <v>182</v>
      </c>
      <c r="H4935" s="5" t="s">
        <v>21</v>
      </c>
      <c r="I4935" s="5" t="s">
        <v>11473</v>
      </c>
      <c r="J4935" s="12" t="str">
        <f>HYPERLINK("https://www.boe.es/gazeta/dias/1800/03/07/pdfs/GMD-1800-19.pdf#page=6","Abrir facsímil")</f>
        <v>Abrir facsímil</v>
      </c>
      <c r="K4935" s="15" t="s">
        <v>23</v>
      </c>
    </row>
    <row r="4936" spans="1:11" ht="42" customHeight="1">
      <c r="A4936" s="4" t="s">
        <v>11471</v>
      </c>
      <c r="B4936" s="5" t="s">
        <v>11472</v>
      </c>
      <c r="C4936" s="5" t="s">
        <v>18</v>
      </c>
      <c r="D4936" s="5" t="s">
        <v>19</v>
      </c>
      <c r="E4936" s="5" t="s">
        <v>1287</v>
      </c>
      <c r="F4936" s="9">
        <v>57</v>
      </c>
      <c r="G4936" s="9">
        <v>648</v>
      </c>
      <c r="H4936" s="5" t="s">
        <v>21</v>
      </c>
      <c r="I4936" s="5" t="s">
        <v>11474</v>
      </c>
      <c r="J4936" s="12" t="str">
        <f>HYPERLINK("https://www.boe.es/gazeta/dias/1800/07/18/pdfs/GMD-1800-57.pdf#page=12","Abrir facsímil")</f>
        <v>Abrir facsímil</v>
      </c>
      <c r="K4936" s="15" t="s">
        <v>23</v>
      </c>
    </row>
    <row r="4937" spans="1:11" ht="42" customHeight="1">
      <c r="A4937" s="4" t="s">
        <v>11471</v>
      </c>
      <c r="B4937" s="5" t="s">
        <v>11472</v>
      </c>
      <c r="C4937" s="5" t="s">
        <v>18</v>
      </c>
      <c r="D4937" s="5" t="s">
        <v>19</v>
      </c>
      <c r="E4937" s="5" t="s">
        <v>319</v>
      </c>
      <c r="F4937" s="9">
        <v>62</v>
      </c>
      <c r="G4937" s="9">
        <v>709</v>
      </c>
      <c r="H4937" s="5" t="s">
        <v>21</v>
      </c>
      <c r="I4937" s="5" t="s">
        <v>11475</v>
      </c>
      <c r="J4937" s="12" t="str">
        <f>HYPERLINK("https://www.boe.es/gazeta/dias/1800/08/05/pdfs/GMD-1800-62.pdf#page=9","Abrir facsímil")</f>
        <v>Abrir facsímil</v>
      </c>
      <c r="K4937" s="15" t="s">
        <v>23</v>
      </c>
    </row>
    <row r="4938" spans="1:11" ht="42" customHeight="1">
      <c r="A4938" s="4" t="s">
        <v>11471</v>
      </c>
      <c r="B4938" s="5" t="s">
        <v>11472</v>
      </c>
      <c r="C4938" s="5" t="s">
        <v>18</v>
      </c>
      <c r="D4938" s="5" t="s">
        <v>19</v>
      </c>
      <c r="E4938" s="5" t="s">
        <v>454</v>
      </c>
      <c r="F4938" s="9">
        <v>63</v>
      </c>
      <c r="G4938" s="9">
        <v>720</v>
      </c>
      <c r="H4938" s="5" t="s">
        <v>21</v>
      </c>
      <c r="I4938" s="5" t="s">
        <v>11476</v>
      </c>
      <c r="J4938" s="12" t="str">
        <f>HYPERLINK("https://www.boe.es/gazeta/dias/1800/08/08/pdfs/GMD-1800-63.pdf#page=8","Abrir facsímil")</f>
        <v>Abrir facsímil</v>
      </c>
      <c r="K4938" s="15" t="s">
        <v>23</v>
      </c>
    </row>
    <row r="4939" spans="1:11" ht="42" customHeight="1">
      <c r="A4939" s="4" t="s">
        <v>11477</v>
      </c>
      <c r="B4939" s="5" t="s">
        <v>11478</v>
      </c>
      <c r="C4939" s="5" t="s">
        <v>18</v>
      </c>
      <c r="D4939" s="5" t="s">
        <v>19</v>
      </c>
      <c r="E4939" s="5" t="s">
        <v>111</v>
      </c>
      <c r="F4939" s="9">
        <v>98</v>
      </c>
      <c r="G4939" s="9">
        <v>1129</v>
      </c>
      <c r="H4939" s="5" t="s">
        <v>21</v>
      </c>
      <c r="I4939" s="5" t="s">
        <v>11479</v>
      </c>
      <c r="J4939" s="12" t="str">
        <f>HYPERLINK("https://www.boe.es/gazeta/dias/1800/12/05/pdfs/GMD-1800-98.pdf#page=9","Abrir facsímil")</f>
        <v>Abrir facsímil</v>
      </c>
      <c r="K4939" s="15" t="s">
        <v>23</v>
      </c>
    </row>
    <row r="4940" spans="1:11" ht="42" customHeight="1">
      <c r="A4940" s="4" t="s">
        <v>11480</v>
      </c>
      <c r="B4940" s="5" t="s">
        <v>11481</v>
      </c>
      <c r="C4940" s="5" t="s">
        <v>114</v>
      </c>
      <c r="D4940" s="5" t="s">
        <v>115</v>
      </c>
      <c r="E4940" s="5" t="s">
        <v>116</v>
      </c>
      <c r="F4940" s="9">
        <v>86</v>
      </c>
      <c r="G4940" s="9" t="s">
        <v>725</v>
      </c>
      <c r="H4940" s="5" t="s">
        <v>21</v>
      </c>
      <c r="I4940" s="5" t="s">
        <v>11482</v>
      </c>
      <c r="J4940" s="12" t="str">
        <f>HYPERLINK("https://www.boe.es/gazeta/dias/1800/10/24/pdfs/GMD-D-1800-86.pdf#page=1","Abrir facsímil")</f>
        <v>Abrir facsímil</v>
      </c>
      <c r="K4940" s="15" t="s">
        <v>23</v>
      </c>
    </row>
    <row r="4941" spans="1:11" ht="42" customHeight="1">
      <c r="A4941" s="4" t="s">
        <v>11483</v>
      </c>
      <c r="B4941" s="5" t="s">
        <v>11484</v>
      </c>
      <c r="C4941" s="5" t="s">
        <v>114</v>
      </c>
      <c r="D4941" s="5" t="s">
        <v>115</v>
      </c>
      <c r="E4941" s="5" t="s">
        <v>116</v>
      </c>
      <c r="F4941" s="9">
        <v>86</v>
      </c>
      <c r="G4941" s="9" t="s">
        <v>991</v>
      </c>
      <c r="H4941" s="5" t="s">
        <v>21</v>
      </c>
      <c r="I4941" s="5" t="s">
        <v>11485</v>
      </c>
      <c r="J4941" s="12" t="str">
        <f>HYPERLINK("https://www.boe.es/gazeta/dias/1800/10/24/pdfs/GMD-D-1800-86.pdf#page=4","Abrir facsímil")</f>
        <v>Abrir facsímil</v>
      </c>
      <c r="K4941" s="15" t="s">
        <v>23</v>
      </c>
    </row>
    <row r="4942" spans="1:11" ht="42" customHeight="1">
      <c r="A4942" s="4" t="s">
        <v>11486</v>
      </c>
      <c r="B4942" s="5" t="s">
        <v>11487</v>
      </c>
      <c r="C4942" s="5" t="s">
        <v>41</v>
      </c>
      <c r="D4942" s="5" t="s">
        <v>42</v>
      </c>
      <c r="E4942" s="5" t="s">
        <v>139</v>
      </c>
      <c r="F4942" s="9">
        <v>2</v>
      </c>
      <c r="G4942" s="9">
        <v>15</v>
      </c>
      <c r="H4942" s="5" t="s">
        <v>21</v>
      </c>
      <c r="I4942" s="5" t="s">
        <v>11488</v>
      </c>
      <c r="J4942" s="12" t="str">
        <f>HYPERLINK("https://www.boe.es/gazeta/dias/1800/01/07/pdfs/GMD-1800-2.pdf#page=7","Abrir facsímil")</f>
        <v>Abrir facsímil</v>
      </c>
      <c r="K4942" s="15" t="s">
        <v>23</v>
      </c>
    </row>
    <row r="4943" spans="1:11" ht="42" customHeight="1">
      <c r="A4943" s="4" t="s">
        <v>11486</v>
      </c>
      <c r="B4943" s="5" t="s">
        <v>11487</v>
      </c>
      <c r="C4943" s="5" t="s">
        <v>41</v>
      </c>
      <c r="D4943" s="5" t="s">
        <v>42</v>
      </c>
      <c r="E4943" s="5" t="s">
        <v>124</v>
      </c>
      <c r="F4943" s="9">
        <v>16</v>
      </c>
      <c r="G4943" s="9">
        <v>150</v>
      </c>
      <c r="H4943" s="5" t="s">
        <v>21</v>
      </c>
      <c r="I4943" s="5" t="s">
        <v>11489</v>
      </c>
      <c r="J4943" s="12" t="str">
        <f>HYPERLINK("https://www.boe.es/gazeta/dias/1800/02/25/pdfs/GMD-1800-16.pdf#page=6","Abrir facsímil")</f>
        <v>Abrir facsímil</v>
      </c>
      <c r="K4943" s="15" t="s">
        <v>23</v>
      </c>
    </row>
    <row r="4944" spans="1:11" ht="42" customHeight="1">
      <c r="A4944" s="4" t="s">
        <v>11490</v>
      </c>
      <c r="B4944" s="5" t="s">
        <v>11491</v>
      </c>
      <c r="C4944" s="5" t="s">
        <v>18</v>
      </c>
      <c r="D4944" s="5" t="s">
        <v>19</v>
      </c>
      <c r="E4944" s="5" t="s">
        <v>1231</v>
      </c>
      <c r="F4944" s="9">
        <v>36</v>
      </c>
      <c r="G4944" s="9">
        <v>366</v>
      </c>
      <c r="H4944" s="5" t="s">
        <v>21</v>
      </c>
      <c r="I4944" s="5" t="s">
        <v>11492</v>
      </c>
      <c r="J4944" s="12" t="str">
        <f>HYPERLINK("https://www.boe.es/gazeta/dias/1800/05/06/pdfs/GMD-1800-36.pdf#page=10","Abrir facsímil")</f>
        <v>Abrir facsímil</v>
      </c>
      <c r="K4944" s="15" t="s">
        <v>23</v>
      </c>
    </row>
    <row r="4945" spans="1:11" ht="42" customHeight="1">
      <c r="A4945" s="4" t="s">
        <v>11490</v>
      </c>
      <c r="B4945" s="5" t="s">
        <v>11491</v>
      </c>
      <c r="C4945" s="5" t="s">
        <v>207</v>
      </c>
      <c r="D4945" s="5" t="s">
        <v>55</v>
      </c>
      <c r="E4945" s="5" t="s">
        <v>2338</v>
      </c>
      <c r="F4945" s="9">
        <v>42</v>
      </c>
      <c r="G4945" s="9">
        <v>435</v>
      </c>
      <c r="H4945" s="5" t="s">
        <v>21</v>
      </c>
      <c r="I4945" s="5" t="s">
        <v>11493</v>
      </c>
      <c r="J4945" s="12" t="str">
        <f>HYPERLINK("https://www.boe.es/gazeta/dias/1800/05/27/pdfs/GMD-1800-42.pdf#page=7","Abrir facsímil")</f>
        <v>Abrir facsímil</v>
      </c>
      <c r="K4945" s="15" t="s">
        <v>23</v>
      </c>
    </row>
    <row r="4946" spans="1:11" ht="42" customHeight="1">
      <c r="A4946" s="4" t="s">
        <v>11490</v>
      </c>
      <c r="B4946" s="5" t="s">
        <v>11491</v>
      </c>
      <c r="C4946" s="5" t="s">
        <v>25</v>
      </c>
      <c r="D4946" s="5" t="s">
        <v>26</v>
      </c>
      <c r="E4946" s="5" t="s">
        <v>590</v>
      </c>
      <c r="F4946" s="9">
        <v>69</v>
      </c>
      <c r="G4946" s="9">
        <v>775</v>
      </c>
      <c r="H4946" s="5" t="s">
        <v>21</v>
      </c>
      <c r="I4946" s="5" t="s">
        <v>11494</v>
      </c>
      <c r="J4946" s="12" t="str">
        <f>HYPERLINK("https://www.boe.es/gazeta/dias/1800/08/29/pdfs/GMD-1800-69.pdf#page=7","Abrir facsímil")</f>
        <v>Abrir facsímil</v>
      </c>
      <c r="K4946" s="15" t="s">
        <v>23</v>
      </c>
    </row>
    <row r="4947" spans="1:11" ht="42" customHeight="1">
      <c r="A4947" s="4" t="s">
        <v>11490</v>
      </c>
      <c r="B4947" s="5" t="s">
        <v>11491</v>
      </c>
      <c r="C4947" s="5" t="s">
        <v>25</v>
      </c>
      <c r="D4947" s="5" t="s">
        <v>26</v>
      </c>
      <c r="E4947" s="5" t="s">
        <v>116</v>
      </c>
      <c r="F4947" s="9">
        <v>86</v>
      </c>
      <c r="G4947" s="9">
        <v>998</v>
      </c>
      <c r="H4947" s="5" t="s">
        <v>21</v>
      </c>
      <c r="I4947" s="5" t="s">
        <v>11495</v>
      </c>
      <c r="J4947" s="12" t="str">
        <f>HYPERLINK("https://www.boe.es/gazeta/dias/1800/10/24/pdfs/GMD-1800-86.pdf#page=8","Abrir facsímil")</f>
        <v>Abrir facsímil</v>
      </c>
      <c r="K4947" s="15" t="s">
        <v>23</v>
      </c>
    </row>
    <row r="4948" spans="1:11" ht="42" customHeight="1">
      <c r="A4948" s="4" t="s">
        <v>11496</v>
      </c>
      <c r="B4948" s="5" t="s">
        <v>11497</v>
      </c>
      <c r="C4948" s="5" t="s">
        <v>54</v>
      </c>
      <c r="D4948" s="5" t="s">
        <v>55</v>
      </c>
      <c r="E4948" s="5" t="s">
        <v>43</v>
      </c>
      <c r="F4948" s="9">
        <v>46</v>
      </c>
      <c r="G4948" s="9">
        <v>490</v>
      </c>
      <c r="H4948" s="5" t="s">
        <v>21</v>
      </c>
      <c r="I4948" s="5" t="s">
        <v>11498</v>
      </c>
      <c r="J4948" s="12" t="str">
        <f>HYPERLINK("https://www.boe.es/gazeta/dias/1800/06/10/pdfs/GMD-1800-46.pdf#page=14","Abrir facsímil")</f>
        <v>Abrir facsímil</v>
      </c>
      <c r="K4948" s="15" t="s">
        <v>23</v>
      </c>
    </row>
    <row r="4949" spans="1:11" ht="42" customHeight="1">
      <c r="A4949" s="4" t="s">
        <v>11499</v>
      </c>
      <c r="B4949" s="5" t="s">
        <v>11500</v>
      </c>
      <c r="C4949" s="5" t="s">
        <v>18</v>
      </c>
      <c r="D4949" s="5" t="s">
        <v>19</v>
      </c>
      <c r="E4949" s="5" t="s">
        <v>184</v>
      </c>
      <c r="F4949" s="9">
        <v>82</v>
      </c>
      <c r="G4949" s="9">
        <v>951</v>
      </c>
      <c r="H4949" s="5" t="s">
        <v>21</v>
      </c>
      <c r="I4949" s="5" t="s">
        <v>11501</v>
      </c>
      <c r="J4949" s="12" t="str">
        <f>HYPERLINK("https://www.boe.es/gazeta/dias/1800/10/10/pdfs/GMD-1800-82.pdf#page=9","Abrir facsímil")</f>
        <v>Abrir facsímil</v>
      </c>
      <c r="K4949" s="15" t="s">
        <v>23</v>
      </c>
    </row>
    <row r="4950" spans="1:11" ht="42" customHeight="1">
      <c r="A4950" s="4" t="s">
        <v>11502</v>
      </c>
      <c r="B4950" s="5" t="s">
        <v>11503</v>
      </c>
      <c r="C4950" s="5" t="s">
        <v>54</v>
      </c>
      <c r="D4950" s="5" t="s">
        <v>55</v>
      </c>
      <c r="E4950" s="5" t="s">
        <v>572</v>
      </c>
      <c r="F4950" s="9">
        <v>76</v>
      </c>
      <c r="G4950" s="9">
        <v>867</v>
      </c>
      <c r="H4950" s="5" t="s">
        <v>21</v>
      </c>
      <c r="I4950" s="5" t="s">
        <v>11504</v>
      </c>
      <c r="J4950" s="12" t="str">
        <f>HYPERLINK("https://www.boe.es/gazeta/dias/1800/09/19/pdfs/GMD-1800-76.pdf#page=9","Abrir facsímil")</f>
        <v>Abrir facsímil</v>
      </c>
      <c r="K4950" s="15" t="s">
        <v>23</v>
      </c>
    </row>
    <row r="4951" spans="1:11" ht="42" customHeight="1">
      <c r="A4951" s="4" t="s">
        <v>11505</v>
      </c>
      <c r="B4951" s="5" t="s">
        <v>11505</v>
      </c>
      <c r="C4951" s="5" t="s">
        <v>41</v>
      </c>
      <c r="D4951" s="5" t="s">
        <v>42</v>
      </c>
      <c r="E4951" s="5" t="s">
        <v>2338</v>
      </c>
      <c r="F4951" s="9">
        <v>42</v>
      </c>
      <c r="G4951" s="9">
        <v>431</v>
      </c>
      <c r="H4951" s="5" t="s">
        <v>21</v>
      </c>
      <c r="I4951" s="5" t="s">
        <v>11506</v>
      </c>
      <c r="J4951" s="12" t="str">
        <f>HYPERLINK("https://www.boe.es/gazeta/dias/1800/05/27/pdfs/GMD-1800-42.pdf#page=3","Abrir facsímil")</f>
        <v>Abrir facsímil</v>
      </c>
      <c r="K4951" s="15" t="s">
        <v>23</v>
      </c>
    </row>
    <row r="4952" spans="1:11" ht="42" customHeight="1">
      <c r="A4952" s="4" t="s">
        <v>11507</v>
      </c>
      <c r="B4952" s="5" t="s">
        <v>11507</v>
      </c>
      <c r="C4952" s="5" t="s">
        <v>25</v>
      </c>
      <c r="D4952" s="5" t="s">
        <v>26</v>
      </c>
      <c r="E4952" s="5" t="s">
        <v>620</v>
      </c>
      <c r="F4952" s="9">
        <v>19</v>
      </c>
      <c r="G4952" s="9">
        <v>182</v>
      </c>
      <c r="H4952" s="5" t="s">
        <v>21</v>
      </c>
      <c r="I4952" s="5" t="s">
        <v>11508</v>
      </c>
      <c r="J4952" s="12" t="str">
        <f>HYPERLINK("https://www.boe.es/gazeta/dias/1800/03/07/pdfs/GMD-1800-19.pdf#page=6","Abrir facsímil")</f>
        <v>Abrir facsímil</v>
      </c>
      <c r="K4952" s="15" t="s">
        <v>23</v>
      </c>
    </row>
    <row r="4953" spans="1:11" ht="42" customHeight="1">
      <c r="A4953" s="4" t="s">
        <v>11509</v>
      </c>
      <c r="B4953" s="5" t="s">
        <v>11510</v>
      </c>
      <c r="C4953" s="5" t="s">
        <v>18</v>
      </c>
      <c r="D4953" s="5" t="s">
        <v>19</v>
      </c>
      <c r="E4953" s="5" t="s">
        <v>618</v>
      </c>
      <c r="F4953" s="9">
        <v>1</v>
      </c>
      <c r="G4953" s="9">
        <v>3</v>
      </c>
      <c r="H4953" s="5" t="s">
        <v>21</v>
      </c>
      <c r="I4953" s="5" t="s">
        <v>11511</v>
      </c>
      <c r="J4953" s="12" t="str">
        <f>HYPERLINK("https://www.boe.es/gazeta/dias/1800/01/03/pdfs/GMD-1800-1.pdf#page=3","Abrir facsímil")</f>
        <v>Abrir facsímil</v>
      </c>
      <c r="K4953" s="15" t="s">
        <v>23</v>
      </c>
    </row>
    <row r="4954" spans="1:11" ht="42" customHeight="1">
      <c r="A4954" s="4" t="s">
        <v>11509</v>
      </c>
      <c r="B4954" s="5" t="s">
        <v>11510</v>
      </c>
      <c r="C4954" s="5" t="s">
        <v>41</v>
      </c>
      <c r="D4954" s="5" t="s">
        <v>42</v>
      </c>
      <c r="E4954" s="5" t="s">
        <v>618</v>
      </c>
      <c r="F4954" s="9">
        <v>1</v>
      </c>
      <c r="G4954" s="9">
        <v>4</v>
      </c>
      <c r="H4954" s="5" t="s">
        <v>21</v>
      </c>
      <c r="I4954" s="5" t="s">
        <v>11512</v>
      </c>
      <c r="J4954" s="12" t="str">
        <f>HYPERLINK("https://www.boe.es/gazeta/dias/1800/01/03/pdfs/GMD-1800-1.pdf#page=4","Abrir facsímil")</f>
        <v>Abrir facsímil</v>
      </c>
      <c r="K4954" s="15" t="s">
        <v>23</v>
      </c>
    </row>
    <row r="4955" spans="1:11" ht="42" customHeight="1">
      <c r="A4955" s="4" t="s">
        <v>11509</v>
      </c>
      <c r="B4955" s="5" t="s">
        <v>11510</v>
      </c>
      <c r="C4955" s="5" t="s">
        <v>41</v>
      </c>
      <c r="D4955" s="5" t="s">
        <v>42</v>
      </c>
      <c r="E4955" s="5" t="s">
        <v>244</v>
      </c>
      <c r="F4955" s="9">
        <v>9</v>
      </c>
      <c r="G4955" s="9">
        <v>81</v>
      </c>
      <c r="H4955" s="5" t="s">
        <v>21</v>
      </c>
      <c r="I4955" s="5" t="s">
        <v>11513</v>
      </c>
      <c r="J4955" s="12" t="str">
        <f>HYPERLINK("https://www.boe.es/gazeta/dias/1800/01/31/pdfs/GMD-1800-9.pdf#page=5","Abrir facsímil")</f>
        <v>Abrir facsímil</v>
      </c>
      <c r="K4955" s="15" t="s">
        <v>23</v>
      </c>
    </row>
    <row r="4956" spans="1:11" ht="42" customHeight="1">
      <c r="A4956" s="4" t="s">
        <v>11509</v>
      </c>
      <c r="B4956" s="5" t="s">
        <v>11510</v>
      </c>
      <c r="C4956" s="5" t="s">
        <v>41</v>
      </c>
      <c r="D4956" s="5" t="s">
        <v>42</v>
      </c>
      <c r="E4956" s="5" t="s">
        <v>1127</v>
      </c>
      <c r="F4956" s="9">
        <v>11</v>
      </c>
      <c r="G4956" s="9">
        <v>104</v>
      </c>
      <c r="H4956" s="5" t="s">
        <v>21</v>
      </c>
      <c r="I4956" s="5" t="s">
        <v>11514</v>
      </c>
      <c r="J4956" s="12" t="str">
        <f>HYPERLINK("https://www.boe.es/gazeta/dias/1800/02/07/pdfs/GMD-1800-11.pdf#page=4","Abrir facsímil")</f>
        <v>Abrir facsímil</v>
      </c>
      <c r="K4956" s="15" t="s">
        <v>23</v>
      </c>
    </row>
    <row r="4957" spans="1:11" ht="42" customHeight="1">
      <c r="A4957" s="4" t="s">
        <v>11509</v>
      </c>
      <c r="B4957" s="5" t="s">
        <v>11510</v>
      </c>
      <c r="C4957" s="5" t="s">
        <v>25</v>
      </c>
      <c r="D4957" s="5" t="s">
        <v>26</v>
      </c>
      <c r="E4957" s="5" t="s">
        <v>162</v>
      </c>
      <c r="F4957" s="9">
        <v>15</v>
      </c>
      <c r="G4957" s="9">
        <v>142</v>
      </c>
      <c r="H4957" s="5" t="s">
        <v>21</v>
      </c>
      <c r="I4957" s="5" t="s">
        <v>11515</v>
      </c>
      <c r="J4957" s="12" t="str">
        <f>HYPERLINK("https://www.boe.es/gazeta/dias/1800/02/21/pdfs/GMD-1800-15.pdf#page=6","Abrir facsímil")</f>
        <v>Abrir facsímil</v>
      </c>
      <c r="K4957" s="15" t="s">
        <v>23</v>
      </c>
    </row>
    <row r="4958" spans="1:11" ht="42" customHeight="1">
      <c r="A4958" s="4" t="s">
        <v>11509</v>
      </c>
      <c r="B4958" s="5" t="s">
        <v>11510</v>
      </c>
      <c r="C4958" s="5" t="s">
        <v>41</v>
      </c>
      <c r="D4958" s="5" t="s">
        <v>42</v>
      </c>
      <c r="E4958" s="5" t="s">
        <v>86</v>
      </c>
      <c r="F4958" s="9">
        <v>17</v>
      </c>
      <c r="G4958" s="9">
        <v>160</v>
      </c>
      <c r="H4958" s="5" t="s">
        <v>21</v>
      </c>
      <c r="I4958" s="5" t="s">
        <v>11516</v>
      </c>
      <c r="J4958" s="12" t="str">
        <f>HYPERLINK("https://www.boe.es/gazeta/dias/1800/02/28/pdfs/GMD-1800-17.pdf#page=8","Abrir facsímil")</f>
        <v>Abrir facsímil</v>
      </c>
      <c r="K4958" s="15" t="s">
        <v>23</v>
      </c>
    </row>
    <row r="4959" spans="1:11" ht="42" customHeight="1">
      <c r="A4959" s="4" t="s">
        <v>11509</v>
      </c>
      <c r="B4959" s="5" t="s">
        <v>11510</v>
      </c>
      <c r="C4959" s="5" t="s">
        <v>41</v>
      </c>
      <c r="D4959" s="5" t="s">
        <v>42</v>
      </c>
      <c r="E4959" s="5" t="s">
        <v>35</v>
      </c>
      <c r="F4959" s="9">
        <v>21</v>
      </c>
      <c r="G4959" s="9">
        <v>203</v>
      </c>
      <c r="H4959" s="5" t="s">
        <v>21</v>
      </c>
      <c r="I4959" s="5" t="s">
        <v>11517</v>
      </c>
      <c r="J4959" s="12" t="str">
        <f>HYPERLINK("https://www.boe.es/gazeta/dias/1800/03/14/pdfs/GMD-1800-21.pdf#page=7","Abrir facsímil")</f>
        <v>Abrir facsímil</v>
      </c>
      <c r="K4959" s="15" t="s">
        <v>23</v>
      </c>
    </row>
    <row r="4960" spans="1:11" ht="42" customHeight="1">
      <c r="A4960" s="4" t="s">
        <v>11518</v>
      </c>
      <c r="B4960" s="5" t="s">
        <v>11519</v>
      </c>
      <c r="C4960" s="5" t="s">
        <v>41</v>
      </c>
      <c r="D4960" s="5" t="s">
        <v>42</v>
      </c>
      <c r="E4960" s="5" t="s">
        <v>143</v>
      </c>
      <c r="F4960" s="9">
        <v>22</v>
      </c>
      <c r="G4960" s="9">
        <v>216</v>
      </c>
      <c r="H4960" s="5" t="s">
        <v>21</v>
      </c>
      <c r="I4960" s="5" t="s">
        <v>11520</v>
      </c>
      <c r="J4960" s="12" t="str">
        <f>HYPERLINK("https://www.boe.es/gazeta/dias/1800/03/18/pdfs/GMD-1800-22.pdf#page=8","Abrir facsímil")</f>
        <v>Abrir facsímil</v>
      </c>
      <c r="K4960" s="15" t="s">
        <v>23</v>
      </c>
    </row>
    <row r="4961" spans="1:11" ht="42" customHeight="1">
      <c r="A4961" s="4" t="s">
        <v>11509</v>
      </c>
      <c r="B4961" s="5" t="s">
        <v>11510</v>
      </c>
      <c r="C4961" s="5" t="s">
        <v>41</v>
      </c>
      <c r="D4961" s="5" t="s">
        <v>42</v>
      </c>
      <c r="E4961" s="5" t="s">
        <v>158</v>
      </c>
      <c r="F4961" s="9">
        <v>25</v>
      </c>
      <c r="G4961" s="9">
        <v>255</v>
      </c>
      <c r="H4961" s="5" t="s">
        <v>21</v>
      </c>
      <c r="I4961" s="5" t="s">
        <v>11521</v>
      </c>
      <c r="J4961" s="12" t="str">
        <f>HYPERLINK("https://www.boe.es/gazeta/dias/1800/03/28/pdfs/GMD-1800-25.pdf#page=7","Abrir facsímil")</f>
        <v>Abrir facsímil</v>
      </c>
      <c r="K4961" s="15" t="s">
        <v>23</v>
      </c>
    </row>
    <row r="4962" spans="1:11" ht="42" customHeight="1">
      <c r="A4962" s="4" t="s">
        <v>11509</v>
      </c>
      <c r="B4962" s="5" t="s">
        <v>11510</v>
      </c>
      <c r="C4962" s="5" t="s">
        <v>18</v>
      </c>
      <c r="D4962" s="5" t="s">
        <v>19</v>
      </c>
      <c r="E4962" s="5" t="s">
        <v>240</v>
      </c>
      <c r="F4962" s="9">
        <v>26</v>
      </c>
      <c r="G4962" s="9">
        <v>267</v>
      </c>
      <c r="H4962" s="5" t="s">
        <v>21</v>
      </c>
      <c r="I4962" s="5" t="s">
        <v>11522</v>
      </c>
      <c r="J4962" s="12" t="str">
        <f>HYPERLINK("https://www.boe.es/gazeta/dias/1800/04/01/pdfs/GMD-1800-26.pdf#page=7","Abrir facsímil")</f>
        <v>Abrir facsímil</v>
      </c>
      <c r="K4962" s="15" t="s">
        <v>23</v>
      </c>
    </row>
    <row r="4963" spans="1:11" ht="42" customHeight="1">
      <c r="A4963" s="4" t="s">
        <v>11509</v>
      </c>
      <c r="B4963" s="5" t="s">
        <v>11510</v>
      </c>
      <c r="C4963" s="5" t="s">
        <v>41</v>
      </c>
      <c r="D4963" s="5" t="s">
        <v>42</v>
      </c>
      <c r="E4963" s="5" t="s">
        <v>226</v>
      </c>
      <c r="F4963" s="9">
        <v>27</v>
      </c>
      <c r="G4963" s="9">
        <v>279</v>
      </c>
      <c r="H4963" s="5" t="s">
        <v>21</v>
      </c>
      <c r="I4963" s="5" t="s">
        <v>11523</v>
      </c>
      <c r="J4963" s="12" t="str">
        <f>HYPERLINK("https://www.boe.es/gazeta/dias/1800/04/04/pdfs/GMD-1800-27.pdf#page=7","Abrir facsímil")</f>
        <v>Abrir facsímil</v>
      </c>
      <c r="K4963" s="15" t="s">
        <v>23</v>
      </c>
    </row>
    <row r="4964" spans="1:11" ht="42" customHeight="1">
      <c r="A4964" s="4" t="s">
        <v>11509</v>
      </c>
      <c r="B4964" s="5" t="s">
        <v>11510</v>
      </c>
      <c r="C4964" s="5" t="s">
        <v>18</v>
      </c>
      <c r="D4964" s="5" t="s">
        <v>19</v>
      </c>
      <c r="E4964" s="5" t="s">
        <v>105</v>
      </c>
      <c r="F4964" s="9">
        <v>28</v>
      </c>
      <c r="G4964" s="9">
        <v>290</v>
      </c>
      <c r="H4964" s="5" t="s">
        <v>21</v>
      </c>
      <c r="I4964" s="5" t="s">
        <v>11524</v>
      </c>
      <c r="J4964" s="12" t="str">
        <f>HYPERLINK("https://www.boe.es/gazeta/dias/1800/04/08/pdfs/GMD-1800-28.pdf#page=6","Abrir facsímil")</f>
        <v>Abrir facsímil</v>
      </c>
      <c r="K4964" s="15" t="s">
        <v>23</v>
      </c>
    </row>
    <row r="4965" spans="1:11" ht="42" customHeight="1">
      <c r="A4965" s="4" t="s">
        <v>11509</v>
      </c>
      <c r="B4965" s="5" t="s">
        <v>11510</v>
      </c>
      <c r="C4965" s="5" t="s">
        <v>18</v>
      </c>
      <c r="D4965" s="5" t="s">
        <v>19</v>
      </c>
      <c r="E4965" s="5" t="s">
        <v>491</v>
      </c>
      <c r="F4965" s="9">
        <v>29</v>
      </c>
      <c r="G4965" s="9">
        <v>298</v>
      </c>
      <c r="H4965" s="5" t="s">
        <v>21</v>
      </c>
      <c r="I4965" s="5" t="s">
        <v>11525</v>
      </c>
      <c r="J4965" s="12" t="str">
        <f>HYPERLINK("https://www.boe.es/gazeta/dias/1800/04/11/pdfs/GMD-1800-29.pdf#page=6","Abrir facsímil")</f>
        <v>Abrir facsímil</v>
      </c>
      <c r="K4965" s="15" t="s">
        <v>23</v>
      </c>
    </row>
    <row r="4966" spans="1:11" ht="42" customHeight="1">
      <c r="A4966" s="4" t="s">
        <v>11509</v>
      </c>
      <c r="B4966" s="5" t="s">
        <v>11510</v>
      </c>
      <c r="C4966" s="5" t="s">
        <v>25</v>
      </c>
      <c r="D4966" s="5" t="s">
        <v>26</v>
      </c>
      <c r="E4966" s="5" t="s">
        <v>1108</v>
      </c>
      <c r="F4966" s="9">
        <v>30</v>
      </c>
      <c r="G4966" s="9">
        <v>306</v>
      </c>
      <c r="H4966" s="5" t="s">
        <v>21</v>
      </c>
      <c r="I4966" s="5" t="s">
        <v>11526</v>
      </c>
      <c r="J4966" s="12" t="str">
        <f>HYPERLINK("https://www.boe.es/gazeta/dias/1800/04/15/pdfs/GMD-1800-30.pdf#page=6","Abrir facsímil")</f>
        <v>Abrir facsímil</v>
      </c>
      <c r="K4966" s="15" t="s">
        <v>23</v>
      </c>
    </row>
    <row r="4967" spans="1:11" ht="42" customHeight="1">
      <c r="A4967" s="4" t="s">
        <v>11509</v>
      </c>
      <c r="B4967" s="5" t="s">
        <v>11510</v>
      </c>
      <c r="C4967" s="5" t="s">
        <v>41</v>
      </c>
      <c r="D4967" s="5" t="s">
        <v>42</v>
      </c>
      <c r="E4967" s="5" t="s">
        <v>248</v>
      </c>
      <c r="F4967" s="9">
        <v>33</v>
      </c>
      <c r="G4967" s="9">
        <v>331</v>
      </c>
      <c r="H4967" s="5" t="s">
        <v>21</v>
      </c>
      <c r="I4967" s="5" t="s">
        <v>11527</v>
      </c>
      <c r="J4967" s="12" t="str">
        <f>HYPERLINK("https://www.boe.es/gazeta/dias/1800/04/25/pdfs/GMD-1800-33.pdf#page=7","Abrir facsímil")</f>
        <v>Abrir facsímil</v>
      </c>
      <c r="K4967" s="15" t="s">
        <v>23</v>
      </c>
    </row>
    <row r="4968" spans="1:11" ht="42" customHeight="1">
      <c r="A4968" s="4" t="s">
        <v>11509</v>
      </c>
      <c r="B4968" s="5" t="s">
        <v>11510</v>
      </c>
      <c r="C4968" s="5" t="s">
        <v>41</v>
      </c>
      <c r="D4968" s="5" t="s">
        <v>42</v>
      </c>
      <c r="E4968" s="5" t="s">
        <v>478</v>
      </c>
      <c r="F4968" s="9">
        <v>34</v>
      </c>
      <c r="G4968" s="9">
        <v>345</v>
      </c>
      <c r="H4968" s="5" t="s">
        <v>21</v>
      </c>
      <c r="I4968" s="5" t="s">
        <v>11528</v>
      </c>
      <c r="J4968" s="12" t="str">
        <f>HYPERLINK("https://www.boe.es/gazeta/dias/1800/04/29/pdfs/GMD-1800-34.pdf#page=9","Abrir facsímil")</f>
        <v>Abrir facsímil</v>
      </c>
      <c r="K4968" s="15" t="s">
        <v>23</v>
      </c>
    </row>
    <row r="4969" spans="1:11" ht="42" customHeight="1">
      <c r="A4969" s="4" t="s">
        <v>11509</v>
      </c>
      <c r="B4969" s="5" t="s">
        <v>11510</v>
      </c>
      <c r="C4969" s="5" t="s">
        <v>18</v>
      </c>
      <c r="D4969" s="5" t="s">
        <v>19</v>
      </c>
      <c r="E4969" s="5" t="s">
        <v>230</v>
      </c>
      <c r="F4969" s="9">
        <v>35</v>
      </c>
      <c r="G4969" s="9">
        <v>354</v>
      </c>
      <c r="H4969" s="5" t="s">
        <v>21</v>
      </c>
      <c r="I4969" s="5" t="s">
        <v>11529</v>
      </c>
      <c r="J4969" s="12" t="str">
        <f>HYPERLINK("https://www.boe.es/gazeta/dias/1800/05/02/pdfs/GMD-1800-35.pdf#page=6","Abrir facsímil")</f>
        <v>Abrir facsímil</v>
      </c>
      <c r="K4969" s="15" t="s">
        <v>23</v>
      </c>
    </row>
    <row r="4970" spans="1:11" ht="42" customHeight="1">
      <c r="A4970" s="4" t="s">
        <v>11509</v>
      </c>
      <c r="B4970" s="5" t="s">
        <v>11510</v>
      </c>
      <c r="C4970" s="5" t="s">
        <v>41</v>
      </c>
      <c r="D4970" s="5" t="s">
        <v>42</v>
      </c>
      <c r="E4970" s="5" t="s">
        <v>262</v>
      </c>
      <c r="F4970" s="9">
        <v>39</v>
      </c>
      <c r="G4970" s="9">
        <v>398</v>
      </c>
      <c r="H4970" s="5" t="s">
        <v>21</v>
      </c>
      <c r="I4970" s="5" t="s">
        <v>11530</v>
      </c>
      <c r="J4970" s="12" t="str">
        <f>HYPERLINK("https://www.boe.es/gazeta/dias/1800/05/16/pdfs/GMD-1800-39.pdf#page=6","Abrir facsímil")</f>
        <v>Abrir facsímil</v>
      </c>
      <c r="K4970" s="15" t="s">
        <v>23</v>
      </c>
    </row>
    <row r="4971" spans="1:11" ht="42" customHeight="1">
      <c r="A4971" s="4" t="s">
        <v>11509</v>
      </c>
      <c r="B4971" s="5" t="s">
        <v>11510</v>
      </c>
      <c r="C4971" s="5" t="s">
        <v>41</v>
      </c>
      <c r="D4971" s="5" t="s">
        <v>42</v>
      </c>
      <c r="E4971" s="5" t="s">
        <v>299</v>
      </c>
      <c r="F4971" s="9">
        <v>40</v>
      </c>
      <c r="G4971" s="9">
        <v>410</v>
      </c>
      <c r="H4971" s="5" t="s">
        <v>21</v>
      </c>
      <c r="I4971" s="5" t="s">
        <v>11531</v>
      </c>
      <c r="J4971" s="12" t="str">
        <f>HYPERLINK("https://www.boe.es/gazeta/dias/1800/05/20/pdfs/GMD-1800-40.pdf#page=6","Abrir facsímil")</f>
        <v>Abrir facsímil</v>
      </c>
      <c r="K4971" s="15" t="s">
        <v>23</v>
      </c>
    </row>
    <row r="4972" spans="1:11" ht="42" customHeight="1">
      <c r="A4972" s="4" t="s">
        <v>11509</v>
      </c>
      <c r="B4972" s="5" t="s">
        <v>11510</v>
      </c>
      <c r="C4972" s="5" t="s">
        <v>41</v>
      </c>
      <c r="D4972" s="5" t="s">
        <v>42</v>
      </c>
      <c r="E4972" s="5" t="s">
        <v>299</v>
      </c>
      <c r="F4972" s="9">
        <v>40</v>
      </c>
      <c r="G4972" s="9">
        <v>411</v>
      </c>
      <c r="H4972" s="5" t="s">
        <v>21</v>
      </c>
      <c r="I4972" s="5" t="s">
        <v>11532</v>
      </c>
      <c r="J4972" s="12" t="str">
        <f>HYPERLINK("https://www.boe.es/gazeta/dias/1800/05/20/pdfs/GMD-1800-40.pdf#page=7","Abrir facsímil")</f>
        <v>Abrir facsímil</v>
      </c>
      <c r="K4972" s="15" t="s">
        <v>23</v>
      </c>
    </row>
    <row r="4973" spans="1:11" ht="42" customHeight="1">
      <c r="A4973" s="4" t="s">
        <v>11509</v>
      </c>
      <c r="B4973" s="5" t="s">
        <v>11510</v>
      </c>
      <c r="C4973" s="5" t="s">
        <v>41</v>
      </c>
      <c r="D4973" s="5" t="s">
        <v>42</v>
      </c>
      <c r="E4973" s="5" t="s">
        <v>214</v>
      </c>
      <c r="F4973" s="9">
        <v>41</v>
      </c>
      <c r="G4973" s="9">
        <v>420</v>
      </c>
      <c r="H4973" s="5" t="s">
        <v>21</v>
      </c>
      <c r="I4973" s="5" t="s">
        <v>11533</v>
      </c>
      <c r="J4973" s="12" t="str">
        <f>HYPERLINK("https://www.boe.es/gazeta/dias/1800/05/23/pdfs/GMD-1800-41.pdf#page=4","Abrir facsímil")</f>
        <v>Abrir facsímil</v>
      </c>
      <c r="K4973" s="15" t="s">
        <v>23</v>
      </c>
    </row>
    <row r="4974" spans="1:11" ht="42" customHeight="1">
      <c r="A4974" s="4" t="s">
        <v>11509</v>
      </c>
      <c r="B4974" s="5" t="s">
        <v>11510</v>
      </c>
      <c r="C4974" s="5" t="s">
        <v>41</v>
      </c>
      <c r="D4974" s="5" t="s">
        <v>42</v>
      </c>
      <c r="E4974" s="5" t="s">
        <v>214</v>
      </c>
      <c r="F4974" s="9">
        <v>41</v>
      </c>
      <c r="G4974" s="9">
        <v>421</v>
      </c>
      <c r="H4974" s="5" t="s">
        <v>21</v>
      </c>
      <c r="I4974" s="5" t="s">
        <v>11534</v>
      </c>
      <c r="J4974" s="12" t="str">
        <f>HYPERLINK("https://www.boe.es/gazeta/dias/1800/05/23/pdfs/GMD-1800-41.pdf#page=5","Abrir facsímil")</f>
        <v>Abrir facsímil</v>
      </c>
      <c r="K4974" s="15" t="s">
        <v>23</v>
      </c>
    </row>
    <row r="4975" spans="1:11" ht="42" customHeight="1">
      <c r="A4975" s="4" t="s">
        <v>11509</v>
      </c>
      <c r="B4975" s="5" t="s">
        <v>11510</v>
      </c>
      <c r="C4975" s="5" t="s">
        <v>41</v>
      </c>
      <c r="D4975" s="5" t="s">
        <v>42</v>
      </c>
      <c r="E4975" s="5" t="s">
        <v>39</v>
      </c>
      <c r="F4975" s="9">
        <v>43</v>
      </c>
      <c r="G4975" s="9">
        <v>447</v>
      </c>
      <c r="H4975" s="5" t="s">
        <v>21</v>
      </c>
      <c r="I4975" s="5" t="s">
        <v>11535</v>
      </c>
      <c r="J4975" s="12" t="str">
        <f>HYPERLINK("https://www.boe.es/gazeta/dias/1800/05/30/pdfs/GMD-1800-43.pdf#page=7","Abrir facsímil")</f>
        <v>Abrir facsímil</v>
      </c>
      <c r="K4975" s="15" t="s">
        <v>23</v>
      </c>
    </row>
    <row r="4976" spans="1:11" ht="42" customHeight="1">
      <c r="A4976" s="4" t="s">
        <v>11509</v>
      </c>
      <c r="B4976" s="5" t="s">
        <v>11510</v>
      </c>
      <c r="C4976" s="5" t="s">
        <v>25</v>
      </c>
      <c r="D4976" s="5" t="s">
        <v>26</v>
      </c>
      <c r="E4976" s="5" t="s">
        <v>39</v>
      </c>
      <c r="F4976" s="9">
        <v>43</v>
      </c>
      <c r="G4976" s="9">
        <v>449</v>
      </c>
      <c r="H4976" s="5" t="s">
        <v>21</v>
      </c>
      <c r="I4976" s="5" t="s">
        <v>11536</v>
      </c>
      <c r="J4976" s="12" t="str">
        <f>HYPERLINK("https://www.boe.es/gazeta/dias/1800/05/30/pdfs/GMD-1800-43.pdf#page=9","Abrir facsímil")</f>
        <v>Abrir facsímil</v>
      </c>
      <c r="K4976" s="15" t="s">
        <v>23</v>
      </c>
    </row>
    <row r="4977" spans="1:11" ht="42" customHeight="1">
      <c r="A4977" s="4" t="s">
        <v>11509</v>
      </c>
      <c r="B4977" s="5" t="s">
        <v>11510</v>
      </c>
      <c r="C4977" s="5" t="s">
        <v>41</v>
      </c>
      <c r="D4977" s="5" t="s">
        <v>42</v>
      </c>
      <c r="E4977" s="5" t="s">
        <v>406</v>
      </c>
      <c r="F4977" s="9">
        <v>44</v>
      </c>
      <c r="G4977" s="9">
        <v>460</v>
      </c>
      <c r="H4977" s="5" t="s">
        <v>21</v>
      </c>
      <c r="I4977" s="5" t="s">
        <v>11537</v>
      </c>
      <c r="J4977" s="12" t="str">
        <f>HYPERLINK("https://www.boe.es/gazeta/dias/1800/06/03/pdfs/GMD-1800-44.pdf#page=8","Abrir facsímil")</f>
        <v>Abrir facsímil</v>
      </c>
      <c r="K4977" s="15" t="s">
        <v>23</v>
      </c>
    </row>
    <row r="4978" spans="1:11" ht="42" customHeight="1">
      <c r="A4978" s="4" t="s">
        <v>11509</v>
      </c>
      <c r="B4978" s="5" t="s">
        <v>11510</v>
      </c>
      <c r="C4978" s="5" t="s">
        <v>54</v>
      </c>
      <c r="D4978" s="5" t="s">
        <v>55</v>
      </c>
      <c r="E4978" s="5" t="s">
        <v>600</v>
      </c>
      <c r="F4978" s="9">
        <v>45</v>
      </c>
      <c r="G4978" s="9">
        <v>471</v>
      </c>
      <c r="H4978" s="5" t="s">
        <v>21</v>
      </c>
      <c r="I4978" s="5" t="s">
        <v>11538</v>
      </c>
      <c r="J4978" s="12" t="str">
        <f>HYPERLINK("https://www.boe.es/gazeta/dias/1800/06/06/pdfs/GMD-1800-45.pdf#page=7","Abrir facsímil")</f>
        <v>Abrir facsímil</v>
      </c>
      <c r="K4978" s="15" t="s">
        <v>23</v>
      </c>
    </row>
    <row r="4979" spans="1:11" ht="42" customHeight="1">
      <c r="A4979" s="4" t="s">
        <v>11509</v>
      </c>
      <c r="B4979" s="5" t="s">
        <v>11510</v>
      </c>
      <c r="C4979" s="5" t="s">
        <v>25</v>
      </c>
      <c r="D4979" s="5" t="s">
        <v>26</v>
      </c>
      <c r="E4979" s="5" t="s">
        <v>600</v>
      </c>
      <c r="F4979" s="9">
        <v>45</v>
      </c>
      <c r="G4979" s="9">
        <v>472</v>
      </c>
      <c r="H4979" s="5" t="s">
        <v>21</v>
      </c>
      <c r="I4979" s="5" t="s">
        <v>11539</v>
      </c>
      <c r="J4979" s="12" t="str">
        <f>HYPERLINK("https://www.boe.es/gazeta/dias/1800/06/06/pdfs/GMD-1800-45.pdf#page=8","Abrir facsímil")</f>
        <v>Abrir facsímil</v>
      </c>
      <c r="K4979" s="15" t="s">
        <v>23</v>
      </c>
    </row>
    <row r="4980" spans="1:11" ht="42" customHeight="1">
      <c r="A4980" s="4" t="s">
        <v>11509</v>
      </c>
      <c r="B4980" s="5" t="s">
        <v>11510</v>
      </c>
      <c r="C4980" s="5" t="s">
        <v>18</v>
      </c>
      <c r="D4980" s="5" t="s">
        <v>19</v>
      </c>
      <c r="E4980" s="5" t="s">
        <v>43</v>
      </c>
      <c r="F4980" s="9">
        <v>46</v>
      </c>
      <c r="G4980" s="9">
        <v>485</v>
      </c>
      <c r="H4980" s="5" t="s">
        <v>21</v>
      </c>
      <c r="I4980" s="5" t="s">
        <v>11540</v>
      </c>
      <c r="J4980" s="12" t="str">
        <f>HYPERLINK("https://www.boe.es/gazeta/dias/1800/06/10/pdfs/GMD-1800-46.pdf#page=9","Abrir facsímil")</f>
        <v>Abrir facsímil</v>
      </c>
      <c r="K4980" s="15" t="s">
        <v>23</v>
      </c>
    </row>
    <row r="4981" spans="1:11" ht="42" customHeight="1">
      <c r="A4981" s="4" t="s">
        <v>11509</v>
      </c>
      <c r="B4981" s="5" t="s">
        <v>11510</v>
      </c>
      <c r="C4981" s="5" t="s">
        <v>41</v>
      </c>
      <c r="D4981" s="5" t="s">
        <v>42</v>
      </c>
      <c r="E4981" s="5" t="s">
        <v>45</v>
      </c>
      <c r="F4981" s="9">
        <v>47</v>
      </c>
      <c r="G4981" s="9">
        <v>500</v>
      </c>
      <c r="H4981" s="5" t="s">
        <v>21</v>
      </c>
      <c r="I4981" s="5" t="s">
        <v>11541</v>
      </c>
      <c r="J4981" s="12" t="str">
        <f>HYPERLINK("https://www.boe.es/gazeta/dias/1800/06/13/pdfs/GMD-1800-47.pdf#page=8","Abrir facsímil")</f>
        <v>Abrir facsímil</v>
      </c>
      <c r="K4981" s="15" t="s">
        <v>23</v>
      </c>
    </row>
    <row r="4982" spans="1:11" ht="42" customHeight="1">
      <c r="A4982" s="4" t="s">
        <v>11509</v>
      </c>
      <c r="B4982" s="5" t="s">
        <v>11510</v>
      </c>
      <c r="C4982" s="5" t="s">
        <v>84</v>
      </c>
      <c r="D4982" s="5" t="s">
        <v>85</v>
      </c>
      <c r="E4982" s="5" t="s">
        <v>194</v>
      </c>
      <c r="F4982" s="9">
        <v>48</v>
      </c>
      <c r="G4982" s="9">
        <v>515</v>
      </c>
      <c r="H4982" s="5" t="s">
        <v>21</v>
      </c>
      <c r="I4982" s="5" t="s">
        <v>11542</v>
      </c>
      <c r="J4982" s="12" t="str">
        <f>HYPERLINK("https://www.boe.es/gazeta/dias/1800/06/17/pdfs/GMD-1800-48.pdf#page=7","Abrir facsímil")</f>
        <v>Abrir facsímil</v>
      </c>
      <c r="K4982" s="15" t="s">
        <v>23</v>
      </c>
    </row>
    <row r="4983" spans="1:11" ht="42" customHeight="1">
      <c r="A4983" s="4" t="s">
        <v>11509</v>
      </c>
      <c r="B4983" s="5" t="s">
        <v>11510</v>
      </c>
      <c r="C4983" s="5" t="s">
        <v>41</v>
      </c>
      <c r="D4983" s="5" t="s">
        <v>42</v>
      </c>
      <c r="E4983" s="5" t="s">
        <v>465</v>
      </c>
      <c r="F4983" s="9">
        <v>49</v>
      </c>
      <c r="G4983" s="9">
        <v>530</v>
      </c>
      <c r="H4983" s="5" t="s">
        <v>21</v>
      </c>
      <c r="I4983" s="5" t="s">
        <v>11543</v>
      </c>
      <c r="J4983" s="12" t="str">
        <f>HYPERLINK("https://www.boe.es/gazeta/dias/1800/06/20/pdfs/GMD-1800-49.pdf#page=6","Abrir facsímil")</f>
        <v>Abrir facsímil</v>
      </c>
      <c r="K4983" s="15" t="s">
        <v>23</v>
      </c>
    </row>
    <row r="4984" spans="1:11" ht="42" customHeight="1">
      <c r="A4984" s="4" t="s">
        <v>11509</v>
      </c>
      <c r="B4984" s="5" t="s">
        <v>11510</v>
      </c>
      <c r="C4984" s="5" t="s">
        <v>41</v>
      </c>
      <c r="D4984" s="5" t="s">
        <v>42</v>
      </c>
      <c r="E4984" s="5" t="s">
        <v>120</v>
      </c>
      <c r="F4984" s="9">
        <v>52</v>
      </c>
      <c r="G4984" s="9">
        <v>568</v>
      </c>
      <c r="H4984" s="5" t="s">
        <v>21</v>
      </c>
      <c r="I4984" s="5" t="s">
        <v>11544</v>
      </c>
      <c r="J4984" s="12" t="str">
        <f>HYPERLINK("https://www.boe.es/gazeta/dias/1800/07/01/pdfs/GMD-1800-52.pdf#page=4","Abrir facsímil")</f>
        <v>Abrir facsímil</v>
      </c>
      <c r="K4984" s="15" t="s">
        <v>23</v>
      </c>
    </row>
    <row r="4985" spans="1:11" ht="42" customHeight="1">
      <c r="A4985" s="4" t="s">
        <v>11509</v>
      </c>
      <c r="B4985" s="5" t="s">
        <v>11510</v>
      </c>
      <c r="C4985" s="5" t="s">
        <v>54</v>
      </c>
      <c r="D4985" s="5" t="s">
        <v>55</v>
      </c>
      <c r="E4985" s="5" t="s">
        <v>120</v>
      </c>
      <c r="F4985" s="9">
        <v>52</v>
      </c>
      <c r="G4985" s="9">
        <v>571</v>
      </c>
      <c r="H4985" s="5" t="s">
        <v>21</v>
      </c>
      <c r="I4985" s="5" t="s">
        <v>11545</v>
      </c>
      <c r="J4985" s="12" t="str">
        <f>HYPERLINK("https://www.boe.es/gazeta/dias/1800/07/01/pdfs/GMD-1800-52.pdf#page=7","Abrir facsímil")</f>
        <v>Abrir facsímil</v>
      </c>
      <c r="K4985" s="15" t="s">
        <v>23</v>
      </c>
    </row>
    <row r="4986" spans="1:11" ht="42" customHeight="1">
      <c r="A4986" s="4" t="s">
        <v>11509</v>
      </c>
      <c r="B4986" s="5" t="s">
        <v>11510</v>
      </c>
      <c r="C4986" s="5" t="s">
        <v>18</v>
      </c>
      <c r="D4986" s="5" t="s">
        <v>19</v>
      </c>
      <c r="E4986" s="5" t="s">
        <v>120</v>
      </c>
      <c r="F4986" s="9">
        <v>52</v>
      </c>
      <c r="G4986" s="9">
        <v>573</v>
      </c>
      <c r="H4986" s="5" t="s">
        <v>21</v>
      </c>
      <c r="I4986" s="5" t="s">
        <v>11546</v>
      </c>
      <c r="J4986" s="12" t="str">
        <f>HYPERLINK("https://www.boe.es/gazeta/dias/1800/07/01/pdfs/GMD-1800-52.pdf#page=9","Abrir facsímil")</f>
        <v>Abrir facsímil</v>
      </c>
      <c r="K4986" s="15" t="s">
        <v>23</v>
      </c>
    </row>
    <row r="4987" spans="1:11" ht="42" customHeight="1">
      <c r="A4987" s="4" t="s">
        <v>11509</v>
      </c>
      <c r="B4987" s="5" t="s">
        <v>11510</v>
      </c>
      <c r="C4987" s="5" t="s">
        <v>41</v>
      </c>
      <c r="D4987" s="5" t="s">
        <v>42</v>
      </c>
      <c r="E4987" s="5" t="s">
        <v>64</v>
      </c>
      <c r="F4987" s="9">
        <v>54</v>
      </c>
      <c r="G4987" s="9">
        <v>601</v>
      </c>
      <c r="H4987" s="5" t="s">
        <v>21</v>
      </c>
      <c r="I4987" s="5" t="s">
        <v>11547</v>
      </c>
      <c r="J4987" s="12" t="str">
        <f>HYPERLINK("https://www.boe.es/gazeta/dias/1800/07/08/pdfs/GMD-1800-54.pdf#page=5","Abrir facsímil")</f>
        <v>Abrir facsímil</v>
      </c>
      <c r="K4987" s="15" t="s">
        <v>23</v>
      </c>
    </row>
    <row r="4988" spans="1:11" ht="42" customHeight="1">
      <c r="A4988" s="4" t="s">
        <v>11509</v>
      </c>
      <c r="B4988" s="5" t="s">
        <v>11510</v>
      </c>
      <c r="C4988" s="5" t="s">
        <v>41</v>
      </c>
      <c r="D4988" s="5" t="s">
        <v>42</v>
      </c>
      <c r="E4988" s="5" t="s">
        <v>64</v>
      </c>
      <c r="F4988" s="9">
        <v>54</v>
      </c>
      <c r="G4988" s="9">
        <v>603</v>
      </c>
      <c r="H4988" s="5" t="s">
        <v>21</v>
      </c>
      <c r="I4988" s="5" t="s">
        <v>11548</v>
      </c>
      <c r="J4988" s="12" t="str">
        <f>HYPERLINK("https://www.boe.es/gazeta/dias/1800/07/08/pdfs/GMD-1800-54.pdf#page=7","Abrir facsímil")</f>
        <v>Abrir facsímil</v>
      </c>
      <c r="K4988" s="15" t="s">
        <v>23</v>
      </c>
    </row>
    <row r="4989" spans="1:11" ht="42" customHeight="1">
      <c r="A4989" s="4" t="s">
        <v>11509</v>
      </c>
      <c r="B4989" s="5" t="s">
        <v>11510</v>
      </c>
      <c r="C4989" s="5" t="s">
        <v>41</v>
      </c>
      <c r="D4989" s="5" t="s">
        <v>42</v>
      </c>
      <c r="E4989" s="5" t="s">
        <v>530</v>
      </c>
      <c r="F4989" s="9">
        <v>55</v>
      </c>
      <c r="G4989" s="9">
        <v>619</v>
      </c>
      <c r="H4989" s="5" t="s">
        <v>21</v>
      </c>
      <c r="I4989" s="5" t="s">
        <v>11549</v>
      </c>
      <c r="J4989" s="12" t="str">
        <f>HYPERLINK("https://www.boe.es/gazeta/dias/1800/07/11/pdfs/GMD-1800-55.pdf#page=7","Abrir facsímil")</f>
        <v>Abrir facsímil</v>
      </c>
      <c r="K4989" s="15" t="s">
        <v>23</v>
      </c>
    </row>
    <row r="4990" spans="1:11" ht="42" customHeight="1">
      <c r="A4990" s="4" t="s">
        <v>11509</v>
      </c>
      <c r="B4990" s="5" t="s">
        <v>11510</v>
      </c>
      <c r="C4990" s="5" t="s">
        <v>25</v>
      </c>
      <c r="D4990" s="5" t="s">
        <v>26</v>
      </c>
      <c r="E4990" s="5" t="s">
        <v>530</v>
      </c>
      <c r="F4990" s="9">
        <v>55</v>
      </c>
      <c r="G4990" s="9">
        <v>621</v>
      </c>
      <c r="H4990" s="5" t="s">
        <v>21</v>
      </c>
      <c r="I4990" s="5" t="s">
        <v>11550</v>
      </c>
      <c r="J4990" s="12" t="str">
        <f>HYPERLINK("https://www.boe.es/gazeta/dias/1800/07/11/pdfs/GMD-1800-55.pdf#page=9","Abrir facsímil")</f>
        <v>Abrir facsímil</v>
      </c>
      <c r="K4990" s="15" t="s">
        <v>23</v>
      </c>
    </row>
    <row r="4991" spans="1:11" ht="42" customHeight="1">
      <c r="A4991" s="4" t="s">
        <v>11509</v>
      </c>
      <c r="B4991" s="5" t="s">
        <v>11510</v>
      </c>
      <c r="C4991" s="5" t="s">
        <v>18</v>
      </c>
      <c r="D4991" s="5" t="s">
        <v>19</v>
      </c>
      <c r="E4991" s="5" t="s">
        <v>90</v>
      </c>
      <c r="F4991" s="9">
        <v>58</v>
      </c>
      <c r="G4991" s="9">
        <v>657</v>
      </c>
      <c r="H4991" s="5" t="s">
        <v>21</v>
      </c>
      <c r="I4991" s="5" t="s">
        <v>11551</v>
      </c>
      <c r="J4991" s="12" t="str">
        <f>HYPERLINK("https://www.boe.es/gazeta/dias/1800/07/22/pdfs/GMD-1800-58.pdf#page=5","Abrir facsímil")</f>
        <v>Abrir facsímil</v>
      </c>
      <c r="K4991" s="15" t="s">
        <v>23</v>
      </c>
    </row>
    <row r="4992" spans="1:11" ht="42" customHeight="1">
      <c r="A4992" s="4" t="s">
        <v>11509</v>
      </c>
      <c r="B4992" s="5" t="s">
        <v>11510</v>
      </c>
      <c r="C4992" s="5" t="s">
        <v>18</v>
      </c>
      <c r="D4992" s="5" t="s">
        <v>19</v>
      </c>
      <c r="E4992" s="5" t="s">
        <v>1294</v>
      </c>
      <c r="F4992" s="9">
        <v>59</v>
      </c>
      <c r="G4992" s="9">
        <v>675</v>
      </c>
      <c r="H4992" s="5" t="s">
        <v>21</v>
      </c>
      <c r="I4992" s="5" t="s">
        <v>11552</v>
      </c>
      <c r="J4992" s="12" t="str">
        <f>HYPERLINK("https://www.boe.es/gazeta/dias/1800/07/25/pdfs/GMD-1800-59.pdf#page=7","Abrir facsímil")</f>
        <v>Abrir facsímil</v>
      </c>
      <c r="K4992" s="15" t="s">
        <v>23</v>
      </c>
    </row>
    <row r="4993" spans="1:11" ht="42" customHeight="1">
      <c r="A4993" s="4" t="s">
        <v>11509</v>
      </c>
      <c r="B4993" s="5" t="s">
        <v>11510</v>
      </c>
      <c r="C4993" s="5" t="s">
        <v>41</v>
      </c>
      <c r="D4993" s="5" t="s">
        <v>42</v>
      </c>
      <c r="E4993" s="5" t="s">
        <v>154</v>
      </c>
      <c r="F4993" s="9">
        <v>61</v>
      </c>
      <c r="G4993" s="9">
        <v>695</v>
      </c>
      <c r="H4993" s="5" t="s">
        <v>21</v>
      </c>
      <c r="I4993" s="5" t="s">
        <v>11553</v>
      </c>
      <c r="J4993" s="12" t="str">
        <f>HYPERLINK("https://www.boe.es/gazeta/dias/1800/08/01/pdfs/GMD-1800-61.pdf#page=7","Abrir facsímil")</f>
        <v>Abrir facsímil</v>
      </c>
      <c r="K4993" s="15" t="s">
        <v>23</v>
      </c>
    </row>
    <row r="4994" spans="1:11" ht="42" customHeight="1">
      <c r="A4994" s="4" t="s">
        <v>11509</v>
      </c>
      <c r="B4994" s="5" t="s">
        <v>11510</v>
      </c>
      <c r="C4994" s="5" t="s">
        <v>41</v>
      </c>
      <c r="D4994" s="5" t="s">
        <v>42</v>
      </c>
      <c r="E4994" s="5" t="s">
        <v>454</v>
      </c>
      <c r="F4994" s="9">
        <v>63</v>
      </c>
      <c r="G4994" s="9">
        <v>719</v>
      </c>
      <c r="H4994" s="5" t="s">
        <v>21</v>
      </c>
      <c r="I4994" s="5" t="s">
        <v>11554</v>
      </c>
      <c r="J4994" s="12" t="str">
        <f>HYPERLINK("https://www.boe.es/gazeta/dias/1800/08/08/pdfs/GMD-1800-63.pdf#page=7","Abrir facsímil")</f>
        <v>Abrir facsímil</v>
      </c>
      <c r="K4994" s="15" t="s">
        <v>23</v>
      </c>
    </row>
    <row r="4995" spans="1:11" ht="42" customHeight="1">
      <c r="A4995" s="4" t="s">
        <v>11509</v>
      </c>
      <c r="B4995" s="5" t="s">
        <v>11510</v>
      </c>
      <c r="C4995" s="5" t="s">
        <v>41</v>
      </c>
      <c r="D4995" s="5" t="s">
        <v>42</v>
      </c>
      <c r="E4995" s="5" t="s">
        <v>27</v>
      </c>
      <c r="F4995" s="9">
        <v>65</v>
      </c>
      <c r="G4995" s="9">
        <v>729</v>
      </c>
      <c r="H4995" s="5" t="s">
        <v>21</v>
      </c>
      <c r="I4995" s="5" t="s">
        <v>11555</v>
      </c>
      <c r="J4995" s="12" t="str">
        <f>HYPERLINK("https://www.boe.es/gazeta/dias/1800/08/15/pdfs/GMD-1800-65.pdf#page=5","Abrir facsímil")</f>
        <v>Abrir facsímil</v>
      </c>
      <c r="K4995" s="15" t="s">
        <v>23</v>
      </c>
    </row>
    <row r="4996" spans="1:11" ht="42" customHeight="1">
      <c r="A4996" s="4" t="s">
        <v>11509</v>
      </c>
      <c r="B4996" s="5" t="s">
        <v>11510</v>
      </c>
      <c r="C4996" s="5" t="s">
        <v>41</v>
      </c>
      <c r="D4996" s="5" t="s">
        <v>42</v>
      </c>
      <c r="E4996" s="5" t="s">
        <v>27</v>
      </c>
      <c r="F4996" s="9">
        <v>65</v>
      </c>
      <c r="G4996" s="9">
        <v>731</v>
      </c>
      <c r="H4996" s="5" t="s">
        <v>21</v>
      </c>
      <c r="I4996" s="5" t="s">
        <v>11556</v>
      </c>
      <c r="J4996" s="12" t="str">
        <f>HYPERLINK("https://www.boe.es/gazeta/dias/1800/08/15/pdfs/GMD-1800-65.pdf#page=7","Abrir facsímil")</f>
        <v>Abrir facsímil</v>
      </c>
      <c r="K4996" s="15" t="s">
        <v>23</v>
      </c>
    </row>
    <row r="4997" spans="1:11" ht="42" customHeight="1">
      <c r="A4997" s="4" t="s">
        <v>11509</v>
      </c>
      <c r="B4997" s="5" t="s">
        <v>11510</v>
      </c>
      <c r="C4997" s="5" t="s">
        <v>41</v>
      </c>
      <c r="D4997" s="5" t="s">
        <v>42</v>
      </c>
      <c r="E4997" s="5" t="s">
        <v>283</v>
      </c>
      <c r="F4997" s="9">
        <v>68</v>
      </c>
      <c r="G4997" s="9">
        <v>763</v>
      </c>
      <c r="H4997" s="5" t="s">
        <v>21</v>
      </c>
      <c r="I4997" s="5" t="s">
        <v>11557</v>
      </c>
      <c r="J4997" s="12" t="str">
        <f>HYPERLINK("https://www.boe.es/gazeta/dias/1800/08/26/pdfs/GMD-1800-68.pdf#page=7","Abrir facsímil")</f>
        <v>Abrir facsímil</v>
      </c>
      <c r="K4997" s="15" t="s">
        <v>23</v>
      </c>
    </row>
    <row r="4998" spans="1:11" ht="42" customHeight="1">
      <c r="A4998" s="4" t="s">
        <v>11509</v>
      </c>
      <c r="B4998" s="5" t="s">
        <v>11510</v>
      </c>
      <c r="C4998" s="5" t="s">
        <v>41</v>
      </c>
      <c r="D4998" s="5" t="s">
        <v>42</v>
      </c>
      <c r="E4998" s="5" t="s">
        <v>590</v>
      </c>
      <c r="F4998" s="9">
        <v>69</v>
      </c>
      <c r="G4998" s="9">
        <v>774</v>
      </c>
      <c r="H4998" s="5" t="s">
        <v>21</v>
      </c>
      <c r="I4998" s="5" t="s">
        <v>11558</v>
      </c>
      <c r="J4998" s="12" t="str">
        <f>HYPERLINK("https://www.boe.es/gazeta/dias/1800/08/29/pdfs/GMD-1800-69.pdf#page=6","Abrir facsímil")</f>
        <v>Abrir facsímil</v>
      </c>
      <c r="K4998" s="15" t="s">
        <v>23</v>
      </c>
    </row>
    <row r="4999" spans="1:11" ht="42" customHeight="1">
      <c r="A4999" s="4" t="s">
        <v>11509</v>
      </c>
      <c r="B4999" s="5" t="s">
        <v>11510</v>
      </c>
      <c r="C4999" s="5" t="s">
        <v>25</v>
      </c>
      <c r="D4999" s="5" t="s">
        <v>26</v>
      </c>
      <c r="E4999" s="5" t="s">
        <v>590</v>
      </c>
      <c r="F4999" s="9">
        <v>69</v>
      </c>
      <c r="G4999" s="9">
        <v>775</v>
      </c>
      <c r="H4999" s="5" t="s">
        <v>21</v>
      </c>
      <c r="I4999" s="5" t="s">
        <v>11559</v>
      </c>
      <c r="J4999" s="12" t="str">
        <f>HYPERLINK("https://www.boe.es/gazeta/dias/1800/08/29/pdfs/GMD-1800-69.pdf#page=7","Abrir facsímil")</f>
        <v>Abrir facsímil</v>
      </c>
      <c r="K4999" s="15" t="s">
        <v>23</v>
      </c>
    </row>
    <row r="5000" spans="1:11" ht="42" customHeight="1">
      <c r="A5000" s="4" t="s">
        <v>11509</v>
      </c>
      <c r="B5000" s="5" t="s">
        <v>11510</v>
      </c>
      <c r="C5000" s="5" t="s">
        <v>18</v>
      </c>
      <c r="D5000" s="5" t="s">
        <v>19</v>
      </c>
      <c r="E5000" s="5" t="s">
        <v>135</v>
      </c>
      <c r="F5000" s="9">
        <v>73</v>
      </c>
      <c r="G5000" s="9">
        <v>813</v>
      </c>
      <c r="H5000" s="5" t="s">
        <v>21</v>
      </c>
      <c r="I5000" s="5" t="s">
        <v>11560</v>
      </c>
      <c r="J5000" s="12" t="str">
        <f>HYPERLINK("https://www.boe.es/gazeta/dias/1800/09/09/pdfs/GMD-1800-73.pdf#page=7","Abrir facsímil")</f>
        <v>Abrir facsímil</v>
      </c>
      <c r="K5000" s="15" t="s">
        <v>23</v>
      </c>
    </row>
    <row r="5001" spans="1:11" ht="42" customHeight="1">
      <c r="A5001" s="4" t="s">
        <v>11509</v>
      </c>
      <c r="B5001" s="5" t="s">
        <v>11510</v>
      </c>
      <c r="C5001" s="5" t="s">
        <v>41</v>
      </c>
      <c r="D5001" s="5" t="s">
        <v>42</v>
      </c>
      <c r="E5001" s="5" t="s">
        <v>314</v>
      </c>
      <c r="F5001" s="9">
        <v>74</v>
      </c>
      <c r="G5001" s="9">
        <v>828</v>
      </c>
      <c r="H5001" s="5" t="s">
        <v>21</v>
      </c>
      <c r="I5001" s="5" t="s">
        <v>11561</v>
      </c>
      <c r="J5001" s="12" t="str">
        <f>HYPERLINK("https://www.boe.es/gazeta/dias/1800/09/12/pdfs/GMD-1800-74.pdf#page=6","Abrir facsímil")</f>
        <v>Abrir facsímil</v>
      </c>
      <c r="K5001" s="15" t="s">
        <v>23</v>
      </c>
    </row>
    <row r="5002" spans="1:11" ht="42" customHeight="1">
      <c r="A5002" s="4" t="s">
        <v>11509</v>
      </c>
      <c r="B5002" s="5" t="s">
        <v>11510</v>
      </c>
      <c r="C5002" s="5" t="s">
        <v>41</v>
      </c>
      <c r="D5002" s="5" t="s">
        <v>42</v>
      </c>
      <c r="E5002" s="5" t="s">
        <v>314</v>
      </c>
      <c r="F5002" s="9">
        <v>74</v>
      </c>
      <c r="G5002" s="9">
        <v>829</v>
      </c>
      <c r="H5002" s="5" t="s">
        <v>21</v>
      </c>
      <c r="I5002" s="5" t="s">
        <v>11562</v>
      </c>
      <c r="J5002" s="12" t="str">
        <f>HYPERLINK("https://www.boe.es/gazeta/dias/1800/09/12/pdfs/GMD-1800-74.pdf#page=7","Abrir facsímil")</f>
        <v>Abrir facsímil</v>
      </c>
      <c r="K5002" s="15" t="s">
        <v>23</v>
      </c>
    </row>
    <row r="5003" spans="1:11" ht="42" customHeight="1">
      <c r="A5003" s="4" t="s">
        <v>11509</v>
      </c>
      <c r="B5003" s="5" t="s">
        <v>11510</v>
      </c>
      <c r="C5003" s="5" t="s">
        <v>41</v>
      </c>
      <c r="D5003" s="5" t="s">
        <v>42</v>
      </c>
      <c r="E5003" s="5" t="s">
        <v>255</v>
      </c>
      <c r="F5003" s="9">
        <v>75</v>
      </c>
      <c r="G5003" s="9">
        <v>853</v>
      </c>
      <c r="H5003" s="5" t="s">
        <v>21</v>
      </c>
      <c r="I5003" s="5" t="s">
        <v>11563</v>
      </c>
      <c r="J5003" s="12" t="str">
        <f>HYPERLINK("https://www.boe.es/gazeta/dias/1800/09/16/pdfs/GMD-1800-75.pdf#page=7","Abrir facsímil")</f>
        <v>Abrir facsímil</v>
      </c>
      <c r="K5003" s="15" t="s">
        <v>23</v>
      </c>
    </row>
    <row r="5004" spans="1:11" ht="42" customHeight="1">
      <c r="A5004" s="4" t="s">
        <v>11509</v>
      </c>
      <c r="B5004" s="5" t="s">
        <v>11510</v>
      </c>
      <c r="C5004" s="5" t="s">
        <v>41</v>
      </c>
      <c r="D5004" s="5" t="s">
        <v>42</v>
      </c>
      <c r="E5004" s="5" t="s">
        <v>583</v>
      </c>
      <c r="F5004" s="9">
        <v>77</v>
      </c>
      <c r="G5004" s="9">
        <v>875</v>
      </c>
      <c r="H5004" s="5" t="s">
        <v>21</v>
      </c>
      <c r="I5004" s="5" t="s">
        <v>11564</v>
      </c>
      <c r="J5004" s="12" t="str">
        <f>HYPERLINK("https://www.boe.es/gazeta/dias/1800/09/23/pdfs/GMD-1800-77.pdf#page=5","Abrir facsímil")</f>
        <v>Abrir facsímil</v>
      </c>
      <c r="K5004" s="15" t="s">
        <v>23</v>
      </c>
    </row>
    <row r="5005" spans="1:11" ht="42" customHeight="1">
      <c r="A5005" s="4" t="s">
        <v>11509</v>
      </c>
      <c r="B5005" s="5" t="s">
        <v>11510</v>
      </c>
      <c r="C5005" s="5" t="s">
        <v>18</v>
      </c>
      <c r="D5005" s="5" t="s">
        <v>19</v>
      </c>
      <c r="E5005" s="5" t="s">
        <v>176</v>
      </c>
      <c r="F5005" s="9">
        <v>88</v>
      </c>
      <c r="G5005" s="9">
        <v>1028</v>
      </c>
      <c r="H5005" s="5" t="s">
        <v>21</v>
      </c>
      <c r="I5005" s="5" t="s">
        <v>11565</v>
      </c>
      <c r="J5005" s="12" t="str">
        <f>HYPERLINK("https://www.boe.es/gazeta/dias/1800/10/31/pdfs/GMD-1800-88.pdf#page=10","Abrir facsímil")</f>
        <v>Abrir facsímil</v>
      </c>
      <c r="K5005" s="15" t="s">
        <v>23</v>
      </c>
    </row>
    <row r="5006" spans="1:11" ht="42" customHeight="1">
      <c r="A5006" s="4" t="s">
        <v>11566</v>
      </c>
      <c r="B5006" s="5" t="s">
        <v>11567</v>
      </c>
      <c r="C5006" s="5" t="s">
        <v>41</v>
      </c>
      <c r="D5006" s="5" t="s">
        <v>42</v>
      </c>
      <c r="E5006" s="5" t="s">
        <v>120</v>
      </c>
      <c r="F5006" s="9">
        <v>52</v>
      </c>
      <c r="G5006" s="9">
        <v>568</v>
      </c>
      <c r="H5006" s="5" t="s">
        <v>21</v>
      </c>
      <c r="I5006" s="5" t="s">
        <v>11568</v>
      </c>
      <c r="J5006" s="12" t="str">
        <f>HYPERLINK("https://www.boe.es/gazeta/dias/1800/07/01/pdfs/GMD-1800-52.pdf#page=4","Abrir facsímil")</f>
        <v>Abrir facsímil</v>
      </c>
      <c r="K5006" s="15" t="s">
        <v>23</v>
      </c>
    </row>
    <row r="5007" spans="1:11" ht="42" customHeight="1">
      <c r="A5007" s="4" t="s">
        <v>11566</v>
      </c>
      <c r="B5007" s="5" t="s">
        <v>11567</v>
      </c>
      <c r="C5007" s="5" t="s">
        <v>41</v>
      </c>
      <c r="D5007" s="5" t="s">
        <v>42</v>
      </c>
      <c r="E5007" s="5" t="s">
        <v>828</v>
      </c>
      <c r="F5007" s="9">
        <v>53</v>
      </c>
      <c r="G5007" s="9">
        <v>585</v>
      </c>
      <c r="H5007" s="5" t="s">
        <v>21</v>
      </c>
      <c r="I5007" s="5" t="s">
        <v>11569</v>
      </c>
      <c r="J5007" s="12" t="str">
        <f>HYPERLINK("https://www.boe.es/gazeta/dias/1800/07/04/pdfs/GMD-1800-53.pdf#page=5","Abrir facsímil")</f>
        <v>Abrir facsímil</v>
      </c>
      <c r="K5007" s="15" t="s">
        <v>23</v>
      </c>
    </row>
    <row r="5008" spans="1:11" ht="42" customHeight="1">
      <c r="A5008" s="4" t="s">
        <v>11570</v>
      </c>
      <c r="B5008" s="5" t="s">
        <v>11571</v>
      </c>
      <c r="C5008" s="5" t="s">
        <v>18</v>
      </c>
      <c r="D5008" s="5" t="s">
        <v>19</v>
      </c>
      <c r="E5008" s="5" t="s">
        <v>283</v>
      </c>
      <c r="F5008" s="9">
        <v>68</v>
      </c>
      <c r="G5008" s="9">
        <v>765</v>
      </c>
      <c r="H5008" s="5" t="s">
        <v>21</v>
      </c>
      <c r="I5008" s="5" t="s">
        <v>11572</v>
      </c>
      <c r="J5008" s="12" t="str">
        <f>HYPERLINK("https://www.boe.es/gazeta/dias/1800/08/26/pdfs/GMD-1800-68.pdf#page=9","Abrir facsímil")</f>
        <v>Abrir facsímil</v>
      </c>
      <c r="K5008" s="15" t="s">
        <v>23</v>
      </c>
    </row>
    <row r="5009" spans="1:11" ht="42" customHeight="1">
      <c r="A5009" s="4" t="s">
        <v>11573</v>
      </c>
      <c r="B5009" s="5" t="s">
        <v>11573</v>
      </c>
      <c r="C5009" s="5" t="s">
        <v>41</v>
      </c>
      <c r="D5009" s="5" t="s">
        <v>42</v>
      </c>
      <c r="E5009" s="5" t="s">
        <v>410</v>
      </c>
      <c r="F5009" s="9">
        <v>87</v>
      </c>
      <c r="G5009" s="9">
        <v>1005</v>
      </c>
      <c r="H5009" s="5" t="s">
        <v>21</v>
      </c>
      <c r="I5009" s="5" t="s">
        <v>11574</v>
      </c>
      <c r="J5009" s="12" t="str">
        <f>HYPERLINK("https://www.boe.es/gazeta/dias/1800/10/28/pdfs/GMD-1800-87.pdf#page=3","Abrir facsímil")</f>
        <v>Abrir facsímil</v>
      </c>
      <c r="K5009" s="15" t="s">
        <v>23</v>
      </c>
    </row>
    <row r="5010" spans="1:11" ht="42" customHeight="1">
      <c r="A5010" s="4" t="s">
        <v>11575</v>
      </c>
      <c r="B5010" s="5" t="s">
        <v>11576</v>
      </c>
      <c r="C5010" s="5" t="s">
        <v>18</v>
      </c>
      <c r="D5010" s="5" t="s">
        <v>19</v>
      </c>
      <c r="E5010" s="5" t="s">
        <v>314</v>
      </c>
      <c r="F5010" s="9">
        <v>74</v>
      </c>
      <c r="G5010" s="9">
        <v>832</v>
      </c>
      <c r="H5010" s="5" t="s">
        <v>21</v>
      </c>
      <c r="I5010" s="5" t="s">
        <v>11577</v>
      </c>
      <c r="J5010" s="12" t="str">
        <f>HYPERLINK("https://www.boe.es/gazeta/dias/1800/09/12/pdfs/GMD-1800-74.pdf#page=10","Abrir facsímil")</f>
        <v>Abrir facsímil</v>
      </c>
      <c r="K5010" s="15" t="s">
        <v>23</v>
      </c>
    </row>
    <row r="5011" spans="1:11" ht="42" customHeight="1">
      <c r="A5011" s="4" t="s">
        <v>11578</v>
      </c>
      <c r="B5011" s="5" t="s">
        <v>11579</v>
      </c>
      <c r="C5011" s="5" t="s">
        <v>18</v>
      </c>
      <c r="D5011" s="5" t="s">
        <v>19</v>
      </c>
      <c r="E5011" s="5" t="s">
        <v>5375</v>
      </c>
      <c r="F5011" s="9">
        <v>70</v>
      </c>
      <c r="G5011" s="9">
        <v>781</v>
      </c>
      <c r="H5011" s="5" t="s">
        <v>21</v>
      </c>
      <c r="I5011" s="5" t="s">
        <v>11580</v>
      </c>
      <c r="J5011" s="12" t="str">
        <f>HYPERLINK("https://www.boe.es/gazeta/dias/1800/08/31/pdfs/GMD-1800-70E.pdf#page=5","Abrir facsímil")</f>
        <v>Abrir facsímil</v>
      </c>
      <c r="K5011" s="15" t="s">
        <v>23</v>
      </c>
    </row>
    <row r="5012" spans="1:11" ht="42" customHeight="1">
      <c r="A5012" s="4" t="s">
        <v>11578</v>
      </c>
      <c r="B5012" s="5" t="s">
        <v>11579</v>
      </c>
      <c r="C5012" s="5" t="s">
        <v>1179</v>
      </c>
      <c r="D5012" s="5" t="s">
        <v>1180</v>
      </c>
      <c r="E5012" s="5" t="s">
        <v>314</v>
      </c>
      <c r="F5012" s="9">
        <v>74</v>
      </c>
      <c r="G5012" s="9">
        <v>844</v>
      </c>
      <c r="H5012" s="5" t="s">
        <v>21</v>
      </c>
      <c r="I5012" s="5" t="s">
        <v>11581</v>
      </c>
      <c r="J5012" s="12" t="str">
        <f>HYPERLINK("https://www.boe.es/gazeta/dias/1800/09/12/pdfs/GMD-C-1800-74.pdf#page=6","Abrir facsímil")</f>
        <v>Abrir facsímil</v>
      </c>
      <c r="K5012" s="15" t="s">
        <v>23</v>
      </c>
    </row>
    <row r="5013" spans="1:11" ht="42" customHeight="1">
      <c r="A5013" s="4" t="s">
        <v>11582</v>
      </c>
      <c r="B5013" s="5" t="s">
        <v>11583</v>
      </c>
      <c r="C5013" s="5" t="s">
        <v>18</v>
      </c>
      <c r="D5013" s="5" t="s">
        <v>19</v>
      </c>
      <c r="E5013" s="5" t="s">
        <v>1287</v>
      </c>
      <c r="F5013" s="9">
        <v>57</v>
      </c>
      <c r="G5013" s="9">
        <v>648</v>
      </c>
      <c r="H5013" s="5" t="s">
        <v>21</v>
      </c>
      <c r="I5013" s="5" t="s">
        <v>11584</v>
      </c>
      <c r="J5013" s="12" t="str">
        <f>HYPERLINK("https://www.boe.es/gazeta/dias/1800/07/18/pdfs/GMD-1800-57.pdf#page=12","Abrir facsímil")</f>
        <v>Abrir facsímil</v>
      </c>
      <c r="K5013" s="15" t="s">
        <v>23</v>
      </c>
    </row>
    <row r="5014" spans="1:11" ht="42" customHeight="1">
      <c r="A5014" s="4" t="s">
        <v>11585</v>
      </c>
      <c r="B5014" s="5" t="s">
        <v>11586</v>
      </c>
      <c r="C5014" s="5" t="s">
        <v>18</v>
      </c>
      <c r="D5014" s="5" t="s">
        <v>19</v>
      </c>
      <c r="E5014" s="5" t="s">
        <v>56</v>
      </c>
      <c r="F5014" s="9">
        <v>90</v>
      </c>
      <c r="G5014" s="9">
        <v>1056</v>
      </c>
      <c r="H5014" s="5" t="s">
        <v>21</v>
      </c>
      <c r="I5014" s="5" t="s">
        <v>11587</v>
      </c>
      <c r="J5014" s="12" t="str">
        <f>HYPERLINK("https://www.boe.es/gazeta/dias/1800/11/07/pdfs/GMD-1800-90.pdf#page=10","Abrir facsímil")</f>
        <v>Abrir facsímil</v>
      </c>
      <c r="K5014" s="15" t="s">
        <v>23</v>
      </c>
    </row>
    <row r="5015" spans="1:11" ht="42" customHeight="1">
      <c r="A5015" s="4" t="s">
        <v>11588</v>
      </c>
      <c r="B5015" s="5" t="s">
        <v>11589</v>
      </c>
      <c r="C5015" s="5" t="s">
        <v>41</v>
      </c>
      <c r="D5015" s="5" t="s">
        <v>42</v>
      </c>
      <c r="E5015" s="5" t="s">
        <v>1433</v>
      </c>
      <c r="F5015" s="9">
        <v>12</v>
      </c>
      <c r="G5015" s="9">
        <v>110</v>
      </c>
      <c r="H5015" s="5" t="s">
        <v>21</v>
      </c>
      <c r="I5015" s="5" t="s">
        <v>11590</v>
      </c>
      <c r="J5015" s="12" t="str">
        <f>HYPERLINK("https://www.boe.es/gazeta/dias/1800/02/11/pdfs/GMD-1800-12.pdf#page=2","Abrir facsímil")</f>
        <v>Abrir facsímil</v>
      </c>
      <c r="K5015" s="15" t="s">
        <v>23</v>
      </c>
    </row>
    <row r="5016" spans="1:11" ht="42" customHeight="1">
      <c r="A5016" s="4" t="s">
        <v>11591</v>
      </c>
      <c r="B5016" s="5" t="s">
        <v>11592</v>
      </c>
      <c r="C5016" s="5" t="s">
        <v>25</v>
      </c>
      <c r="D5016" s="5" t="s">
        <v>26</v>
      </c>
      <c r="E5016" s="5" t="s">
        <v>1213</v>
      </c>
      <c r="F5016" s="9">
        <v>4</v>
      </c>
      <c r="G5016" s="9">
        <v>36</v>
      </c>
      <c r="H5016" s="5" t="s">
        <v>21</v>
      </c>
      <c r="I5016" s="5" t="s">
        <v>11593</v>
      </c>
      <c r="J5016" s="12" t="str">
        <f>HYPERLINK("https://www.boe.es/gazeta/dias/1800/01/14/pdfs/GMD-1800-4.pdf#page=8","Abrir facsímil")</f>
        <v>Abrir facsímil</v>
      </c>
      <c r="K5016" s="15" t="s">
        <v>23</v>
      </c>
    </row>
    <row r="5017" spans="1:11" ht="42" customHeight="1">
      <c r="A5017" s="4" t="s">
        <v>11594</v>
      </c>
      <c r="B5017" s="5" t="s">
        <v>11595</v>
      </c>
      <c r="C5017" s="5" t="s">
        <v>25</v>
      </c>
      <c r="D5017" s="5" t="s">
        <v>26</v>
      </c>
      <c r="E5017" s="5" t="s">
        <v>1213</v>
      </c>
      <c r="F5017" s="9">
        <v>4</v>
      </c>
      <c r="G5017" s="9">
        <v>37</v>
      </c>
      <c r="H5017" s="5" t="s">
        <v>21</v>
      </c>
      <c r="I5017" s="5" t="s">
        <v>11596</v>
      </c>
      <c r="J5017" s="12" t="str">
        <f>HYPERLINK("https://www.boe.es/gazeta/dias/1800/01/14/pdfs/GMD-1800-4.pdf#page=9","Abrir facsímil")</f>
        <v>Abrir facsímil</v>
      </c>
      <c r="K5017" s="15" t="s">
        <v>23</v>
      </c>
    </row>
    <row r="5018" spans="1:11" ht="42" customHeight="1">
      <c r="A5018" s="4" t="s">
        <v>11597</v>
      </c>
      <c r="B5018" s="5" t="s">
        <v>11598</v>
      </c>
      <c r="C5018" s="5" t="s">
        <v>18</v>
      </c>
      <c r="D5018" s="5" t="s">
        <v>19</v>
      </c>
      <c r="E5018" s="5" t="s">
        <v>262</v>
      </c>
      <c r="F5018" s="9">
        <v>39</v>
      </c>
      <c r="G5018" s="9">
        <v>393</v>
      </c>
      <c r="H5018" s="5" t="s">
        <v>21</v>
      </c>
      <c r="I5018" s="5" t="s">
        <v>11599</v>
      </c>
      <c r="J5018" s="12" t="str">
        <f>HYPERLINK("https://www.boe.es/gazeta/dias/1800/05/16/pdfs/GMD-1800-39.pdf#page=1","Abrir facsímil")</f>
        <v>Abrir facsímil</v>
      </c>
      <c r="K5018" s="15" t="s">
        <v>23</v>
      </c>
    </row>
    <row r="5019" spans="1:11" ht="42" customHeight="1">
      <c r="A5019" s="4" t="s">
        <v>11600</v>
      </c>
      <c r="B5019" s="5" t="s">
        <v>11600</v>
      </c>
      <c r="C5019" s="5" t="s">
        <v>25</v>
      </c>
      <c r="D5019" s="5" t="s">
        <v>26</v>
      </c>
      <c r="E5019" s="5" t="s">
        <v>75</v>
      </c>
      <c r="F5019" s="9">
        <v>64</v>
      </c>
      <c r="G5019" s="9">
        <v>736</v>
      </c>
      <c r="H5019" s="5" t="s">
        <v>21</v>
      </c>
      <c r="I5019" s="5" t="s">
        <v>11601</v>
      </c>
      <c r="J5019" s="12" t="str">
        <f>HYPERLINK("https://www.boe.es/gazeta/dias/1800/08/12/pdfs/GMD-1800-64.pdf#page=12","Abrir facsímil")</f>
        <v>Abrir facsímil</v>
      </c>
      <c r="K5019" s="15" t="s">
        <v>23</v>
      </c>
    </row>
    <row r="5020" spans="1:11" ht="42" customHeight="1">
      <c r="A5020" s="4" t="s">
        <v>11602</v>
      </c>
      <c r="B5020" s="5" t="s">
        <v>11602</v>
      </c>
      <c r="C5020" s="5" t="s">
        <v>18</v>
      </c>
      <c r="D5020" s="5" t="s">
        <v>19</v>
      </c>
      <c r="E5020" s="5" t="s">
        <v>31</v>
      </c>
      <c r="F5020" s="9">
        <v>20</v>
      </c>
      <c r="G5020" s="9">
        <v>192</v>
      </c>
      <c r="H5020" s="5" t="s">
        <v>21</v>
      </c>
      <c r="I5020" s="5" t="s">
        <v>11603</v>
      </c>
      <c r="J5020" s="12" t="str">
        <f>HYPERLINK("https://www.boe.es/gazeta/dias/1800/03/11/pdfs/GMD-1800-20.pdf#page=8","Abrir facsímil")</f>
        <v>Abrir facsímil</v>
      </c>
      <c r="K5020" s="15" t="s">
        <v>23</v>
      </c>
    </row>
    <row r="5021" spans="1:11" ht="42" customHeight="1">
      <c r="A5021" s="4" t="s">
        <v>11602</v>
      </c>
      <c r="B5021" s="5" t="s">
        <v>11602</v>
      </c>
      <c r="C5021" s="5" t="s">
        <v>18</v>
      </c>
      <c r="D5021" s="5" t="s">
        <v>19</v>
      </c>
      <c r="E5021" s="5" t="s">
        <v>135</v>
      </c>
      <c r="F5021" s="9">
        <v>73</v>
      </c>
      <c r="G5021" s="9">
        <v>815</v>
      </c>
      <c r="H5021" s="5" t="s">
        <v>21</v>
      </c>
      <c r="I5021" s="5" t="s">
        <v>11604</v>
      </c>
      <c r="J5021" s="12" t="str">
        <f>HYPERLINK("https://www.boe.es/gazeta/dias/1800/09/09/pdfs/GMD-1800-73.pdf#page=9","Abrir facsímil")</f>
        <v>Abrir facsímil</v>
      </c>
      <c r="K5021" s="15" t="s">
        <v>23</v>
      </c>
    </row>
    <row r="5022" spans="1:11" ht="42" customHeight="1">
      <c r="A5022" s="4" t="s">
        <v>11605</v>
      </c>
      <c r="B5022" s="5" t="s">
        <v>11606</v>
      </c>
      <c r="C5022" s="5" t="s">
        <v>84</v>
      </c>
      <c r="D5022" s="5" t="s">
        <v>85</v>
      </c>
      <c r="E5022" s="5" t="s">
        <v>45</v>
      </c>
      <c r="F5022" s="9">
        <v>47</v>
      </c>
      <c r="G5022" s="9">
        <v>504</v>
      </c>
      <c r="H5022" s="5" t="s">
        <v>21</v>
      </c>
      <c r="I5022" s="5" t="s">
        <v>11607</v>
      </c>
      <c r="J5022" s="12" t="str">
        <f>HYPERLINK("https://www.boe.es/gazeta/dias/1800/06/13/pdfs/GMD-1800-47.pdf#page=12","Abrir facsímil")</f>
        <v>Abrir facsímil</v>
      </c>
      <c r="K5022" s="15" t="s">
        <v>23</v>
      </c>
    </row>
    <row r="5023" spans="1:11" ht="42" customHeight="1">
      <c r="A5023" s="4" t="s">
        <v>11605</v>
      </c>
      <c r="B5023" s="5" t="s">
        <v>11606</v>
      </c>
      <c r="C5023" s="5" t="s">
        <v>84</v>
      </c>
      <c r="D5023" s="5" t="s">
        <v>85</v>
      </c>
      <c r="E5023" s="5" t="s">
        <v>583</v>
      </c>
      <c r="F5023" s="9">
        <v>77</v>
      </c>
      <c r="G5023" s="9">
        <v>882</v>
      </c>
      <c r="H5023" s="5" t="s">
        <v>21</v>
      </c>
      <c r="I5023" s="5" t="s">
        <v>11608</v>
      </c>
      <c r="J5023" s="12" t="str">
        <f>HYPERLINK("https://www.boe.es/gazeta/dias/1800/09/23/pdfs/GMD-1800-77.pdf#page=12","Abrir facsímil")</f>
        <v>Abrir facsímil</v>
      </c>
      <c r="K5023" s="15" t="s">
        <v>23</v>
      </c>
    </row>
    <row r="5024" spans="1:11" ht="42" customHeight="1">
      <c r="A5024" s="4" t="s">
        <v>11609</v>
      </c>
      <c r="B5024" s="5" t="s">
        <v>11609</v>
      </c>
      <c r="C5024" s="5" t="s">
        <v>18</v>
      </c>
      <c r="D5024" s="5" t="s">
        <v>19</v>
      </c>
      <c r="E5024" s="5" t="s">
        <v>240</v>
      </c>
      <c r="F5024" s="9">
        <v>26</v>
      </c>
      <c r="G5024" s="9">
        <v>268</v>
      </c>
      <c r="H5024" s="5" t="s">
        <v>21</v>
      </c>
      <c r="I5024" s="5" t="s">
        <v>11610</v>
      </c>
      <c r="J5024" s="12" t="str">
        <f>HYPERLINK("https://www.boe.es/gazeta/dias/1800/04/01/pdfs/GMD-1800-26.pdf#page=8","Abrir facsímil")</f>
        <v>Abrir facsímil</v>
      </c>
      <c r="K5024" s="15" t="s">
        <v>23</v>
      </c>
    </row>
    <row r="5025" spans="1:11" ht="42" customHeight="1">
      <c r="A5025" s="4" t="s">
        <v>11611</v>
      </c>
      <c r="B5025" s="5" t="s">
        <v>11612</v>
      </c>
      <c r="C5025" s="5" t="s">
        <v>207</v>
      </c>
      <c r="D5025" s="5" t="s">
        <v>55</v>
      </c>
      <c r="E5025" s="5" t="s">
        <v>255</v>
      </c>
      <c r="F5025" s="9">
        <v>75</v>
      </c>
      <c r="G5025" s="9">
        <v>854</v>
      </c>
      <c r="H5025" s="5" t="s">
        <v>21</v>
      </c>
      <c r="I5025" s="5" t="s">
        <v>11613</v>
      </c>
      <c r="J5025" s="12" t="str">
        <f>HYPERLINK("https://www.boe.es/gazeta/dias/1800/09/16/pdfs/GMD-1800-75.pdf#page=8","Abrir facsímil")</f>
        <v>Abrir facsímil</v>
      </c>
      <c r="K5025" s="15" t="s">
        <v>23</v>
      </c>
    </row>
    <row r="5026" spans="1:11" ht="42" customHeight="1">
      <c r="A5026" s="4" t="s">
        <v>11614</v>
      </c>
      <c r="B5026" s="5" t="s">
        <v>11615</v>
      </c>
      <c r="C5026" s="5" t="s">
        <v>18</v>
      </c>
      <c r="D5026" s="5" t="s">
        <v>19</v>
      </c>
      <c r="E5026" s="5" t="s">
        <v>406</v>
      </c>
      <c r="F5026" s="9">
        <v>44</v>
      </c>
      <c r="G5026" s="9">
        <v>461</v>
      </c>
      <c r="H5026" s="5" t="s">
        <v>21</v>
      </c>
      <c r="I5026" s="5" t="s">
        <v>11616</v>
      </c>
      <c r="J5026" s="12" t="str">
        <f>HYPERLINK("https://www.boe.es/gazeta/dias/1800/06/03/pdfs/GMD-1800-44.pdf#page=9","Abrir facsímil")</f>
        <v>Abrir facsímil</v>
      </c>
      <c r="K5026" s="15" t="s">
        <v>23</v>
      </c>
    </row>
    <row r="5027" spans="1:11" ht="42" customHeight="1">
      <c r="A5027" s="4" t="s">
        <v>11617</v>
      </c>
      <c r="B5027" s="5" t="s">
        <v>11617</v>
      </c>
      <c r="C5027" s="5" t="s">
        <v>41</v>
      </c>
      <c r="D5027" s="5" t="s">
        <v>42</v>
      </c>
      <c r="E5027" s="5" t="s">
        <v>58</v>
      </c>
      <c r="F5027" s="9">
        <v>92</v>
      </c>
      <c r="G5027" s="9">
        <v>1049</v>
      </c>
      <c r="H5027" s="5" t="s">
        <v>21</v>
      </c>
      <c r="I5027" s="5" t="s">
        <v>11618</v>
      </c>
      <c r="J5027" s="12" t="str">
        <f>HYPERLINK("https://www.boe.es/gazeta/dias/1800/11/14/pdfs/GMD-1800-92.pdf#page=3","Abrir facsímil")</f>
        <v>Abrir facsímil</v>
      </c>
      <c r="K5027" s="15" t="s">
        <v>23</v>
      </c>
    </row>
    <row r="5028" spans="1:11" ht="42" customHeight="1">
      <c r="A5028" s="4" t="s">
        <v>11619</v>
      </c>
      <c r="B5028" s="5" t="s">
        <v>11620</v>
      </c>
      <c r="C5028" s="5" t="s">
        <v>41</v>
      </c>
      <c r="D5028" s="5" t="s">
        <v>42</v>
      </c>
      <c r="E5028" s="5" t="s">
        <v>240</v>
      </c>
      <c r="F5028" s="9">
        <v>26</v>
      </c>
      <c r="G5028" s="9">
        <v>262</v>
      </c>
      <c r="H5028" s="5" t="s">
        <v>21</v>
      </c>
      <c r="I5028" s="5" t="s">
        <v>11621</v>
      </c>
      <c r="J5028" s="12" t="str">
        <f>HYPERLINK("https://www.boe.es/gazeta/dias/1800/04/01/pdfs/GMD-1800-26.pdf#page=2","Abrir facsímil")</f>
        <v>Abrir facsímil</v>
      </c>
      <c r="K5028" s="15" t="s">
        <v>23</v>
      </c>
    </row>
    <row r="5029" spans="1:11" ht="42" customHeight="1">
      <c r="A5029" s="4" t="s">
        <v>11622</v>
      </c>
      <c r="B5029" s="5" t="s">
        <v>11623</v>
      </c>
      <c r="C5029" s="5" t="s">
        <v>41</v>
      </c>
      <c r="D5029" s="5" t="s">
        <v>42</v>
      </c>
      <c r="E5029" s="5" t="s">
        <v>230</v>
      </c>
      <c r="F5029" s="9">
        <v>35</v>
      </c>
      <c r="G5029" s="9">
        <v>350</v>
      </c>
      <c r="H5029" s="5" t="s">
        <v>21</v>
      </c>
      <c r="I5029" s="5" t="s">
        <v>11624</v>
      </c>
      <c r="J5029" s="12" t="str">
        <f>HYPERLINK("https://www.boe.es/gazeta/dias/1800/05/02/pdfs/GMD-1800-35.pdf#page=2","Abrir facsímil")</f>
        <v>Abrir facsímil</v>
      </c>
      <c r="K5029" s="15" t="s">
        <v>23</v>
      </c>
    </row>
    <row r="5030" spans="1:11" ht="42" customHeight="1">
      <c r="A5030" s="4" t="s">
        <v>11625</v>
      </c>
      <c r="B5030" s="5" t="s">
        <v>11625</v>
      </c>
      <c r="C5030" s="5" t="s">
        <v>25</v>
      </c>
      <c r="D5030" s="5" t="s">
        <v>26</v>
      </c>
      <c r="E5030" s="5" t="s">
        <v>845</v>
      </c>
      <c r="F5030" s="9">
        <v>80</v>
      </c>
      <c r="G5030" s="9">
        <v>910</v>
      </c>
      <c r="H5030" s="5" t="s">
        <v>21</v>
      </c>
      <c r="I5030" s="5" t="s">
        <v>11626</v>
      </c>
      <c r="J5030" s="12" t="str">
        <f>HYPERLINK("https://www.boe.es/gazeta/dias/1800/10/03/pdfs/GMD-1800-80.pdf#page=8","Abrir facsímil")</f>
        <v>Abrir facsímil</v>
      </c>
      <c r="K5030" s="15" t="s">
        <v>23</v>
      </c>
    </row>
    <row r="5031" spans="1:11" ht="42" customHeight="1">
      <c r="A5031" s="4" t="s">
        <v>11627</v>
      </c>
      <c r="B5031" s="5" t="s">
        <v>11628</v>
      </c>
      <c r="C5031" s="5" t="s">
        <v>25</v>
      </c>
      <c r="D5031" s="5" t="s">
        <v>26</v>
      </c>
      <c r="E5031" s="5" t="s">
        <v>203</v>
      </c>
      <c r="F5031" s="9">
        <v>94</v>
      </c>
      <c r="G5031" s="9">
        <v>1080</v>
      </c>
      <c r="H5031" s="5" t="s">
        <v>21</v>
      </c>
      <c r="I5031" s="5" t="s">
        <v>11629</v>
      </c>
      <c r="J5031" s="12" t="str">
        <f>HYPERLINK("https://www.boe.es/gazeta/dias/1800/11/21/pdfs/GMD-1800-94.pdf#page=10","Abrir facsímil")</f>
        <v>Abrir facsímil</v>
      </c>
      <c r="K5031" s="15" t="s">
        <v>23</v>
      </c>
    </row>
    <row r="5032" spans="1:11" ht="42" customHeight="1">
      <c r="A5032" s="4" t="s">
        <v>11630</v>
      </c>
      <c r="B5032" s="5" t="s">
        <v>11631</v>
      </c>
      <c r="C5032" s="5" t="s">
        <v>25</v>
      </c>
      <c r="D5032" s="5" t="s">
        <v>26</v>
      </c>
      <c r="E5032" s="5" t="s">
        <v>190</v>
      </c>
      <c r="F5032" s="9">
        <v>93</v>
      </c>
      <c r="G5032" s="9">
        <v>1068</v>
      </c>
      <c r="H5032" s="5" t="s">
        <v>21</v>
      </c>
      <c r="I5032" s="5" t="s">
        <v>11632</v>
      </c>
      <c r="J5032" s="12" t="str">
        <f>HYPERLINK("https://www.boe.es/gazeta/dias/1800/11/18/pdfs/GMD-1800-93.pdf#page=14","Abrir facsímil")</f>
        <v>Abrir facsímil</v>
      </c>
      <c r="K5032" s="15" t="s">
        <v>23</v>
      </c>
    </row>
    <row r="5033" spans="1:11" ht="42" customHeight="1">
      <c r="A5033" s="4" t="s">
        <v>11633</v>
      </c>
      <c r="B5033" s="5" t="s">
        <v>11634</v>
      </c>
      <c r="C5033" s="5" t="s">
        <v>18</v>
      </c>
      <c r="D5033" s="5" t="s">
        <v>19</v>
      </c>
      <c r="E5033" s="5" t="s">
        <v>214</v>
      </c>
      <c r="F5033" s="9">
        <v>41</v>
      </c>
      <c r="G5033" s="9">
        <v>423</v>
      </c>
      <c r="H5033" s="5" t="s">
        <v>21</v>
      </c>
      <c r="I5033" s="5" t="s">
        <v>11635</v>
      </c>
      <c r="J5033" s="12" t="str">
        <f>HYPERLINK("https://www.boe.es/gazeta/dias/1800/05/23/pdfs/GMD-1800-41.pdf#page=7","Abrir facsímil")</f>
        <v>Abrir facsímil</v>
      </c>
      <c r="K5033" s="15" t="s">
        <v>23</v>
      </c>
    </row>
    <row r="5034" spans="1:11" ht="42" customHeight="1">
      <c r="A5034" s="4" t="s">
        <v>11636</v>
      </c>
      <c r="B5034" s="5" t="s">
        <v>11637</v>
      </c>
      <c r="C5034" s="5" t="s">
        <v>18</v>
      </c>
      <c r="D5034" s="5" t="s">
        <v>19</v>
      </c>
      <c r="E5034" s="5" t="s">
        <v>75</v>
      </c>
      <c r="F5034" s="9">
        <v>64</v>
      </c>
      <c r="G5034" s="9">
        <v>733</v>
      </c>
      <c r="H5034" s="5" t="s">
        <v>21</v>
      </c>
      <c r="I5034" s="5" t="s">
        <v>11638</v>
      </c>
      <c r="J5034" s="12" t="str">
        <f>HYPERLINK("https://www.boe.es/gazeta/dias/1800/08/12/pdfs/GMD-1800-64.pdf#page=9","Abrir facsímil")</f>
        <v>Abrir facsímil</v>
      </c>
      <c r="K5034" s="15" t="s">
        <v>23</v>
      </c>
    </row>
    <row r="5035" spans="1:11" ht="42" customHeight="1">
      <c r="A5035" s="4" t="s">
        <v>11639</v>
      </c>
      <c r="B5035" s="5" t="s">
        <v>11640</v>
      </c>
      <c r="C5035" s="5" t="s">
        <v>18</v>
      </c>
      <c r="D5035" s="5" t="s">
        <v>19</v>
      </c>
      <c r="E5035" s="5" t="s">
        <v>135</v>
      </c>
      <c r="F5035" s="9">
        <v>73</v>
      </c>
      <c r="G5035" s="9">
        <v>816</v>
      </c>
      <c r="H5035" s="5" t="s">
        <v>21</v>
      </c>
      <c r="I5035" s="5" t="s">
        <v>11641</v>
      </c>
      <c r="J5035" s="12" t="str">
        <f>HYPERLINK("https://www.boe.es/gazeta/dias/1800/09/09/pdfs/GMD-1800-73.pdf#page=10","Abrir facsímil")</f>
        <v>Abrir facsímil</v>
      </c>
      <c r="K5035" s="15" t="s">
        <v>23</v>
      </c>
    </row>
    <row r="5036" spans="1:11" ht="42" customHeight="1">
      <c r="A5036" s="4" t="s">
        <v>11642</v>
      </c>
      <c r="B5036" s="5" t="s">
        <v>11642</v>
      </c>
      <c r="C5036" s="5" t="s">
        <v>84</v>
      </c>
      <c r="D5036" s="5" t="s">
        <v>85</v>
      </c>
      <c r="E5036" s="5" t="s">
        <v>600</v>
      </c>
      <c r="F5036" s="9">
        <v>45</v>
      </c>
      <c r="G5036" s="9">
        <v>473</v>
      </c>
      <c r="H5036" s="5" t="s">
        <v>21</v>
      </c>
      <c r="I5036" s="5" t="s">
        <v>11643</v>
      </c>
      <c r="J5036" s="12" t="str">
        <f>HYPERLINK("https://www.boe.es/gazeta/dias/1800/06/06/pdfs/GMD-1800-45.pdf#page=9","Abrir facsímil")</f>
        <v>Abrir facsímil</v>
      </c>
      <c r="K5036" s="15" t="s">
        <v>23</v>
      </c>
    </row>
    <row r="5037" spans="1:11" ht="42" customHeight="1">
      <c r="A5037" s="4" t="s">
        <v>11642</v>
      </c>
      <c r="B5037" s="5" t="s">
        <v>11642</v>
      </c>
      <c r="C5037" s="5" t="s">
        <v>84</v>
      </c>
      <c r="D5037" s="5" t="s">
        <v>85</v>
      </c>
      <c r="E5037" s="5" t="s">
        <v>572</v>
      </c>
      <c r="F5037" s="9">
        <v>76</v>
      </c>
      <c r="G5037" s="9">
        <v>869</v>
      </c>
      <c r="H5037" s="5" t="s">
        <v>21</v>
      </c>
      <c r="I5037" s="5" t="s">
        <v>11644</v>
      </c>
      <c r="J5037" s="12" t="str">
        <f>HYPERLINK("https://www.boe.es/gazeta/dias/1800/09/19/pdfs/GMD-1800-76.pdf#page=11","Abrir facsímil")</f>
        <v>Abrir facsímil</v>
      </c>
      <c r="K5037" s="15" t="s">
        <v>23</v>
      </c>
    </row>
    <row r="5038" spans="1:11" ht="42" customHeight="1">
      <c r="A5038" s="4" t="s">
        <v>11645</v>
      </c>
      <c r="B5038" s="5" t="s">
        <v>11646</v>
      </c>
      <c r="C5038" s="5" t="s">
        <v>18</v>
      </c>
      <c r="D5038" s="5" t="s">
        <v>19</v>
      </c>
      <c r="E5038" s="5" t="s">
        <v>454</v>
      </c>
      <c r="F5038" s="9">
        <v>63</v>
      </c>
      <c r="G5038" s="9">
        <v>720</v>
      </c>
      <c r="H5038" s="5" t="s">
        <v>21</v>
      </c>
      <c r="I5038" s="5" t="s">
        <v>11647</v>
      </c>
      <c r="J5038" s="12" t="str">
        <f>HYPERLINK("https://www.boe.es/gazeta/dias/1800/08/08/pdfs/GMD-1800-63.pdf#page=8","Abrir facsímil")</f>
        <v>Abrir facsímil</v>
      </c>
      <c r="K5038" s="15" t="s">
        <v>23</v>
      </c>
    </row>
    <row r="5039" spans="1:11" ht="42" customHeight="1">
      <c r="A5039" s="4" t="s">
        <v>11648</v>
      </c>
      <c r="B5039" s="5" t="s">
        <v>11649</v>
      </c>
      <c r="C5039" s="5" t="s">
        <v>41</v>
      </c>
      <c r="D5039" s="5" t="s">
        <v>42</v>
      </c>
      <c r="E5039" s="5" t="s">
        <v>64</v>
      </c>
      <c r="F5039" s="9">
        <v>54</v>
      </c>
      <c r="G5039" s="9">
        <v>601</v>
      </c>
      <c r="H5039" s="5" t="s">
        <v>21</v>
      </c>
      <c r="I5039" s="5" t="s">
        <v>11650</v>
      </c>
      <c r="J5039" s="12" t="str">
        <f>HYPERLINK("https://www.boe.es/gazeta/dias/1800/07/08/pdfs/GMD-1800-54.pdf#page=5","Abrir facsímil")</f>
        <v>Abrir facsímil</v>
      </c>
      <c r="K5039" s="15" t="s">
        <v>23</v>
      </c>
    </row>
    <row r="5040" spans="1:11" ht="42" customHeight="1">
      <c r="A5040" s="4" t="s">
        <v>11651</v>
      </c>
      <c r="B5040" s="5" t="s">
        <v>11652</v>
      </c>
      <c r="C5040" s="5" t="s">
        <v>18</v>
      </c>
      <c r="D5040" s="5" t="s">
        <v>19</v>
      </c>
      <c r="E5040" s="5" t="s">
        <v>111</v>
      </c>
      <c r="F5040" s="9">
        <v>98</v>
      </c>
      <c r="G5040" s="9">
        <v>1129</v>
      </c>
      <c r="H5040" s="5" t="s">
        <v>21</v>
      </c>
      <c r="I5040" s="5" t="s">
        <v>11653</v>
      </c>
      <c r="J5040" s="12" t="str">
        <f>HYPERLINK("https://www.boe.es/gazeta/dias/1800/12/05/pdfs/GMD-1800-98.pdf#page=9","Abrir facsímil")</f>
        <v>Abrir facsímil</v>
      </c>
      <c r="K5040" s="15" t="s">
        <v>23</v>
      </c>
    </row>
    <row r="5041" spans="1:11" ht="42" customHeight="1">
      <c r="A5041" s="4" t="s">
        <v>11654</v>
      </c>
      <c r="B5041" s="5" t="s">
        <v>11655</v>
      </c>
      <c r="C5041" s="5" t="s">
        <v>18</v>
      </c>
      <c r="D5041" s="5" t="s">
        <v>19</v>
      </c>
      <c r="E5041" s="5" t="s">
        <v>143</v>
      </c>
      <c r="F5041" s="9">
        <v>22</v>
      </c>
      <c r="G5041" s="9">
        <v>221</v>
      </c>
      <c r="H5041" s="5" t="s">
        <v>21</v>
      </c>
      <c r="I5041" s="5" t="s">
        <v>11656</v>
      </c>
      <c r="J5041" s="12" t="str">
        <f>HYPERLINK("https://www.boe.es/gazeta/dias/1800/03/18/pdfs/GMD-1800-22.pdf#page=13","Abrir facsímil")</f>
        <v>Abrir facsímil</v>
      </c>
      <c r="K5041" s="15" t="s">
        <v>23</v>
      </c>
    </row>
    <row r="5042" spans="1:11" ht="42" customHeight="1">
      <c r="A5042" s="4" t="s">
        <v>11657</v>
      </c>
      <c r="B5042" s="5" t="s">
        <v>11658</v>
      </c>
      <c r="C5042" s="5" t="s">
        <v>18</v>
      </c>
      <c r="D5042" s="5" t="s">
        <v>19</v>
      </c>
      <c r="E5042" s="5" t="s">
        <v>180</v>
      </c>
      <c r="F5042" s="9">
        <v>102</v>
      </c>
      <c r="G5042" s="9">
        <v>1185</v>
      </c>
      <c r="H5042" s="5" t="s">
        <v>21</v>
      </c>
      <c r="I5042" s="5" t="s">
        <v>11659</v>
      </c>
      <c r="J5042" s="12" t="str">
        <f>HYPERLINK("https://www.boe.es/gazeta/dias/1800/12/19/pdfs/GMD-1800-102.pdf#page=9","Abrir facsímil")</f>
        <v>Abrir facsímil</v>
      </c>
      <c r="K5042" s="15" t="s">
        <v>23</v>
      </c>
    </row>
    <row r="5043" spans="1:11" ht="42" customHeight="1">
      <c r="A5043" s="4" t="s">
        <v>11660</v>
      </c>
      <c r="B5043" s="5" t="s">
        <v>11661</v>
      </c>
      <c r="C5043" s="5" t="s">
        <v>18</v>
      </c>
      <c r="D5043" s="5" t="s">
        <v>19</v>
      </c>
      <c r="E5043" s="5" t="s">
        <v>314</v>
      </c>
      <c r="F5043" s="9">
        <v>74</v>
      </c>
      <c r="G5043" s="9">
        <v>833</v>
      </c>
      <c r="H5043" s="5" t="s">
        <v>21</v>
      </c>
      <c r="I5043" s="5" t="s">
        <v>11662</v>
      </c>
      <c r="J5043" s="12" t="str">
        <f>HYPERLINK("https://www.boe.es/gazeta/dias/1800/09/12/pdfs/GMD-1800-74.pdf#page=11","Abrir facsímil")</f>
        <v>Abrir facsímil</v>
      </c>
      <c r="K5043" s="15" t="s">
        <v>23</v>
      </c>
    </row>
    <row r="5044" spans="1:11" ht="42" customHeight="1">
      <c r="A5044" s="4" t="s">
        <v>11663</v>
      </c>
      <c r="B5044" s="5" t="s">
        <v>11664</v>
      </c>
      <c r="C5044" s="5" t="s">
        <v>41</v>
      </c>
      <c r="D5044" s="5" t="s">
        <v>42</v>
      </c>
      <c r="E5044" s="5" t="s">
        <v>828</v>
      </c>
      <c r="F5044" s="9">
        <v>53</v>
      </c>
      <c r="G5044" s="9">
        <v>583</v>
      </c>
      <c r="H5044" s="5" t="s">
        <v>21</v>
      </c>
      <c r="I5044" s="5" t="s">
        <v>11665</v>
      </c>
      <c r="J5044" s="12" t="str">
        <f>HYPERLINK("https://www.boe.es/gazeta/dias/1800/07/04/pdfs/GMD-1800-53.pdf#page=3","Abrir facsímil")</f>
        <v>Abrir facsímil</v>
      </c>
      <c r="K5044" s="15" t="s">
        <v>23</v>
      </c>
    </row>
    <row r="5045" spans="1:11" ht="42" customHeight="1">
      <c r="A5045" s="4" t="s">
        <v>11666</v>
      </c>
      <c r="B5045" s="5" t="s">
        <v>11667</v>
      </c>
      <c r="C5045" s="5" t="s">
        <v>41</v>
      </c>
      <c r="D5045" s="5" t="s">
        <v>42</v>
      </c>
      <c r="E5045" s="5" t="s">
        <v>158</v>
      </c>
      <c r="F5045" s="9">
        <v>25</v>
      </c>
      <c r="G5045" s="9">
        <v>251</v>
      </c>
      <c r="H5045" s="5" t="s">
        <v>21</v>
      </c>
      <c r="I5045" s="5" t="s">
        <v>11668</v>
      </c>
      <c r="J5045" s="12" t="str">
        <f>HYPERLINK("https://www.boe.es/gazeta/dias/1800/03/28/pdfs/GMD-1800-25.pdf#page=3","Abrir facsímil")</f>
        <v>Abrir facsímil</v>
      </c>
      <c r="K5045" s="15" t="s">
        <v>23</v>
      </c>
    </row>
    <row r="5046" spans="1:11" ht="42" customHeight="1">
      <c r="A5046" s="4" t="s">
        <v>11666</v>
      </c>
      <c r="B5046" s="5" t="s">
        <v>11667</v>
      </c>
      <c r="C5046" s="5" t="s">
        <v>41</v>
      </c>
      <c r="D5046" s="5" t="s">
        <v>42</v>
      </c>
      <c r="E5046" s="5" t="s">
        <v>319</v>
      </c>
      <c r="F5046" s="9">
        <v>62</v>
      </c>
      <c r="G5046" s="9">
        <v>705</v>
      </c>
      <c r="H5046" s="5" t="s">
        <v>21</v>
      </c>
      <c r="I5046" s="5" t="s">
        <v>11669</v>
      </c>
      <c r="J5046" s="12" t="str">
        <f>HYPERLINK("https://www.boe.es/gazeta/dias/1800/08/05/pdfs/GMD-1800-62.pdf#page=5","Abrir facsímil")</f>
        <v>Abrir facsímil</v>
      </c>
      <c r="K5046" s="15" t="s">
        <v>23</v>
      </c>
    </row>
    <row r="5047" spans="1:11" ht="42" customHeight="1">
      <c r="A5047" s="4" t="s">
        <v>11670</v>
      </c>
      <c r="B5047" s="5" t="s">
        <v>11670</v>
      </c>
      <c r="C5047" s="5" t="s">
        <v>41</v>
      </c>
      <c r="D5047" s="5" t="s">
        <v>42</v>
      </c>
      <c r="E5047" s="5" t="s">
        <v>1287</v>
      </c>
      <c r="F5047" s="9">
        <v>57</v>
      </c>
      <c r="G5047" s="9">
        <v>639</v>
      </c>
      <c r="H5047" s="5" t="s">
        <v>21</v>
      </c>
      <c r="I5047" s="5" t="s">
        <v>11671</v>
      </c>
      <c r="J5047" s="12" t="str">
        <f>HYPERLINK("https://www.boe.es/gazeta/dias/1800/07/18/pdfs/GMD-1800-57.pdf#page=3","Abrir facsímil")</f>
        <v>Abrir facsímil</v>
      </c>
      <c r="K5047" s="15" t="s">
        <v>23</v>
      </c>
    </row>
    <row r="5048" spans="1:11" ht="42" customHeight="1">
      <c r="A5048" s="4" t="s">
        <v>11672</v>
      </c>
      <c r="B5048" s="5" t="s">
        <v>11673</v>
      </c>
      <c r="C5048" s="5" t="s">
        <v>41</v>
      </c>
      <c r="D5048" s="5" t="s">
        <v>42</v>
      </c>
      <c r="E5048" s="5" t="s">
        <v>1287</v>
      </c>
      <c r="F5048" s="9">
        <v>57</v>
      </c>
      <c r="G5048" s="9">
        <v>639</v>
      </c>
      <c r="H5048" s="5" t="s">
        <v>21</v>
      </c>
      <c r="I5048" s="5" t="s">
        <v>11674</v>
      </c>
      <c r="J5048" s="12" t="str">
        <f>HYPERLINK("https://www.boe.es/gazeta/dias/1800/07/18/pdfs/GMD-1800-57.pdf#page=3","Abrir facsímil")</f>
        <v>Abrir facsímil</v>
      </c>
      <c r="K5048" s="15" t="s">
        <v>23</v>
      </c>
    </row>
    <row r="5049" spans="1:11" ht="42" customHeight="1">
      <c r="A5049" s="4" t="s">
        <v>11672</v>
      </c>
      <c r="B5049" s="5" t="s">
        <v>11673</v>
      </c>
      <c r="C5049" s="5" t="s">
        <v>41</v>
      </c>
      <c r="D5049" s="5" t="s">
        <v>42</v>
      </c>
      <c r="E5049" s="5" t="s">
        <v>154</v>
      </c>
      <c r="F5049" s="9">
        <v>61</v>
      </c>
      <c r="G5049" s="9">
        <v>691</v>
      </c>
      <c r="H5049" s="5" t="s">
        <v>21</v>
      </c>
      <c r="I5049" s="5" t="s">
        <v>11675</v>
      </c>
      <c r="J5049" s="12" t="str">
        <f>HYPERLINK("https://www.boe.es/gazeta/dias/1800/08/01/pdfs/GMD-1800-61.pdf#page=3","Abrir facsímil")</f>
        <v>Abrir facsímil</v>
      </c>
      <c r="K5049" s="15" t="s">
        <v>23</v>
      </c>
    </row>
    <row r="5050" spans="1:11" ht="42" customHeight="1">
      <c r="A5050" s="4" t="s">
        <v>11676</v>
      </c>
      <c r="B5050" s="5" t="s">
        <v>11677</v>
      </c>
      <c r="C5050" s="5" t="s">
        <v>54</v>
      </c>
      <c r="D5050" s="5" t="s">
        <v>55</v>
      </c>
      <c r="E5050" s="5" t="s">
        <v>58</v>
      </c>
      <c r="F5050" s="9">
        <v>92</v>
      </c>
      <c r="G5050" s="9">
        <v>1053</v>
      </c>
      <c r="H5050" s="5" t="s">
        <v>21</v>
      </c>
      <c r="I5050" s="5" t="s">
        <v>11678</v>
      </c>
      <c r="J5050" s="12" t="str">
        <f>HYPERLINK("https://www.boe.es/gazeta/dias/1800/11/14/pdfs/GMD-1800-92.pdf#page=7","Abrir facsímil")</f>
        <v>Abrir facsímil</v>
      </c>
      <c r="K5050" s="15" t="s">
        <v>23</v>
      </c>
    </row>
    <row r="5051" spans="1:11" ht="42" customHeight="1">
      <c r="A5051" s="4" t="s">
        <v>11679</v>
      </c>
      <c r="B5051" s="5" t="s">
        <v>11680</v>
      </c>
      <c r="C5051" s="5" t="s">
        <v>41</v>
      </c>
      <c r="D5051" s="5" t="s">
        <v>42</v>
      </c>
      <c r="E5051" s="5" t="s">
        <v>567</v>
      </c>
      <c r="F5051" s="9">
        <v>3</v>
      </c>
      <c r="G5051" s="9">
        <v>26</v>
      </c>
      <c r="H5051" s="5" t="s">
        <v>21</v>
      </c>
      <c r="I5051" s="5" t="s">
        <v>11681</v>
      </c>
      <c r="J5051" s="12" t="str">
        <f>HYPERLINK("https://www.boe.es/gazeta/dias/1800/01/10/pdfs/GMD-1800-3.pdf#page=6","Abrir facsímil")</f>
        <v>Abrir facsímil</v>
      </c>
      <c r="K5051" s="15" t="s">
        <v>23</v>
      </c>
    </row>
    <row r="5052" spans="1:11" ht="42" customHeight="1">
      <c r="A5052" s="4" t="s">
        <v>11679</v>
      </c>
      <c r="B5052" s="5" t="s">
        <v>11680</v>
      </c>
      <c r="C5052" s="5" t="s">
        <v>41</v>
      </c>
      <c r="D5052" s="5" t="s">
        <v>42</v>
      </c>
      <c r="E5052" s="5" t="s">
        <v>1213</v>
      </c>
      <c r="F5052" s="9">
        <v>4</v>
      </c>
      <c r="G5052" s="9">
        <v>30</v>
      </c>
      <c r="H5052" s="5" t="s">
        <v>21</v>
      </c>
      <c r="I5052" s="5" t="s">
        <v>11682</v>
      </c>
      <c r="J5052" s="12" t="str">
        <f>HYPERLINK("https://www.boe.es/gazeta/dias/1800/01/14/pdfs/GMD-1800-4.pdf#page=2","Abrir facsímil")</f>
        <v>Abrir facsímil</v>
      </c>
      <c r="K5052" s="15" t="s">
        <v>23</v>
      </c>
    </row>
    <row r="5053" spans="1:11" ht="42" customHeight="1">
      <c r="A5053" s="4" t="s">
        <v>11679</v>
      </c>
      <c r="B5053" s="5" t="s">
        <v>11680</v>
      </c>
      <c r="C5053" s="5" t="s">
        <v>54</v>
      </c>
      <c r="D5053" s="5" t="s">
        <v>55</v>
      </c>
      <c r="E5053" s="5" t="s">
        <v>1213</v>
      </c>
      <c r="F5053" s="9">
        <v>4</v>
      </c>
      <c r="G5053" s="9">
        <v>33</v>
      </c>
      <c r="H5053" s="5" t="s">
        <v>21</v>
      </c>
      <c r="I5053" s="5" t="s">
        <v>11683</v>
      </c>
      <c r="J5053" s="12" t="str">
        <f>HYPERLINK("https://www.boe.es/gazeta/dias/1800/01/14/pdfs/GMD-1800-4.pdf#page=5","Abrir facsímil")</f>
        <v>Abrir facsímil</v>
      </c>
      <c r="K5053" s="15" t="s">
        <v>23</v>
      </c>
    </row>
    <row r="5054" spans="1:11" ht="42" customHeight="1">
      <c r="A5054" s="4" t="s">
        <v>11679</v>
      </c>
      <c r="B5054" s="5" t="s">
        <v>11680</v>
      </c>
      <c r="C5054" s="5" t="s">
        <v>54</v>
      </c>
      <c r="D5054" s="5" t="s">
        <v>55</v>
      </c>
      <c r="E5054" s="5" t="s">
        <v>787</v>
      </c>
      <c r="F5054" s="9">
        <v>6</v>
      </c>
      <c r="G5054" s="9">
        <v>50</v>
      </c>
      <c r="H5054" s="5" t="s">
        <v>21</v>
      </c>
      <c r="I5054" s="5" t="s">
        <v>11684</v>
      </c>
      <c r="J5054" s="12" t="str">
        <f>HYPERLINK("https://www.boe.es/gazeta/dias/1800/01/21/pdfs/GMD-1800-6.pdf#page=2","Abrir facsímil")</f>
        <v>Abrir facsímil</v>
      </c>
      <c r="K5054" s="15" t="s">
        <v>23</v>
      </c>
    </row>
    <row r="5055" spans="1:11" ht="42" customHeight="1">
      <c r="A5055" s="4" t="s">
        <v>11679</v>
      </c>
      <c r="B5055" s="5" t="s">
        <v>11680</v>
      </c>
      <c r="C5055" s="5" t="s">
        <v>41</v>
      </c>
      <c r="D5055" s="5" t="s">
        <v>42</v>
      </c>
      <c r="E5055" s="5" t="s">
        <v>787</v>
      </c>
      <c r="F5055" s="9">
        <v>6</v>
      </c>
      <c r="G5055" s="9">
        <v>55</v>
      </c>
      <c r="H5055" s="5" t="s">
        <v>21</v>
      </c>
      <c r="I5055" s="5" t="s">
        <v>11685</v>
      </c>
      <c r="J5055" s="12" t="str">
        <f>HYPERLINK("https://www.boe.es/gazeta/dias/1800/01/21/pdfs/GMD-1800-6.pdf#page=7","Abrir facsímil")</f>
        <v>Abrir facsímil</v>
      </c>
      <c r="K5055" s="15" t="s">
        <v>23</v>
      </c>
    </row>
    <row r="5056" spans="1:11" ht="42" customHeight="1">
      <c r="A5056" s="4" t="s">
        <v>11679</v>
      </c>
      <c r="B5056" s="5" t="s">
        <v>11680</v>
      </c>
      <c r="C5056" s="5" t="s">
        <v>41</v>
      </c>
      <c r="D5056" s="5" t="s">
        <v>42</v>
      </c>
      <c r="E5056" s="5" t="s">
        <v>124</v>
      </c>
      <c r="F5056" s="9">
        <v>16</v>
      </c>
      <c r="G5056" s="9">
        <v>150</v>
      </c>
      <c r="H5056" s="5" t="s">
        <v>21</v>
      </c>
      <c r="I5056" s="5" t="s">
        <v>11686</v>
      </c>
      <c r="J5056" s="12" t="str">
        <f>HYPERLINK("https://www.boe.es/gazeta/dias/1800/02/25/pdfs/GMD-1800-16.pdf#page=6","Abrir facsímil")</f>
        <v>Abrir facsímil</v>
      </c>
      <c r="K5056" s="15" t="s">
        <v>23</v>
      </c>
    </row>
    <row r="5057" spans="1:11" ht="42" customHeight="1">
      <c r="A5057" s="4" t="s">
        <v>11679</v>
      </c>
      <c r="B5057" s="5" t="s">
        <v>11680</v>
      </c>
      <c r="C5057" s="5" t="s">
        <v>41</v>
      </c>
      <c r="D5057" s="5" t="s">
        <v>42</v>
      </c>
      <c r="E5057" s="5" t="s">
        <v>1108</v>
      </c>
      <c r="F5057" s="9">
        <v>30</v>
      </c>
      <c r="G5057" s="9">
        <v>301</v>
      </c>
      <c r="H5057" s="5" t="s">
        <v>21</v>
      </c>
      <c r="I5057" s="5" t="s">
        <v>1286</v>
      </c>
      <c r="J5057" s="12" t="str">
        <f>HYPERLINK("https://www.boe.es/gazeta/dias/1800/04/15/pdfs/GMD-1800-30.pdf#page=1","Abrir facsímil")</f>
        <v>Abrir facsímil</v>
      </c>
      <c r="K5057" s="15" t="s">
        <v>23</v>
      </c>
    </row>
    <row r="5058" spans="1:11" ht="42" customHeight="1">
      <c r="A5058" s="4" t="s">
        <v>11679</v>
      </c>
      <c r="B5058" s="5" t="s">
        <v>11680</v>
      </c>
      <c r="C5058" s="5" t="s">
        <v>54</v>
      </c>
      <c r="D5058" s="5" t="s">
        <v>55</v>
      </c>
      <c r="E5058" s="5" t="s">
        <v>1108</v>
      </c>
      <c r="F5058" s="9">
        <v>30</v>
      </c>
      <c r="G5058" s="9">
        <v>302</v>
      </c>
      <c r="H5058" s="5" t="s">
        <v>21</v>
      </c>
      <c r="I5058" s="5" t="s">
        <v>11687</v>
      </c>
      <c r="J5058" s="12" t="str">
        <f>HYPERLINK("https://www.boe.es/gazeta/dias/1800/04/15/pdfs/GMD-1800-30.pdf#page=2","Abrir facsímil")</f>
        <v>Abrir facsímil</v>
      </c>
      <c r="K5058" s="15" t="s">
        <v>23</v>
      </c>
    </row>
    <row r="5059" spans="1:11" ht="42" customHeight="1">
      <c r="A5059" s="4" t="s">
        <v>11679</v>
      </c>
      <c r="B5059" s="5" t="s">
        <v>11680</v>
      </c>
      <c r="C5059" s="5" t="s">
        <v>84</v>
      </c>
      <c r="D5059" s="5" t="s">
        <v>85</v>
      </c>
      <c r="E5059" s="5" t="s">
        <v>1108</v>
      </c>
      <c r="F5059" s="9">
        <v>30</v>
      </c>
      <c r="G5059" s="9">
        <v>306</v>
      </c>
      <c r="H5059" s="5" t="s">
        <v>21</v>
      </c>
      <c r="I5059" s="5" t="s">
        <v>11688</v>
      </c>
      <c r="J5059" s="12" t="str">
        <f>HYPERLINK("https://www.boe.es/gazeta/dias/1800/04/15/pdfs/GMD-1800-30.pdf#page=6","Abrir facsímil")</f>
        <v>Abrir facsímil</v>
      </c>
      <c r="K5059" s="15" t="s">
        <v>23</v>
      </c>
    </row>
    <row r="5060" spans="1:11" ht="42" customHeight="1">
      <c r="A5060" s="4" t="s">
        <v>11679</v>
      </c>
      <c r="B5060" s="5" t="s">
        <v>11680</v>
      </c>
      <c r="C5060" s="5" t="s">
        <v>41</v>
      </c>
      <c r="D5060" s="5" t="s">
        <v>42</v>
      </c>
      <c r="E5060" s="5" t="s">
        <v>1231</v>
      </c>
      <c r="F5060" s="9">
        <v>36</v>
      </c>
      <c r="G5060" s="9">
        <v>365</v>
      </c>
      <c r="H5060" s="5" t="s">
        <v>21</v>
      </c>
      <c r="I5060" s="5" t="s">
        <v>11689</v>
      </c>
      <c r="J5060" s="12" t="str">
        <f>HYPERLINK("https://www.boe.es/gazeta/dias/1800/05/06/pdfs/GMD-1800-36.pdf#page=9","Abrir facsímil")</f>
        <v>Abrir facsímil</v>
      </c>
      <c r="K5060" s="15" t="s">
        <v>23</v>
      </c>
    </row>
    <row r="5061" spans="1:11" ht="42" customHeight="1">
      <c r="A5061" s="4" t="s">
        <v>11679</v>
      </c>
      <c r="B5061" s="5" t="s">
        <v>11680</v>
      </c>
      <c r="C5061" s="5" t="s">
        <v>25</v>
      </c>
      <c r="D5061" s="5" t="s">
        <v>26</v>
      </c>
      <c r="E5061" s="5" t="s">
        <v>262</v>
      </c>
      <c r="F5061" s="9">
        <v>39</v>
      </c>
      <c r="G5061" s="9">
        <v>400</v>
      </c>
      <c r="H5061" s="5" t="s">
        <v>21</v>
      </c>
      <c r="I5061" s="5" t="s">
        <v>11690</v>
      </c>
      <c r="J5061" s="12" t="str">
        <f>HYPERLINK("https://www.boe.es/gazeta/dias/1800/05/16/pdfs/GMD-1800-39.pdf#page=8","Abrir facsímil")</f>
        <v>Abrir facsímil</v>
      </c>
      <c r="K5061" s="15" t="s">
        <v>23</v>
      </c>
    </row>
    <row r="5062" spans="1:11" ht="42" customHeight="1">
      <c r="A5062" s="4" t="s">
        <v>11679</v>
      </c>
      <c r="B5062" s="5" t="s">
        <v>11680</v>
      </c>
      <c r="C5062" s="5" t="s">
        <v>41</v>
      </c>
      <c r="D5062" s="5" t="s">
        <v>42</v>
      </c>
      <c r="E5062" s="5" t="s">
        <v>299</v>
      </c>
      <c r="F5062" s="9">
        <v>40</v>
      </c>
      <c r="G5062" s="9">
        <v>406</v>
      </c>
      <c r="H5062" s="5" t="s">
        <v>21</v>
      </c>
      <c r="I5062" s="5" t="s">
        <v>11691</v>
      </c>
      <c r="J5062" s="12" t="str">
        <f>HYPERLINK("https://www.boe.es/gazeta/dias/1800/05/20/pdfs/GMD-1800-40.pdf#page=2","Abrir facsímil")</f>
        <v>Abrir facsímil</v>
      </c>
      <c r="K5062" s="15" t="s">
        <v>23</v>
      </c>
    </row>
    <row r="5063" spans="1:11" ht="42" customHeight="1">
      <c r="A5063" s="4" t="s">
        <v>11679</v>
      </c>
      <c r="B5063" s="5" t="s">
        <v>11680</v>
      </c>
      <c r="C5063" s="5" t="s">
        <v>18</v>
      </c>
      <c r="D5063" s="5" t="s">
        <v>19</v>
      </c>
      <c r="E5063" s="5" t="s">
        <v>299</v>
      </c>
      <c r="F5063" s="9">
        <v>40</v>
      </c>
      <c r="G5063" s="9">
        <v>410</v>
      </c>
      <c r="H5063" s="5" t="s">
        <v>21</v>
      </c>
      <c r="I5063" s="5" t="s">
        <v>11692</v>
      </c>
      <c r="J5063" s="12" t="str">
        <f>HYPERLINK("https://www.boe.es/gazeta/dias/1800/05/20/pdfs/GMD-1800-40.pdf#page=6","Abrir facsímil")</f>
        <v>Abrir facsímil</v>
      </c>
      <c r="K5063" s="15" t="s">
        <v>23</v>
      </c>
    </row>
    <row r="5064" spans="1:11" ht="42" customHeight="1">
      <c r="A5064" s="4" t="s">
        <v>11679</v>
      </c>
      <c r="B5064" s="5" t="s">
        <v>11680</v>
      </c>
      <c r="C5064" s="5" t="s">
        <v>41</v>
      </c>
      <c r="D5064" s="5" t="s">
        <v>42</v>
      </c>
      <c r="E5064" s="5" t="s">
        <v>299</v>
      </c>
      <c r="F5064" s="9">
        <v>40</v>
      </c>
      <c r="G5064" s="9">
        <v>411</v>
      </c>
      <c r="H5064" s="5" t="s">
        <v>21</v>
      </c>
      <c r="I5064" s="5" t="s">
        <v>11693</v>
      </c>
      <c r="J5064" s="12" t="str">
        <f>HYPERLINK("https://www.boe.es/gazeta/dias/1800/05/20/pdfs/GMD-1800-40.pdf#page=7","Abrir facsímil")</f>
        <v>Abrir facsímil</v>
      </c>
      <c r="K5064" s="15" t="s">
        <v>23</v>
      </c>
    </row>
    <row r="5065" spans="1:11" ht="42" customHeight="1">
      <c r="A5065" s="4" t="s">
        <v>11679</v>
      </c>
      <c r="B5065" s="5" t="s">
        <v>11680</v>
      </c>
      <c r="C5065" s="5" t="s">
        <v>18</v>
      </c>
      <c r="D5065" s="5" t="s">
        <v>19</v>
      </c>
      <c r="E5065" s="5" t="s">
        <v>214</v>
      </c>
      <c r="F5065" s="9">
        <v>41</v>
      </c>
      <c r="G5065" s="9">
        <v>418</v>
      </c>
      <c r="H5065" s="5" t="s">
        <v>21</v>
      </c>
      <c r="I5065" s="5" t="s">
        <v>11694</v>
      </c>
      <c r="J5065" s="12" t="str">
        <f>HYPERLINK("https://www.boe.es/gazeta/dias/1800/05/23/pdfs/GMD-1800-41.pdf#page=2","Abrir facsímil")</f>
        <v>Abrir facsímil</v>
      </c>
      <c r="K5065" s="15" t="s">
        <v>23</v>
      </c>
    </row>
    <row r="5066" spans="1:11" ht="42" customHeight="1">
      <c r="A5066" s="4" t="s">
        <v>11679</v>
      </c>
      <c r="B5066" s="5" t="s">
        <v>11680</v>
      </c>
      <c r="C5066" s="5" t="s">
        <v>41</v>
      </c>
      <c r="D5066" s="5" t="s">
        <v>42</v>
      </c>
      <c r="E5066" s="5" t="s">
        <v>214</v>
      </c>
      <c r="F5066" s="9">
        <v>41</v>
      </c>
      <c r="G5066" s="9">
        <v>422</v>
      </c>
      <c r="H5066" s="5" t="s">
        <v>21</v>
      </c>
      <c r="I5066" s="5" t="s">
        <v>11695</v>
      </c>
      <c r="J5066" s="12" t="str">
        <f>HYPERLINK("https://www.boe.es/gazeta/dias/1800/05/23/pdfs/GMD-1800-41.pdf#page=6","Abrir facsímil")</f>
        <v>Abrir facsímil</v>
      </c>
      <c r="K5066" s="15" t="s">
        <v>23</v>
      </c>
    </row>
    <row r="5067" spans="1:11" ht="42" customHeight="1">
      <c r="A5067" s="4" t="s">
        <v>11679</v>
      </c>
      <c r="B5067" s="5" t="s">
        <v>11680</v>
      </c>
      <c r="C5067" s="5" t="s">
        <v>25</v>
      </c>
      <c r="D5067" s="5" t="s">
        <v>26</v>
      </c>
      <c r="E5067" s="5" t="s">
        <v>214</v>
      </c>
      <c r="F5067" s="9">
        <v>41</v>
      </c>
      <c r="G5067" s="9">
        <v>423</v>
      </c>
      <c r="H5067" s="5" t="s">
        <v>21</v>
      </c>
      <c r="I5067" s="5" t="s">
        <v>11696</v>
      </c>
      <c r="J5067" s="12" t="str">
        <f>HYPERLINK("https://www.boe.es/gazeta/dias/1800/05/23/pdfs/GMD-1800-41.pdf#page=7","Abrir facsímil")</f>
        <v>Abrir facsímil</v>
      </c>
      <c r="K5067" s="15" t="s">
        <v>23</v>
      </c>
    </row>
    <row r="5068" spans="1:11" ht="42" customHeight="1">
      <c r="A5068" s="4" t="s">
        <v>11679</v>
      </c>
      <c r="B5068" s="5" t="s">
        <v>11680</v>
      </c>
      <c r="C5068" s="5" t="s">
        <v>41</v>
      </c>
      <c r="D5068" s="5" t="s">
        <v>42</v>
      </c>
      <c r="E5068" s="5" t="s">
        <v>39</v>
      </c>
      <c r="F5068" s="9">
        <v>43</v>
      </c>
      <c r="G5068" s="9">
        <v>445</v>
      </c>
      <c r="H5068" s="5" t="s">
        <v>21</v>
      </c>
      <c r="I5068" s="5" t="s">
        <v>11697</v>
      </c>
      <c r="J5068" s="12" t="str">
        <f>HYPERLINK("https://www.boe.es/gazeta/dias/1800/05/30/pdfs/GMD-1800-43.pdf#page=5","Abrir facsímil")</f>
        <v>Abrir facsímil</v>
      </c>
      <c r="K5068" s="15" t="s">
        <v>23</v>
      </c>
    </row>
    <row r="5069" spans="1:11" ht="42" customHeight="1">
      <c r="A5069" s="4" t="s">
        <v>11679</v>
      </c>
      <c r="B5069" s="5" t="s">
        <v>11680</v>
      </c>
      <c r="C5069" s="5" t="s">
        <v>41</v>
      </c>
      <c r="D5069" s="5" t="s">
        <v>42</v>
      </c>
      <c r="E5069" s="5" t="s">
        <v>39</v>
      </c>
      <c r="F5069" s="9">
        <v>43</v>
      </c>
      <c r="G5069" s="9">
        <v>448</v>
      </c>
      <c r="H5069" s="5" t="s">
        <v>21</v>
      </c>
      <c r="I5069" s="5" t="s">
        <v>11698</v>
      </c>
      <c r="J5069" s="12" t="str">
        <f>HYPERLINK("https://www.boe.es/gazeta/dias/1800/05/30/pdfs/GMD-1800-43.pdf#page=8","Abrir facsímil")</f>
        <v>Abrir facsímil</v>
      </c>
      <c r="K5069" s="15" t="s">
        <v>23</v>
      </c>
    </row>
    <row r="5070" spans="1:11" ht="42" customHeight="1">
      <c r="A5070" s="4" t="s">
        <v>11679</v>
      </c>
      <c r="B5070" s="5" t="s">
        <v>11680</v>
      </c>
      <c r="C5070" s="5" t="s">
        <v>18</v>
      </c>
      <c r="D5070" s="5" t="s">
        <v>19</v>
      </c>
      <c r="E5070" s="5" t="s">
        <v>39</v>
      </c>
      <c r="F5070" s="9">
        <v>43</v>
      </c>
      <c r="G5070" s="9">
        <v>449</v>
      </c>
      <c r="H5070" s="5" t="s">
        <v>21</v>
      </c>
      <c r="I5070" s="5" t="s">
        <v>11699</v>
      </c>
      <c r="J5070" s="12" t="str">
        <f>HYPERLINK("https://www.boe.es/gazeta/dias/1800/05/30/pdfs/GMD-1800-43.pdf#page=9","Abrir facsímil")</f>
        <v>Abrir facsímil</v>
      </c>
      <c r="K5070" s="15" t="s">
        <v>23</v>
      </c>
    </row>
    <row r="5071" spans="1:11" ht="42" customHeight="1">
      <c r="A5071" s="4" t="s">
        <v>11679</v>
      </c>
      <c r="B5071" s="5" t="s">
        <v>11680</v>
      </c>
      <c r="C5071" s="5" t="s">
        <v>41</v>
      </c>
      <c r="D5071" s="5" t="s">
        <v>42</v>
      </c>
      <c r="E5071" s="5" t="s">
        <v>600</v>
      </c>
      <c r="F5071" s="9">
        <v>45</v>
      </c>
      <c r="G5071" s="9">
        <v>470</v>
      </c>
      <c r="H5071" s="5" t="s">
        <v>21</v>
      </c>
      <c r="I5071" s="5" t="s">
        <v>11700</v>
      </c>
      <c r="J5071" s="12" t="str">
        <f>HYPERLINK("https://www.boe.es/gazeta/dias/1800/06/06/pdfs/GMD-1800-45.pdf#page=6","Abrir facsímil")</f>
        <v>Abrir facsímil</v>
      </c>
      <c r="K5071" s="15" t="s">
        <v>23</v>
      </c>
    </row>
    <row r="5072" spans="1:11" ht="42" customHeight="1">
      <c r="A5072" s="4" t="s">
        <v>11679</v>
      </c>
      <c r="B5072" s="5" t="s">
        <v>11680</v>
      </c>
      <c r="C5072" s="5" t="s">
        <v>84</v>
      </c>
      <c r="D5072" s="5" t="s">
        <v>85</v>
      </c>
      <c r="E5072" s="5" t="s">
        <v>600</v>
      </c>
      <c r="F5072" s="9">
        <v>45</v>
      </c>
      <c r="G5072" s="9">
        <v>471</v>
      </c>
      <c r="H5072" s="5" t="s">
        <v>21</v>
      </c>
      <c r="I5072" s="5" t="s">
        <v>11701</v>
      </c>
      <c r="J5072" s="12" t="str">
        <f>HYPERLINK("https://www.boe.es/gazeta/dias/1800/06/06/pdfs/GMD-1800-45.pdf#page=7","Abrir facsímil")</f>
        <v>Abrir facsímil</v>
      </c>
      <c r="K5072" s="15" t="s">
        <v>23</v>
      </c>
    </row>
    <row r="5073" spans="1:11" ht="42" customHeight="1">
      <c r="A5073" s="4" t="s">
        <v>11679</v>
      </c>
      <c r="B5073" s="5" t="s">
        <v>11680</v>
      </c>
      <c r="C5073" s="5" t="s">
        <v>41</v>
      </c>
      <c r="D5073" s="5" t="s">
        <v>42</v>
      </c>
      <c r="E5073" s="5" t="s">
        <v>43</v>
      </c>
      <c r="F5073" s="9">
        <v>46</v>
      </c>
      <c r="G5073" s="9">
        <v>479</v>
      </c>
      <c r="H5073" s="5" t="s">
        <v>21</v>
      </c>
      <c r="I5073" s="5" t="s">
        <v>11702</v>
      </c>
      <c r="J5073" s="12" t="str">
        <f>HYPERLINK("https://www.boe.es/gazeta/dias/1800/06/10/pdfs/GMD-1800-46.pdf#page=3","Abrir facsímil")</f>
        <v>Abrir facsímil</v>
      </c>
      <c r="K5073" s="15" t="s">
        <v>23</v>
      </c>
    </row>
    <row r="5074" spans="1:11" ht="42" customHeight="1">
      <c r="A5074" s="4" t="s">
        <v>11679</v>
      </c>
      <c r="B5074" s="5" t="s">
        <v>11680</v>
      </c>
      <c r="C5074" s="5" t="s">
        <v>41</v>
      </c>
      <c r="D5074" s="5" t="s">
        <v>42</v>
      </c>
      <c r="E5074" s="5" t="s">
        <v>43</v>
      </c>
      <c r="F5074" s="9">
        <v>46</v>
      </c>
      <c r="G5074" s="9">
        <v>485</v>
      </c>
      <c r="H5074" s="5" t="s">
        <v>21</v>
      </c>
      <c r="I5074" s="5" t="s">
        <v>11703</v>
      </c>
      <c r="J5074" s="12" t="str">
        <f>HYPERLINK("https://www.boe.es/gazeta/dias/1800/06/10/pdfs/GMD-1800-46.pdf#page=9","Abrir facsímil")</f>
        <v>Abrir facsímil</v>
      </c>
      <c r="K5074" s="15" t="s">
        <v>23</v>
      </c>
    </row>
    <row r="5075" spans="1:11" ht="42" customHeight="1">
      <c r="A5075" s="4" t="s">
        <v>11679</v>
      </c>
      <c r="B5075" s="5" t="s">
        <v>11680</v>
      </c>
      <c r="C5075" s="5" t="s">
        <v>41</v>
      </c>
      <c r="D5075" s="5" t="s">
        <v>42</v>
      </c>
      <c r="E5075" s="5" t="s">
        <v>45</v>
      </c>
      <c r="F5075" s="9">
        <v>47</v>
      </c>
      <c r="G5075" s="9">
        <v>494</v>
      </c>
      <c r="H5075" s="5" t="s">
        <v>21</v>
      </c>
      <c r="I5075" s="5" t="s">
        <v>11704</v>
      </c>
      <c r="J5075" s="12" t="str">
        <f>HYPERLINK("https://www.boe.es/gazeta/dias/1800/06/13/pdfs/GMD-1800-47.pdf#page=2","Abrir facsímil")</f>
        <v>Abrir facsímil</v>
      </c>
      <c r="K5075" s="15" t="s">
        <v>23</v>
      </c>
    </row>
    <row r="5076" spans="1:11" ht="42" customHeight="1">
      <c r="A5076" s="4" t="s">
        <v>11679</v>
      </c>
      <c r="B5076" s="5" t="s">
        <v>11680</v>
      </c>
      <c r="C5076" s="5" t="s">
        <v>41</v>
      </c>
      <c r="D5076" s="5" t="s">
        <v>42</v>
      </c>
      <c r="E5076" s="5" t="s">
        <v>45</v>
      </c>
      <c r="F5076" s="9">
        <v>47</v>
      </c>
      <c r="G5076" s="9">
        <v>495</v>
      </c>
      <c r="H5076" s="5" t="s">
        <v>21</v>
      </c>
      <c r="I5076" s="5" t="s">
        <v>11705</v>
      </c>
      <c r="J5076" s="12" t="str">
        <f>HYPERLINK("https://www.boe.es/gazeta/dias/1800/06/13/pdfs/GMD-1800-47.pdf#page=3","Abrir facsímil")</f>
        <v>Abrir facsímil</v>
      </c>
      <c r="K5076" s="15" t="s">
        <v>23</v>
      </c>
    </row>
    <row r="5077" spans="1:11" ht="42" customHeight="1">
      <c r="A5077" s="4" t="s">
        <v>11679</v>
      </c>
      <c r="B5077" s="5" t="s">
        <v>11680</v>
      </c>
      <c r="C5077" s="5" t="s">
        <v>41</v>
      </c>
      <c r="D5077" s="5" t="s">
        <v>42</v>
      </c>
      <c r="E5077" s="5" t="s">
        <v>45</v>
      </c>
      <c r="F5077" s="9">
        <v>47</v>
      </c>
      <c r="G5077" s="9">
        <v>496</v>
      </c>
      <c r="H5077" s="5" t="s">
        <v>21</v>
      </c>
      <c r="I5077" s="5" t="s">
        <v>11706</v>
      </c>
      <c r="J5077" s="12" t="str">
        <f>HYPERLINK("https://www.boe.es/gazeta/dias/1800/06/13/pdfs/GMD-1800-47.pdf#page=4","Abrir facsímil")</f>
        <v>Abrir facsímil</v>
      </c>
      <c r="K5077" s="15" t="s">
        <v>23</v>
      </c>
    </row>
    <row r="5078" spans="1:11" ht="42" customHeight="1">
      <c r="A5078" s="4" t="s">
        <v>11679</v>
      </c>
      <c r="B5078" s="5" t="s">
        <v>11680</v>
      </c>
      <c r="C5078" s="5" t="s">
        <v>41</v>
      </c>
      <c r="D5078" s="5" t="s">
        <v>42</v>
      </c>
      <c r="E5078" s="5" t="s">
        <v>45</v>
      </c>
      <c r="F5078" s="9">
        <v>47</v>
      </c>
      <c r="G5078" s="9">
        <v>497</v>
      </c>
      <c r="H5078" s="5" t="s">
        <v>21</v>
      </c>
      <c r="I5078" s="5" t="s">
        <v>11707</v>
      </c>
      <c r="J5078" s="12" t="str">
        <f>HYPERLINK("https://www.boe.es/gazeta/dias/1800/06/13/pdfs/GMD-1800-47.pdf#page=5","Abrir facsímil")</f>
        <v>Abrir facsímil</v>
      </c>
      <c r="K5078" s="15" t="s">
        <v>23</v>
      </c>
    </row>
    <row r="5079" spans="1:11" ht="42" customHeight="1">
      <c r="A5079" s="4" t="s">
        <v>11679</v>
      </c>
      <c r="B5079" s="5" t="s">
        <v>11680</v>
      </c>
      <c r="C5079" s="5" t="s">
        <v>41</v>
      </c>
      <c r="D5079" s="5" t="s">
        <v>42</v>
      </c>
      <c r="E5079" s="5" t="s">
        <v>45</v>
      </c>
      <c r="F5079" s="9">
        <v>47</v>
      </c>
      <c r="G5079" s="9">
        <v>500</v>
      </c>
      <c r="H5079" s="5" t="s">
        <v>21</v>
      </c>
      <c r="I5079" s="5" t="s">
        <v>11708</v>
      </c>
      <c r="J5079" s="12" t="str">
        <f>HYPERLINK("https://www.boe.es/gazeta/dias/1800/06/13/pdfs/GMD-1800-47.pdf#page=8","Abrir facsímil")</f>
        <v>Abrir facsímil</v>
      </c>
      <c r="K5079" s="15" t="s">
        <v>23</v>
      </c>
    </row>
    <row r="5080" spans="1:11" ht="42" customHeight="1">
      <c r="A5080" s="4" t="s">
        <v>11679</v>
      </c>
      <c r="B5080" s="5" t="s">
        <v>11680</v>
      </c>
      <c r="C5080" s="5" t="s">
        <v>25</v>
      </c>
      <c r="D5080" s="5" t="s">
        <v>26</v>
      </c>
      <c r="E5080" s="5" t="s">
        <v>45</v>
      </c>
      <c r="F5080" s="9">
        <v>47</v>
      </c>
      <c r="G5080" s="9">
        <v>501</v>
      </c>
      <c r="H5080" s="5" t="s">
        <v>21</v>
      </c>
      <c r="I5080" s="5" t="s">
        <v>11709</v>
      </c>
      <c r="J5080" s="12" t="str">
        <f>HYPERLINK("https://www.boe.es/gazeta/dias/1800/06/13/pdfs/GMD-1800-47.pdf#page=9","Abrir facsímil")</f>
        <v>Abrir facsímil</v>
      </c>
      <c r="K5080" s="15" t="s">
        <v>23</v>
      </c>
    </row>
    <row r="5081" spans="1:11" ht="42" customHeight="1">
      <c r="A5081" s="4" t="s">
        <v>11679</v>
      </c>
      <c r="B5081" s="5" t="s">
        <v>11680</v>
      </c>
      <c r="C5081" s="5" t="s">
        <v>84</v>
      </c>
      <c r="D5081" s="5" t="s">
        <v>85</v>
      </c>
      <c r="E5081" s="5" t="s">
        <v>194</v>
      </c>
      <c r="F5081" s="9">
        <v>48</v>
      </c>
      <c r="G5081" s="9">
        <v>515</v>
      </c>
      <c r="H5081" s="5" t="s">
        <v>21</v>
      </c>
      <c r="I5081" s="5" t="s">
        <v>11710</v>
      </c>
      <c r="J5081" s="12" t="str">
        <f>HYPERLINK("https://www.boe.es/gazeta/dias/1800/06/17/pdfs/GMD-1800-48.pdf#page=7","Abrir facsímil")</f>
        <v>Abrir facsímil</v>
      </c>
      <c r="K5081" s="15" t="s">
        <v>23</v>
      </c>
    </row>
    <row r="5082" spans="1:11" ht="42" customHeight="1">
      <c r="A5082" s="4" t="s">
        <v>11679</v>
      </c>
      <c r="B5082" s="5" t="s">
        <v>11680</v>
      </c>
      <c r="C5082" s="5" t="s">
        <v>54</v>
      </c>
      <c r="D5082" s="5" t="s">
        <v>55</v>
      </c>
      <c r="E5082" s="5" t="s">
        <v>465</v>
      </c>
      <c r="F5082" s="9">
        <v>49</v>
      </c>
      <c r="G5082" s="9">
        <v>526</v>
      </c>
      <c r="H5082" s="5" t="s">
        <v>21</v>
      </c>
      <c r="I5082" s="5" t="s">
        <v>11711</v>
      </c>
      <c r="J5082" s="12" t="str">
        <f>HYPERLINK("https://www.boe.es/gazeta/dias/1800/06/20/pdfs/GMD-1800-49.pdf#page=2","Abrir facsímil")</f>
        <v>Abrir facsímil</v>
      </c>
      <c r="K5082" s="15" t="s">
        <v>23</v>
      </c>
    </row>
    <row r="5083" spans="1:11" ht="42" customHeight="1">
      <c r="A5083" s="4" t="s">
        <v>11679</v>
      </c>
      <c r="B5083" s="5" t="s">
        <v>11680</v>
      </c>
      <c r="C5083" s="5" t="s">
        <v>41</v>
      </c>
      <c r="D5083" s="5" t="s">
        <v>42</v>
      </c>
      <c r="E5083" s="5" t="s">
        <v>823</v>
      </c>
      <c r="F5083" s="9">
        <v>50</v>
      </c>
      <c r="G5083" s="9">
        <v>539</v>
      </c>
      <c r="H5083" s="5" t="s">
        <v>21</v>
      </c>
      <c r="I5083" s="5" t="s">
        <v>11712</v>
      </c>
      <c r="J5083" s="12" t="str">
        <f>HYPERLINK("https://www.boe.es/gazeta/dias/1800/06/24/pdfs/GMD-1800-50.pdf#page=3","Abrir facsímil")</f>
        <v>Abrir facsímil</v>
      </c>
      <c r="K5083" s="15" t="s">
        <v>23</v>
      </c>
    </row>
    <row r="5084" spans="1:11" ht="42" customHeight="1">
      <c r="A5084" s="4" t="s">
        <v>11679</v>
      </c>
      <c r="B5084" s="5" t="s">
        <v>11680</v>
      </c>
      <c r="C5084" s="5" t="s">
        <v>41</v>
      </c>
      <c r="D5084" s="5" t="s">
        <v>42</v>
      </c>
      <c r="E5084" s="5" t="s">
        <v>823</v>
      </c>
      <c r="F5084" s="9">
        <v>50</v>
      </c>
      <c r="G5084" s="9">
        <v>544</v>
      </c>
      <c r="H5084" s="5" t="s">
        <v>21</v>
      </c>
      <c r="I5084" s="5" t="s">
        <v>11713</v>
      </c>
      <c r="J5084" s="12" t="str">
        <f>HYPERLINK("https://www.boe.es/gazeta/dias/1800/06/24/pdfs/GMD-1800-50.pdf#page=8","Abrir facsímil")</f>
        <v>Abrir facsímil</v>
      </c>
      <c r="K5084" s="15" t="s">
        <v>23</v>
      </c>
    </row>
    <row r="5085" spans="1:11" ht="42" customHeight="1">
      <c r="A5085" s="4" t="s">
        <v>11679</v>
      </c>
      <c r="B5085" s="5" t="s">
        <v>11680</v>
      </c>
      <c r="C5085" s="5" t="s">
        <v>41</v>
      </c>
      <c r="D5085" s="5" t="s">
        <v>42</v>
      </c>
      <c r="E5085" s="5" t="s">
        <v>825</v>
      </c>
      <c r="F5085" s="9">
        <v>51</v>
      </c>
      <c r="G5085" s="9">
        <v>552</v>
      </c>
      <c r="H5085" s="5" t="s">
        <v>21</v>
      </c>
      <c r="I5085" s="5" t="s">
        <v>11714</v>
      </c>
      <c r="J5085" s="12" t="str">
        <f>HYPERLINK("https://www.boe.es/gazeta/dias/1800/06/27/pdfs/GMD-1800-51.pdf#page=4","Abrir facsímil")</f>
        <v>Abrir facsímil</v>
      </c>
      <c r="K5085" s="15" t="s">
        <v>23</v>
      </c>
    </row>
    <row r="5086" spans="1:11" ht="42" customHeight="1">
      <c r="A5086" s="4" t="s">
        <v>11679</v>
      </c>
      <c r="B5086" s="5" t="s">
        <v>11680</v>
      </c>
      <c r="C5086" s="5" t="s">
        <v>41</v>
      </c>
      <c r="D5086" s="5" t="s">
        <v>42</v>
      </c>
      <c r="E5086" s="5" t="s">
        <v>825</v>
      </c>
      <c r="F5086" s="9">
        <v>51</v>
      </c>
      <c r="G5086" s="9">
        <v>558</v>
      </c>
      <c r="H5086" s="5" t="s">
        <v>21</v>
      </c>
      <c r="I5086" s="5" t="s">
        <v>11715</v>
      </c>
      <c r="J5086" s="12" t="str">
        <f>HYPERLINK("https://www.boe.es/gazeta/dias/1800/06/27/pdfs/GMD-1800-51.pdf#page=10","Abrir facsímil")</f>
        <v>Abrir facsímil</v>
      </c>
      <c r="K5086" s="15" t="s">
        <v>23</v>
      </c>
    </row>
    <row r="5087" spans="1:11" ht="42" customHeight="1">
      <c r="A5087" s="4" t="s">
        <v>11679</v>
      </c>
      <c r="B5087" s="5" t="s">
        <v>11680</v>
      </c>
      <c r="C5087" s="5" t="s">
        <v>41</v>
      </c>
      <c r="D5087" s="5" t="s">
        <v>42</v>
      </c>
      <c r="E5087" s="5" t="s">
        <v>825</v>
      </c>
      <c r="F5087" s="9">
        <v>51</v>
      </c>
      <c r="G5087" s="9">
        <v>560</v>
      </c>
      <c r="H5087" s="5" t="s">
        <v>21</v>
      </c>
      <c r="I5087" s="5" t="s">
        <v>11716</v>
      </c>
      <c r="J5087" s="12" t="str">
        <f>HYPERLINK("https://www.boe.es/gazeta/dias/1800/06/27/pdfs/GMD-1800-51.pdf#page=12","Abrir facsímil")</f>
        <v>Abrir facsímil</v>
      </c>
      <c r="K5087" s="15" t="s">
        <v>23</v>
      </c>
    </row>
    <row r="5088" spans="1:11" ht="42" customHeight="1">
      <c r="A5088" s="4" t="s">
        <v>11679</v>
      </c>
      <c r="B5088" s="5" t="s">
        <v>11680</v>
      </c>
      <c r="C5088" s="5" t="s">
        <v>18</v>
      </c>
      <c r="D5088" s="5" t="s">
        <v>19</v>
      </c>
      <c r="E5088" s="5" t="s">
        <v>120</v>
      </c>
      <c r="F5088" s="9">
        <v>52</v>
      </c>
      <c r="G5088" s="9">
        <v>565</v>
      </c>
      <c r="H5088" s="5" t="s">
        <v>21</v>
      </c>
      <c r="I5088" s="5" t="s">
        <v>11717</v>
      </c>
      <c r="J5088" s="12" t="str">
        <f>HYPERLINK("https://www.boe.es/gazeta/dias/1800/07/01/pdfs/GMD-1800-52.pdf#page=1","Abrir facsímil")</f>
        <v>Abrir facsímil</v>
      </c>
      <c r="K5088" s="15" t="s">
        <v>23</v>
      </c>
    </row>
    <row r="5089" spans="1:11" ht="42" customHeight="1">
      <c r="A5089" s="4" t="s">
        <v>11679</v>
      </c>
      <c r="B5089" s="5" t="s">
        <v>11680</v>
      </c>
      <c r="C5089" s="5" t="s">
        <v>41</v>
      </c>
      <c r="D5089" s="5" t="s">
        <v>42</v>
      </c>
      <c r="E5089" s="5" t="s">
        <v>120</v>
      </c>
      <c r="F5089" s="9">
        <v>52</v>
      </c>
      <c r="G5089" s="9">
        <v>566</v>
      </c>
      <c r="H5089" s="5" t="s">
        <v>21</v>
      </c>
      <c r="I5089" s="5" t="s">
        <v>11718</v>
      </c>
      <c r="J5089" s="12" t="str">
        <f>HYPERLINK("https://www.boe.es/gazeta/dias/1800/07/01/pdfs/GMD-1800-52.pdf#page=2","Abrir facsímil")</f>
        <v>Abrir facsímil</v>
      </c>
      <c r="K5089" s="15" t="s">
        <v>23</v>
      </c>
    </row>
    <row r="5090" spans="1:11" ht="42" customHeight="1">
      <c r="A5090" s="4" t="s">
        <v>11679</v>
      </c>
      <c r="B5090" s="5" t="s">
        <v>11680</v>
      </c>
      <c r="C5090" s="5" t="s">
        <v>41</v>
      </c>
      <c r="D5090" s="5" t="s">
        <v>42</v>
      </c>
      <c r="E5090" s="5" t="s">
        <v>120</v>
      </c>
      <c r="F5090" s="9">
        <v>52</v>
      </c>
      <c r="G5090" s="9">
        <v>568</v>
      </c>
      <c r="H5090" s="5" t="s">
        <v>21</v>
      </c>
      <c r="I5090" s="5" t="s">
        <v>11719</v>
      </c>
      <c r="J5090" s="12" t="str">
        <f>HYPERLINK("https://www.boe.es/gazeta/dias/1800/07/01/pdfs/GMD-1800-52.pdf#page=4","Abrir facsímil")</f>
        <v>Abrir facsímil</v>
      </c>
      <c r="K5090" s="15" t="s">
        <v>23</v>
      </c>
    </row>
    <row r="5091" spans="1:11" ht="42" customHeight="1">
      <c r="A5091" s="4" t="s">
        <v>11679</v>
      </c>
      <c r="B5091" s="5" t="s">
        <v>11680</v>
      </c>
      <c r="C5091" s="5" t="s">
        <v>25</v>
      </c>
      <c r="D5091" s="5" t="s">
        <v>26</v>
      </c>
      <c r="E5091" s="5" t="s">
        <v>120</v>
      </c>
      <c r="F5091" s="9">
        <v>52</v>
      </c>
      <c r="G5091" s="9">
        <v>571</v>
      </c>
      <c r="H5091" s="5" t="s">
        <v>21</v>
      </c>
      <c r="I5091" s="5" t="s">
        <v>11720</v>
      </c>
      <c r="J5091" s="12" t="str">
        <f>HYPERLINK("https://www.boe.es/gazeta/dias/1800/07/01/pdfs/GMD-1800-52.pdf#page=7","Abrir facsímil")</f>
        <v>Abrir facsímil</v>
      </c>
      <c r="K5091" s="15" t="s">
        <v>23</v>
      </c>
    </row>
    <row r="5092" spans="1:11" ht="42" customHeight="1">
      <c r="A5092" s="4" t="s">
        <v>11679</v>
      </c>
      <c r="B5092" s="5" t="s">
        <v>11680</v>
      </c>
      <c r="C5092" s="5" t="s">
        <v>25</v>
      </c>
      <c r="D5092" s="5" t="s">
        <v>26</v>
      </c>
      <c r="E5092" s="5" t="s">
        <v>120</v>
      </c>
      <c r="F5092" s="9">
        <v>52</v>
      </c>
      <c r="G5092" s="9">
        <v>574</v>
      </c>
      <c r="H5092" s="5" t="s">
        <v>21</v>
      </c>
      <c r="I5092" s="5" t="s">
        <v>11721</v>
      </c>
      <c r="J5092" s="12" t="str">
        <f>HYPERLINK("https://www.boe.es/gazeta/dias/1800/07/01/pdfs/GMD-1800-52.pdf#page=10","Abrir facsímil")</f>
        <v>Abrir facsímil</v>
      </c>
      <c r="K5092" s="15" t="s">
        <v>23</v>
      </c>
    </row>
    <row r="5093" spans="1:11" ht="42" customHeight="1">
      <c r="A5093" s="4" t="s">
        <v>11679</v>
      </c>
      <c r="B5093" s="5" t="s">
        <v>11680</v>
      </c>
      <c r="C5093" s="5" t="s">
        <v>41</v>
      </c>
      <c r="D5093" s="5" t="s">
        <v>42</v>
      </c>
      <c r="E5093" s="5" t="s">
        <v>828</v>
      </c>
      <c r="F5093" s="9">
        <v>53</v>
      </c>
      <c r="G5093" s="9">
        <v>589</v>
      </c>
      <c r="H5093" s="5" t="s">
        <v>21</v>
      </c>
      <c r="I5093" s="5" t="s">
        <v>11722</v>
      </c>
      <c r="J5093" s="12" t="str">
        <f>HYPERLINK("https://www.boe.es/gazeta/dias/1800/07/04/pdfs/GMD-1800-53.pdf#page=9","Abrir facsímil")</f>
        <v>Abrir facsímil</v>
      </c>
      <c r="K5093" s="15" t="s">
        <v>23</v>
      </c>
    </row>
    <row r="5094" spans="1:11" ht="42" customHeight="1">
      <c r="A5094" s="4" t="s">
        <v>11679</v>
      </c>
      <c r="B5094" s="5" t="s">
        <v>11680</v>
      </c>
      <c r="C5094" s="5" t="s">
        <v>25</v>
      </c>
      <c r="D5094" s="5" t="s">
        <v>26</v>
      </c>
      <c r="E5094" s="5" t="s">
        <v>828</v>
      </c>
      <c r="F5094" s="9">
        <v>53</v>
      </c>
      <c r="G5094" s="9">
        <v>590</v>
      </c>
      <c r="H5094" s="5" t="s">
        <v>21</v>
      </c>
      <c r="I5094" s="5" t="s">
        <v>11723</v>
      </c>
      <c r="J5094" s="12" t="str">
        <f>HYPERLINK("https://www.boe.es/gazeta/dias/1800/07/04/pdfs/GMD-1800-53.pdf#page=10","Abrir facsímil")</f>
        <v>Abrir facsímil</v>
      </c>
      <c r="K5094" s="15" t="s">
        <v>23</v>
      </c>
    </row>
    <row r="5095" spans="1:11" ht="42" customHeight="1">
      <c r="A5095" s="4" t="s">
        <v>11679</v>
      </c>
      <c r="B5095" s="5" t="s">
        <v>11680</v>
      </c>
      <c r="C5095" s="5" t="s">
        <v>41</v>
      </c>
      <c r="D5095" s="5" t="s">
        <v>42</v>
      </c>
      <c r="E5095" s="5" t="s">
        <v>64</v>
      </c>
      <c r="F5095" s="9">
        <v>54</v>
      </c>
      <c r="G5095" s="9">
        <v>601</v>
      </c>
      <c r="H5095" s="5" t="s">
        <v>21</v>
      </c>
      <c r="I5095" s="5" t="s">
        <v>11724</v>
      </c>
      <c r="J5095" s="12" t="str">
        <f>HYPERLINK("https://www.boe.es/gazeta/dias/1800/07/08/pdfs/GMD-1800-54.pdf#page=5","Abrir facsímil")</f>
        <v>Abrir facsímil</v>
      </c>
      <c r="K5095" s="15" t="s">
        <v>23</v>
      </c>
    </row>
    <row r="5096" spans="1:11" ht="42" customHeight="1">
      <c r="A5096" s="4" t="s">
        <v>11725</v>
      </c>
      <c r="B5096" s="5" t="s">
        <v>11726</v>
      </c>
      <c r="C5096" s="5" t="s">
        <v>41</v>
      </c>
      <c r="D5096" s="5" t="s">
        <v>42</v>
      </c>
      <c r="E5096" s="5" t="s">
        <v>64</v>
      </c>
      <c r="F5096" s="9">
        <v>54</v>
      </c>
      <c r="G5096" s="9">
        <v>602</v>
      </c>
      <c r="H5096" s="5" t="s">
        <v>21</v>
      </c>
      <c r="I5096" s="5" t="s">
        <v>11727</v>
      </c>
      <c r="J5096" s="12" t="str">
        <f>HYPERLINK("https://www.boe.es/gazeta/dias/1800/07/08/pdfs/GMD-1800-54.pdf#page=6","Abrir facsímil")</f>
        <v>Abrir facsímil</v>
      </c>
      <c r="K5096" s="15" t="s">
        <v>23</v>
      </c>
    </row>
    <row r="5097" spans="1:11" ht="42" customHeight="1">
      <c r="A5097" s="4" t="s">
        <v>11728</v>
      </c>
      <c r="B5097" s="5" t="s">
        <v>11729</v>
      </c>
      <c r="C5097" s="5" t="s">
        <v>41</v>
      </c>
      <c r="D5097" s="5" t="s">
        <v>42</v>
      </c>
      <c r="E5097" s="5" t="s">
        <v>64</v>
      </c>
      <c r="F5097" s="9">
        <v>54</v>
      </c>
      <c r="G5097" s="9">
        <v>603</v>
      </c>
      <c r="H5097" s="5" t="s">
        <v>21</v>
      </c>
      <c r="I5097" s="5" t="s">
        <v>11730</v>
      </c>
      <c r="J5097" s="12" t="str">
        <f>HYPERLINK("https://www.boe.es/gazeta/dias/1800/07/08/pdfs/GMD-1800-54.pdf#page=7","Abrir facsímil")</f>
        <v>Abrir facsímil</v>
      </c>
      <c r="K5097" s="15" t="s">
        <v>23</v>
      </c>
    </row>
    <row r="5098" spans="1:11" ht="42" customHeight="1">
      <c r="A5098" s="4" t="s">
        <v>11679</v>
      </c>
      <c r="B5098" s="5" t="s">
        <v>11680</v>
      </c>
      <c r="C5098" s="5" t="s">
        <v>41</v>
      </c>
      <c r="D5098" s="5" t="s">
        <v>42</v>
      </c>
      <c r="E5098" s="5" t="s">
        <v>64</v>
      </c>
      <c r="F5098" s="9">
        <v>54</v>
      </c>
      <c r="G5098" s="9">
        <v>605</v>
      </c>
      <c r="H5098" s="5" t="s">
        <v>21</v>
      </c>
      <c r="I5098" s="5" t="s">
        <v>11731</v>
      </c>
      <c r="J5098" s="12" t="str">
        <f>HYPERLINK("https://www.boe.es/gazeta/dias/1800/07/08/pdfs/GMD-1800-54.pdf#page=9","Abrir facsímil")</f>
        <v>Abrir facsímil</v>
      </c>
      <c r="K5098" s="15" t="s">
        <v>23</v>
      </c>
    </row>
    <row r="5099" spans="1:11" ht="42" customHeight="1">
      <c r="A5099" s="4" t="s">
        <v>11679</v>
      </c>
      <c r="B5099" s="5" t="s">
        <v>11680</v>
      </c>
      <c r="C5099" s="5" t="s">
        <v>84</v>
      </c>
      <c r="D5099" s="5" t="s">
        <v>85</v>
      </c>
      <c r="E5099" s="5" t="s">
        <v>530</v>
      </c>
      <c r="F5099" s="9">
        <v>55</v>
      </c>
      <c r="G5099" s="9">
        <v>617</v>
      </c>
      <c r="H5099" s="5" t="s">
        <v>21</v>
      </c>
      <c r="I5099" s="5" t="s">
        <v>11732</v>
      </c>
      <c r="J5099" s="12" t="str">
        <f>HYPERLINK("https://www.boe.es/gazeta/dias/1800/07/11/pdfs/GMD-1800-55.pdf#page=5","Abrir facsímil")</f>
        <v>Abrir facsímil</v>
      </c>
      <c r="K5099" s="15" t="s">
        <v>23</v>
      </c>
    </row>
    <row r="5100" spans="1:11" ht="42" customHeight="1">
      <c r="A5100" s="4" t="s">
        <v>11679</v>
      </c>
      <c r="B5100" s="5" t="s">
        <v>11680</v>
      </c>
      <c r="C5100" s="5" t="s">
        <v>41</v>
      </c>
      <c r="D5100" s="5" t="s">
        <v>42</v>
      </c>
      <c r="E5100" s="5" t="s">
        <v>530</v>
      </c>
      <c r="F5100" s="9">
        <v>55</v>
      </c>
      <c r="G5100" s="9">
        <v>619</v>
      </c>
      <c r="H5100" s="5" t="s">
        <v>21</v>
      </c>
      <c r="I5100" s="5" t="s">
        <v>11733</v>
      </c>
      <c r="J5100" s="12" t="str">
        <f>HYPERLINK("https://www.boe.es/gazeta/dias/1800/07/11/pdfs/GMD-1800-55.pdf#page=7","Abrir facsímil")</f>
        <v>Abrir facsímil</v>
      </c>
      <c r="K5100" s="15" t="s">
        <v>23</v>
      </c>
    </row>
    <row r="5101" spans="1:11" ht="42" customHeight="1">
      <c r="A5101" s="4" t="s">
        <v>11679</v>
      </c>
      <c r="B5101" s="5" t="s">
        <v>11680</v>
      </c>
      <c r="C5101" s="5" t="s">
        <v>41</v>
      </c>
      <c r="D5101" s="5" t="s">
        <v>42</v>
      </c>
      <c r="E5101" s="5" t="s">
        <v>530</v>
      </c>
      <c r="F5101" s="9">
        <v>55</v>
      </c>
      <c r="G5101" s="9">
        <v>620</v>
      </c>
      <c r="H5101" s="5" t="s">
        <v>21</v>
      </c>
      <c r="I5101" s="5" t="s">
        <v>11734</v>
      </c>
      <c r="J5101" s="12" t="str">
        <f>HYPERLINK("https://www.boe.es/gazeta/dias/1800/07/11/pdfs/GMD-1800-55.pdf#page=8","Abrir facsímil")</f>
        <v>Abrir facsímil</v>
      </c>
      <c r="K5101" s="15" t="s">
        <v>23</v>
      </c>
    </row>
    <row r="5102" spans="1:11" ht="42" customHeight="1">
      <c r="A5102" s="4" t="s">
        <v>11679</v>
      </c>
      <c r="B5102" s="5" t="s">
        <v>11680</v>
      </c>
      <c r="C5102" s="5" t="s">
        <v>41</v>
      </c>
      <c r="D5102" s="5" t="s">
        <v>42</v>
      </c>
      <c r="E5102" s="5" t="s">
        <v>310</v>
      </c>
      <c r="F5102" s="9">
        <v>56</v>
      </c>
      <c r="G5102" s="9">
        <v>628</v>
      </c>
      <c r="H5102" s="5" t="s">
        <v>21</v>
      </c>
      <c r="I5102" s="5" t="s">
        <v>11735</v>
      </c>
      <c r="J5102" s="12" t="str">
        <f>HYPERLINK("https://www.boe.es/gazeta/dias/1800/07/15/pdfs/GMD-1800-56.pdf#page=4","Abrir facsímil")</f>
        <v>Abrir facsímil</v>
      </c>
      <c r="K5102" s="15" t="s">
        <v>23</v>
      </c>
    </row>
    <row r="5103" spans="1:11" ht="42" customHeight="1">
      <c r="A5103" s="4" t="s">
        <v>11679</v>
      </c>
      <c r="B5103" s="5" t="s">
        <v>11680</v>
      </c>
      <c r="C5103" s="5" t="s">
        <v>41</v>
      </c>
      <c r="D5103" s="5" t="s">
        <v>42</v>
      </c>
      <c r="E5103" s="5" t="s">
        <v>310</v>
      </c>
      <c r="F5103" s="9">
        <v>56</v>
      </c>
      <c r="G5103" s="9">
        <v>629</v>
      </c>
      <c r="H5103" s="5" t="s">
        <v>21</v>
      </c>
      <c r="I5103" s="5" t="s">
        <v>11736</v>
      </c>
      <c r="J5103" s="12" t="str">
        <f>HYPERLINK("https://www.boe.es/gazeta/dias/1800/07/15/pdfs/GMD-1800-56.pdf#page=5","Abrir facsímil")</f>
        <v>Abrir facsímil</v>
      </c>
      <c r="K5103" s="15" t="s">
        <v>23</v>
      </c>
    </row>
    <row r="5104" spans="1:11" ht="42" customHeight="1">
      <c r="A5104" s="4" t="s">
        <v>11679</v>
      </c>
      <c r="B5104" s="5" t="s">
        <v>11680</v>
      </c>
      <c r="C5104" s="5" t="s">
        <v>41</v>
      </c>
      <c r="D5104" s="5" t="s">
        <v>42</v>
      </c>
      <c r="E5104" s="5" t="s">
        <v>310</v>
      </c>
      <c r="F5104" s="9">
        <v>56</v>
      </c>
      <c r="G5104" s="9">
        <v>630</v>
      </c>
      <c r="H5104" s="5" t="s">
        <v>21</v>
      </c>
      <c r="I5104" s="5" t="s">
        <v>11737</v>
      </c>
      <c r="J5104" s="12" t="str">
        <f>HYPERLINK("https://www.boe.es/gazeta/dias/1800/07/15/pdfs/GMD-1800-56.pdf#page=6","Abrir facsímil")</f>
        <v>Abrir facsímil</v>
      </c>
      <c r="K5104" s="15" t="s">
        <v>23</v>
      </c>
    </row>
    <row r="5105" spans="1:11" ht="42" customHeight="1">
      <c r="A5105" s="4" t="s">
        <v>11679</v>
      </c>
      <c r="B5105" s="5" t="s">
        <v>11680</v>
      </c>
      <c r="C5105" s="5" t="s">
        <v>41</v>
      </c>
      <c r="D5105" s="5" t="s">
        <v>42</v>
      </c>
      <c r="E5105" s="5" t="s">
        <v>1287</v>
      </c>
      <c r="F5105" s="9">
        <v>57</v>
      </c>
      <c r="G5105" s="9">
        <v>641</v>
      </c>
      <c r="H5105" s="5" t="s">
        <v>21</v>
      </c>
      <c r="I5105" s="5" t="s">
        <v>11738</v>
      </c>
      <c r="J5105" s="12" t="str">
        <f>HYPERLINK("https://www.boe.es/gazeta/dias/1800/07/18/pdfs/GMD-1800-57.pdf#page=5","Abrir facsímil")</f>
        <v>Abrir facsímil</v>
      </c>
      <c r="K5105" s="15" t="s">
        <v>23</v>
      </c>
    </row>
    <row r="5106" spans="1:11" ht="42" customHeight="1">
      <c r="A5106" s="4" t="s">
        <v>11679</v>
      </c>
      <c r="B5106" s="5" t="s">
        <v>11680</v>
      </c>
      <c r="C5106" s="5" t="s">
        <v>41</v>
      </c>
      <c r="D5106" s="5" t="s">
        <v>42</v>
      </c>
      <c r="E5106" s="5" t="s">
        <v>1287</v>
      </c>
      <c r="F5106" s="9">
        <v>57</v>
      </c>
      <c r="G5106" s="9">
        <v>646</v>
      </c>
      <c r="H5106" s="5" t="s">
        <v>21</v>
      </c>
      <c r="I5106" s="5" t="s">
        <v>11739</v>
      </c>
      <c r="J5106" s="12" t="str">
        <f>HYPERLINK("https://www.boe.es/gazeta/dias/1800/07/18/pdfs/GMD-1800-57.pdf#page=10","Abrir facsímil")</f>
        <v>Abrir facsímil</v>
      </c>
      <c r="K5106" s="15" t="s">
        <v>23</v>
      </c>
    </row>
    <row r="5107" spans="1:11" ht="42" customHeight="1">
      <c r="A5107" s="4" t="s">
        <v>11679</v>
      </c>
      <c r="B5107" s="5" t="s">
        <v>11680</v>
      </c>
      <c r="C5107" s="5" t="s">
        <v>41</v>
      </c>
      <c r="D5107" s="5" t="s">
        <v>42</v>
      </c>
      <c r="E5107" s="5" t="s">
        <v>90</v>
      </c>
      <c r="F5107" s="9">
        <v>58</v>
      </c>
      <c r="G5107" s="9">
        <v>655</v>
      </c>
      <c r="H5107" s="5" t="s">
        <v>21</v>
      </c>
      <c r="I5107" s="5" t="s">
        <v>11740</v>
      </c>
      <c r="J5107" s="12" t="str">
        <f>HYPERLINK("https://www.boe.es/gazeta/dias/1800/07/22/pdfs/GMD-1800-58.pdf#page=3","Abrir facsímil")</f>
        <v>Abrir facsímil</v>
      </c>
      <c r="K5107" s="15" t="s">
        <v>23</v>
      </c>
    </row>
    <row r="5108" spans="1:11" ht="42" customHeight="1">
      <c r="A5108" s="4" t="s">
        <v>11679</v>
      </c>
      <c r="B5108" s="5" t="s">
        <v>11680</v>
      </c>
      <c r="C5108" s="5" t="s">
        <v>41</v>
      </c>
      <c r="D5108" s="5" t="s">
        <v>42</v>
      </c>
      <c r="E5108" s="5" t="s">
        <v>90</v>
      </c>
      <c r="F5108" s="9">
        <v>58</v>
      </c>
      <c r="G5108" s="9">
        <v>661</v>
      </c>
      <c r="H5108" s="5" t="s">
        <v>21</v>
      </c>
      <c r="I5108" s="5" t="s">
        <v>11741</v>
      </c>
      <c r="J5108" s="12" t="str">
        <f>HYPERLINK("https://www.boe.es/gazeta/dias/1800/07/22/pdfs/GMD-1800-58.pdf#page=9","Abrir facsímil")</f>
        <v>Abrir facsímil</v>
      </c>
      <c r="K5108" s="15" t="s">
        <v>23</v>
      </c>
    </row>
    <row r="5109" spans="1:11" ht="42" customHeight="1">
      <c r="A5109" s="4" t="s">
        <v>11679</v>
      </c>
      <c r="B5109" s="5" t="s">
        <v>11680</v>
      </c>
      <c r="C5109" s="5" t="s">
        <v>41</v>
      </c>
      <c r="D5109" s="5" t="s">
        <v>42</v>
      </c>
      <c r="E5109" s="5" t="s">
        <v>1294</v>
      </c>
      <c r="F5109" s="9">
        <v>59</v>
      </c>
      <c r="G5109" s="9">
        <v>675</v>
      </c>
      <c r="H5109" s="5" t="s">
        <v>21</v>
      </c>
      <c r="I5109" s="5" t="s">
        <v>11742</v>
      </c>
      <c r="J5109" s="12" t="str">
        <f>HYPERLINK("https://www.boe.es/gazeta/dias/1800/07/25/pdfs/GMD-1800-59.pdf#page=7","Abrir facsímil")</f>
        <v>Abrir facsímil</v>
      </c>
      <c r="K5109" s="15" t="s">
        <v>23</v>
      </c>
    </row>
    <row r="5110" spans="1:11" ht="42" customHeight="1">
      <c r="A5110" s="4" t="s">
        <v>11679</v>
      </c>
      <c r="B5110" s="5" t="s">
        <v>11680</v>
      </c>
      <c r="C5110" s="5" t="s">
        <v>41</v>
      </c>
      <c r="D5110" s="5" t="s">
        <v>42</v>
      </c>
      <c r="E5110" s="5" t="s">
        <v>1294</v>
      </c>
      <c r="F5110" s="9">
        <v>59</v>
      </c>
      <c r="G5110" s="9">
        <v>676</v>
      </c>
      <c r="H5110" s="5" t="s">
        <v>21</v>
      </c>
      <c r="I5110" s="5" t="s">
        <v>11743</v>
      </c>
      <c r="J5110" s="12" t="str">
        <f>HYPERLINK("https://www.boe.es/gazeta/dias/1800/07/25/pdfs/GMD-1800-59.pdf#page=8","Abrir facsímil")</f>
        <v>Abrir facsímil</v>
      </c>
      <c r="K5110" s="15" t="s">
        <v>23</v>
      </c>
    </row>
    <row r="5111" spans="1:11" ht="42" customHeight="1">
      <c r="A5111" s="4" t="s">
        <v>11679</v>
      </c>
      <c r="B5111" s="5" t="s">
        <v>11680</v>
      </c>
      <c r="C5111" s="5" t="s">
        <v>41</v>
      </c>
      <c r="D5111" s="5" t="s">
        <v>42</v>
      </c>
      <c r="E5111" s="5" t="s">
        <v>1294</v>
      </c>
      <c r="F5111" s="9">
        <v>59</v>
      </c>
      <c r="G5111" s="9">
        <v>677</v>
      </c>
      <c r="H5111" s="5" t="s">
        <v>21</v>
      </c>
      <c r="I5111" s="5" t="s">
        <v>11744</v>
      </c>
      <c r="J5111" s="12" t="str">
        <f>HYPERLINK("https://www.boe.es/gazeta/dias/1800/07/25/pdfs/GMD-1800-59.pdf#page=9","Abrir facsímil")</f>
        <v>Abrir facsímil</v>
      </c>
      <c r="K5111" s="15" t="s">
        <v>23</v>
      </c>
    </row>
    <row r="5112" spans="1:11" ht="42" customHeight="1">
      <c r="A5112" s="4" t="s">
        <v>11679</v>
      </c>
      <c r="B5112" s="5" t="s">
        <v>11680</v>
      </c>
      <c r="C5112" s="5" t="s">
        <v>41</v>
      </c>
      <c r="D5112" s="5" t="s">
        <v>42</v>
      </c>
      <c r="E5112" s="5" t="s">
        <v>275</v>
      </c>
      <c r="F5112" s="9">
        <v>60</v>
      </c>
      <c r="G5112" s="9">
        <v>682</v>
      </c>
      <c r="H5112" s="5" t="s">
        <v>21</v>
      </c>
      <c r="I5112" s="5" t="s">
        <v>11745</v>
      </c>
      <c r="J5112" s="12" t="str">
        <f>HYPERLINK("https://www.boe.es/gazeta/dias/1800/07/29/pdfs/GMD-1800-60.pdf#page=2","Abrir facsímil")</f>
        <v>Abrir facsímil</v>
      </c>
      <c r="K5112" s="15" t="s">
        <v>23</v>
      </c>
    </row>
    <row r="5113" spans="1:11" ht="42" customHeight="1">
      <c r="A5113" s="4" t="s">
        <v>11679</v>
      </c>
      <c r="B5113" s="5" t="s">
        <v>11680</v>
      </c>
      <c r="C5113" s="5" t="s">
        <v>41</v>
      </c>
      <c r="D5113" s="5" t="s">
        <v>42</v>
      </c>
      <c r="E5113" s="5" t="s">
        <v>154</v>
      </c>
      <c r="F5113" s="9">
        <v>61</v>
      </c>
      <c r="G5113" s="9">
        <v>690</v>
      </c>
      <c r="H5113" s="5" t="s">
        <v>21</v>
      </c>
      <c r="I5113" s="5" t="s">
        <v>11746</v>
      </c>
      <c r="J5113" s="12" t="str">
        <f>HYPERLINK("https://www.boe.es/gazeta/dias/1800/08/01/pdfs/GMD-1800-61.pdf#page=2","Abrir facsímil")</f>
        <v>Abrir facsímil</v>
      </c>
      <c r="K5113" s="15" t="s">
        <v>23</v>
      </c>
    </row>
    <row r="5114" spans="1:11" ht="42" customHeight="1">
      <c r="A5114" s="4" t="s">
        <v>11679</v>
      </c>
      <c r="B5114" s="5" t="s">
        <v>11680</v>
      </c>
      <c r="C5114" s="5" t="s">
        <v>41</v>
      </c>
      <c r="D5114" s="5" t="s">
        <v>42</v>
      </c>
      <c r="E5114" s="5" t="s">
        <v>154</v>
      </c>
      <c r="F5114" s="9">
        <v>61</v>
      </c>
      <c r="G5114" s="9">
        <v>695</v>
      </c>
      <c r="H5114" s="5" t="s">
        <v>21</v>
      </c>
      <c r="I5114" s="5" t="s">
        <v>1491</v>
      </c>
      <c r="J5114" s="12" t="str">
        <f>HYPERLINK("https://www.boe.es/gazeta/dias/1800/08/01/pdfs/GMD-1800-61.pdf#page=7","Abrir facsímil")</f>
        <v>Abrir facsímil</v>
      </c>
      <c r="K5114" s="15" t="s">
        <v>23</v>
      </c>
    </row>
    <row r="5115" spans="1:11" ht="42" customHeight="1">
      <c r="A5115" s="4" t="s">
        <v>11679</v>
      </c>
      <c r="B5115" s="5" t="s">
        <v>11680</v>
      </c>
      <c r="C5115" s="5" t="s">
        <v>18</v>
      </c>
      <c r="D5115" s="5" t="s">
        <v>19</v>
      </c>
      <c r="E5115" s="5" t="s">
        <v>319</v>
      </c>
      <c r="F5115" s="9">
        <v>62</v>
      </c>
      <c r="G5115" s="9">
        <v>701</v>
      </c>
      <c r="H5115" s="5" t="s">
        <v>21</v>
      </c>
      <c r="I5115" s="5" t="s">
        <v>11747</v>
      </c>
      <c r="J5115" s="12" t="str">
        <f>HYPERLINK("https://www.boe.es/gazeta/dias/1800/08/05/pdfs/GMD-1800-62.pdf#page=1","Abrir facsímil")</f>
        <v>Abrir facsímil</v>
      </c>
      <c r="K5115" s="15" t="s">
        <v>23</v>
      </c>
    </row>
    <row r="5116" spans="1:11" ht="42" customHeight="1">
      <c r="A5116" s="4" t="s">
        <v>11679</v>
      </c>
      <c r="B5116" s="5" t="s">
        <v>11680</v>
      </c>
      <c r="C5116" s="5" t="s">
        <v>41</v>
      </c>
      <c r="D5116" s="5" t="s">
        <v>42</v>
      </c>
      <c r="E5116" s="5" t="s">
        <v>454</v>
      </c>
      <c r="F5116" s="9">
        <v>63</v>
      </c>
      <c r="G5116" s="9">
        <v>719</v>
      </c>
      <c r="H5116" s="5" t="s">
        <v>21</v>
      </c>
      <c r="I5116" s="5" t="s">
        <v>11748</v>
      </c>
      <c r="J5116" s="12" t="str">
        <f>HYPERLINK("https://www.boe.es/gazeta/dias/1800/08/08/pdfs/GMD-1800-63.pdf#page=7","Abrir facsímil")</f>
        <v>Abrir facsímil</v>
      </c>
      <c r="K5116" s="15" t="s">
        <v>23</v>
      </c>
    </row>
    <row r="5117" spans="1:11" ht="42" customHeight="1">
      <c r="A5117" s="4" t="s">
        <v>11679</v>
      </c>
      <c r="B5117" s="5" t="s">
        <v>11680</v>
      </c>
      <c r="C5117" s="5" t="s">
        <v>41</v>
      </c>
      <c r="D5117" s="5" t="s">
        <v>42</v>
      </c>
      <c r="E5117" s="5" t="s">
        <v>75</v>
      </c>
      <c r="F5117" s="9">
        <v>64</v>
      </c>
      <c r="G5117" s="9">
        <v>726</v>
      </c>
      <c r="H5117" s="5" t="s">
        <v>21</v>
      </c>
      <c r="I5117" s="5" t="s">
        <v>11749</v>
      </c>
      <c r="J5117" s="12" t="str">
        <f>HYPERLINK("https://www.boe.es/gazeta/dias/1800/08/12/pdfs/GMD-1800-64.pdf#page=2","Abrir facsímil")</f>
        <v>Abrir facsímil</v>
      </c>
      <c r="K5117" s="15" t="s">
        <v>23</v>
      </c>
    </row>
    <row r="5118" spans="1:11" ht="42" customHeight="1">
      <c r="A5118" s="4" t="s">
        <v>11679</v>
      </c>
      <c r="B5118" s="5" t="s">
        <v>11680</v>
      </c>
      <c r="C5118" s="5" t="s">
        <v>54</v>
      </c>
      <c r="D5118" s="5" t="s">
        <v>55</v>
      </c>
      <c r="E5118" s="5" t="s">
        <v>75</v>
      </c>
      <c r="F5118" s="9">
        <v>64</v>
      </c>
      <c r="G5118" s="9">
        <v>728</v>
      </c>
      <c r="H5118" s="5" t="s">
        <v>21</v>
      </c>
      <c r="I5118" s="5" t="s">
        <v>11750</v>
      </c>
      <c r="J5118" s="12" t="str">
        <f>HYPERLINK("https://www.boe.es/gazeta/dias/1800/08/12/pdfs/GMD-1800-64.pdf#page=4","Abrir facsímil")</f>
        <v>Abrir facsímil</v>
      </c>
      <c r="K5118" s="15" t="s">
        <v>23</v>
      </c>
    </row>
    <row r="5119" spans="1:11" ht="42" customHeight="1">
      <c r="A5119" s="4" t="s">
        <v>11679</v>
      </c>
      <c r="B5119" s="5" t="s">
        <v>11680</v>
      </c>
      <c r="C5119" s="5" t="s">
        <v>41</v>
      </c>
      <c r="D5119" s="5" t="s">
        <v>42</v>
      </c>
      <c r="E5119" s="5" t="s">
        <v>48</v>
      </c>
      <c r="F5119" s="9">
        <v>66</v>
      </c>
      <c r="G5119" s="9">
        <v>740</v>
      </c>
      <c r="H5119" s="5" t="s">
        <v>21</v>
      </c>
      <c r="I5119" s="5" t="s">
        <v>11751</v>
      </c>
      <c r="J5119" s="12" t="str">
        <f>HYPERLINK("https://www.boe.es/gazeta/dias/1800/08/19/pdfs/GMD-1800-66.pdf#page=4","Abrir facsímil")</f>
        <v>Abrir facsímil</v>
      </c>
      <c r="K5119" s="15" t="s">
        <v>23</v>
      </c>
    </row>
    <row r="5120" spans="1:11" ht="42" customHeight="1">
      <c r="A5120" s="4" t="s">
        <v>11679</v>
      </c>
      <c r="B5120" s="5" t="s">
        <v>11680</v>
      </c>
      <c r="C5120" s="5" t="s">
        <v>41</v>
      </c>
      <c r="D5120" s="5" t="s">
        <v>42</v>
      </c>
      <c r="E5120" s="5" t="s">
        <v>590</v>
      </c>
      <c r="F5120" s="9">
        <v>69</v>
      </c>
      <c r="G5120" s="9">
        <v>774</v>
      </c>
      <c r="H5120" s="5" t="s">
        <v>21</v>
      </c>
      <c r="I5120" s="5" t="s">
        <v>11558</v>
      </c>
      <c r="J5120" s="12" t="str">
        <f>HYPERLINK("https://www.boe.es/gazeta/dias/1800/08/29/pdfs/GMD-1800-69.pdf#page=6","Abrir facsímil")</f>
        <v>Abrir facsímil</v>
      </c>
      <c r="K5120" s="15" t="s">
        <v>23</v>
      </c>
    </row>
    <row r="5121" spans="1:11" ht="42" customHeight="1">
      <c r="A5121" s="4" t="s">
        <v>11679</v>
      </c>
      <c r="B5121" s="5" t="s">
        <v>11680</v>
      </c>
      <c r="C5121" s="5" t="s">
        <v>25</v>
      </c>
      <c r="D5121" s="5" t="s">
        <v>26</v>
      </c>
      <c r="E5121" s="5" t="s">
        <v>836</v>
      </c>
      <c r="F5121" s="9">
        <v>71</v>
      </c>
      <c r="G5121" s="9">
        <v>789</v>
      </c>
      <c r="H5121" s="5" t="s">
        <v>21</v>
      </c>
      <c r="I5121" s="5" t="s">
        <v>11752</v>
      </c>
      <c r="J5121" s="12" t="str">
        <f>HYPERLINK("https://www.boe.es/gazeta/dias/1800/09/02/pdfs/GMD-1800-71.pdf#page=7","Abrir facsímil")</f>
        <v>Abrir facsímil</v>
      </c>
      <c r="K5121" s="15" t="s">
        <v>23</v>
      </c>
    </row>
    <row r="5122" spans="1:11" ht="42" customHeight="1">
      <c r="A5122" s="4" t="s">
        <v>11679</v>
      </c>
      <c r="B5122" s="5" t="s">
        <v>11680</v>
      </c>
      <c r="C5122" s="5" t="s">
        <v>25</v>
      </c>
      <c r="D5122" s="5" t="s">
        <v>26</v>
      </c>
      <c r="E5122" s="5" t="s">
        <v>843</v>
      </c>
      <c r="F5122" s="9">
        <v>78</v>
      </c>
      <c r="G5122" s="9">
        <v>889</v>
      </c>
      <c r="H5122" s="5" t="s">
        <v>21</v>
      </c>
      <c r="I5122" s="5" t="s">
        <v>11753</v>
      </c>
      <c r="J5122" s="12" t="str">
        <f>HYPERLINK("https://www.boe.es/gazeta/dias/1800/09/26/pdfs/GMD-1800-78.pdf#page=7","Abrir facsímil")</f>
        <v>Abrir facsímil</v>
      </c>
      <c r="K5122" s="15" t="s">
        <v>23</v>
      </c>
    </row>
    <row r="5123" spans="1:11" ht="42" customHeight="1">
      <c r="A5123" s="4" t="s">
        <v>11679</v>
      </c>
      <c r="B5123" s="5" t="s">
        <v>11680</v>
      </c>
      <c r="C5123" s="5" t="s">
        <v>41</v>
      </c>
      <c r="D5123" s="5" t="s">
        <v>42</v>
      </c>
      <c r="E5123" s="5" t="s">
        <v>845</v>
      </c>
      <c r="F5123" s="9">
        <v>80</v>
      </c>
      <c r="G5123" s="9">
        <v>905</v>
      </c>
      <c r="H5123" s="5" t="s">
        <v>21</v>
      </c>
      <c r="I5123" s="5" t="s">
        <v>11754</v>
      </c>
      <c r="J5123" s="12" t="str">
        <f>HYPERLINK("https://www.boe.es/gazeta/dias/1800/10/03/pdfs/GMD-1800-80.pdf#page=3","Abrir facsímil")</f>
        <v>Abrir facsímil</v>
      </c>
      <c r="K5123" s="15" t="s">
        <v>23</v>
      </c>
    </row>
    <row r="5124" spans="1:11" ht="42" customHeight="1">
      <c r="A5124" s="4" t="s">
        <v>11679</v>
      </c>
      <c r="B5124" s="5" t="s">
        <v>11680</v>
      </c>
      <c r="C5124" s="5" t="s">
        <v>41</v>
      </c>
      <c r="D5124" s="5" t="s">
        <v>42</v>
      </c>
      <c r="E5124" s="5" t="s">
        <v>184</v>
      </c>
      <c r="F5124" s="9">
        <v>82</v>
      </c>
      <c r="G5124" s="9">
        <v>945</v>
      </c>
      <c r="H5124" s="5" t="s">
        <v>21</v>
      </c>
      <c r="I5124" s="5" t="s">
        <v>11755</v>
      </c>
      <c r="J5124" s="12" t="str">
        <f>HYPERLINK("https://www.boe.es/gazeta/dias/1800/10/10/pdfs/GMD-1800-82.pdf#page=3","Abrir facsímil")</f>
        <v>Abrir facsímil</v>
      </c>
      <c r="K5124" s="15" t="s">
        <v>23</v>
      </c>
    </row>
    <row r="5125" spans="1:11" ht="42" customHeight="1">
      <c r="A5125" s="4" t="s">
        <v>11679</v>
      </c>
      <c r="B5125" s="5" t="s">
        <v>11680</v>
      </c>
      <c r="C5125" s="5" t="s">
        <v>41</v>
      </c>
      <c r="D5125" s="5" t="s">
        <v>42</v>
      </c>
      <c r="E5125" s="5" t="s">
        <v>184</v>
      </c>
      <c r="F5125" s="9">
        <v>82</v>
      </c>
      <c r="G5125" s="9">
        <v>946</v>
      </c>
      <c r="H5125" s="5" t="s">
        <v>21</v>
      </c>
      <c r="I5125" s="5" t="s">
        <v>11756</v>
      </c>
      <c r="J5125" s="12" t="str">
        <f>HYPERLINK("https://www.boe.es/gazeta/dias/1800/10/10/pdfs/GMD-1800-82.pdf#page=4","Abrir facsímil")</f>
        <v>Abrir facsímil</v>
      </c>
      <c r="K5125" s="15" t="s">
        <v>23</v>
      </c>
    </row>
    <row r="5126" spans="1:11" ht="42" customHeight="1">
      <c r="A5126" s="4" t="s">
        <v>11679</v>
      </c>
      <c r="B5126" s="5" t="s">
        <v>11680</v>
      </c>
      <c r="C5126" s="5" t="s">
        <v>18</v>
      </c>
      <c r="D5126" s="5" t="s">
        <v>19</v>
      </c>
      <c r="E5126" s="5" t="s">
        <v>52</v>
      </c>
      <c r="F5126" s="9">
        <v>83</v>
      </c>
      <c r="G5126" s="9">
        <v>956</v>
      </c>
      <c r="H5126" s="5" t="s">
        <v>21</v>
      </c>
      <c r="I5126" s="5" t="s">
        <v>11757</v>
      </c>
      <c r="J5126" s="12" t="str">
        <f>HYPERLINK("https://www.boe.es/gazeta/dias/1800/10/14/pdfs/GMD-1800-83.pdf#page=2","Abrir facsímil")</f>
        <v>Abrir facsímil</v>
      </c>
      <c r="K5126" s="15" t="s">
        <v>23</v>
      </c>
    </row>
    <row r="5127" spans="1:11" ht="42" customHeight="1">
      <c r="A5127" s="4" t="s">
        <v>11679</v>
      </c>
      <c r="B5127" s="5" t="s">
        <v>11680</v>
      </c>
      <c r="C5127" s="5" t="s">
        <v>41</v>
      </c>
      <c r="D5127" s="5" t="s">
        <v>42</v>
      </c>
      <c r="E5127" s="5" t="s">
        <v>180</v>
      </c>
      <c r="F5127" s="9">
        <v>102</v>
      </c>
      <c r="G5127" s="9">
        <v>1180</v>
      </c>
      <c r="H5127" s="5" t="s">
        <v>21</v>
      </c>
      <c r="I5127" s="5" t="s">
        <v>11758</v>
      </c>
      <c r="J5127" s="12" t="str">
        <f>HYPERLINK("https://www.boe.es/gazeta/dias/1800/12/19/pdfs/GMD-1800-102.pdf#page=4","Abrir facsímil")</f>
        <v>Abrir facsímil</v>
      </c>
      <c r="K5127" s="15" t="s">
        <v>23</v>
      </c>
    </row>
    <row r="5128" spans="1:11" ht="42" customHeight="1">
      <c r="A5128" s="4" t="s">
        <v>11759</v>
      </c>
      <c r="B5128" s="5" t="s">
        <v>11760</v>
      </c>
      <c r="C5128" s="5" t="s">
        <v>18</v>
      </c>
      <c r="D5128" s="5" t="s">
        <v>19</v>
      </c>
      <c r="E5128" s="5" t="s">
        <v>214</v>
      </c>
      <c r="F5128" s="9">
        <v>41</v>
      </c>
      <c r="G5128" s="9">
        <v>423</v>
      </c>
      <c r="H5128" s="5" t="s">
        <v>21</v>
      </c>
      <c r="I5128" s="5" t="s">
        <v>11761</v>
      </c>
      <c r="J5128" s="12" t="str">
        <f>HYPERLINK("https://www.boe.es/gazeta/dias/1800/05/23/pdfs/GMD-1800-41.pdf#page=7","Abrir facsímil")</f>
        <v>Abrir facsímil</v>
      </c>
      <c r="K5128" s="15" t="s">
        <v>23</v>
      </c>
    </row>
    <row r="5129" spans="1:11" ht="42" customHeight="1">
      <c r="A5129" s="4" t="s">
        <v>11762</v>
      </c>
      <c r="B5129" s="5" t="s">
        <v>11763</v>
      </c>
      <c r="C5129" s="5" t="s">
        <v>18</v>
      </c>
      <c r="D5129" s="5" t="s">
        <v>19</v>
      </c>
      <c r="E5129" s="5" t="s">
        <v>402</v>
      </c>
      <c r="F5129" s="9">
        <v>101</v>
      </c>
      <c r="G5129" s="9">
        <v>1173</v>
      </c>
      <c r="H5129" s="5" t="s">
        <v>21</v>
      </c>
      <c r="I5129" s="5" t="s">
        <v>11764</v>
      </c>
      <c r="J5129" s="12" t="str">
        <f>HYPERLINK("https://www.boe.es/gazeta/dias/1800/12/16/pdfs/GMD-1800-101.pdf#page=9","Abrir facsímil")</f>
        <v>Abrir facsímil</v>
      </c>
      <c r="K5129" s="15" t="s">
        <v>23</v>
      </c>
    </row>
    <row r="5130" spans="1:11" ht="42" customHeight="1">
      <c r="A5130" s="4" t="s">
        <v>11765</v>
      </c>
      <c r="B5130" s="5" t="s">
        <v>11766</v>
      </c>
      <c r="C5130" s="5" t="s">
        <v>54</v>
      </c>
      <c r="D5130" s="5" t="s">
        <v>55</v>
      </c>
      <c r="E5130" s="5" t="s">
        <v>590</v>
      </c>
      <c r="F5130" s="9">
        <v>69</v>
      </c>
      <c r="G5130" s="9">
        <v>776</v>
      </c>
      <c r="H5130" s="5" t="s">
        <v>21</v>
      </c>
      <c r="I5130" s="5" t="s">
        <v>11767</v>
      </c>
      <c r="J5130" s="12" t="str">
        <f>HYPERLINK("https://www.boe.es/gazeta/dias/1800/08/29/pdfs/GMD-1800-69.pdf#page=8","Abrir facsímil")</f>
        <v>Abrir facsímil</v>
      </c>
      <c r="K5130" s="15" t="s">
        <v>23</v>
      </c>
    </row>
    <row r="5131" spans="1:11" ht="42" customHeight="1">
      <c r="A5131" s="4" t="s">
        <v>11765</v>
      </c>
      <c r="B5131" s="5" t="s">
        <v>11766</v>
      </c>
      <c r="C5131" s="5" t="s">
        <v>54</v>
      </c>
      <c r="D5131" s="5" t="s">
        <v>55</v>
      </c>
      <c r="E5131" s="5" t="s">
        <v>56</v>
      </c>
      <c r="F5131" s="9">
        <v>90</v>
      </c>
      <c r="G5131" s="9">
        <v>1057</v>
      </c>
      <c r="H5131" s="5" t="s">
        <v>21</v>
      </c>
      <c r="I5131" s="5" t="s">
        <v>11768</v>
      </c>
      <c r="J5131" s="12" t="str">
        <f>HYPERLINK("https://www.boe.es/gazeta/dias/1800/11/07/pdfs/GMD-1800-90.pdf#page=11","Abrir facsímil")</f>
        <v>Abrir facsímil</v>
      </c>
      <c r="K5131" s="15" t="s">
        <v>23</v>
      </c>
    </row>
    <row r="5132" spans="1:11" ht="42" customHeight="1">
      <c r="A5132" s="4" t="s">
        <v>11769</v>
      </c>
      <c r="B5132" s="5" t="s">
        <v>11770</v>
      </c>
      <c r="C5132" s="5" t="s">
        <v>54</v>
      </c>
      <c r="D5132" s="5" t="s">
        <v>55</v>
      </c>
      <c r="E5132" s="5" t="s">
        <v>58</v>
      </c>
      <c r="F5132" s="9">
        <v>92</v>
      </c>
      <c r="G5132" s="9">
        <v>1054</v>
      </c>
      <c r="H5132" s="5" t="s">
        <v>21</v>
      </c>
      <c r="I5132" s="5" t="s">
        <v>11771</v>
      </c>
      <c r="J5132" s="12" t="str">
        <f>HYPERLINK("https://www.boe.es/gazeta/dias/1800/11/14/pdfs/GMD-1800-92.pdf#page=8","Abrir facsímil")</f>
        <v>Abrir facsímil</v>
      </c>
      <c r="K5132" s="15" t="s">
        <v>23</v>
      </c>
    </row>
    <row r="5133" spans="1:11" ht="42" customHeight="1">
      <c r="A5133" s="4" t="s">
        <v>11765</v>
      </c>
      <c r="B5133" s="5" t="s">
        <v>11766</v>
      </c>
      <c r="C5133" s="5" t="s">
        <v>54</v>
      </c>
      <c r="D5133" s="5" t="s">
        <v>55</v>
      </c>
      <c r="E5133" s="5" t="s">
        <v>402</v>
      </c>
      <c r="F5133" s="9">
        <v>101</v>
      </c>
      <c r="G5133" s="9">
        <v>1174</v>
      </c>
      <c r="H5133" s="5" t="s">
        <v>21</v>
      </c>
      <c r="I5133" s="5" t="s">
        <v>11772</v>
      </c>
      <c r="J5133" s="12" t="str">
        <f>HYPERLINK("https://www.boe.es/gazeta/dias/1800/12/16/pdfs/GMD-1800-101.pdf#page=10","Abrir facsímil")</f>
        <v>Abrir facsímil</v>
      </c>
      <c r="K5133" s="15" t="s">
        <v>23</v>
      </c>
    </row>
    <row r="5134" spans="1:11" ht="42" customHeight="1">
      <c r="A5134" s="4" t="s">
        <v>11773</v>
      </c>
      <c r="B5134" s="5" t="s">
        <v>11774</v>
      </c>
      <c r="C5134" s="5" t="s">
        <v>54</v>
      </c>
      <c r="D5134" s="5" t="s">
        <v>55</v>
      </c>
      <c r="E5134" s="5" t="s">
        <v>60</v>
      </c>
      <c r="F5134" s="9">
        <v>105</v>
      </c>
      <c r="G5134" s="9">
        <v>1227</v>
      </c>
      <c r="H5134" s="5" t="s">
        <v>21</v>
      </c>
      <c r="I5134" s="5" t="s">
        <v>11775</v>
      </c>
      <c r="J5134" s="12" t="str">
        <f>HYPERLINK("https://www.boe.es/gazeta/dias/1800/12/30/pdfs/GMD-1800-105.pdf#page=11","Abrir facsímil")</f>
        <v>Abrir facsímil</v>
      </c>
      <c r="K5134" s="15" t="s">
        <v>23</v>
      </c>
    </row>
    <row r="5135" spans="1:11" ht="42" customHeight="1">
      <c r="A5135" s="4" t="s">
        <v>11776</v>
      </c>
      <c r="B5135" s="5" t="s">
        <v>11777</v>
      </c>
      <c r="C5135" s="5" t="s">
        <v>18</v>
      </c>
      <c r="D5135" s="5" t="s">
        <v>19</v>
      </c>
      <c r="E5135" s="5" t="s">
        <v>180</v>
      </c>
      <c r="F5135" s="9">
        <v>102</v>
      </c>
      <c r="G5135" s="9">
        <v>1185</v>
      </c>
      <c r="H5135" s="5" t="s">
        <v>21</v>
      </c>
      <c r="I5135" s="5" t="s">
        <v>11778</v>
      </c>
      <c r="J5135" s="12" t="str">
        <f>HYPERLINK("https://www.boe.es/gazeta/dias/1800/12/19/pdfs/GMD-1800-102.pdf#page=9","Abrir facsímil")</f>
        <v>Abrir facsímil</v>
      </c>
      <c r="K5135" s="15" t="s">
        <v>23</v>
      </c>
    </row>
    <row r="5136" spans="1:11" ht="42" customHeight="1">
      <c r="A5136" s="4" t="s">
        <v>11779</v>
      </c>
      <c r="B5136" s="5" t="s">
        <v>11780</v>
      </c>
      <c r="C5136" s="5" t="s">
        <v>25</v>
      </c>
      <c r="D5136" s="5" t="s">
        <v>26</v>
      </c>
      <c r="E5136" s="5" t="s">
        <v>27</v>
      </c>
      <c r="F5136" s="9">
        <v>65</v>
      </c>
      <c r="G5136" s="9">
        <v>735</v>
      </c>
      <c r="H5136" s="5" t="s">
        <v>21</v>
      </c>
      <c r="I5136" s="5" t="s">
        <v>11781</v>
      </c>
      <c r="J5136" s="12" t="str">
        <f>HYPERLINK("https://www.boe.es/gazeta/dias/1800/08/15/pdfs/GMD-1800-65.pdf#page=11","Abrir facsímil")</f>
        <v>Abrir facsímil</v>
      </c>
      <c r="K5136" s="15" t="s">
        <v>23</v>
      </c>
    </row>
    <row r="5137" spans="1:11" ht="42" customHeight="1">
      <c r="A5137" s="4" t="s">
        <v>11782</v>
      </c>
      <c r="B5137" s="5" t="s">
        <v>11783</v>
      </c>
      <c r="C5137" s="5" t="s">
        <v>18</v>
      </c>
      <c r="D5137" s="5" t="s">
        <v>19</v>
      </c>
      <c r="E5137" s="5" t="s">
        <v>139</v>
      </c>
      <c r="F5137" s="9">
        <v>2</v>
      </c>
      <c r="G5137" s="9">
        <v>18</v>
      </c>
      <c r="H5137" s="5" t="s">
        <v>21</v>
      </c>
      <c r="I5137" s="5" t="s">
        <v>11784</v>
      </c>
      <c r="J5137" s="12" t="str">
        <f>HYPERLINK("https://www.boe.es/gazeta/dias/1800/01/07/pdfs/GMD-1800-2.pdf#page=10","Abrir facsímil")</f>
        <v>Abrir facsímil</v>
      </c>
      <c r="K5137" s="15" t="s">
        <v>23</v>
      </c>
    </row>
    <row r="5138" spans="1:11" ht="42" customHeight="1">
      <c r="A5138" s="4" t="s">
        <v>11785</v>
      </c>
      <c r="B5138" s="5" t="s">
        <v>11786</v>
      </c>
      <c r="C5138" s="5" t="s">
        <v>18</v>
      </c>
      <c r="D5138" s="5" t="s">
        <v>19</v>
      </c>
      <c r="E5138" s="5" t="s">
        <v>56</v>
      </c>
      <c r="F5138" s="9">
        <v>90</v>
      </c>
      <c r="G5138" s="9">
        <v>1055</v>
      </c>
      <c r="H5138" s="5" t="s">
        <v>21</v>
      </c>
      <c r="I5138" s="5" t="s">
        <v>11787</v>
      </c>
      <c r="J5138" s="12" t="str">
        <f>HYPERLINK("https://www.boe.es/gazeta/dias/1800/11/07/pdfs/GMD-1800-90.pdf#page=9","Abrir facsímil")</f>
        <v>Abrir facsímil</v>
      </c>
      <c r="K5138" s="15" t="s">
        <v>23</v>
      </c>
    </row>
    <row r="5139" spans="1:11" ht="42" customHeight="1">
      <c r="A5139" s="4" t="s">
        <v>11788</v>
      </c>
      <c r="B5139" s="5" t="s">
        <v>11789</v>
      </c>
      <c r="C5139" s="5" t="s">
        <v>18</v>
      </c>
      <c r="D5139" s="5" t="s">
        <v>19</v>
      </c>
      <c r="E5139" s="5" t="s">
        <v>356</v>
      </c>
      <c r="F5139" s="9">
        <v>31</v>
      </c>
      <c r="G5139" s="9">
        <v>314</v>
      </c>
      <c r="H5139" s="5" t="s">
        <v>21</v>
      </c>
      <c r="I5139" s="5" t="s">
        <v>11790</v>
      </c>
      <c r="J5139" s="12" t="str">
        <f>HYPERLINK("https://www.boe.es/gazeta/dias/1800/04/18/pdfs/GMD-1800-31.pdf#page=6","Abrir facsímil")</f>
        <v>Abrir facsímil</v>
      </c>
      <c r="K5139" s="15" t="s">
        <v>23</v>
      </c>
    </row>
    <row r="5140" spans="1:11" ht="42" customHeight="1">
      <c r="A5140" s="4" t="s">
        <v>11791</v>
      </c>
      <c r="B5140" s="5" t="s">
        <v>11792</v>
      </c>
      <c r="C5140" s="5" t="s">
        <v>25</v>
      </c>
      <c r="D5140" s="5" t="s">
        <v>26</v>
      </c>
      <c r="E5140" s="5" t="s">
        <v>5375</v>
      </c>
      <c r="F5140" s="9">
        <v>70</v>
      </c>
      <c r="G5140" s="9">
        <v>777</v>
      </c>
      <c r="H5140" s="5" t="s">
        <v>21</v>
      </c>
      <c r="I5140" s="5" t="s">
        <v>11793</v>
      </c>
      <c r="J5140" s="12" t="str">
        <f>HYPERLINK("https://www.boe.es/gazeta/dias/1800/08/31/pdfs/GMD-1800-70E.pdf#page=1","Abrir facsímil")</f>
        <v>Abrir facsímil</v>
      </c>
      <c r="K5140" s="15" t="s">
        <v>23</v>
      </c>
    </row>
    <row r="5141" spans="1:11" ht="42" customHeight="1">
      <c r="A5141" s="4" t="s">
        <v>11791</v>
      </c>
      <c r="B5141" s="5" t="s">
        <v>11792</v>
      </c>
      <c r="C5141" s="5" t="s">
        <v>25</v>
      </c>
      <c r="D5141" s="5" t="s">
        <v>26</v>
      </c>
      <c r="E5141" s="5" t="s">
        <v>5375</v>
      </c>
      <c r="F5141" s="9">
        <v>70</v>
      </c>
      <c r="G5141" s="9">
        <v>778</v>
      </c>
      <c r="H5141" s="5" t="s">
        <v>21</v>
      </c>
      <c r="I5141" s="5" t="s">
        <v>11794</v>
      </c>
      <c r="J5141" s="12" t="str">
        <f>HYPERLINK("https://www.boe.es/gazeta/dias/1800/08/31/pdfs/GMD-1800-70E.pdf#page=2","Abrir facsímil")</f>
        <v>Abrir facsímil</v>
      </c>
      <c r="K5141" s="15" t="s">
        <v>23</v>
      </c>
    </row>
    <row r="5142" spans="1:11" ht="42" customHeight="1">
      <c r="A5142" s="4" t="s">
        <v>11791</v>
      </c>
      <c r="B5142" s="5" t="s">
        <v>11792</v>
      </c>
      <c r="C5142" s="5" t="s">
        <v>18</v>
      </c>
      <c r="D5142" s="5" t="s">
        <v>19</v>
      </c>
      <c r="E5142" s="5" t="s">
        <v>5375</v>
      </c>
      <c r="F5142" s="9">
        <v>70</v>
      </c>
      <c r="G5142" s="9">
        <v>781</v>
      </c>
      <c r="H5142" s="5" t="s">
        <v>21</v>
      </c>
      <c r="I5142" s="5" t="s">
        <v>11795</v>
      </c>
      <c r="J5142" s="12" t="str">
        <f>HYPERLINK("https://www.boe.es/gazeta/dias/1800/08/31/pdfs/GMD-1800-70E.pdf#page=5","Abrir facsímil")</f>
        <v>Abrir facsímil</v>
      </c>
      <c r="K5142" s="15" t="s">
        <v>23</v>
      </c>
    </row>
    <row r="5143" spans="1:11" ht="42" customHeight="1">
      <c r="A5143" s="4" t="s">
        <v>11791</v>
      </c>
      <c r="B5143" s="5" t="s">
        <v>11792</v>
      </c>
      <c r="C5143" s="5" t="s">
        <v>1179</v>
      </c>
      <c r="D5143" s="5" t="s">
        <v>1180</v>
      </c>
      <c r="E5143" s="5" t="s">
        <v>314</v>
      </c>
      <c r="F5143" s="9">
        <v>74</v>
      </c>
      <c r="G5143" s="9">
        <v>840</v>
      </c>
      <c r="H5143" s="5" t="s">
        <v>21</v>
      </c>
      <c r="I5143" s="5" t="s">
        <v>11796</v>
      </c>
      <c r="J5143" s="12" t="str">
        <f>HYPERLINK("https://www.boe.es/gazeta/dias/1800/09/12/pdfs/GMD-C-1800-74.pdf#page=2","Abrir facsímil")</f>
        <v>Abrir facsímil</v>
      </c>
      <c r="K5143" s="15" t="s">
        <v>23</v>
      </c>
    </row>
    <row r="5144" spans="1:11" ht="42" customHeight="1">
      <c r="A5144" s="4" t="s">
        <v>11797</v>
      </c>
      <c r="B5144" s="5" t="s">
        <v>11798</v>
      </c>
      <c r="C5144" s="5" t="s">
        <v>25</v>
      </c>
      <c r="D5144" s="5" t="s">
        <v>26</v>
      </c>
      <c r="E5144" s="5" t="s">
        <v>534</v>
      </c>
      <c r="F5144" s="9">
        <v>100</v>
      </c>
      <c r="G5144" s="9">
        <v>1164</v>
      </c>
      <c r="H5144" s="5" t="s">
        <v>21</v>
      </c>
      <c r="I5144" s="5" t="s">
        <v>11799</v>
      </c>
      <c r="J5144" s="12" t="str">
        <f>HYPERLINK("https://www.boe.es/gazeta/dias/1800/12/12/pdfs/GMD-1800-100.pdf#page=16","Abrir facsímil")</f>
        <v>Abrir facsímil</v>
      </c>
      <c r="K5144" s="15" t="s">
        <v>23</v>
      </c>
    </row>
    <row r="5145" spans="1:11" ht="42" customHeight="1">
      <c r="A5145" s="4" t="s">
        <v>11800</v>
      </c>
      <c r="B5145" s="5" t="s">
        <v>11800</v>
      </c>
      <c r="C5145" s="5" t="s">
        <v>207</v>
      </c>
      <c r="D5145" s="5" t="s">
        <v>55</v>
      </c>
      <c r="E5145" s="5" t="s">
        <v>52</v>
      </c>
      <c r="F5145" s="9">
        <v>83</v>
      </c>
      <c r="G5145" s="9">
        <v>962</v>
      </c>
      <c r="H5145" s="5" t="s">
        <v>21</v>
      </c>
      <c r="I5145" s="5" t="s">
        <v>11801</v>
      </c>
      <c r="J5145" s="12" t="str">
        <f>HYPERLINK("https://www.boe.es/gazeta/dias/1800/10/14/pdfs/GMD-1800-83.pdf#page=8","Abrir facsímil")</f>
        <v>Abrir facsímil</v>
      </c>
      <c r="K5145" s="15" t="s">
        <v>23</v>
      </c>
    </row>
    <row r="5146" spans="1:11" ht="42" customHeight="1">
      <c r="A5146" s="4" t="s">
        <v>11802</v>
      </c>
      <c r="B5146" s="5" t="s">
        <v>11803</v>
      </c>
      <c r="C5146" s="5" t="s">
        <v>18</v>
      </c>
      <c r="D5146" s="5" t="s">
        <v>19</v>
      </c>
      <c r="E5146" s="5" t="s">
        <v>346</v>
      </c>
      <c r="F5146" s="9">
        <v>24</v>
      </c>
      <c r="G5146" s="9">
        <v>244</v>
      </c>
      <c r="H5146" s="5" t="s">
        <v>21</v>
      </c>
      <c r="I5146" s="5" t="s">
        <v>11804</v>
      </c>
      <c r="J5146" s="12" t="str">
        <f>HYPERLINK("https://www.boe.es/gazeta/dias/1800/03/25/pdfs/GMD-1800-24.pdf#page=8","Abrir facsímil")</f>
        <v>Abrir facsímil</v>
      </c>
      <c r="K5146" s="15" t="s">
        <v>23</v>
      </c>
    </row>
    <row r="5147" spans="1:11" ht="42" customHeight="1">
      <c r="A5147" s="4" t="s">
        <v>11802</v>
      </c>
      <c r="B5147" s="5" t="s">
        <v>11803</v>
      </c>
      <c r="C5147" s="5" t="s">
        <v>207</v>
      </c>
      <c r="D5147" s="5" t="s">
        <v>55</v>
      </c>
      <c r="E5147" s="5" t="s">
        <v>194</v>
      </c>
      <c r="F5147" s="9">
        <v>48</v>
      </c>
      <c r="G5147" s="9">
        <v>519</v>
      </c>
      <c r="H5147" s="5" t="s">
        <v>21</v>
      </c>
      <c r="I5147" s="5" t="s">
        <v>11805</v>
      </c>
      <c r="J5147" s="12" t="str">
        <f>HYPERLINK("https://www.boe.es/gazeta/dias/1800/06/17/pdfs/GMD-1800-48.pdf#page=11","Abrir facsímil")</f>
        <v>Abrir facsímil</v>
      </c>
      <c r="K5147" s="15" t="s">
        <v>23</v>
      </c>
    </row>
    <row r="5148" spans="1:11" ht="42" customHeight="1">
      <c r="A5148" s="4" t="s">
        <v>11806</v>
      </c>
      <c r="B5148" s="5" t="s">
        <v>11806</v>
      </c>
      <c r="C5148" s="5" t="s">
        <v>18</v>
      </c>
      <c r="D5148" s="5" t="s">
        <v>19</v>
      </c>
      <c r="E5148" s="5" t="s">
        <v>203</v>
      </c>
      <c r="F5148" s="9">
        <v>94</v>
      </c>
      <c r="G5148" s="9">
        <v>1075</v>
      </c>
      <c r="H5148" s="5" t="s">
        <v>21</v>
      </c>
      <c r="I5148" s="5" t="s">
        <v>11807</v>
      </c>
      <c r="J5148" s="12" t="str">
        <f>HYPERLINK("https://www.boe.es/gazeta/dias/1800/11/21/pdfs/GMD-1800-94.pdf#page=5","Abrir facsímil")</f>
        <v>Abrir facsímil</v>
      </c>
      <c r="K5148" s="15" t="s">
        <v>23</v>
      </c>
    </row>
    <row r="5149" spans="1:11" ht="42" customHeight="1">
      <c r="A5149" s="4" t="s">
        <v>11808</v>
      </c>
      <c r="B5149" s="5" t="s">
        <v>11809</v>
      </c>
      <c r="C5149" s="5" t="s">
        <v>18</v>
      </c>
      <c r="D5149" s="5" t="s">
        <v>19</v>
      </c>
      <c r="E5149" s="5" t="s">
        <v>314</v>
      </c>
      <c r="F5149" s="9">
        <v>74</v>
      </c>
      <c r="G5149" s="9">
        <v>832</v>
      </c>
      <c r="H5149" s="5" t="s">
        <v>21</v>
      </c>
      <c r="I5149" s="5" t="s">
        <v>11810</v>
      </c>
      <c r="J5149" s="12" t="str">
        <f>HYPERLINK("https://www.boe.es/gazeta/dias/1800/09/12/pdfs/GMD-1800-74.pdf#page=10","Abrir facsímil")</f>
        <v>Abrir facsímil</v>
      </c>
      <c r="K5149" s="15" t="s">
        <v>23</v>
      </c>
    </row>
    <row r="5150" spans="1:11" ht="42" customHeight="1">
      <c r="A5150" s="4" t="s">
        <v>11811</v>
      </c>
      <c r="B5150" s="5" t="s">
        <v>11812</v>
      </c>
      <c r="C5150" s="5" t="s">
        <v>18</v>
      </c>
      <c r="D5150" s="5" t="s">
        <v>19</v>
      </c>
      <c r="E5150" s="5" t="s">
        <v>567</v>
      </c>
      <c r="F5150" s="9">
        <v>3</v>
      </c>
      <c r="G5150" s="9">
        <v>27</v>
      </c>
      <c r="H5150" s="5" t="s">
        <v>21</v>
      </c>
      <c r="I5150" s="5" t="s">
        <v>11813</v>
      </c>
      <c r="J5150" s="12" t="str">
        <f>HYPERLINK("https://www.boe.es/gazeta/dias/1800/01/10/pdfs/GMD-1800-3.pdf#page=7","Abrir facsímil")</f>
        <v>Abrir facsímil</v>
      </c>
      <c r="K5150" s="15" t="s">
        <v>23</v>
      </c>
    </row>
    <row r="5151" spans="1:11" ht="42" customHeight="1">
      <c r="A5151" s="4" t="s">
        <v>11814</v>
      </c>
      <c r="B5151" s="5" t="s">
        <v>11815</v>
      </c>
      <c r="C5151" s="5" t="s">
        <v>18</v>
      </c>
      <c r="D5151" s="5" t="s">
        <v>19</v>
      </c>
      <c r="E5151" s="5" t="s">
        <v>48</v>
      </c>
      <c r="F5151" s="9">
        <v>66</v>
      </c>
      <c r="G5151" s="9">
        <v>746</v>
      </c>
      <c r="H5151" s="5" t="s">
        <v>21</v>
      </c>
      <c r="I5151" s="5" t="s">
        <v>11816</v>
      </c>
      <c r="J5151" s="12" t="str">
        <f>HYPERLINK("https://www.boe.es/gazeta/dias/1800/08/19/pdfs/GMD-1800-66.pdf#page=10","Abrir facsímil")</f>
        <v>Abrir facsímil</v>
      </c>
      <c r="K5151" s="15" t="s">
        <v>23</v>
      </c>
    </row>
    <row r="5152" spans="1:11" ht="42" customHeight="1">
      <c r="A5152" s="4" t="s">
        <v>11817</v>
      </c>
      <c r="B5152" s="5" t="s">
        <v>11818</v>
      </c>
      <c r="C5152" s="5" t="s">
        <v>25</v>
      </c>
      <c r="D5152" s="5" t="s">
        <v>26</v>
      </c>
      <c r="E5152" s="5" t="s">
        <v>478</v>
      </c>
      <c r="F5152" s="9">
        <v>34</v>
      </c>
      <c r="G5152" s="9">
        <v>347</v>
      </c>
      <c r="H5152" s="5" t="s">
        <v>21</v>
      </c>
      <c r="I5152" s="5" t="s">
        <v>11819</v>
      </c>
      <c r="J5152" s="12" t="str">
        <f>HYPERLINK("https://www.boe.es/gazeta/dias/1800/04/29/pdfs/GMD-1800-34.pdf#page=11","Abrir facsímil")</f>
        <v>Abrir facsímil</v>
      </c>
      <c r="K5152" s="15" t="s">
        <v>23</v>
      </c>
    </row>
    <row r="5153" spans="1:11" ht="42" customHeight="1">
      <c r="A5153" s="4" t="s">
        <v>11820</v>
      </c>
      <c r="B5153" s="5" t="s">
        <v>11821</v>
      </c>
      <c r="C5153" s="5" t="s">
        <v>18</v>
      </c>
      <c r="D5153" s="5" t="s">
        <v>19</v>
      </c>
      <c r="E5153" s="5" t="s">
        <v>79</v>
      </c>
      <c r="F5153" s="9">
        <v>7</v>
      </c>
      <c r="G5153" s="9">
        <v>67</v>
      </c>
      <c r="H5153" s="5" t="s">
        <v>21</v>
      </c>
      <c r="I5153" s="5" t="s">
        <v>11822</v>
      </c>
      <c r="J5153" s="12" t="str">
        <f>HYPERLINK("https://www.boe.es/gazeta/dias/1800/01/24/pdfs/GMD-1800-7.pdf#page=7","Abrir facsímil")</f>
        <v>Abrir facsímil</v>
      </c>
      <c r="K5153" s="15" t="s">
        <v>23</v>
      </c>
    </row>
    <row r="5154" spans="1:11" ht="42" customHeight="1">
      <c r="A5154" s="4" t="s">
        <v>11823</v>
      </c>
      <c r="B5154" s="5" t="s">
        <v>11824</v>
      </c>
      <c r="C5154" s="5" t="s">
        <v>18</v>
      </c>
      <c r="D5154" s="5" t="s">
        <v>19</v>
      </c>
      <c r="E5154" s="5" t="s">
        <v>422</v>
      </c>
      <c r="F5154" s="9">
        <v>85</v>
      </c>
      <c r="G5154" s="9">
        <v>985</v>
      </c>
      <c r="H5154" s="5" t="s">
        <v>21</v>
      </c>
      <c r="I5154" s="5" t="s">
        <v>11825</v>
      </c>
      <c r="J5154" s="12" t="str">
        <f>HYPERLINK("https://www.boe.es/gazeta/dias/1800/10/21/pdfs/GMD-1800-85.pdf#page=7","Abrir facsímil")</f>
        <v>Abrir facsímil</v>
      </c>
      <c r="K5154" s="15" t="s">
        <v>23</v>
      </c>
    </row>
    <row r="5155" spans="1:11" ht="42" customHeight="1">
      <c r="A5155" s="4" t="s">
        <v>11826</v>
      </c>
      <c r="B5155" s="5" t="s">
        <v>11827</v>
      </c>
      <c r="C5155" s="5" t="s">
        <v>18</v>
      </c>
      <c r="D5155" s="5" t="s">
        <v>19</v>
      </c>
      <c r="E5155" s="5" t="s">
        <v>48</v>
      </c>
      <c r="F5155" s="9">
        <v>66</v>
      </c>
      <c r="G5155" s="9">
        <v>746</v>
      </c>
      <c r="H5155" s="5" t="s">
        <v>21</v>
      </c>
      <c r="I5155" s="5" t="s">
        <v>11828</v>
      </c>
      <c r="J5155" s="12" t="str">
        <f>HYPERLINK("https://www.boe.es/gazeta/dias/1800/08/19/pdfs/GMD-1800-66.pdf#page=10","Abrir facsímil")</f>
        <v>Abrir facsímil</v>
      </c>
      <c r="K5155" s="15" t="s">
        <v>23</v>
      </c>
    </row>
    <row r="5156" spans="1:11" ht="42" customHeight="1">
      <c r="A5156" s="4" t="s">
        <v>11829</v>
      </c>
      <c r="B5156" s="5" t="s">
        <v>11830</v>
      </c>
      <c r="C5156" s="5" t="s">
        <v>18</v>
      </c>
      <c r="D5156" s="5" t="s">
        <v>19</v>
      </c>
      <c r="E5156" s="5" t="s">
        <v>135</v>
      </c>
      <c r="F5156" s="9">
        <v>73</v>
      </c>
      <c r="G5156" s="9">
        <v>816</v>
      </c>
      <c r="H5156" s="5" t="s">
        <v>21</v>
      </c>
      <c r="I5156" s="5" t="s">
        <v>11831</v>
      </c>
      <c r="J5156" s="12" t="str">
        <f>HYPERLINK("https://www.boe.es/gazeta/dias/1800/09/09/pdfs/GMD-1800-73.pdf#page=10","Abrir facsímil")</f>
        <v>Abrir facsímil</v>
      </c>
      <c r="K5156" s="15" t="s">
        <v>23</v>
      </c>
    </row>
    <row r="5157" spans="1:11" ht="42" customHeight="1">
      <c r="A5157" s="4" t="s">
        <v>11832</v>
      </c>
      <c r="B5157" s="5" t="s">
        <v>11833</v>
      </c>
      <c r="C5157" s="5" t="s">
        <v>18</v>
      </c>
      <c r="D5157" s="5" t="s">
        <v>19</v>
      </c>
      <c r="E5157" s="5" t="s">
        <v>135</v>
      </c>
      <c r="F5157" s="9">
        <v>73</v>
      </c>
      <c r="G5157" s="9">
        <v>816</v>
      </c>
      <c r="H5157" s="5" t="s">
        <v>21</v>
      </c>
      <c r="I5157" s="5" t="s">
        <v>11834</v>
      </c>
      <c r="J5157" s="12" t="str">
        <f>HYPERLINK("https://www.boe.es/gazeta/dias/1800/09/09/pdfs/GMD-1800-73.pdf#page=10","Abrir facsímil")</f>
        <v>Abrir facsímil</v>
      </c>
      <c r="K5157" s="15" t="s">
        <v>23</v>
      </c>
    </row>
    <row r="5158" spans="1:11" ht="42" customHeight="1">
      <c r="A5158" s="4" t="s">
        <v>11835</v>
      </c>
      <c r="B5158" s="5" t="s">
        <v>11836</v>
      </c>
      <c r="C5158" s="5" t="s">
        <v>18</v>
      </c>
      <c r="D5158" s="5" t="s">
        <v>19</v>
      </c>
      <c r="E5158" s="5" t="s">
        <v>111</v>
      </c>
      <c r="F5158" s="9">
        <v>98</v>
      </c>
      <c r="G5158" s="9">
        <v>1128</v>
      </c>
      <c r="H5158" s="5" t="s">
        <v>21</v>
      </c>
      <c r="I5158" s="5" t="s">
        <v>11837</v>
      </c>
      <c r="J5158" s="12" t="str">
        <f>HYPERLINK("https://www.boe.es/gazeta/dias/1800/12/05/pdfs/GMD-1800-98.pdf#page=8","Abrir facsímil")</f>
        <v>Abrir facsímil</v>
      </c>
      <c r="K5158" s="15" t="s">
        <v>23</v>
      </c>
    </row>
    <row r="5159" spans="1:11" ht="42" customHeight="1">
      <c r="A5159" s="4" t="s">
        <v>11838</v>
      </c>
      <c r="B5159" s="5" t="s">
        <v>11839</v>
      </c>
      <c r="C5159" s="5" t="s">
        <v>25</v>
      </c>
      <c r="D5159" s="5" t="s">
        <v>26</v>
      </c>
      <c r="E5159" s="5" t="s">
        <v>139</v>
      </c>
      <c r="F5159" s="9">
        <v>2</v>
      </c>
      <c r="G5159" s="9">
        <v>20</v>
      </c>
      <c r="H5159" s="5" t="s">
        <v>21</v>
      </c>
      <c r="I5159" s="5" t="s">
        <v>11840</v>
      </c>
      <c r="J5159" s="12" t="str">
        <f>HYPERLINK("https://www.boe.es/gazeta/dias/1800/01/07/pdfs/GMD-1800-2.pdf#page=12","Abrir facsímil")</f>
        <v>Abrir facsímil</v>
      </c>
      <c r="K5159" s="15" t="s">
        <v>23</v>
      </c>
    </row>
    <row r="5160" spans="1:11" ht="42" customHeight="1">
      <c r="A5160" s="4" t="s">
        <v>11841</v>
      </c>
      <c r="B5160" s="5" t="s">
        <v>11842</v>
      </c>
      <c r="C5160" s="5" t="s">
        <v>41</v>
      </c>
      <c r="D5160" s="5" t="s">
        <v>42</v>
      </c>
      <c r="E5160" s="5" t="s">
        <v>143</v>
      </c>
      <c r="F5160" s="9">
        <v>22</v>
      </c>
      <c r="G5160" s="9">
        <v>218</v>
      </c>
      <c r="H5160" s="5" t="s">
        <v>21</v>
      </c>
      <c r="I5160" s="5" t="s">
        <v>11843</v>
      </c>
      <c r="J5160" s="12" t="str">
        <f>HYPERLINK("https://www.boe.es/gazeta/dias/1800/03/18/pdfs/GMD-1800-22.pdf#page=10","Abrir facsímil")</f>
        <v>Abrir facsímil</v>
      </c>
      <c r="K5160" s="15" t="s">
        <v>23</v>
      </c>
    </row>
    <row r="5161" spans="1:11" ht="42" customHeight="1">
      <c r="A5161" s="4" t="s">
        <v>11844</v>
      </c>
      <c r="B5161" s="5" t="s">
        <v>11845</v>
      </c>
      <c r="C5161" s="5" t="s">
        <v>54</v>
      </c>
      <c r="D5161" s="5" t="s">
        <v>55</v>
      </c>
      <c r="E5161" s="5" t="s">
        <v>465</v>
      </c>
      <c r="F5161" s="9">
        <v>49</v>
      </c>
      <c r="G5161" s="9">
        <v>532</v>
      </c>
      <c r="H5161" s="5" t="s">
        <v>21</v>
      </c>
      <c r="I5161" s="5" t="s">
        <v>11846</v>
      </c>
      <c r="J5161" s="12" t="str">
        <f>HYPERLINK("https://www.boe.es/gazeta/dias/1800/06/20/pdfs/GMD-1800-49.pdf#page=8","Abrir facsímil")</f>
        <v>Abrir facsímil</v>
      </c>
      <c r="K5161" s="15" t="s">
        <v>23</v>
      </c>
    </row>
    <row r="5162" spans="1:11" ht="42" customHeight="1">
      <c r="A5162" s="4" t="s">
        <v>11847</v>
      </c>
      <c r="B5162" s="5" t="s">
        <v>11848</v>
      </c>
      <c r="C5162" s="5" t="s">
        <v>41</v>
      </c>
      <c r="D5162" s="5" t="s">
        <v>42</v>
      </c>
      <c r="E5162" s="5" t="s">
        <v>143</v>
      </c>
      <c r="F5162" s="9">
        <v>22</v>
      </c>
      <c r="G5162" s="9">
        <v>219</v>
      </c>
      <c r="H5162" s="5" t="s">
        <v>21</v>
      </c>
      <c r="I5162" s="5" t="s">
        <v>11849</v>
      </c>
      <c r="J5162" s="12" t="str">
        <f>HYPERLINK("https://www.boe.es/gazeta/dias/1800/03/18/pdfs/GMD-1800-22.pdf#page=11","Abrir facsímil")</f>
        <v>Abrir facsímil</v>
      </c>
      <c r="K5162" s="15" t="s">
        <v>23</v>
      </c>
    </row>
    <row r="5163" spans="1:11" ht="42" customHeight="1">
      <c r="A5163" s="4" t="s">
        <v>11850</v>
      </c>
      <c r="B5163" s="5" t="s">
        <v>11851</v>
      </c>
      <c r="C5163" s="5" t="s">
        <v>1179</v>
      </c>
      <c r="D5163" s="5" t="s">
        <v>1180</v>
      </c>
      <c r="E5163" s="5" t="s">
        <v>314</v>
      </c>
      <c r="F5163" s="9">
        <v>74</v>
      </c>
      <c r="G5163" s="9">
        <v>839</v>
      </c>
      <c r="H5163" s="5" t="s">
        <v>21</v>
      </c>
      <c r="I5163" s="5" t="s">
        <v>11852</v>
      </c>
      <c r="J5163" s="12" t="str">
        <f>HYPERLINK("https://www.boe.es/gazeta/dias/1800/09/12/pdfs/GMD-C-1800-74.pdf#page=1","Abrir facsímil")</f>
        <v>Abrir facsímil</v>
      </c>
      <c r="K5163" s="15" t="s">
        <v>23</v>
      </c>
    </row>
    <row r="5164" spans="1:11" ht="42" customHeight="1">
      <c r="A5164" s="4" t="s">
        <v>11853</v>
      </c>
      <c r="B5164" s="5" t="s">
        <v>11854</v>
      </c>
      <c r="C5164" s="5" t="s">
        <v>41</v>
      </c>
      <c r="D5164" s="5" t="s">
        <v>42</v>
      </c>
      <c r="E5164" s="5" t="s">
        <v>828</v>
      </c>
      <c r="F5164" s="9">
        <v>53</v>
      </c>
      <c r="G5164" s="9">
        <v>587</v>
      </c>
      <c r="H5164" s="5" t="s">
        <v>21</v>
      </c>
      <c r="I5164" s="5" t="s">
        <v>11855</v>
      </c>
      <c r="J5164" s="12" t="str">
        <f>HYPERLINK("https://www.boe.es/gazeta/dias/1800/07/04/pdfs/GMD-1800-53.pdf#page=7","Abrir facsímil")</f>
        <v>Abrir facsímil</v>
      </c>
      <c r="K5164" s="15" t="s">
        <v>23</v>
      </c>
    </row>
    <row r="5165" spans="1:11" ht="42" customHeight="1">
      <c r="A5165" s="4" t="s">
        <v>11856</v>
      </c>
      <c r="B5165" s="5" t="s">
        <v>11857</v>
      </c>
      <c r="C5165" s="5" t="s">
        <v>84</v>
      </c>
      <c r="D5165" s="5" t="s">
        <v>85</v>
      </c>
      <c r="E5165" s="5" t="s">
        <v>143</v>
      </c>
      <c r="F5165" s="9">
        <v>22</v>
      </c>
      <c r="G5165" s="9">
        <v>221</v>
      </c>
      <c r="H5165" s="5" t="s">
        <v>21</v>
      </c>
      <c r="I5165" s="5" t="s">
        <v>11858</v>
      </c>
      <c r="J5165" s="12" t="str">
        <f>HYPERLINK("https://www.boe.es/gazeta/dias/1800/03/18/pdfs/GMD-1800-22.pdf#page=13","Abrir facsímil")</f>
        <v>Abrir facsímil</v>
      </c>
      <c r="K5165" s="15" t="s">
        <v>23</v>
      </c>
    </row>
    <row r="5166" spans="1:11" ht="42" customHeight="1">
      <c r="A5166" s="4" t="s">
        <v>11859</v>
      </c>
      <c r="B5166" s="5" t="s">
        <v>11859</v>
      </c>
      <c r="C5166" s="5" t="s">
        <v>25</v>
      </c>
      <c r="D5166" s="5" t="s">
        <v>26</v>
      </c>
      <c r="E5166" s="5" t="s">
        <v>230</v>
      </c>
      <c r="F5166" s="9">
        <v>35</v>
      </c>
      <c r="G5166" s="9">
        <v>354</v>
      </c>
      <c r="H5166" s="5" t="s">
        <v>21</v>
      </c>
      <c r="I5166" s="5" t="s">
        <v>11860</v>
      </c>
      <c r="J5166" s="12" t="str">
        <f>HYPERLINK("https://www.boe.es/gazeta/dias/1800/05/02/pdfs/GMD-1800-35.pdf#page=6","Abrir facsímil")</f>
        <v>Abrir facsímil</v>
      </c>
      <c r="K5166" s="15" t="s">
        <v>23</v>
      </c>
    </row>
    <row r="5167" spans="1:11" ht="42" customHeight="1">
      <c r="A5167" s="4" t="s">
        <v>11861</v>
      </c>
      <c r="B5167" s="5" t="s">
        <v>11862</v>
      </c>
      <c r="C5167" s="5" t="s">
        <v>41</v>
      </c>
      <c r="D5167" s="5" t="s">
        <v>42</v>
      </c>
      <c r="E5167" s="5" t="s">
        <v>845</v>
      </c>
      <c r="F5167" s="9">
        <v>80</v>
      </c>
      <c r="G5167" s="9">
        <v>906</v>
      </c>
      <c r="H5167" s="5" t="s">
        <v>21</v>
      </c>
      <c r="I5167" s="5" t="s">
        <v>11863</v>
      </c>
      <c r="J5167" s="12" t="str">
        <f>HYPERLINK("https://www.boe.es/gazeta/dias/1800/10/03/pdfs/GMD-1800-80.pdf#page=4","Abrir facsímil")</f>
        <v>Abrir facsímil</v>
      </c>
      <c r="K5167" s="15" t="s">
        <v>23</v>
      </c>
    </row>
    <row r="5168" spans="1:11" ht="42" customHeight="1">
      <c r="A5168" s="4" t="s">
        <v>11864</v>
      </c>
      <c r="B5168" s="5" t="s">
        <v>11865</v>
      </c>
      <c r="C5168" s="5" t="s">
        <v>18</v>
      </c>
      <c r="D5168" s="5" t="s">
        <v>19</v>
      </c>
      <c r="E5168" s="5" t="s">
        <v>545</v>
      </c>
      <c r="F5168" s="9">
        <v>14</v>
      </c>
      <c r="G5168" s="9">
        <v>134</v>
      </c>
      <c r="H5168" s="5" t="s">
        <v>21</v>
      </c>
      <c r="I5168" s="5" t="s">
        <v>11866</v>
      </c>
      <c r="J5168" s="12" t="str">
        <f>HYPERLINK("https://www.boe.es/gazeta/dias/1800/02/18/pdfs/GMD-1800-14.pdf#page=6","Abrir facsímil")</f>
        <v>Abrir facsímil</v>
      </c>
      <c r="K5168" s="15" t="s">
        <v>23</v>
      </c>
    </row>
    <row r="5169" spans="1:11" ht="42" customHeight="1">
      <c r="A5169" s="4" t="s">
        <v>11864</v>
      </c>
      <c r="B5169" s="5" t="s">
        <v>11865</v>
      </c>
      <c r="C5169" s="5" t="s">
        <v>41</v>
      </c>
      <c r="D5169" s="5" t="s">
        <v>42</v>
      </c>
      <c r="E5169" s="5" t="s">
        <v>101</v>
      </c>
      <c r="F5169" s="9">
        <v>37</v>
      </c>
      <c r="G5169" s="9">
        <v>372</v>
      </c>
      <c r="H5169" s="5" t="s">
        <v>21</v>
      </c>
      <c r="I5169" s="5" t="s">
        <v>11867</v>
      </c>
      <c r="J5169" s="12" t="str">
        <f>HYPERLINK("https://www.boe.es/gazeta/dias/1800/05/09/pdfs/GMD-1800-37.pdf#page=4","Abrir facsímil")</f>
        <v>Abrir facsímil</v>
      </c>
      <c r="K5169" s="15" t="s">
        <v>23</v>
      </c>
    </row>
    <row r="5170" spans="1:11" ht="42" customHeight="1">
      <c r="A5170" s="4" t="s">
        <v>11864</v>
      </c>
      <c r="B5170" s="5" t="s">
        <v>11865</v>
      </c>
      <c r="C5170" s="5" t="s">
        <v>18</v>
      </c>
      <c r="D5170" s="5" t="s">
        <v>19</v>
      </c>
      <c r="E5170" s="5" t="s">
        <v>845</v>
      </c>
      <c r="F5170" s="9">
        <v>80</v>
      </c>
      <c r="G5170" s="9">
        <v>906</v>
      </c>
      <c r="H5170" s="5" t="s">
        <v>21</v>
      </c>
      <c r="I5170" s="5" t="s">
        <v>11868</v>
      </c>
      <c r="J5170" s="12" t="str">
        <f>HYPERLINK("https://www.boe.es/gazeta/dias/1800/10/03/pdfs/GMD-1800-80.pdf#page=4","Abrir facsímil")</f>
        <v>Abrir facsímil</v>
      </c>
      <c r="K5170" s="15" t="s">
        <v>23</v>
      </c>
    </row>
    <row r="5171" spans="1:11" ht="42" customHeight="1">
      <c r="A5171" s="4" t="s">
        <v>11864</v>
      </c>
      <c r="B5171" s="5" t="s">
        <v>11865</v>
      </c>
      <c r="C5171" s="5" t="s">
        <v>41</v>
      </c>
      <c r="D5171" s="5" t="s">
        <v>42</v>
      </c>
      <c r="E5171" s="5" t="s">
        <v>52</v>
      </c>
      <c r="F5171" s="9">
        <v>83</v>
      </c>
      <c r="G5171" s="9">
        <v>961</v>
      </c>
      <c r="H5171" s="5" t="s">
        <v>21</v>
      </c>
      <c r="I5171" s="5" t="s">
        <v>11869</v>
      </c>
      <c r="J5171" s="12" t="str">
        <f>HYPERLINK("https://www.boe.es/gazeta/dias/1800/10/14/pdfs/GMD-1800-83.pdf#page=7","Abrir facsímil")</f>
        <v>Abrir facsímil</v>
      </c>
      <c r="K5171" s="15" t="s">
        <v>23</v>
      </c>
    </row>
    <row r="5172" spans="1:11" ht="42" customHeight="1">
      <c r="A5172" s="4" t="s">
        <v>11864</v>
      </c>
      <c r="B5172" s="5" t="s">
        <v>11865</v>
      </c>
      <c r="C5172" s="5" t="s">
        <v>18</v>
      </c>
      <c r="D5172" s="5" t="s">
        <v>19</v>
      </c>
      <c r="E5172" s="5" t="s">
        <v>176</v>
      </c>
      <c r="F5172" s="9">
        <v>88</v>
      </c>
      <c r="G5172" s="9">
        <v>1024</v>
      </c>
      <c r="H5172" s="5" t="s">
        <v>21</v>
      </c>
      <c r="I5172" s="5" t="s">
        <v>11870</v>
      </c>
      <c r="J5172" s="12" t="str">
        <f>HYPERLINK("https://www.boe.es/gazeta/dias/1800/10/31/pdfs/GMD-1800-88.pdf#page=6","Abrir facsímil")</f>
        <v>Abrir facsímil</v>
      </c>
      <c r="K5172" s="15" t="s">
        <v>23</v>
      </c>
    </row>
    <row r="5173" spans="1:11" ht="42" customHeight="1">
      <c r="A5173" s="4" t="s">
        <v>11864</v>
      </c>
      <c r="B5173" s="5" t="s">
        <v>11865</v>
      </c>
      <c r="C5173" s="5" t="s">
        <v>41</v>
      </c>
      <c r="D5173" s="5" t="s">
        <v>42</v>
      </c>
      <c r="E5173" s="5" t="s">
        <v>56</v>
      </c>
      <c r="F5173" s="9">
        <v>90</v>
      </c>
      <c r="G5173" s="9">
        <v>1052</v>
      </c>
      <c r="H5173" s="5" t="s">
        <v>21</v>
      </c>
      <c r="I5173" s="5" t="s">
        <v>11871</v>
      </c>
      <c r="J5173" s="12" t="str">
        <f>HYPERLINK("https://www.boe.es/gazeta/dias/1800/11/07/pdfs/GMD-1800-90.pdf#page=6","Abrir facsímil")</f>
        <v>Abrir facsímil</v>
      </c>
      <c r="K5173" s="15" t="s">
        <v>23</v>
      </c>
    </row>
    <row r="5174" spans="1:11" ht="42" customHeight="1">
      <c r="A5174" s="4" t="s">
        <v>11864</v>
      </c>
      <c r="B5174" s="5" t="s">
        <v>11865</v>
      </c>
      <c r="C5174" s="5" t="s">
        <v>41</v>
      </c>
      <c r="D5174" s="5" t="s">
        <v>42</v>
      </c>
      <c r="E5174" s="5" t="s">
        <v>56</v>
      </c>
      <c r="F5174" s="9">
        <v>90</v>
      </c>
      <c r="G5174" s="9">
        <v>1053</v>
      </c>
      <c r="H5174" s="5" t="s">
        <v>21</v>
      </c>
      <c r="I5174" s="5" t="s">
        <v>11872</v>
      </c>
      <c r="J5174" s="12" t="str">
        <f>HYPERLINK("https://www.boe.es/gazeta/dias/1800/11/07/pdfs/GMD-1800-90.pdf#page=7","Abrir facsímil")</f>
        <v>Abrir facsímil</v>
      </c>
      <c r="K5174" s="15" t="s">
        <v>23</v>
      </c>
    </row>
    <row r="5175" spans="1:11" ht="42" customHeight="1">
      <c r="A5175" s="4" t="s">
        <v>11864</v>
      </c>
      <c r="B5175" s="5" t="s">
        <v>11865</v>
      </c>
      <c r="C5175" s="5" t="s">
        <v>41</v>
      </c>
      <c r="D5175" s="5" t="s">
        <v>42</v>
      </c>
      <c r="E5175" s="5" t="s">
        <v>180</v>
      </c>
      <c r="F5175" s="9">
        <v>102</v>
      </c>
      <c r="G5175" s="9">
        <v>1177</v>
      </c>
      <c r="H5175" s="5" t="s">
        <v>21</v>
      </c>
      <c r="I5175" s="5" t="s">
        <v>11873</v>
      </c>
      <c r="J5175" s="12" t="str">
        <f>HYPERLINK("https://www.boe.es/gazeta/dias/1800/12/19/pdfs/GMD-1800-102.pdf#page=1","Abrir facsímil")</f>
        <v>Abrir facsímil</v>
      </c>
      <c r="K5175" s="15" t="s">
        <v>23</v>
      </c>
    </row>
    <row r="5176" spans="1:11" ht="42" customHeight="1">
      <c r="A5176" s="4" t="s">
        <v>11874</v>
      </c>
      <c r="B5176" s="5" t="s">
        <v>11875</v>
      </c>
      <c r="C5176" s="5" t="s">
        <v>18</v>
      </c>
      <c r="D5176" s="5" t="s">
        <v>19</v>
      </c>
      <c r="E5176" s="5" t="s">
        <v>75</v>
      </c>
      <c r="F5176" s="9">
        <v>64</v>
      </c>
      <c r="G5176" s="9">
        <v>733</v>
      </c>
      <c r="H5176" s="5" t="s">
        <v>21</v>
      </c>
      <c r="I5176" s="5" t="s">
        <v>11876</v>
      </c>
      <c r="J5176" s="12" t="str">
        <f>HYPERLINK("https://www.boe.es/gazeta/dias/1800/08/12/pdfs/GMD-1800-64.pdf#page=9","Abrir facsímil")</f>
        <v>Abrir facsímil</v>
      </c>
      <c r="K5176" s="15" t="s">
        <v>23</v>
      </c>
    </row>
    <row r="5177" spans="1:11" ht="42" customHeight="1">
      <c r="A5177" s="4" t="s">
        <v>11877</v>
      </c>
      <c r="B5177" s="5" t="s">
        <v>11878</v>
      </c>
      <c r="C5177" s="5" t="s">
        <v>207</v>
      </c>
      <c r="D5177" s="5" t="s">
        <v>55</v>
      </c>
      <c r="E5177" s="5" t="s">
        <v>43</v>
      </c>
      <c r="F5177" s="9">
        <v>46</v>
      </c>
      <c r="G5177" s="9">
        <v>488</v>
      </c>
      <c r="H5177" s="5" t="s">
        <v>21</v>
      </c>
      <c r="I5177" s="5" t="s">
        <v>11879</v>
      </c>
      <c r="J5177" s="12" t="str">
        <f>HYPERLINK("https://www.boe.es/gazeta/dias/1800/06/10/pdfs/GMD-1800-46.pdf#page=12","Abrir facsímil")</f>
        <v>Abrir facsímil</v>
      </c>
      <c r="K5177" s="15" t="s">
        <v>23</v>
      </c>
    </row>
    <row r="5178" spans="1:11" ht="42" customHeight="1">
      <c r="A5178" s="4" t="s">
        <v>11880</v>
      </c>
      <c r="B5178" s="5" t="s">
        <v>11880</v>
      </c>
      <c r="C5178" s="5" t="s">
        <v>114</v>
      </c>
      <c r="D5178" s="5" t="s">
        <v>115</v>
      </c>
      <c r="E5178" s="5" t="s">
        <v>116</v>
      </c>
      <c r="F5178" s="9">
        <v>86</v>
      </c>
      <c r="G5178" s="9" t="s">
        <v>991</v>
      </c>
      <c r="H5178" s="5" t="s">
        <v>21</v>
      </c>
      <c r="I5178" s="5" t="s">
        <v>11881</v>
      </c>
      <c r="J5178" s="12" t="str">
        <f>HYPERLINK("https://www.boe.es/gazeta/dias/1800/10/24/pdfs/GMD-D-1800-86.pdf#page=4","Abrir facsímil")</f>
        <v>Abrir facsímil</v>
      </c>
      <c r="K5178" s="15" t="s">
        <v>23</v>
      </c>
    </row>
    <row r="5179" spans="1:11" ht="42" customHeight="1">
      <c r="A5179" s="4" t="s">
        <v>11882</v>
      </c>
      <c r="B5179" s="5" t="s">
        <v>11883</v>
      </c>
      <c r="C5179" s="5" t="s">
        <v>41</v>
      </c>
      <c r="D5179" s="5" t="s">
        <v>42</v>
      </c>
      <c r="E5179" s="5" t="s">
        <v>319</v>
      </c>
      <c r="F5179" s="9">
        <v>62</v>
      </c>
      <c r="G5179" s="9">
        <v>703</v>
      </c>
      <c r="H5179" s="5" t="s">
        <v>21</v>
      </c>
      <c r="I5179" s="5" t="s">
        <v>11884</v>
      </c>
      <c r="J5179" s="12" t="str">
        <f>HYPERLINK("https://www.boe.es/gazeta/dias/1800/08/05/pdfs/GMD-1800-62.pdf#page=3","Abrir facsímil")</f>
        <v>Abrir facsímil</v>
      </c>
      <c r="K5179" s="15" t="s">
        <v>23</v>
      </c>
    </row>
    <row r="5180" spans="1:11" ht="42" customHeight="1">
      <c r="A5180" s="4" t="s">
        <v>11885</v>
      </c>
      <c r="B5180" s="5" t="s">
        <v>11886</v>
      </c>
      <c r="C5180" s="5" t="s">
        <v>18</v>
      </c>
      <c r="D5180" s="5" t="s">
        <v>19</v>
      </c>
      <c r="E5180" s="5" t="s">
        <v>176</v>
      </c>
      <c r="F5180" s="9">
        <v>88</v>
      </c>
      <c r="G5180" s="9">
        <v>1031</v>
      </c>
      <c r="H5180" s="5" t="s">
        <v>21</v>
      </c>
      <c r="I5180" s="5" t="s">
        <v>11887</v>
      </c>
      <c r="J5180" s="12" t="str">
        <f>HYPERLINK("https://www.boe.es/gazeta/dias/1800/10/31/pdfs/GMD-1800-88.pdf#page=13","Abrir facsímil")</f>
        <v>Abrir facsímil</v>
      </c>
      <c r="K5180" s="15" t="s">
        <v>23</v>
      </c>
    </row>
    <row r="5181" spans="1:11" ht="42" customHeight="1">
      <c r="A5181" s="4" t="s">
        <v>11888</v>
      </c>
      <c r="B5181" s="5" t="s">
        <v>11889</v>
      </c>
      <c r="C5181" s="5" t="s">
        <v>18</v>
      </c>
      <c r="D5181" s="5" t="s">
        <v>19</v>
      </c>
      <c r="E5181" s="5" t="s">
        <v>1213</v>
      </c>
      <c r="F5181" s="9">
        <v>4</v>
      </c>
      <c r="G5181" s="9">
        <v>35</v>
      </c>
      <c r="H5181" s="5" t="s">
        <v>21</v>
      </c>
      <c r="I5181" s="5" t="s">
        <v>11890</v>
      </c>
      <c r="J5181" s="12" t="str">
        <f>HYPERLINK("https://www.boe.es/gazeta/dias/1800/01/14/pdfs/GMD-1800-4.pdf#page=7","Abrir facsímil")</f>
        <v>Abrir facsímil</v>
      </c>
      <c r="K5181" s="15" t="s">
        <v>23</v>
      </c>
    </row>
    <row r="5182" spans="1:11" ht="42" customHeight="1">
      <c r="A5182" s="4" t="s">
        <v>11891</v>
      </c>
      <c r="B5182" s="5" t="s">
        <v>11892</v>
      </c>
      <c r="C5182" s="5" t="s">
        <v>54</v>
      </c>
      <c r="D5182" s="5" t="s">
        <v>55</v>
      </c>
      <c r="E5182" s="5" t="s">
        <v>615</v>
      </c>
      <c r="F5182" s="9">
        <v>95</v>
      </c>
      <c r="G5182" s="9">
        <v>1090</v>
      </c>
      <c r="H5182" s="5" t="s">
        <v>21</v>
      </c>
      <c r="I5182" s="5" t="s">
        <v>11893</v>
      </c>
      <c r="J5182" s="12" t="str">
        <f>HYPERLINK("https://www.boe.es/gazeta/dias/1800/11/25/pdfs/GMD-1800-95.pdf#page=8","Abrir facsímil")</f>
        <v>Abrir facsímil</v>
      </c>
      <c r="K5182" s="15" t="s">
        <v>23</v>
      </c>
    </row>
    <row r="5183" spans="1:11" ht="42" customHeight="1">
      <c r="A5183" s="4" t="s">
        <v>11894</v>
      </c>
      <c r="B5183" s="5" t="s">
        <v>11895</v>
      </c>
      <c r="C5183" s="5" t="s">
        <v>54</v>
      </c>
      <c r="D5183" s="5" t="s">
        <v>55</v>
      </c>
      <c r="E5183" s="5" t="s">
        <v>75</v>
      </c>
      <c r="F5183" s="9">
        <v>64</v>
      </c>
      <c r="G5183" s="9">
        <v>734</v>
      </c>
      <c r="H5183" s="5" t="s">
        <v>21</v>
      </c>
      <c r="I5183" s="5" t="s">
        <v>11896</v>
      </c>
      <c r="J5183" s="12" t="str">
        <f>HYPERLINK("https://www.boe.es/gazeta/dias/1800/08/12/pdfs/GMD-1800-64.pdf#page=10","Abrir facsímil")</f>
        <v>Abrir facsímil</v>
      </c>
      <c r="K5183" s="15" t="s">
        <v>23</v>
      </c>
    </row>
    <row r="5184" spans="1:11" ht="42" customHeight="1">
      <c r="A5184" s="4" t="s">
        <v>11897</v>
      </c>
      <c r="B5184" s="5" t="s">
        <v>11898</v>
      </c>
      <c r="C5184" s="5" t="s">
        <v>18</v>
      </c>
      <c r="D5184" s="5" t="s">
        <v>19</v>
      </c>
      <c r="E5184" s="5" t="s">
        <v>422</v>
      </c>
      <c r="F5184" s="9">
        <v>85</v>
      </c>
      <c r="G5184" s="9">
        <v>985</v>
      </c>
      <c r="H5184" s="5" t="s">
        <v>21</v>
      </c>
      <c r="I5184" s="5" t="s">
        <v>11899</v>
      </c>
      <c r="J5184" s="12" t="str">
        <f>HYPERLINK("https://www.boe.es/gazeta/dias/1800/10/21/pdfs/GMD-1800-85.pdf#page=7","Abrir facsímil")</f>
        <v>Abrir facsímil</v>
      </c>
      <c r="K5184" s="15" t="s">
        <v>23</v>
      </c>
    </row>
    <row r="5185" spans="1:11" ht="42" customHeight="1">
      <c r="A5185" s="4" t="s">
        <v>11900</v>
      </c>
      <c r="B5185" s="5" t="s">
        <v>11901</v>
      </c>
      <c r="C5185" s="5" t="s">
        <v>18</v>
      </c>
      <c r="D5185" s="5" t="s">
        <v>19</v>
      </c>
      <c r="E5185" s="5" t="s">
        <v>90</v>
      </c>
      <c r="F5185" s="9">
        <v>58</v>
      </c>
      <c r="G5185" s="9">
        <v>663</v>
      </c>
      <c r="H5185" s="5" t="s">
        <v>21</v>
      </c>
      <c r="I5185" s="5" t="s">
        <v>11902</v>
      </c>
      <c r="J5185" s="12" t="str">
        <f>HYPERLINK("https://www.boe.es/gazeta/dias/1800/07/22/pdfs/GMD-1800-58.pdf#page=11","Abrir facsímil")</f>
        <v>Abrir facsímil</v>
      </c>
      <c r="K5185" s="15" t="s">
        <v>23</v>
      </c>
    </row>
    <row r="5186" spans="1:11" ht="42" customHeight="1">
      <c r="A5186" s="4" t="s">
        <v>11903</v>
      </c>
      <c r="B5186" s="5" t="s">
        <v>11904</v>
      </c>
      <c r="C5186" s="5" t="s">
        <v>84</v>
      </c>
      <c r="D5186" s="5" t="s">
        <v>85</v>
      </c>
      <c r="E5186" s="5" t="s">
        <v>402</v>
      </c>
      <c r="F5186" s="9">
        <v>101</v>
      </c>
      <c r="G5186" s="9">
        <v>1176</v>
      </c>
      <c r="H5186" s="5" t="s">
        <v>21</v>
      </c>
      <c r="I5186" s="5" t="s">
        <v>11905</v>
      </c>
      <c r="J5186" s="12" t="str">
        <f>HYPERLINK("https://www.boe.es/gazeta/dias/1800/12/16/pdfs/GMD-1800-101.pdf#page=12","Abrir facsímil")</f>
        <v>Abrir facsímil</v>
      </c>
      <c r="K5186" s="15" t="s">
        <v>23</v>
      </c>
    </row>
    <row r="5187" spans="1:11" ht="42" customHeight="1">
      <c r="A5187" s="4" t="s">
        <v>11906</v>
      </c>
      <c r="B5187" s="5" t="s">
        <v>11907</v>
      </c>
      <c r="C5187" s="5" t="s">
        <v>18</v>
      </c>
      <c r="D5187" s="5" t="s">
        <v>19</v>
      </c>
      <c r="E5187" s="5" t="s">
        <v>545</v>
      </c>
      <c r="F5187" s="9">
        <v>14</v>
      </c>
      <c r="G5187" s="9">
        <v>134</v>
      </c>
      <c r="H5187" s="5" t="s">
        <v>21</v>
      </c>
      <c r="I5187" s="5" t="s">
        <v>11908</v>
      </c>
      <c r="J5187" s="12" t="str">
        <f>HYPERLINK("https://www.boe.es/gazeta/dias/1800/02/18/pdfs/GMD-1800-14.pdf#page=6","Abrir facsímil")</f>
        <v>Abrir facsímil</v>
      </c>
      <c r="K5187" s="15" t="s">
        <v>23</v>
      </c>
    </row>
    <row r="5188" spans="1:11" ht="42" customHeight="1">
      <c r="A5188" s="4" t="s">
        <v>11909</v>
      </c>
      <c r="B5188" s="5" t="s">
        <v>11910</v>
      </c>
      <c r="C5188" s="5" t="s">
        <v>18</v>
      </c>
      <c r="D5188" s="5" t="s">
        <v>19</v>
      </c>
      <c r="E5188" s="5" t="s">
        <v>86</v>
      </c>
      <c r="F5188" s="9">
        <v>17</v>
      </c>
      <c r="G5188" s="9">
        <v>159</v>
      </c>
      <c r="H5188" s="5" t="s">
        <v>21</v>
      </c>
      <c r="I5188" s="5" t="s">
        <v>11911</v>
      </c>
      <c r="J5188" s="12" t="str">
        <f>HYPERLINK("https://www.boe.es/gazeta/dias/1800/02/28/pdfs/GMD-1800-17.pdf#page=7","Abrir facsímil")</f>
        <v>Abrir facsímil</v>
      </c>
      <c r="K5188" s="15" t="s">
        <v>23</v>
      </c>
    </row>
    <row r="5189" spans="1:11" ht="42" customHeight="1">
      <c r="A5189" s="4" t="s">
        <v>11912</v>
      </c>
      <c r="B5189" s="5" t="s">
        <v>11912</v>
      </c>
      <c r="C5189" s="5" t="s">
        <v>41</v>
      </c>
      <c r="D5189" s="5" t="s">
        <v>42</v>
      </c>
      <c r="E5189" s="5" t="s">
        <v>2338</v>
      </c>
      <c r="F5189" s="9">
        <v>42</v>
      </c>
      <c r="G5189" s="9">
        <v>432</v>
      </c>
      <c r="H5189" s="5" t="s">
        <v>21</v>
      </c>
      <c r="I5189" s="5" t="s">
        <v>11913</v>
      </c>
      <c r="J5189" s="12" t="str">
        <f>HYPERLINK("https://www.boe.es/gazeta/dias/1800/05/27/pdfs/GMD-1800-42.pdf#page=4","Abrir facsímil")</f>
        <v>Abrir facsímil</v>
      </c>
      <c r="K5189" s="15" t="s">
        <v>23</v>
      </c>
    </row>
    <row r="5190" spans="1:11" ht="42" customHeight="1">
      <c r="A5190" s="4" t="s">
        <v>11912</v>
      </c>
      <c r="B5190" s="5" t="s">
        <v>11912</v>
      </c>
      <c r="C5190" s="5" t="s">
        <v>18</v>
      </c>
      <c r="D5190" s="5" t="s">
        <v>19</v>
      </c>
      <c r="E5190" s="5" t="s">
        <v>534</v>
      </c>
      <c r="F5190" s="9">
        <v>100</v>
      </c>
      <c r="G5190" s="9">
        <v>1155</v>
      </c>
      <c r="H5190" s="5" t="s">
        <v>21</v>
      </c>
      <c r="I5190" s="5" t="s">
        <v>11914</v>
      </c>
      <c r="J5190" s="12" t="str">
        <f>HYPERLINK("https://www.boe.es/gazeta/dias/1800/12/12/pdfs/GMD-1800-100.pdf#page=7","Abrir facsímil")</f>
        <v>Abrir facsímil</v>
      </c>
      <c r="K5190" s="15" t="s">
        <v>23</v>
      </c>
    </row>
    <row r="5191" spans="1:11" ht="42" customHeight="1">
      <c r="A5191" s="4" t="s">
        <v>11915</v>
      </c>
      <c r="B5191" s="5" t="s">
        <v>11916</v>
      </c>
      <c r="C5191" s="5" t="s">
        <v>18</v>
      </c>
      <c r="D5191" s="5" t="s">
        <v>19</v>
      </c>
      <c r="E5191" s="5" t="s">
        <v>56</v>
      </c>
      <c r="F5191" s="9">
        <v>90</v>
      </c>
      <c r="G5191" s="9">
        <v>1055</v>
      </c>
      <c r="H5191" s="5" t="s">
        <v>21</v>
      </c>
      <c r="I5191" s="5" t="s">
        <v>11917</v>
      </c>
      <c r="J5191" s="12" t="str">
        <f>HYPERLINK("https://www.boe.es/gazeta/dias/1800/11/07/pdfs/GMD-1800-90.pdf#page=9","Abrir facsímil")</f>
        <v>Abrir facsímil</v>
      </c>
      <c r="K5191" s="15" t="s">
        <v>23</v>
      </c>
    </row>
    <row r="5192" spans="1:11" ht="42" customHeight="1">
      <c r="A5192" s="4" t="s">
        <v>11918</v>
      </c>
      <c r="B5192" s="5" t="s">
        <v>11919</v>
      </c>
      <c r="C5192" s="5" t="s">
        <v>84</v>
      </c>
      <c r="D5192" s="5" t="s">
        <v>85</v>
      </c>
      <c r="E5192" s="5" t="s">
        <v>82</v>
      </c>
      <c r="F5192" s="9">
        <v>10</v>
      </c>
      <c r="G5192" s="9">
        <v>100</v>
      </c>
      <c r="H5192" s="5" t="s">
        <v>21</v>
      </c>
      <c r="I5192" s="5" t="s">
        <v>11920</v>
      </c>
      <c r="J5192" s="12" t="str">
        <f>HYPERLINK("https://www.boe.es/gazeta/dias/1800/02/04/pdfs/GMD-1800-10.pdf#page=12","Abrir facsímil")</f>
        <v>Abrir facsímil</v>
      </c>
      <c r="K5192" s="15" t="s">
        <v>23</v>
      </c>
    </row>
    <row r="5193" spans="1:11" ht="42" customHeight="1">
      <c r="A5193" s="4" t="s">
        <v>11918</v>
      </c>
      <c r="B5193" s="5" t="s">
        <v>11919</v>
      </c>
      <c r="C5193" s="5" t="s">
        <v>84</v>
      </c>
      <c r="D5193" s="5" t="s">
        <v>85</v>
      </c>
      <c r="E5193" s="5" t="s">
        <v>31</v>
      </c>
      <c r="F5193" s="9">
        <v>20</v>
      </c>
      <c r="G5193" s="9">
        <v>196</v>
      </c>
      <c r="H5193" s="5" t="s">
        <v>21</v>
      </c>
      <c r="I5193" s="5" t="s">
        <v>11921</v>
      </c>
      <c r="J5193" s="12" t="str">
        <f>HYPERLINK("https://www.boe.es/gazeta/dias/1800/03/11/pdfs/GMD-1800-20.pdf#page=12","Abrir facsímil")</f>
        <v>Abrir facsímil</v>
      </c>
      <c r="K5193" s="15" t="s">
        <v>23</v>
      </c>
    </row>
    <row r="5194" spans="1:11" ht="42" customHeight="1">
      <c r="A5194" s="4" t="s">
        <v>11918</v>
      </c>
      <c r="B5194" s="5" t="s">
        <v>11919</v>
      </c>
      <c r="C5194" s="5" t="s">
        <v>84</v>
      </c>
      <c r="D5194" s="5" t="s">
        <v>85</v>
      </c>
      <c r="E5194" s="5" t="s">
        <v>465</v>
      </c>
      <c r="F5194" s="9">
        <v>49</v>
      </c>
      <c r="G5194" s="9">
        <v>532</v>
      </c>
      <c r="H5194" s="5" t="s">
        <v>21</v>
      </c>
      <c r="I5194" s="5" t="s">
        <v>11922</v>
      </c>
      <c r="J5194" s="12" t="str">
        <f>HYPERLINK("https://www.boe.es/gazeta/dias/1800/06/20/pdfs/GMD-1800-49.pdf#page=8","Abrir facsímil")</f>
        <v>Abrir facsímil</v>
      </c>
      <c r="K5194" s="15" t="s">
        <v>23</v>
      </c>
    </row>
    <row r="5195" spans="1:11" ht="42" customHeight="1">
      <c r="A5195" s="4" t="s">
        <v>11923</v>
      </c>
      <c r="B5195" s="5" t="s">
        <v>11923</v>
      </c>
      <c r="C5195" s="5" t="s">
        <v>41</v>
      </c>
      <c r="D5195" s="5" t="s">
        <v>42</v>
      </c>
      <c r="E5195" s="5" t="s">
        <v>572</v>
      </c>
      <c r="F5195" s="9">
        <v>76</v>
      </c>
      <c r="G5195" s="9">
        <v>859</v>
      </c>
      <c r="H5195" s="5" t="s">
        <v>21</v>
      </c>
      <c r="I5195" s="5" t="s">
        <v>11924</v>
      </c>
      <c r="J5195" s="12" t="str">
        <f>HYPERLINK("https://www.boe.es/gazeta/dias/1800/09/19/pdfs/GMD-1800-76.pdf#page=1","Abrir facsímil")</f>
        <v>Abrir facsímil</v>
      </c>
      <c r="K5195" s="15" t="s">
        <v>23</v>
      </c>
    </row>
    <row r="5196" spans="1:11" ht="42" customHeight="1">
      <c r="A5196" s="4" t="s">
        <v>11923</v>
      </c>
      <c r="B5196" s="5" t="s">
        <v>11923</v>
      </c>
      <c r="C5196" s="5" t="s">
        <v>18</v>
      </c>
      <c r="D5196" s="5" t="s">
        <v>19</v>
      </c>
      <c r="E5196" s="5" t="s">
        <v>203</v>
      </c>
      <c r="F5196" s="9">
        <v>94</v>
      </c>
      <c r="G5196" s="9">
        <v>1073</v>
      </c>
      <c r="H5196" s="5" t="s">
        <v>21</v>
      </c>
      <c r="I5196" s="5" t="s">
        <v>11925</v>
      </c>
      <c r="J5196" s="12" t="str">
        <f>HYPERLINK("https://www.boe.es/gazeta/dias/1800/11/21/pdfs/GMD-1800-94.pdf#page=3","Abrir facsímil")</f>
        <v>Abrir facsímil</v>
      </c>
      <c r="K5196" s="15" t="s">
        <v>23</v>
      </c>
    </row>
    <row r="5197" spans="1:11" ht="42" customHeight="1">
      <c r="A5197" s="4" t="s">
        <v>11926</v>
      </c>
      <c r="B5197" s="5" t="s">
        <v>11927</v>
      </c>
      <c r="C5197" s="5" t="s">
        <v>18</v>
      </c>
      <c r="D5197" s="5" t="s">
        <v>19</v>
      </c>
      <c r="E5197" s="5" t="s">
        <v>39</v>
      </c>
      <c r="F5197" s="9">
        <v>43</v>
      </c>
      <c r="G5197" s="9">
        <v>441</v>
      </c>
      <c r="H5197" s="5" t="s">
        <v>21</v>
      </c>
      <c r="I5197" s="5" t="s">
        <v>11928</v>
      </c>
      <c r="J5197" s="12" t="str">
        <f>HYPERLINK("https://www.boe.es/gazeta/dias/1800/05/30/pdfs/GMD-1800-43.pdf#page=1","Abrir facsímil")</f>
        <v>Abrir facsímil</v>
      </c>
      <c r="K5197" s="15" t="s">
        <v>23</v>
      </c>
    </row>
    <row r="5198" spans="1:11" ht="42" customHeight="1">
      <c r="A5198" s="4" t="s">
        <v>11929</v>
      </c>
      <c r="B5198" s="5" t="s">
        <v>11930</v>
      </c>
      <c r="C5198" s="5" t="s">
        <v>1179</v>
      </c>
      <c r="D5198" s="5" t="s">
        <v>1180</v>
      </c>
      <c r="E5198" s="5" t="s">
        <v>314</v>
      </c>
      <c r="F5198" s="9">
        <v>74</v>
      </c>
      <c r="G5198" s="9">
        <v>840</v>
      </c>
      <c r="H5198" s="5" t="s">
        <v>21</v>
      </c>
      <c r="I5198" s="5" t="s">
        <v>11931</v>
      </c>
      <c r="J5198" s="12" t="str">
        <f>HYPERLINK("https://www.boe.es/gazeta/dias/1800/09/12/pdfs/GMD-C-1800-74.pdf#page=2","Abrir facsímil")</f>
        <v>Abrir facsímil</v>
      </c>
      <c r="K5198" s="15" t="s">
        <v>23</v>
      </c>
    </row>
    <row r="5199" spans="1:11" ht="42" customHeight="1">
      <c r="A5199" s="4" t="s">
        <v>11932</v>
      </c>
      <c r="B5199" s="5" t="s">
        <v>11933</v>
      </c>
      <c r="C5199" s="5" t="s">
        <v>41</v>
      </c>
      <c r="D5199" s="5" t="s">
        <v>42</v>
      </c>
      <c r="E5199" s="5" t="s">
        <v>828</v>
      </c>
      <c r="F5199" s="9">
        <v>53</v>
      </c>
      <c r="G5199" s="9">
        <v>588</v>
      </c>
      <c r="H5199" s="5" t="s">
        <v>21</v>
      </c>
      <c r="I5199" s="5" t="s">
        <v>11934</v>
      </c>
      <c r="J5199" s="12" t="str">
        <f>HYPERLINK("https://www.boe.es/gazeta/dias/1800/07/04/pdfs/GMD-1800-53.pdf#page=8","Abrir facsímil")</f>
        <v>Abrir facsímil</v>
      </c>
      <c r="K5199" s="15" t="s">
        <v>23</v>
      </c>
    </row>
    <row r="5200" spans="1:11" ht="42" customHeight="1">
      <c r="A5200" s="4" t="s">
        <v>11935</v>
      </c>
      <c r="B5200" s="5" t="s">
        <v>11936</v>
      </c>
      <c r="C5200" s="5" t="s">
        <v>18</v>
      </c>
      <c r="D5200" s="5" t="s">
        <v>19</v>
      </c>
      <c r="E5200" s="5" t="s">
        <v>262</v>
      </c>
      <c r="F5200" s="9">
        <v>39</v>
      </c>
      <c r="G5200" s="9">
        <v>400</v>
      </c>
      <c r="H5200" s="5" t="s">
        <v>21</v>
      </c>
      <c r="I5200" s="5" t="s">
        <v>11937</v>
      </c>
      <c r="J5200" s="12" t="str">
        <f>HYPERLINK("https://www.boe.es/gazeta/dias/1800/05/16/pdfs/GMD-1800-39.pdf#page=8","Abrir facsímil")</f>
        <v>Abrir facsímil</v>
      </c>
      <c r="K5200" s="15" t="s">
        <v>23</v>
      </c>
    </row>
    <row r="5201" spans="1:11" ht="42" customHeight="1">
      <c r="A5201" s="4" t="s">
        <v>11938</v>
      </c>
      <c r="B5201" s="5" t="s">
        <v>11939</v>
      </c>
      <c r="C5201" s="5" t="s">
        <v>41</v>
      </c>
      <c r="D5201" s="5" t="s">
        <v>42</v>
      </c>
      <c r="E5201" s="5" t="s">
        <v>244</v>
      </c>
      <c r="F5201" s="9">
        <v>9</v>
      </c>
      <c r="G5201" s="9">
        <v>79</v>
      </c>
      <c r="H5201" s="5" t="s">
        <v>21</v>
      </c>
      <c r="I5201" s="5" t="s">
        <v>11940</v>
      </c>
      <c r="J5201" s="12" t="str">
        <f>HYPERLINK("https://www.boe.es/gazeta/dias/1800/01/31/pdfs/GMD-1800-9.pdf#page=3","Abrir facsímil")</f>
        <v>Abrir facsímil</v>
      </c>
      <c r="K5201" s="15" t="s">
        <v>23</v>
      </c>
    </row>
    <row r="5202" spans="1:11" ht="42" customHeight="1">
      <c r="A5202" s="4" t="s">
        <v>11938</v>
      </c>
      <c r="B5202" s="5" t="s">
        <v>11939</v>
      </c>
      <c r="C5202" s="5" t="s">
        <v>41</v>
      </c>
      <c r="D5202" s="5" t="s">
        <v>42</v>
      </c>
      <c r="E5202" s="5" t="s">
        <v>600</v>
      </c>
      <c r="F5202" s="9">
        <v>45</v>
      </c>
      <c r="G5202" s="9">
        <v>465</v>
      </c>
      <c r="H5202" s="5" t="s">
        <v>21</v>
      </c>
      <c r="I5202" s="5" t="s">
        <v>11941</v>
      </c>
      <c r="J5202" s="12" t="str">
        <f>HYPERLINK("https://www.boe.es/gazeta/dias/1800/06/06/pdfs/GMD-1800-45.pdf#page=1","Abrir facsímil")</f>
        <v>Abrir facsímil</v>
      </c>
      <c r="K5202" s="15" t="s">
        <v>23</v>
      </c>
    </row>
    <row r="5203" spans="1:11" ht="42" customHeight="1">
      <c r="A5203" s="4" t="s">
        <v>11938</v>
      </c>
      <c r="B5203" s="5" t="s">
        <v>11939</v>
      </c>
      <c r="C5203" s="5" t="s">
        <v>41</v>
      </c>
      <c r="D5203" s="5" t="s">
        <v>42</v>
      </c>
      <c r="E5203" s="5" t="s">
        <v>600</v>
      </c>
      <c r="F5203" s="9">
        <v>45</v>
      </c>
      <c r="G5203" s="9">
        <v>466</v>
      </c>
      <c r="H5203" s="5" t="s">
        <v>21</v>
      </c>
      <c r="I5203" s="5" t="s">
        <v>11942</v>
      </c>
      <c r="J5203" s="12" t="str">
        <f>HYPERLINK("https://www.boe.es/gazeta/dias/1800/06/06/pdfs/GMD-1800-45.pdf#page=2","Abrir facsímil")</f>
        <v>Abrir facsímil</v>
      </c>
      <c r="K5203" s="15" t="s">
        <v>23</v>
      </c>
    </row>
    <row r="5204" spans="1:11" ht="42" customHeight="1">
      <c r="A5204" s="4" t="s">
        <v>11938</v>
      </c>
      <c r="B5204" s="5" t="s">
        <v>11939</v>
      </c>
      <c r="C5204" s="5" t="s">
        <v>41</v>
      </c>
      <c r="D5204" s="5" t="s">
        <v>42</v>
      </c>
      <c r="E5204" s="5" t="s">
        <v>255</v>
      </c>
      <c r="F5204" s="9">
        <v>75</v>
      </c>
      <c r="G5204" s="9">
        <v>853</v>
      </c>
      <c r="H5204" s="5" t="s">
        <v>21</v>
      </c>
      <c r="I5204" s="5" t="s">
        <v>11943</v>
      </c>
      <c r="J5204" s="12" t="str">
        <f>HYPERLINK("https://www.boe.es/gazeta/dias/1800/09/16/pdfs/GMD-1800-75.pdf#page=7","Abrir facsímil")</f>
        <v>Abrir facsímil</v>
      </c>
      <c r="K5204" s="15" t="s">
        <v>23</v>
      </c>
    </row>
    <row r="5205" spans="1:11" ht="42" customHeight="1">
      <c r="A5205" s="4" t="s">
        <v>11944</v>
      </c>
      <c r="B5205" s="5" t="s">
        <v>11945</v>
      </c>
      <c r="C5205" s="5" t="s">
        <v>18</v>
      </c>
      <c r="D5205" s="5" t="s">
        <v>19</v>
      </c>
      <c r="E5205" s="5" t="s">
        <v>598</v>
      </c>
      <c r="F5205" s="9">
        <v>32</v>
      </c>
      <c r="G5205" s="9">
        <v>322</v>
      </c>
      <c r="H5205" s="5" t="s">
        <v>21</v>
      </c>
      <c r="I5205" s="5" t="s">
        <v>11946</v>
      </c>
      <c r="J5205" s="12" t="str">
        <f>HYPERLINK("https://www.boe.es/gazeta/dias/1800/04/22/pdfs/GMD-1800-32.pdf#page=6","Abrir facsímil")</f>
        <v>Abrir facsímil</v>
      </c>
      <c r="K5205" s="15" t="s">
        <v>23</v>
      </c>
    </row>
    <row r="5206" spans="1:11" ht="42" customHeight="1">
      <c r="A5206" s="4" t="s">
        <v>11947</v>
      </c>
      <c r="B5206" s="5" t="s">
        <v>11948</v>
      </c>
      <c r="C5206" s="5" t="s">
        <v>25</v>
      </c>
      <c r="D5206" s="5" t="s">
        <v>26</v>
      </c>
      <c r="E5206" s="5" t="s">
        <v>1231</v>
      </c>
      <c r="F5206" s="9">
        <v>36</v>
      </c>
      <c r="G5206" s="9">
        <v>367</v>
      </c>
      <c r="H5206" s="5" t="s">
        <v>21</v>
      </c>
      <c r="I5206" s="5" t="s">
        <v>11949</v>
      </c>
      <c r="J5206" s="12" t="str">
        <f>HYPERLINK("https://www.boe.es/gazeta/dias/1800/05/06/pdfs/GMD-1800-36.pdf#page=11","Abrir facsímil")</f>
        <v>Abrir facsímil</v>
      </c>
      <c r="K5206" s="15" t="s">
        <v>23</v>
      </c>
    </row>
    <row r="5207" spans="1:11" ht="42" customHeight="1">
      <c r="A5207" s="4" t="s">
        <v>11950</v>
      </c>
      <c r="B5207" s="5" t="s">
        <v>11951</v>
      </c>
      <c r="C5207" s="5" t="s">
        <v>18</v>
      </c>
      <c r="D5207" s="5" t="s">
        <v>19</v>
      </c>
      <c r="E5207" s="5" t="s">
        <v>35</v>
      </c>
      <c r="F5207" s="9">
        <v>21</v>
      </c>
      <c r="G5207" s="9">
        <v>206</v>
      </c>
      <c r="H5207" s="5" t="s">
        <v>21</v>
      </c>
      <c r="I5207" s="5" t="s">
        <v>11952</v>
      </c>
      <c r="J5207" s="12" t="str">
        <f>HYPERLINK("https://www.boe.es/gazeta/dias/1800/03/14/pdfs/GMD-1800-21.pdf#page=10","Abrir facsímil")</f>
        <v>Abrir facsímil</v>
      </c>
      <c r="K5207" s="15" t="s">
        <v>23</v>
      </c>
    </row>
    <row r="5208" spans="1:11" ht="42" customHeight="1">
      <c r="A5208" s="4" t="s">
        <v>11953</v>
      </c>
      <c r="B5208" s="5" t="s">
        <v>11954</v>
      </c>
      <c r="C5208" s="5" t="s">
        <v>114</v>
      </c>
      <c r="D5208" s="5" t="s">
        <v>115</v>
      </c>
      <c r="E5208" s="5" t="s">
        <v>116</v>
      </c>
      <c r="F5208" s="9">
        <v>86</v>
      </c>
      <c r="G5208" s="9" t="s">
        <v>1501</v>
      </c>
      <c r="H5208" s="5" t="s">
        <v>21</v>
      </c>
      <c r="I5208" s="5" t="s">
        <v>11955</v>
      </c>
      <c r="J5208" s="12" t="str">
        <f>HYPERLINK("https://www.boe.es/gazeta/dias/1800/10/24/pdfs/GMD-D-1800-86.pdf#page=2","Abrir facsímil")</f>
        <v>Abrir facsímil</v>
      </c>
      <c r="K5208" s="15" t="s">
        <v>23</v>
      </c>
    </row>
    <row r="5209" spans="1:11" ht="42" customHeight="1">
      <c r="A5209" s="4" t="s">
        <v>11956</v>
      </c>
      <c r="B5209" s="5" t="s">
        <v>11956</v>
      </c>
      <c r="C5209" s="5" t="s">
        <v>54</v>
      </c>
      <c r="D5209" s="5" t="s">
        <v>55</v>
      </c>
      <c r="E5209" s="5" t="s">
        <v>478</v>
      </c>
      <c r="F5209" s="9">
        <v>34</v>
      </c>
      <c r="G5209" s="9">
        <v>347</v>
      </c>
      <c r="H5209" s="5" t="s">
        <v>21</v>
      </c>
      <c r="I5209" s="5" t="s">
        <v>11957</v>
      </c>
      <c r="J5209" s="12" t="str">
        <f>HYPERLINK("https://www.boe.es/gazeta/dias/1800/04/29/pdfs/GMD-1800-34.pdf#page=11","Abrir facsímil")</f>
        <v>Abrir facsímil</v>
      </c>
      <c r="K5209" s="15" t="s">
        <v>23</v>
      </c>
    </row>
    <row r="5210" spans="1:11" ht="42" customHeight="1">
      <c r="A5210" s="4" t="s">
        <v>11958</v>
      </c>
      <c r="B5210" s="5" t="s">
        <v>11959</v>
      </c>
      <c r="C5210" s="5" t="s">
        <v>41</v>
      </c>
      <c r="D5210" s="5" t="s">
        <v>42</v>
      </c>
      <c r="E5210" s="5" t="s">
        <v>595</v>
      </c>
      <c r="F5210" s="9">
        <v>72</v>
      </c>
      <c r="G5210" s="9">
        <v>794</v>
      </c>
      <c r="H5210" s="5" t="s">
        <v>21</v>
      </c>
      <c r="I5210" s="5" t="s">
        <v>11960</v>
      </c>
      <c r="J5210" s="12" t="str">
        <f>HYPERLINK("https://www.boe.es/gazeta/dias/1800/09/05/pdfs/GMD-1800-72.pdf#page=4","Abrir facsímil")</f>
        <v>Abrir facsímil</v>
      </c>
      <c r="K5210" s="15" t="s">
        <v>23</v>
      </c>
    </row>
    <row r="5211" spans="1:11" ht="42" customHeight="1">
      <c r="A5211" s="4" t="s">
        <v>11961</v>
      </c>
      <c r="B5211" s="5" t="s">
        <v>11962</v>
      </c>
      <c r="C5211" s="5" t="s">
        <v>18</v>
      </c>
      <c r="D5211" s="5" t="s">
        <v>19</v>
      </c>
      <c r="E5211" s="5" t="s">
        <v>230</v>
      </c>
      <c r="F5211" s="9">
        <v>35</v>
      </c>
      <c r="G5211" s="9">
        <v>349</v>
      </c>
      <c r="H5211" s="5" t="s">
        <v>21</v>
      </c>
      <c r="I5211" s="5" t="s">
        <v>11963</v>
      </c>
      <c r="J5211" s="12" t="str">
        <f>HYPERLINK("https://www.boe.es/gazeta/dias/1800/05/02/pdfs/GMD-1800-35.pdf#page=1","Abrir facsímil")</f>
        <v>Abrir facsímil</v>
      </c>
      <c r="K5211" s="15" t="s">
        <v>23</v>
      </c>
    </row>
    <row r="5212" spans="1:11" ht="42" customHeight="1">
      <c r="A5212" s="4" t="s">
        <v>11964</v>
      </c>
      <c r="B5212" s="5" t="s">
        <v>11965</v>
      </c>
      <c r="C5212" s="5" t="s">
        <v>54</v>
      </c>
      <c r="D5212" s="5" t="s">
        <v>55</v>
      </c>
      <c r="E5212" s="5" t="s">
        <v>244</v>
      </c>
      <c r="F5212" s="9">
        <v>9</v>
      </c>
      <c r="G5212" s="9">
        <v>86</v>
      </c>
      <c r="H5212" s="5" t="s">
        <v>21</v>
      </c>
      <c r="I5212" s="5" t="s">
        <v>11966</v>
      </c>
      <c r="J5212" s="12" t="str">
        <f>HYPERLINK("https://www.boe.es/gazeta/dias/1800/01/31/pdfs/GMD-1800-9.pdf#page=10","Abrir facsímil")</f>
        <v>Abrir facsímil</v>
      </c>
      <c r="K5212" s="15" t="s">
        <v>23</v>
      </c>
    </row>
    <row r="5213" spans="1:11" ht="42" customHeight="1">
      <c r="A5213" s="4" t="s">
        <v>11967</v>
      </c>
      <c r="B5213" s="5" t="s">
        <v>11968</v>
      </c>
      <c r="C5213" s="5" t="s">
        <v>18</v>
      </c>
      <c r="D5213" s="5" t="s">
        <v>19</v>
      </c>
      <c r="E5213" s="5" t="s">
        <v>20</v>
      </c>
      <c r="F5213" s="9">
        <v>104</v>
      </c>
      <c r="G5213" s="9">
        <v>1211</v>
      </c>
      <c r="H5213" s="5" t="s">
        <v>21</v>
      </c>
      <c r="I5213" s="5" t="s">
        <v>11969</v>
      </c>
      <c r="J5213" s="12" t="str">
        <f>HYPERLINK("https://www.boe.es/gazeta/dias/1800/12/26/pdfs/GMD-1800-104.pdf#page=11","Abrir facsímil")</f>
        <v>Abrir facsímil</v>
      </c>
      <c r="K5213" s="15" t="s">
        <v>23</v>
      </c>
    </row>
    <row r="5214" spans="1:11" ht="42" customHeight="1">
      <c r="A5214" s="4" t="s">
        <v>11970</v>
      </c>
      <c r="B5214" s="5" t="s">
        <v>11971</v>
      </c>
      <c r="C5214" s="5" t="s">
        <v>18</v>
      </c>
      <c r="D5214" s="5" t="s">
        <v>19</v>
      </c>
      <c r="E5214" s="5" t="s">
        <v>356</v>
      </c>
      <c r="F5214" s="9">
        <v>31</v>
      </c>
      <c r="G5214" s="9">
        <v>315</v>
      </c>
      <c r="H5214" s="5" t="s">
        <v>21</v>
      </c>
      <c r="I5214" s="5" t="s">
        <v>11972</v>
      </c>
      <c r="J5214" s="12" t="str">
        <f>HYPERLINK("https://www.boe.es/gazeta/dias/1800/04/18/pdfs/GMD-1800-31.pdf#page=7","Abrir facsímil")</f>
        <v>Abrir facsímil</v>
      </c>
      <c r="K5214" s="15" t="s">
        <v>23</v>
      </c>
    </row>
    <row r="5215" spans="1:11" ht="42" customHeight="1">
      <c r="A5215" s="4" t="s">
        <v>11973</v>
      </c>
      <c r="B5215" s="5" t="s">
        <v>11973</v>
      </c>
      <c r="C5215" s="5" t="s">
        <v>54</v>
      </c>
      <c r="D5215" s="5" t="s">
        <v>55</v>
      </c>
      <c r="E5215" s="5" t="s">
        <v>825</v>
      </c>
      <c r="F5215" s="9">
        <v>51</v>
      </c>
      <c r="G5215" s="9">
        <v>562</v>
      </c>
      <c r="H5215" s="5" t="s">
        <v>21</v>
      </c>
      <c r="I5215" s="5" t="s">
        <v>11974</v>
      </c>
      <c r="J5215" s="12" t="str">
        <f>HYPERLINK("https://www.boe.es/gazeta/dias/1800/06/27/pdfs/GMD-1800-51.pdf#page=14","Abrir facsímil")</f>
        <v>Abrir facsímil</v>
      </c>
      <c r="K5215" s="15" t="s">
        <v>23</v>
      </c>
    </row>
    <row r="5216" spans="1:11" ht="42" customHeight="1">
      <c r="A5216" s="4" t="s">
        <v>11975</v>
      </c>
      <c r="B5216" s="5" t="s">
        <v>11975</v>
      </c>
      <c r="C5216" s="5" t="s">
        <v>18</v>
      </c>
      <c r="D5216" s="5" t="s">
        <v>19</v>
      </c>
      <c r="E5216" s="5" t="s">
        <v>60</v>
      </c>
      <c r="F5216" s="9">
        <v>105</v>
      </c>
      <c r="G5216" s="9">
        <v>1226</v>
      </c>
      <c r="H5216" s="5" t="s">
        <v>21</v>
      </c>
      <c r="I5216" s="5" t="s">
        <v>11976</v>
      </c>
      <c r="J5216" s="12" t="str">
        <f>HYPERLINK("https://www.boe.es/gazeta/dias/1800/12/30/pdfs/GMD-1800-105.pdf#page=10","Abrir facsímil")</f>
        <v>Abrir facsímil</v>
      </c>
      <c r="K5216" s="15" t="s">
        <v>23</v>
      </c>
    </row>
    <row r="5217" spans="1:11" ht="42" customHeight="1">
      <c r="A5217" s="4" t="s">
        <v>11977</v>
      </c>
      <c r="B5217" s="5" t="s">
        <v>11977</v>
      </c>
      <c r="C5217" s="5" t="s">
        <v>18</v>
      </c>
      <c r="D5217" s="5" t="s">
        <v>19</v>
      </c>
      <c r="E5217" s="5" t="s">
        <v>843</v>
      </c>
      <c r="F5217" s="9">
        <v>78</v>
      </c>
      <c r="G5217" s="9">
        <v>889</v>
      </c>
      <c r="H5217" s="5" t="s">
        <v>21</v>
      </c>
      <c r="I5217" s="5" t="s">
        <v>11978</v>
      </c>
      <c r="J5217" s="12" t="str">
        <f>HYPERLINK("https://www.boe.es/gazeta/dias/1800/09/26/pdfs/GMD-1800-78.pdf#page=7","Abrir facsímil")</f>
        <v>Abrir facsímil</v>
      </c>
      <c r="K5217" s="15" t="s">
        <v>23</v>
      </c>
    </row>
    <row r="5218" spans="1:11" ht="42" customHeight="1">
      <c r="A5218" s="4" t="s">
        <v>11979</v>
      </c>
      <c r="B5218" s="5" t="s">
        <v>11979</v>
      </c>
      <c r="C5218" s="5" t="s">
        <v>18</v>
      </c>
      <c r="D5218" s="5" t="s">
        <v>19</v>
      </c>
      <c r="E5218" s="5" t="s">
        <v>139</v>
      </c>
      <c r="F5218" s="9">
        <v>2</v>
      </c>
      <c r="G5218" s="9">
        <v>18</v>
      </c>
      <c r="H5218" s="5" t="s">
        <v>21</v>
      </c>
      <c r="I5218" s="5" t="s">
        <v>11980</v>
      </c>
      <c r="J5218" s="12" t="str">
        <f>HYPERLINK("https://www.boe.es/gazeta/dias/1800/01/07/pdfs/GMD-1800-2.pdf#page=10","Abrir facsímil")</f>
        <v>Abrir facsímil</v>
      </c>
      <c r="K5218" s="15" t="s">
        <v>23</v>
      </c>
    </row>
    <row r="5219" spans="1:11" ht="42" customHeight="1">
      <c r="A5219" s="4" t="s">
        <v>11981</v>
      </c>
      <c r="B5219" s="5" t="s">
        <v>11982</v>
      </c>
      <c r="C5219" s="5" t="s">
        <v>54</v>
      </c>
      <c r="D5219" s="5" t="s">
        <v>55</v>
      </c>
      <c r="E5219" s="5" t="s">
        <v>787</v>
      </c>
      <c r="F5219" s="9">
        <v>6</v>
      </c>
      <c r="G5219" s="9">
        <v>59</v>
      </c>
      <c r="H5219" s="5" t="s">
        <v>21</v>
      </c>
      <c r="I5219" s="5" t="s">
        <v>11983</v>
      </c>
      <c r="J5219" s="12" t="str">
        <f>HYPERLINK("https://www.boe.es/gazeta/dias/1800/01/21/pdfs/GMD-1800-6.pdf#page=11","Abrir facsímil")</f>
        <v>Abrir facsímil</v>
      </c>
      <c r="K5219" s="15" t="s">
        <v>23</v>
      </c>
    </row>
    <row r="5220" spans="1:11" ht="42" customHeight="1">
      <c r="A5220" s="4" t="s">
        <v>11984</v>
      </c>
      <c r="B5220" s="5" t="s">
        <v>11985</v>
      </c>
      <c r="C5220" s="5" t="s">
        <v>18</v>
      </c>
      <c r="D5220" s="5" t="s">
        <v>19</v>
      </c>
      <c r="E5220" s="5" t="s">
        <v>39</v>
      </c>
      <c r="F5220" s="9">
        <v>43</v>
      </c>
      <c r="G5220" s="9">
        <v>449</v>
      </c>
      <c r="H5220" s="5" t="s">
        <v>21</v>
      </c>
      <c r="I5220" s="5" t="s">
        <v>11986</v>
      </c>
      <c r="J5220" s="12" t="str">
        <f>HYPERLINK("https://www.boe.es/gazeta/dias/1800/05/30/pdfs/GMD-1800-43.pdf#page=9","Abrir facsímil")</f>
        <v>Abrir facsímil</v>
      </c>
      <c r="K5220" s="15" t="s">
        <v>23</v>
      </c>
    </row>
    <row r="5221" spans="1:11" ht="42" customHeight="1">
      <c r="A5221" s="4" t="s">
        <v>11984</v>
      </c>
      <c r="B5221" s="5" t="s">
        <v>11985</v>
      </c>
      <c r="C5221" s="5" t="s">
        <v>18</v>
      </c>
      <c r="D5221" s="5" t="s">
        <v>19</v>
      </c>
      <c r="E5221" s="5" t="s">
        <v>135</v>
      </c>
      <c r="F5221" s="9">
        <v>73</v>
      </c>
      <c r="G5221" s="9">
        <v>815</v>
      </c>
      <c r="H5221" s="5" t="s">
        <v>21</v>
      </c>
      <c r="I5221" s="5" t="s">
        <v>11987</v>
      </c>
      <c r="J5221" s="12" t="str">
        <f>HYPERLINK("https://www.boe.es/gazeta/dias/1800/09/09/pdfs/GMD-1800-73.pdf#page=9","Abrir facsímil")</f>
        <v>Abrir facsímil</v>
      </c>
      <c r="K5221" s="15" t="s">
        <v>23</v>
      </c>
    </row>
    <row r="5222" spans="1:11" ht="42" customHeight="1">
      <c r="A5222" s="4" t="s">
        <v>11988</v>
      </c>
      <c r="B5222" s="5" t="s">
        <v>11989</v>
      </c>
      <c r="C5222" s="5" t="s">
        <v>207</v>
      </c>
      <c r="D5222" s="5" t="s">
        <v>55</v>
      </c>
      <c r="E5222" s="5" t="s">
        <v>823</v>
      </c>
      <c r="F5222" s="9">
        <v>50</v>
      </c>
      <c r="G5222" s="9">
        <v>545</v>
      </c>
      <c r="H5222" s="5" t="s">
        <v>21</v>
      </c>
      <c r="I5222" s="5" t="s">
        <v>11990</v>
      </c>
      <c r="J5222" s="12" t="str">
        <f>HYPERLINK("https://www.boe.es/gazeta/dias/1800/06/24/pdfs/GMD-1800-50.pdf#page=9","Abrir facsímil")</f>
        <v>Abrir facsímil</v>
      </c>
      <c r="K5222" s="15" t="s">
        <v>23</v>
      </c>
    </row>
    <row r="5223" spans="1:11" ht="42" customHeight="1">
      <c r="A5223" s="4" t="s">
        <v>11991</v>
      </c>
      <c r="B5223" s="5" t="s">
        <v>11992</v>
      </c>
      <c r="C5223" s="5" t="s">
        <v>171</v>
      </c>
      <c r="D5223" s="5" t="s">
        <v>172</v>
      </c>
      <c r="E5223" s="5" t="s">
        <v>194</v>
      </c>
      <c r="F5223" s="9">
        <v>48</v>
      </c>
      <c r="G5223" s="9">
        <v>524</v>
      </c>
      <c r="H5223" s="5" t="s">
        <v>21</v>
      </c>
      <c r="I5223" s="5" t="s">
        <v>11993</v>
      </c>
      <c r="J5223" s="12" t="str">
        <f>HYPERLINK("https://www.boe.es/gazeta/dias/1800/06/17/pdfs/GMD-C-1800-48.pdf#page=4","Abrir facsímil")</f>
        <v>Abrir facsímil</v>
      </c>
      <c r="K5223" s="15" t="s">
        <v>23</v>
      </c>
    </row>
    <row r="5224" spans="1:11" ht="42" customHeight="1">
      <c r="A5224" s="4" t="s">
        <v>11994</v>
      </c>
      <c r="B5224" s="5" t="s">
        <v>11994</v>
      </c>
      <c r="C5224" s="5" t="s">
        <v>84</v>
      </c>
      <c r="D5224" s="5" t="s">
        <v>85</v>
      </c>
      <c r="E5224" s="5" t="s">
        <v>329</v>
      </c>
      <c r="F5224" s="9">
        <v>99</v>
      </c>
      <c r="G5224" s="9">
        <v>1134</v>
      </c>
      <c r="H5224" s="5" t="s">
        <v>21</v>
      </c>
      <c r="I5224" s="5" t="s">
        <v>10125</v>
      </c>
      <c r="J5224" s="12" t="str">
        <f>HYPERLINK("https://www.boe.es/gazeta/dias/1800/12/09/pdfs/GMD-1800-99.pdf#page=2","Abrir facsímil")</f>
        <v>Abrir facsímil</v>
      </c>
      <c r="K5224" s="15" t="s">
        <v>23</v>
      </c>
    </row>
    <row r="5225" spans="1:11" ht="42" customHeight="1">
      <c r="A5225" s="4" t="s">
        <v>11995</v>
      </c>
      <c r="B5225" s="5" t="s">
        <v>11995</v>
      </c>
      <c r="C5225" s="5" t="s">
        <v>18</v>
      </c>
      <c r="D5225" s="5" t="s">
        <v>19</v>
      </c>
      <c r="E5225" s="5" t="s">
        <v>154</v>
      </c>
      <c r="F5225" s="9">
        <v>61</v>
      </c>
      <c r="G5225" s="9">
        <v>694</v>
      </c>
      <c r="H5225" s="5" t="s">
        <v>21</v>
      </c>
      <c r="I5225" s="5" t="s">
        <v>1564</v>
      </c>
      <c r="J5225" s="12" t="str">
        <f>HYPERLINK("https://www.boe.es/gazeta/dias/1800/08/01/pdfs/GMD-1800-61.pdf#page=6","Abrir facsímil")</f>
        <v>Abrir facsímil</v>
      </c>
      <c r="K5225" s="15" t="s">
        <v>23</v>
      </c>
    </row>
    <row r="5226" spans="1:11" ht="42" customHeight="1">
      <c r="A5226" s="4" t="s">
        <v>11996</v>
      </c>
      <c r="B5226" s="5" t="s">
        <v>11997</v>
      </c>
      <c r="C5226" s="5" t="s">
        <v>41</v>
      </c>
      <c r="D5226" s="5" t="s">
        <v>42</v>
      </c>
      <c r="E5226" s="5" t="s">
        <v>314</v>
      </c>
      <c r="F5226" s="9">
        <v>74</v>
      </c>
      <c r="G5226" s="9">
        <v>829</v>
      </c>
      <c r="H5226" s="5" t="s">
        <v>21</v>
      </c>
      <c r="I5226" s="5" t="s">
        <v>11998</v>
      </c>
      <c r="J5226" s="12" t="str">
        <f>HYPERLINK("https://www.boe.es/gazeta/dias/1800/09/12/pdfs/GMD-1800-74.pdf#page=7","Abrir facsímil")</f>
        <v>Abrir facsímil</v>
      </c>
      <c r="K5226" s="15" t="s">
        <v>23</v>
      </c>
    </row>
    <row r="5227" spans="1:11" ht="42" customHeight="1">
      <c r="A5227" s="4" t="s">
        <v>11996</v>
      </c>
      <c r="B5227" s="5" t="s">
        <v>11997</v>
      </c>
      <c r="C5227" s="5" t="s">
        <v>25</v>
      </c>
      <c r="D5227" s="5" t="s">
        <v>26</v>
      </c>
      <c r="E5227" s="5" t="s">
        <v>572</v>
      </c>
      <c r="F5227" s="9">
        <v>76</v>
      </c>
      <c r="G5227" s="9">
        <v>866</v>
      </c>
      <c r="H5227" s="5" t="s">
        <v>21</v>
      </c>
      <c r="I5227" s="5" t="s">
        <v>11999</v>
      </c>
      <c r="J5227" s="12" t="str">
        <f>HYPERLINK("https://www.boe.es/gazeta/dias/1800/09/19/pdfs/GMD-1800-76.pdf#page=8","Abrir facsímil")</f>
        <v>Abrir facsímil</v>
      </c>
      <c r="K5227" s="15" t="s">
        <v>23</v>
      </c>
    </row>
    <row r="5228" spans="1:11" ht="42" customHeight="1">
      <c r="A5228" s="4" t="s">
        <v>12000</v>
      </c>
      <c r="B5228" s="5" t="s">
        <v>12001</v>
      </c>
      <c r="C5228" s="5" t="s">
        <v>84</v>
      </c>
      <c r="D5228" s="5" t="s">
        <v>85</v>
      </c>
      <c r="E5228" s="5" t="s">
        <v>255</v>
      </c>
      <c r="F5228" s="9">
        <v>75</v>
      </c>
      <c r="G5228" s="9">
        <v>858</v>
      </c>
      <c r="H5228" s="5" t="s">
        <v>21</v>
      </c>
      <c r="I5228" s="5" t="s">
        <v>12002</v>
      </c>
      <c r="J5228" s="12" t="str">
        <f>HYPERLINK("https://www.boe.es/gazeta/dias/1800/09/16/pdfs/GMD-1800-75.pdf#page=12","Abrir facsímil")</f>
        <v>Abrir facsímil</v>
      </c>
      <c r="K5228" s="15" t="s">
        <v>23</v>
      </c>
    </row>
    <row r="5229" spans="1:11" ht="42" customHeight="1">
      <c r="A5229" s="4" t="s">
        <v>12003</v>
      </c>
      <c r="B5229" s="5" t="s">
        <v>12004</v>
      </c>
      <c r="C5229" s="5" t="s">
        <v>84</v>
      </c>
      <c r="D5229" s="5" t="s">
        <v>85</v>
      </c>
      <c r="E5229" s="5" t="s">
        <v>48</v>
      </c>
      <c r="F5229" s="9">
        <v>66</v>
      </c>
      <c r="G5229" s="9">
        <v>739</v>
      </c>
      <c r="H5229" s="5" t="s">
        <v>21</v>
      </c>
      <c r="I5229" s="5" t="s">
        <v>12005</v>
      </c>
      <c r="J5229" s="12" t="str">
        <f>HYPERLINK("https://www.boe.es/gazeta/dias/1800/08/19/pdfs/GMD-1800-66.pdf#page=3","Abrir facsímil")</f>
        <v>Abrir facsímil</v>
      </c>
      <c r="K5229" s="15" t="s">
        <v>23</v>
      </c>
    </row>
    <row r="5230" spans="1:11" ht="42" customHeight="1">
      <c r="A5230" s="4" t="s">
        <v>12006</v>
      </c>
      <c r="B5230" s="5" t="s">
        <v>12007</v>
      </c>
      <c r="C5230" s="5" t="s">
        <v>18</v>
      </c>
      <c r="D5230" s="5" t="s">
        <v>19</v>
      </c>
      <c r="E5230" s="5" t="s">
        <v>346</v>
      </c>
      <c r="F5230" s="9">
        <v>24</v>
      </c>
      <c r="G5230" s="9">
        <v>244</v>
      </c>
      <c r="H5230" s="5" t="s">
        <v>21</v>
      </c>
      <c r="I5230" s="5" t="s">
        <v>12008</v>
      </c>
      <c r="J5230" s="12" t="str">
        <f>HYPERLINK("https://www.boe.es/gazeta/dias/1800/03/25/pdfs/GMD-1800-24.pdf#page=8","Abrir facsímil")</f>
        <v>Abrir facsímil</v>
      </c>
      <c r="K5230" s="15" t="s">
        <v>23</v>
      </c>
    </row>
    <row r="5231" spans="1:11" ht="42" customHeight="1">
      <c r="A5231" s="4" t="s">
        <v>12009</v>
      </c>
      <c r="B5231" s="5" t="s">
        <v>12010</v>
      </c>
      <c r="C5231" s="5" t="s">
        <v>18</v>
      </c>
      <c r="D5231" s="5" t="s">
        <v>19</v>
      </c>
      <c r="E5231" s="5" t="s">
        <v>56</v>
      </c>
      <c r="F5231" s="9">
        <v>90</v>
      </c>
      <c r="G5231" s="9">
        <v>1055</v>
      </c>
      <c r="H5231" s="5" t="s">
        <v>21</v>
      </c>
      <c r="I5231" s="5" t="s">
        <v>12011</v>
      </c>
      <c r="J5231" s="12" t="str">
        <f>HYPERLINK("https://www.boe.es/gazeta/dias/1800/11/07/pdfs/GMD-1800-90.pdf#page=9","Abrir facsímil")</f>
        <v>Abrir facsímil</v>
      </c>
      <c r="K5231" s="15" t="s">
        <v>23</v>
      </c>
    </row>
    <row r="5232" spans="1:11" ht="42" customHeight="1">
      <c r="A5232" s="4" t="s">
        <v>12012</v>
      </c>
      <c r="B5232" s="5" t="s">
        <v>12013</v>
      </c>
      <c r="C5232" s="5" t="s">
        <v>18</v>
      </c>
      <c r="D5232" s="5" t="s">
        <v>19</v>
      </c>
      <c r="E5232" s="5" t="s">
        <v>60</v>
      </c>
      <c r="F5232" s="9">
        <v>105</v>
      </c>
      <c r="G5232" s="9">
        <v>1226</v>
      </c>
      <c r="H5232" s="5" t="s">
        <v>21</v>
      </c>
      <c r="I5232" s="5" t="s">
        <v>12014</v>
      </c>
      <c r="J5232" s="12" t="str">
        <f>HYPERLINK("https://www.boe.es/gazeta/dias/1800/12/30/pdfs/GMD-1800-105.pdf#page=10","Abrir facsímil")</f>
        <v>Abrir facsímil</v>
      </c>
      <c r="K5232" s="15" t="s">
        <v>23</v>
      </c>
    </row>
    <row r="5233" spans="1:11" ht="42" customHeight="1">
      <c r="A5233" s="4" t="s">
        <v>12015</v>
      </c>
      <c r="B5233" s="5" t="s">
        <v>12015</v>
      </c>
      <c r="C5233" s="5" t="s">
        <v>41</v>
      </c>
      <c r="D5233" s="5" t="s">
        <v>42</v>
      </c>
      <c r="E5233" s="5" t="s">
        <v>120</v>
      </c>
      <c r="F5233" s="9">
        <v>52</v>
      </c>
      <c r="G5233" s="9">
        <v>566</v>
      </c>
      <c r="H5233" s="5" t="s">
        <v>21</v>
      </c>
      <c r="I5233" s="5" t="s">
        <v>12016</v>
      </c>
      <c r="J5233" s="12" t="str">
        <f>HYPERLINK("https://www.boe.es/gazeta/dias/1800/07/01/pdfs/GMD-1800-52.pdf#page=2","Abrir facsímil")</f>
        <v>Abrir facsímil</v>
      </c>
      <c r="K5233" s="15" t="s">
        <v>23</v>
      </c>
    </row>
    <row r="5234" spans="1:11" ht="42" customHeight="1">
      <c r="A5234" s="4" t="s">
        <v>12017</v>
      </c>
      <c r="B5234" s="5" t="s">
        <v>12018</v>
      </c>
      <c r="C5234" s="5" t="s">
        <v>18</v>
      </c>
      <c r="D5234" s="5" t="s">
        <v>19</v>
      </c>
      <c r="E5234" s="5" t="s">
        <v>503</v>
      </c>
      <c r="F5234" s="9">
        <v>13</v>
      </c>
      <c r="G5234" s="9">
        <v>117</v>
      </c>
      <c r="H5234" s="5" t="s">
        <v>21</v>
      </c>
      <c r="I5234" s="5" t="s">
        <v>12019</v>
      </c>
      <c r="J5234" s="12" t="str">
        <f>HYPERLINK("https://www.boe.es/gazeta/dias/1800/02/14/pdfs/GMD-1800-13.pdf#page=1","Abrir facsímil")</f>
        <v>Abrir facsímil</v>
      </c>
      <c r="K5234" s="15" t="s">
        <v>23</v>
      </c>
    </row>
    <row r="5235" spans="1:11" ht="42" customHeight="1">
      <c r="A5235" s="4" t="s">
        <v>12017</v>
      </c>
      <c r="B5235" s="5" t="s">
        <v>12018</v>
      </c>
      <c r="C5235" s="5" t="s">
        <v>41</v>
      </c>
      <c r="D5235" s="5" t="s">
        <v>42</v>
      </c>
      <c r="E5235" s="5" t="s">
        <v>35</v>
      </c>
      <c r="F5235" s="9">
        <v>21</v>
      </c>
      <c r="G5235" s="9">
        <v>198</v>
      </c>
      <c r="H5235" s="5" t="s">
        <v>21</v>
      </c>
      <c r="I5235" s="5" t="s">
        <v>12020</v>
      </c>
      <c r="J5235" s="12" t="str">
        <f>HYPERLINK("https://www.boe.es/gazeta/dias/1800/03/14/pdfs/GMD-1800-21.pdf#page=2","Abrir facsímil")</f>
        <v>Abrir facsímil</v>
      </c>
      <c r="K5235" s="15" t="s">
        <v>23</v>
      </c>
    </row>
    <row r="5236" spans="1:11" ht="42" customHeight="1">
      <c r="A5236" s="4" t="s">
        <v>12017</v>
      </c>
      <c r="B5236" s="5" t="s">
        <v>12018</v>
      </c>
      <c r="C5236" s="5" t="s">
        <v>41</v>
      </c>
      <c r="D5236" s="5" t="s">
        <v>42</v>
      </c>
      <c r="E5236" s="5" t="s">
        <v>356</v>
      </c>
      <c r="F5236" s="9">
        <v>31</v>
      </c>
      <c r="G5236" s="9">
        <v>309</v>
      </c>
      <c r="H5236" s="5" t="s">
        <v>21</v>
      </c>
      <c r="I5236" s="5" t="s">
        <v>12021</v>
      </c>
      <c r="J5236" s="12" t="str">
        <f>HYPERLINK("https://www.boe.es/gazeta/dias/1800/04/18/pdfs/GMD-1800-31.pdf#page=1","Abrir facsímil")</f>
        <v>Abrir facsímil</v>
      </c>
      <c r="K5236" s="15" t="s">
        <v>23</v>
      </c>
    </row>
    <row r="5237" spans="1:11" ht="42" customHeight="1">
      <c r="A5237" s="4" t="s">
        <v>12017</v>
      </c>
      <c r="B5237" s="5" t="s">
        <v>12018</v>
      </c>
      <c r="C5237" s="5" t="s">
        <v>18</v>
      </c>
      <c r="D5237" s="5" t="s">
        <v>19</v>
      </c>
      <c r="E5237" s="5" t="s">
        <v>420</v>
      </c>
      <c r="F5237" s="9">
        <v>38</v>
      </c>
      <c r="G5237" s="9">
        <v>381</v>
      </c>
      <c r="H5237" s="5" t="s">
        <v>21</v>
      </c>
      <c r="I5237" s="5" t="s">
        <v>12022</v>
      </c>
      <c r="J5237" s="12" t="str">
        <f>HYPERLINK("https://www.boe.es/gazeta/dias/1800/05/13/pdfs/GMD-1800-38.pdf#page=1","Abrir facsímil")</f>
        <v>Abrir facsímil</v>
      </c>
      <c r="K5237" s="15" t="s">
        <v>23</v>
      </c>
    </row>
    <row r="5238" spans="1:11" ht="42" customHeight="1">
      <c r="A5238" s="4" t="s">
        <v>12017</v>
      </c>
      <c r="B5238" s="5" t="s">
        <v>12018</v>
      </c>
      <c r="C5238" s="5" t="s">
        <v>41</v>
      </c>
      <c r="D5238" s="5" t="s">
        <v>42</v>
      </c>
      <c r="E5238" s="5" t="s">
        <v>454</v>
      </c>
      <c r="F5238" s="9">
        <v>63</v>
      </c>
      <c r="G5238" s="9">
        <v>715</v>
      </c>
      <c r="H5238" s="5" t="s">
        <v>21</v>
      </c>
      <c r="I5238" s="5" t="s">
        <v>12023</v>
      </c>
      <c r="J5238" s="12" t="str">
        <f>HYPERLINK("https://www.boe.es/gazeta/dias/1800/08/08/pdfs/GMD-1800-63.pdf#page=3","Abrir facsímil")</f>
        <v>Abrir facsímil</v>
      </c>
      <c r="K5238" s="15" t="s">
        <v>23</v>
      </c>
    </row>
    <row r="5239" spans="1:11" ht="42" customHeight="1">
      <c r="A5239" s="4" t="s">
        <v>12017</v>
      </c>
      <c r="B5239" s="5" t="s">
        <v>12018</v>
      </c>
      <c r="C5239" s="5" t="s">
        <v>41</v>
      </c>
      <c r="D5239" s="5" t="s">
        <v>42</v>
      </c>
      <c r="E5239" s="5" t="s">
        <v>283</v>
      </c>
      <c r="F5239" s="9">
        <v>68</v>
      </c>
      <c r="G5239" s="9">
        <v>760</v>
      </c>
      <c r="H5239" s="5" t="s">
        <v>21</v>
      </c>
      <c r="I5239" s="5" t="s">
        <v>12024</v>
      </c>
      <c r="J5239" s="12" t="str">
        <f>HYPERLINK("https://www.boe.es/gazeta/dias/1800/08/26/pdfs/GMD-1800-68.pdf#page=4","Abrir facsímil")</f>
        <v>Abrir facsímil</v>
      </c>
      <c r="K5239" s="15" t="s">
        <v>23</v>
      </c>
    </row>
    <row r="5240" spans="1:11" ht="42" customHeight="1">
      <c r="A5240" s="4" t="s">
        <v>12017</v>
      </c>
      <c r="B5240" s="5" t="s">
        <v>12018</v>
      </c>
      <c r="C5240" s="5" t="s">
        <v>18</v>
      </c>
      <c r="D5240" s="5" t="s">
        <v>19</v>
      </c>
      <c r="E5240" s="5" t="s">
        <v>590</v>
      </c>
      <c r="F5240" s="9">
        <v>69</v>
      </c>
      <c r="G5240" s="9">
        <v>770</v>
      </c>
      <c r="H5240" s="5" t="s">
        <v>21</v>
      </c>
      <c r="I5240" s="5" t="s">
        <v>12025</v>
      </c>
      <c r="J5240" s="12" t="str">
        <f>HYPERLINK("https://www.boe.es/gazeta/dias/1800/08/29/pdfs/GMD-1800-69.pdf#page=2","Abrir facsímil")</f>
        <v>Abrir facsímil</v>
      </c>
      <c r="K5240" s="15" t="s">
        <v>23</v>
      </c>
    </row>
    <row r="5241" spans="1:11" ht="42" customHeight="1">
      <c r="A5241" s="4" t="s">
        <v>12017</v>
      </c>
      <c r="B5241" s="5" t="s">
        <v>12018</v>
      </c>
      <c r="C5241" s="5" t="s">
        <v>41</v>
      </c>
      <c r="D5241" s="5" t="s">
        <v>42</v>
      </c>
      <c r="E5241" s="5" t="s">
        <v>255</v>
      </c>
      <c r="F5241" s="9">
        <v>75</v>
      </c>
      <c r="G5241" s="9">
        <v>848</v>
      </c>
      <c r="H5241" s="5" t="s">
        <v>21</v>
      </c>
      <c r="I5241" s="5" t="s">
        <v>12026</v>
      </c>
      <c r="J5241" s="12" t="str">
        <f>HYPERLINK("https://www.boe.es/gazeta/dias/1800/09/16/pdfs/GMD-1800-75.pdf#page=2","Abrir facsímil")</f>
        <v>Abrir facsímil</v>
      </c>
      <c r="K5241" s="15" t="s">
        <v>23</v>
      </c>
    </row>
    <row r="5242" spans="1:11" ht="42" customHeight="1">
      <c r="A5242" s="4" t="s">
        <v>12017</v>
      </c>
      <c r="B5242" s="5" t="s">
        <v>12018</v>
      </c>
      <c r="C5242" s="5" t="s">
        <v>41</v>
      </c>
      <c r="D5242" s="5" t="s">
        <v>42</v>
      </c>
      <c r="E5242" s="5" t="s">
        <v>255</v>
      </c>
      <c r="F5242" s="9">
        <v>75</v>
      </c>
      <c r="G5242" s="9">
        <v>852</v>
      </c>
      <c r="H5242" s="5" t="s">
        <v>21</v>
      </c>
      <c r="I5242" s="5" t="s">
        <v>12027</v>
      </c>
      <c r="J5242" s="12" t="str">
        <f>HYPERLINK("https://www.boe.es/gazeta/dias/1800/09/16/pdfs/GMD-1800-75.pdf#page=6","Abrir facsímil")</f>
        <v>Abrir facsímil</v>
      </c>
      <c r="K5242" s="15" t="s">
        <v>23</v>
      </c>
    </row>
    <row r="5243" spans="1:11" ht="42" customHeight="1">
      <c r="A5243" s="4" t="s">
        <v>12017</v>
      </c>
      <c r="B5243" s="5" t="s">
        <v>12018</v>
      </c>
      <c r="C5243" s="5" t="s">
        <v>18</v>
      </c>
      <c r="D5243" s="5" t="s">
        <v>19</v>
      </c>
      <c r="E5243" s="5" t="s">
        <v>116</v>
      </c>
      <c r="F5243" s="9">
        <v>86</v>
      </c>
      <c r="G5243" s="9">
        <v>993</v>
      </c>
      <c r="H5243" s="5" t="s">
        <v>21</v>
      </c>
      <c r="I5243" s="5" t="s">
        <v>12028</v>
      </c>
      <c r="J5243" s="12" t="str">
        <f>HYPERLINK("https://www.boe.es/gazeta/dias/1800/10/24/pdfs/GMD-1800-86.pdf#page=3","Abrir facsímil")</f>
        <v>Abrir facsímil</v>
      </c>
      <c r="K5243" s="15" t="s">
        <v>23</v>
      </c>
    </row>
    <row r="5244" spans="1:11" ht="42" customHeight="1">
      <c r="A5244" s="4" t="s">
        <v>12017</v>
      </c>
      <c r="B5244" s="5" t="s">
        <v>12018</v>
      </c>
      <c r="C5244" s="5" t="s">
        <v>41</v>
      </c>
      <c r="D5244" s="5" t="s">
        <v>42</v>
      </c>
      <c r="E5244" s="5" t="s">
        <v>56</v>
      </c>
      <c r="F5244" s="9">
        <v>90</v>
      </c>
      <c r="G5244" s="9">
        <v>1048</v>
      </c>
      <c r="H5244" s="5" t="s">
        <v>21</v>
      </c>
      <c r="I5244" s="5" t="s">
        <v>12029</v>
      </c>
      <c r="J5244" s="12" t="str">
        <f>HYPERLINK("https://www.boe.es/gazeta/dias/1800/11/07/pdfs/GMD-1800-90.pdf#page=2","Abrir facsímil")</f>
        <v>Abrir facsímil</v>
      </c>
      <c r="K5244" s="15" t="s">
        <v>23</v>
      </c>
    </row>
    <row r="5245" spans="1:11" ht="42" customHeight="1">
      <c r="A5245" s="4" t="s">
        <v>12030</v>
      </c>
      <c r="B5245" s="5" t="s">
        <v>12031</v>
      </c>
      <c r="C5245" s="5" t="s">
        <v>41</v>
      </c>
      <c r="D5245" s="5" t="s">
        <v>42</v>
      </c>
      <c r="E5245" s="5" t="s">
        <v>478</v>
      </c>
      <c r="F5245" s="9">
        <v>34</v>
      </c>
      <c r="G5245" s="9">
        <v>345</v>
      </c>
      <c r="H5245" s="5" t="s">
        <v>21</v>
      </c>
      <c r="I5245" s="5" t="s">
        <v>12032</v>
      </c>
      <c r="J5245" s="12" t="str">
        <f>HYPERLINK("https://www.boe.es/gazeta/dias/1800/04/29/pdfs/GMD-1800-34.pdf#page=9","Abrir facsímil")</f>
        <v>Abrir facsímil</v>
      </c>
      <c r="K5245" s="15" t="s">
        <v>23</v>
      </c>
    </row>
    <row r="5246" spans="1:11" ht="42" customHeight="1">
      <c r="A5246" s="4" t="s">
        <v>12030</v>
      </c>
      <c r="B5246" s="5" t="s">
        <v>12031</v>
      </c>
      <c r="C5246" s="5" t="s">
        <v>41</v>
      </c>
      <c r="D5246" s="5" t="s">
        <v>42</v>
      </c>
      <c r="E5246" s="5" t="s">
        <v>299</v>
      </c>
      <c r="F5246" s="9">
        <v>40</v>
      </c>
      <c r="G5246" s="9">
        <v>410</v>
      </c>
      <c r="H5246" s="5" t="s">
        <v>21</v>
      </c>
      <c r="I5246" s="5" t="s">
        <v>12033</v>
      </c>
      <c r="J5246" s="12" t="str">
        <f>HYPERLINK("https://www.boe.es/gazeta/dias/1800/05/20/pdfs/GMD-1800-40.pdf#page=6","Abrir facsímil")</f>
        <v>Abrir facsímil</v>
      </c>
      <c r="K5246" s="15" t="s">
        <v>23</v>
      </c>
    </row>
    <row r="5247" spans="1:11" ht="42" customHeight="1">
      <c r="A5247" s="4" t="s">
        <v>12030</v>
      </c>
      <c r="B5247" s="5" t="s">
        <v>12031</v>
      </c>
      <c r="C5247" s="5" t="s">
        <v>41</v>
      </c>
      <c r="D5247" s="5" t="s">
        <v>42</v>
      </c>
      <c r="E5247" s="5" t="s">
        <v>214</v>
      </c>
      <c r="F5247" s="9">
        <v>41</v>
      </c>
      <c r="G5247" s="9">
        <v>420</v>
      </c>
      <c r="H5247" s="5" t="s">
        <v>21</v>
      </c>
      <c r="I5247" s="5" t="s">
        <v>12034</v>
      </c>
      <c r="J5247" s="12" t="str">
        <f>HYPERLINK("https://www.boe.es/gazeta/dias/1800/05/23/pdfs/GMD-1800-41.pdf#page=4","Abrir facsímil")</f>
        <v>Abrir facsímil</v>
      </c>
      <c r="K5247" s="15" t="s">
        <v>23</v>
      </c>
    </row>
    <row r="5248" spans="1:11" ht="42" customHeight="1">
      <c r="A5248" s="4" t="s">
        <v>12030</v>
      </c>
      <c r="B5248" s="5" t="s">
        <v>12031</v>
      </c>
      <c r="C5248" s="5" t="s">
        <v>41</v>
      </c>
      <c r="D5248" s="5" t="s">
        <v>42</v>
      </c>
      <c r="E5248" s="5" t="s">
        <v>2338</v>
      </c>
      <c r="F5248" s="9">
        <v>42</v>
      </c>
      <c r="G5248" s="9">
        <v>434</v>
      </c>
      <c r="H5248" s="5" t="s">
        <v>21</v>
      </c>
      <c r="I5248" s="5" t="s">
        <v>12035</v>
      </c>
      <c r="J5248" s="12" t="str">
        <f>HYPERLINK("https://www.boe.es/gazeta/dias/1800/05/27/pdfs/GMD-1800-42.pdf#page=6","Abrir facsímil")</f>
        <v>Abrir facsímil</v>
      </c>
      <c r="K5248" s="15" t="s">
        <v>23</v>
      </c>
    </row>
    <row r="5249" spans="1:11" ht="42" customHeight="1">
      <c r="A5249" s="4" t="s">
        <v>12030</v>
      </c>
      <c r="B5249" s="5" t="s">
        <v>12031</v>
      </c>
      <c r="C5249" s="5" t="s">
        <v>25</v>
      </c>
      <c r="D5249" s="5" t="s">
        <v>26</v>
      </c>
      <c r="E5249" s="5" t="s">
        <v>590</v>
      </c>
      <c r="F5249" s="9">
        <v>69</v>
      </c>
      <c r="G5249" s="9">
        <v>775</v>
      </c>
      <c r="H5249" s="5" t="s">
        <v>21</v>
      </c>
      <c r="I5249" s="5" t="s">
        <v>12036</v>
      </c>
      <c r="J5249" s="12" t="str">
        <f>HYPERLINK("https://www.boe.es/gazeta/dias/1800/08/29/pdfs/GMD-1800-69.pdf#page=7","Abrir facsímil")</f>
        <v>Abrir facsímil</v>
      </c>
      <c r="K5249" s="15" t="s">
        <v>23</v>
      </c>
    </row>
    <row r="5250" spans="1:11" ht="42" customHeight="1">
      <c r="A5250" s="4" t="s">
        <v>12030</v>
      </c>
      <c r="B5250" s="5" t="s">
        <v>12031</v>
      </c>
      <c r="C5250" s="5" t="s">
        <v>41</v>
      </c>
      <c r="D5250" s="5" t="s">
        <v>42</v>
      </c>
      <c r="E5250" s="5" t="s">
        <v>20</v>
      </c>
      <c r="F5250" s="9">
        <v>104</v>
      </c>
      <c r="G5250" s="9">
        <v>1206</v>
      </c>
      <c r="H5250" s="5" t="s">
        <v>21</v>
      </c>
      <c r="I5250" s="5" t="s">
        <v>12037</v>
      </c>
      <c r="J5250" s="12" t="str">
        <f>HYPERLINK("https://www.boe.es/gazeta/dias/1800/12/26/pdfs/GMD-1800-104.pdf#page=6","Abrir facsímil")</f>
        <v>Abrir facsímil</v>
      </c>
      <c r="K5250" s="15" t="s">
        <v>23</v>
      </c>
    </row>
    <row r="5251" spans="1:11" ht="42" customHeight="1">
      <c r="A5251" s="4" t="s">
        <v>12038</v>
      </c>
      <c r="B5251" s="5" t="s">
        <v>12039</v>
      </c>
      <c r="C5251" s="5" t="s">
        <v>18</v>
      </c>
      <c r="D5251" s="5" t="s">
        <v>19</v>
      </c>
      <c r="E5251" s="5" t="s">
        <v>162</v>
      </c>
      <c r="F5251" s="9">
        <v>15</v>
      </c>
      <c r="G5251" s="9">
        <v>142</v>
      </c>
      <c r="H5251" s="5" t="s">
        <v>21</v>
      </c>
      <c r="I5251" s="5" t="s">
        <v>12040</v>
      </c>
      <c r="J5251" s="12" t="str">
        <f>HYPERLINK("https://www.boe.es/gazeta/dias/1800/02/21/pdfs/GMD-1800-15.pdf#page=6","Abrir facsímil")</f>
        <v>Abrir facsímil</v>
      </c>
      <c r="K5251" s="15" t="s">
        <v>23</v>
      </c>
    </row>
    <row r="5252" spans="1:11" ht="42" customHeight="1">
      <c r="A5252" s="4" t="s">
        <v>12041</v>
      </c>
      <c r="B5252" s="5" t="s">
        <v>12042</v>
      </c>
      <c r="C5252" s="5" t="s">
        <v>18</v>
      </c>
      <c r="D5252" s="5" t="s">
        <v>19</v>
      </c>
      <c r="E5252" s="5" t="s">
        <v>240</v>
      </c>
      <c r="F5252" s="9">
        <v>26</v>
      </c>
      <c r="G5252" s="9">
        <v>269</v>
      </c>
      <c r="H5252" s="5" t="s">
        <v>21</v>
      </c>
      <c r="I5252" s="5" t="s">
        <v>12043</v>
      </c>
      <c r="J5252" s="12" t="str">
        <f>HYPERLINK("https://www.boe.es/gazeta/dias/1800/04/01/pdfs/GMD-1800-26.pdf#page=9","Abrir facsímil")</f>
        <v>Abrir facsímil</v>
      </c>
      <c r="K5252" s="15" t="s">
        <v>23</v>
      </c>
    </row>
    <row r="5253" spans="1:11" ht="42" customHeight="1">
      <c r="A5253" s="4" t="s">
        <v>12044</v>
      </c>
      <c r="B5253" s="5" t="s">
        <v>12045</v>
      </c>
      <c r="C5253" s="5" t="s">
        <v>25</v>
      </c>
      <c r="D5253" s="5" t="s">
        <v>26</v>
      </c>
      <c r="E5253" s="5" t="s">
        <v>420</v>
      </c>
      <c r="F5253" s="9">
        <v>38</v>
      </c>
      <c r="G5253" s="9">
        <v>391</v>
      </c>
      <c r="H5253" s="5" t="s">
        <v>21</v>
      </c>
      <c r="I5253" s="5" t="s">
        <v>12046</v>
      </c>
      <c r="J5253" s="12" t="str">
        <f>HYPERLINK("https://www.boe.es/gazeta/dias/1800/05/13/pdfs/GMD-1800-38.pdf#page=11","Abrir facsímil")</f>
        <v>Abrir facsímil</v>
      </c>
      <c r="K5253" s="15" t="s">
        <v>23</v>
      </c>
    </row>
    <row r="5254" spans="1:11" ht="42" customHeight="1">
      <c r="A5254" s="4" t="s">
        <v>12047</v>
      </c>
      <c r="B5254" s="5" t="s">
        <v>12048</v>
      </c>
      <c r="C5254" s="5" t="s">
        <v>114</v>
      </c>
      <c r="D5254" s="5" t="s">
        <v>115</v>
      </c>
      <c r="E5254" s="5" t="s">
        <v>116</v>
      </c>
      <c r="F5254" s="9">
        <v>86</v>
      </c>
      <c r="G5254" s="9" t="s">
        <v>117</v>
      </c>
      <c r="H5254" s="5" t="s">
        <v>21</v>
      </c>
      <c r="I5254" s="5" t="s">
        <v>12049</v>
      </c>
      <c r="J5254" s="12" t="str">
        <f>HYPERLINK("https://www.boe.es/gazeta/dias/1800/10/24/pdfs/GMD-D-1800-86.pdf#page=3","Abrir facsímil")</f>
        <v>Abrir facsímil</v>
      </c>
      <c r="K5254" s="15" t="s">
        <v>23</v>
      </c>
    </row>
    <row r="5255" spans="1:11" ht="42" customHeight="1">
      <c r="A5255" s="4" t="s">
        <v>12050</v>
      </c>
      <c r="B5255" s="5" t="s">
        <v>12051</v>
      </c>
      <c r="C5255" s="5" t="s">
        <v>18</v>
      </c>
      <c r="D5255" s="5" t="s">
        <v>19</v>
      </c>
      <c r="E5255" s="5" t="s">
        <v>262</v>
      </c>
      <c r="F5255" s="9">
        <v>39</v>
      </c>
      <c r="G5255" s="9">
        <v>401</v>
      </c>
      <c r="H5255" s="5" t="s">
        <v>21</v>
      </c>
      <c r="I5255" s="5" t="s">
        <v>12052</v>
      </c>
      <c r="J5255" s="12" t="str">
        <f>HYPERLINK("https://www.boe.es/gazeta/dias/1800/05/16/pdfs/GMD-1800-39.pdf#page=9","Abrir facsímil")</f>
        <v>Abrir facsímil</v>
      </c>
      <c r="K5255" s="15" t="s">
        <v>23</v>
      </c>
    </row>
    <row r="5256" spans="1:11" ht="42" customHeight="1">
      <c r="A5256" s="4" t="s">
        <v>12053</v>
      </c>
      <c r="B5256" s="5" t="s">
        <v>12054</v>
      </c>
      <c r="C5256" s="5" t="s">
        <v>18</v>
      </c>
      <c r="D5256" s="5" t="s">
        <v>19</v>
      </c>
      <c r="E5256" s="5" t="s">
        <v>314</v>
      </c>
      <c r="F5256" s="9">
        <v>74</v>
      </c>
      <c r="G5256" s="9">
        <v>832</v>
      </c>
      <c r="H5256" s="5" t="s">
        <v>21</v>
      </c>
      <c r="I5256" s="5" t="s">
        <v>12055</v>
      </c>
      <c r="J5256" s="12" t="str">
        <f>HYPERLINK("https://www.boe.es/gazeta/dias/1800/09/12/pdfs/GMD-1800-74.pdf#page=10","Abrir facsímil")</f>
        <v>Abrir facsímil</v>
      </c>
      <c r="K5256" s="15" t="s">
        <v>23</v>
      </c>
    </row>
    <row r="5257" spans="1:11" ht="42" customHeight="1">
      <c r="A5257" s="4" t="s">
        <v>12056</v>
      </c>
      <c r="B5257" s="5" t="s">
        <v>12057</v>
      </c>
      <c r="C5257" s="5" t="s">
        <v>41</v>
      </c>
      <c r="D5257" s="5" t="s">
        <v>42</v>
      </c>
      <c r="E5257" s="5" t="s">
        <v>139</v>
      </c>
      <c r="F5257" s="9">
        <v>2</v>
      </c>
      <c r="G5257" s="9">
        <v>12</v>
      </c>
      <c r="H5257" s="5" t="s">
        <v>21</v>
      </c>
      <c r="I5257" s="5" t="s">
        <v>12058</v>
      </c>
      <c r="J5257" s="12" t="str">
        <f>HYPERLINK("https://www.boe.es/gazeta/dias/1800/01/07/pdfs/GMD-1800-2.pdf#page=4","Abrir facsímil")</f>
        <v>Abrir facsímil</v>
      </c>
      <c r="K5257" s="15" t="s">
        <v>23</v>
      </c>
    </row>
    <row r="5258" spans="1:11" ht="42" customHeight="1">
      <c r="A5258" s="4" t="s">
        <v>12059</v>
      </c>
      <c r="B5258" s="5" t="s">
        <v>12060</v>
      </c>
      <c r="C5258" s="5" t="s">
        <v>18</v>
      </c>
      <c r="D5258" s="5" t="s">
        <v>19</v>
      </c>
      <c r="E5258" s="5" t="s">
        <v>1108</v>
      </c>
      <c r="F5258" s="9">
        <v>30</v>
      </c>
      <c r="G5258" s="9">
        <v>302</v>
      </c>
      <c r="H5258" s="5" t="s">
        <v>21</v>
      </c>
      <c r="I5258" s="5" t="s">
        <v>12061</v>
      </c>
      <c r="J5258" s="12" t="str">
        <f>HYPERLINK("https://www.boe.es/gazeta/dias/1800/04/15/pdfs/GMD-1800-30.pdf#page=2","Abrir facsímil")</f>
        <v>Abrir facsímil</v>
      </c>
      <c r="K5258" s="15" t="s">
        <v>23</v>
      </c>
    </row>
    <row r="5259" spans="1:11" ht="42" customHeight="1">
      <c r="A5259" s="4" t="s">
        <v>12062</v>
      </c>
      <c r="B5259" s="5" t="s">
        <v>12063</v>
      </c>
      <c r="C5259" s="5" t="s">
        <v>84</v>
      </c>
      <c r="D5259" s="5" t="s">
        <v>85</v>
      </c>
      <c r="E5259" s="5" t="s">
        <v>31</v>
      </c>
      <c r="F5259" s="9">
        <v>20</v>
      </c>
      <c r="G5259" s="9">
        <v>188</v>
      </c>
      <c r="H5259" s="5" t="s">
        <v>21</v>
      </c>
      <c r="I5259" s="5" t="s">
        <v>12064</v>
      </c>
      <c r="J5259" s="12" t="str">
        <f>HYPERLINK("https://www.boe.es/gazeta/dias/1800/03/11/pdfs/GMD-1800-20.pdf#page=4","Abrir facsímil")</f>
        <v>Abrir facsímil</v>
      </c>
      <c r="K5259" s="15" t="s">
        <v>23</v>
      </c>
    </row>
    <row r="5260" spans="1:11" ht="42" customHeight="1">
      <c r="A5260" s="4" t="s">
        <v>12065</v>
      </c>
      <c r="B5260" s="5" t="s">
        <v>12065</v>
      </c>
      <c r="C5260" s="5" t="s">
        <v>18</v>
      </c>
      <c r="D5260" s="5" t="s">
        <v>19</v>
      </c>
      <c r="E5260" s="5" t="s">
        <v>90</v>
      </c>
      <c r="F5260" s="9">
        <v>58</v>
      </c>
      <c r="G5260" s="9">
        <v>663</v>
      </c>
      <c r="H5260" s="5" t="s">
        <v>21</v>
      </c>
      <c r="I5260" s="5" t="s">
        <v>12066</v>
      </c>
      <c r="J5260" s="12" t="str">
        <f>HYPERLINK("https://www.boe.es/gazeta/dias/1800/07/22/pdfs/GMD-1800-58.pdf#page=11","Abrir facsímil")</f>
        <v>Abrir facsímil</v>
      </c>
      <c r="K5260" s="15" t="s">
        <v>23</v>
      </c>
    </row>
    <row r="5261" spans="1:11" ht="42" customHeight="1">
      <c r="A5261" s="4" t="s">
        <v>12067</v>
      </c>
      <c r="B5261" s="5" t="s">
        <v>12068</v>
      </c>
      <c r="C5261" s="5" t="s">
        <v>84</v>
      </c>
      <c r="D5261" s="5" t="s">
        <v>85</v>
      </c>
      <c r="E5261" s="5" t="s">
        <v>88</v>
      </c>
      <c r="F5261" s="9">
        <v>23</v>
      </c>
      <c r="G5261" s="9">
        <v>235</v>
      </c>
      <c r="H5261" s="5" t="s">
        <v>21</v>
      </c>
      <c r="I5261" s="5" t="s">
        <v>12069</v>
      </c>
      <c r="J5261" s="12" t="str">
        <f>HYPERLINK("https://www.boe.es/gazeta/dias/1800/03/21/pdfs/GMD-1800-23.pdf#page=11","Abrir facsímil")</f>
        <v>Abrir facsímil</v>
      </c>
      <c r="K5261" s="15" t="s">
        <v>23</v>
      </c>
    </row>
    <row r="5262" spans="1:11" ht="42" customHeight="1">
      <c r="A5262" s="4" t="s">
        <v>12070</v>
      </c>
      <c r="B5262" s="5" t="s">
        <v>12071</v>
      </c>
      <c r="C5262" s="5" t="s">
        <v>25</v>
      </c>
      <c r="D5262" s="5" t="s">
        <v>26</v>
      </c>
      <c r="E5262" s="5" t="s">
        <v>56</v>
      </c>
      <c r="F5262" s="9">
        <v>90</v>
      </c>
      <c r="G5262" s="9">
        <v>1058</v>
      </c>
      <c r="H5262" s="5" t="s">
        <v>21</v>
      </c>
      <c r="I5262" s="5" t="s">
        <v>12072</v>
      </c>
      <c r="J5262" s="12" t="str">
        <f>HYPERLINK("https://www.boe.es/gazeta/dias/1800/11/07/pdfs/GMD-1800-90.pdf#page=12","Abrir facsímil")</f>
        <v>Abrir facsímil</v>
      </c>
      <c r="K5262" s="15" t="s">
        <v>23</v>
      </c>
    </row>
    <row r="5263" spans="1:11" ht="42" customHeight="1">
      <c r="A5263" s="4" t="s">
        <v>12070</v>
      </c>
      <c r="B5263" s="5" t="s">
        <v>12071</v>
      </c>
      <c r="C5263" s="5" t="s">
        <v>25</v>
      </c>
      <c r="D5263" s="5" t="s">
        <v>26</v>
      </c>
      <c r="E5263" s="5" t="s">
        <v>402</v>
      </c>
      <c r="F5263" s="9">
        <v>101</v>
      </c>
      <c r="G5263" s="9">
        <v>1175</v>
      </c>
      <c r="H5263" s="5" t="s">
        <v>21</v>
      </c>
      <c r="I5263" s="5" t="s">
        <v>12073</v>
      </c>
      <c r="J5263" s="12" t="str">
        <f>HYPERLINK("https://www.boe.es/gazeta/dias/1800/12/16/pdfs/GMD-1800-101.pdf#page=11","Abrir facsímil")</f>
        <v>Abrir facsímil</v>
      </c>
      <c r="K5263" s="15" t="s">
        <v>23</v>
      </c>
    </row>
    <row r="5264" spans="1:11" ht="42" customHeight="1">
      <c r="A5264" s="4" t="s">
        <v>12074</v>
      </c>
      <c r="B5264" s="5" t="s">
        <v>12075</v>
      </c>
      <c r="C5264" s="5" t="s">
        <v>41</v>
      </c>
      <c r="D5264" s="5" t="s">
        <v>42</v>
      </c>
      <c r="E5264" s="5" t="s">
        <v>139</v>
      </c>
      <c r="F5264" s="9">
        <v>2</v>
      </c>
      <c r="G5264" s="9">
        <v>14</v>
      </c>
      <c r="H5264" s="5" t="s">
        <v>21</v>
      </c>
      <c r="I5264" s="5" t="s">
        <v>12076</v>
      </c>
      <c r="J5264" s="12" t="str">
        <f>HYPERLINK("https://www.boe.es/gazeta/dias/1800/01/07/pdfs/GMD-1800-2.pdf#page=6","Abrir facsímil")</f>
        <v>Abrir facsímil</v>
      </c>
      <c r="K5264" s="15" t="s">
        <v>23</v>
      </c>
    </row>
    <row r="5265" spans="1:11" ht="42" customHeight="1">
      <c r="A5265" s="4" t="s">
        <v>12077</v>
      </c>
      <c r="B5265" s="5" t="s">
        <v>12078</v>
      </c>
      <c r="C5265" s="5" t="s">
        <v>18</v>
      </c>
      <c r="D5265" s="5" t="s">
        <v>19</v>
      </c>
      <c r="E5265" s="5" t="s">
        <v>190</v>
      </c>
      <c r="F5265" s="9">
        <v>93</v>
      </c>
      <c r="G5265" s="9">
        <v>1066</v>
      </c>
      <c r="H5265" s="5" t="s">
        <v>21</v>
      </c>
      <c r="I5265" s="5" t="s">
        <v>12079</v>
      </c>
      <c r="J5265" s="12" t="str">
        <f>HYPERLINK("https://www.boe.es/gazeta/dias/1800/11/18/pdfs/GMD-1800-93.pdf#page=12","Abrir facsímil")</f>
        <v>Abrir facsímil</v>
      </c>
      <c r="K5265" s="15" t="s">
        <v>23</v>
      </c>
    </row>
    <row r="5266" spans="1:11" ht="42" customHeight="1">
      <c r="A5266" s="4" t="s">
        <v>12080</v>
      </c>
      <c r="B5266" s="5" t="s">
        <v>12081</v>
      </c>
      <c r="C5266" s="5" t="s">
        <v>41</v>
      </c>
      <c r="D5266" s="5" t="s">
        <v>42</v>
      </c>
      <c r="E5266" s="5" t="s">
        <v>120</v>
      </c>
      <c r="F5266" s="9">
        <v>52</v>
      </c>
      <c r="G5266" s="9">
        <v>566</v>
      </c>
      <c r="H5266" s="5" t="s">
        <v>21</v>
      </c>
      <c r="I5266" s="5" t="s">
        <v>12082</v>
      </c>
      <c r="J5266" s="12" t="str">
        <f>HYPERLINK("https://www.boe.es/gazeta/dias/1800/07/01/pdfs/GMD-1800-52.pdf#page=2","Abrir facsímil")</f>
        <v>Abrir facsímil</v>
      </c>
      <c r="K5266" s="15" t="s">
        <v>23</v>
      </c>
    </row>
    <row r="5267" spans="1:11" ht="42" customHeight="1">
      <c r="A5267" s="4" t="s">
        <v>12083</v>
      </c>
      <c r="B5267" s="5" t="s">
        <v>12084</v>
      </c>
      <c r="C5267" s="5" t="s">
        <v>171</v>
      </c>
      <c r="D5267" s="5" t="s">
        <v>172</v>
      </c>
      <c r="E5267" s="5" t="s">
        <v>64</v>
      </c>
      <c r="F5267" s="9">
        <v>54</v>
      </c>
      <c r="G5267" s="9">
        <v>609</v>
      </c>
      <c r="H5267" s="5" t="s">
        <v>21</v>
      </c>
      <c r="I5267" s="5" t="s">
        <v>12085</v>
      </c>
      <c r="J5267" s="12" t="str">
        <f>HYPERLINK("https://www.boe.es/gazeta/dias/1800/07/08/pdfs/GMD-C-1800-54.pdf#page=1","Abrir facsímil")</f>
        <v>Abrir facsímil</v>
      </c>
      <c r="K5267" s="15" t="s">
        <v>23</v>
      </c>
    </row>
    <row r="5268" spans="1:11" ht="42" customHeight="1">
      <c r="A5268" s="4" t="s">
        <v>12086</v>
      </c>
      <c r="B5268" s="5" t="s">
        <v>12087</v>
      </c>
      <c r="C5268" s="5" t="s">
        <v>207</v>
      </c>
      <c r="D5268" s="5" t="s">
        <v>55</v>
      </c>
      <c r="E5268" s="5" t="s">
        <v>143</v>
      </c>
      <c r="F5268" s="9">
        <v>22</v>
      </c>
      <c r="G5268" s="9">
        <v>219</v>
      </c>
      <c r="H5268" s="5" t="s">
        <v>21</v>
      </c>
      <c r="I5268" s="5" t="s">
        <v>12088</v>
      </c>
      <c r="J5268" s="12" t="str">
        <f>HYPERLINK("https://www.boe.es/gazeta/dias/1800/03/18/pdfs/GMD-1800-22.pdf#page=11","Abrir facsímil")</f>
        <v>Abrir facsímil</v>
      </c>
      <c r="K5268" s="15" t="s">
        <v>23</v>
      </c>
    </row>
    <row r="5269" spans="1:11" ht="42" customHeight="1">
      <c r="A5269" s="4" t="s">
        <v>12089</v>
      </c>
      <c r="B5269" s="5" t="s">
        <v>12090</v>
      </c>
      <c r="C5269" s="5" t="s">
        <v>41</v>
      </c>
      <c r="D5269" s="5" t="s">
        <v>42</v>
      </c>
      <c r="E5269" s="5" t="s">
        <v>31</v>
      </c>
      <c r="F5269" s="9">
        <v>20</v>
      </c>
      <c r="G5269" s="9">
        <v>190</v>
      </c>
      <c r="H5269" s="5" t="s">
        <v>21</v>
      </c>
      <c r="I5269" s="5" t="s">
        <v>12091</v>
      </c>
      <c r="J5269" s="12" t="str">
        <f>HYPERLINK("https://www.boe.es/gazeta/dias/1800/03/11/pdfs/GMD-1800-20.pdf#page=6","Abrir facsímil")</f>
        <v>Abrir facsímil</v>
      </c>
      <c r="K5269" s="15" t="s">
        <v>23</v>
      </c>
    </row>
    <row r="5270" spans="1:11" ht="42" customHeight="1">
      <c r="A5270" s="4" t="s">
        <v>12092</v>
      </c>
      <c r="B5270" s="5" t="s">
        <v>12093</v>
      </c>
      <c r="C5270" s="5" t="s">
        <v>18</v>
      </c>
      <c r="D5270" s="5" t="s">
        <v>19</v>
      </c>
      <c r="E5270" s="5" t="s">
        <v>158</v>
      </c>
      <c r="F5270" s="9">
        <v>25</v>
      </c>
      <c r="G5270" s="9">
        <v>256</v>
      </c>
      <c r="H5270" s="5" t="s">
        <v>21</v>
      </c>
      <c r="I5270" s="5" t="s">
        <v>12094</v>
      </c>
      <c r="J5270" s="12" t="str">
        <f>HYPERLINK("https://www.boe.es/gazeta/dias/1800/03/28/pdfs/GMD-1800-25.pdf#page=8","Abrir facsímil")</f>
        <v>Abrir facsímil</v>
      </c>
      <c r="K5270" s="15" t="s">
        <v>23</v>
      </c>
    </row>
    <row r="5271" spans="1:11" ht="42" customHeight="1">
      <c r="A5271" s="4" t="s">
        <v>12095</v>
      </c>
      <c r="B5271" s="5" t="s">
        <v>12096</v>
      </c>
      <c r="C5271" s="5" t="s">
        <v>18</v>
      </c>
      <c r="D5271" s="5" t="s">
        <v>19</v>
      </c>
      <c r="E5271" s="5" t="s">
        <v>43</v>
      </c>
      <c r="F5271" s="9">
        <v>46</v>
      </c>
      <c r="G5271" s="9">
        <v>488</v>
      </c>
      <c r="H5271" s="5" t="s">
        <v>21</v>
      </c>
      <c r="I5271" s="5" t="s">
        <v>12097</v>
      </c>
      <c r="J5271" s="12" t="str">
        <f>HYPERLINK("https://www.boe.es/gazeta/dias/1800/06/10/pdfs/GMD-1800-46.pdf#page=12","Abrir facsímil")</f>
        <v>Abrir facsímil</v>
      </c>
      <c r="K5271" s="15" t="s">
        <v>23</v>
      </c>
    </row>
    <row r="5272" spans="1:11" ht="42" customHeight="1">
      <c r="A5272" s="4" t="s">
        <v>12098</v>
      </c>
      <c r="B5272" s="5" t="s">
        <v>12099</v>
      </c>
      <c r="C5272" s="5" t="s">
        <v>41</v>
      </c>
      <c r="D5272" s="5" t="s">
        <v>42</v>
      </c>
      <c r="E5272" s="5" t="s">
        <v>158</v>
      </c>
      <c r="F5272" s="9">
        <v>25</v>
      </c>
      <c r="G5272" s="9">
        <v>254</v>
      </c>
      <c r="H5272" s="5" t="s">
        <v>21</v>
      </c>
      <c r="I5272" s="5" t="s">
        <v>12100</v>
      </c>
      <c r="J5272" s="12" t="str">
        <f>HYPERLINK("https://www.boe.es/gazeta/dias/1800/03/28/pdfs/GMD-1800-25.pdf#page=6","Abrir facsímil")</f>
        <v>Abrir facsímil</v>
      </c>
      <c r="K5272" s="15" t="s">
        <v>23</v>
      </c>
    </row>
    <row r="5273" spans="1:11" ht="42" customHeight="1">
      <c r="A5273" s="4" t="s">
        <v>12101</v>
      </c>
      <c r="B5273" s="5" t="s">
        <v>12102</v>
      </c>
      <c r="C5273" s="5" t="s">
        <v>18</v>
      </c>
      <c r="D5273" s="5" t="s">
        <v>19</v>
      </c>
      <c r="E5273" s="5" t="s">
        <v>75</v>
      </c>
      <c r="F5273" s="9">
        <v>64</v>
      </c>
      <c r="G5273" s="9">
        <v>734</v>
      </c>
      <c r="H5273" s="5" t="s">
        <v>21</v>
      </c>
      <c r="I5273" s="5" t="s">
        <v>12103</v>
      </c>
      <c r="J5273" s="12" t="str">
        <f>HYPERLINK("https://www.boe.es/gazeta/dias/1800/08/12/pdfs/GMD-1800-64.pdf#page=10","Abrir facsímil")</f>
        <v>Abrir facsímil</v>
      </c>
      <c r="K5273" s="15" t="s">
        <v>23</v>
      </c>
    </row>
    <row r="5274" spans="1:11" ht="42" customHeight="1">
      <c r="A5274" s="4" t="s">
        <v>12104</v>
      </c>
      <c r="B5274" s="5" t="s">
        <v>12105</v>
      </c>
      <c r="C5274" s="5" t="s">
        <v>41</v>
      </c>
      <c r="D5274" s="5" t="s">
        <v>42</v>
      </c>
      <c r="E5274" s="5" t="s">
        <v>406</v>
      </c>
      <c r="F5274" s="9">
        <v>44</v>
      </c>
      <c r="G5274" s="9">
        <v>455</v>
      </c>
      <c r="H5274" s="5" t="s">
        <v>21</v>
      </c>
      <c r="I5274" s="5" t="s">
        <v>12106</v>
      </c>
      <c r="J5274" s="12" t="str">
        <f>HYPERLINK("https://www.boe.es/gazeta/dias/1800/06/03/pdfs/GMD-1800-44.pdf#page=3","Abrir facsímil")</f>
        <v>Abrir facsímil</v>
      </c>
      <c r="K5274" s="15" t="s">
        <v>23</v>
      </c>
    </row>
    <row r="5275" spans="1:11" ht="42" customHeight="1">
      <c r="A5275" s="4" t="s">
        <v>12107</v>
      </c>
      <c r="B5275" s="5" t="s">
        <v>12108</v>
      </c>
      <c r="C5275" s="5" t="s">
        <v>41</v>
      </c>
      <c r="D5275" s="5" t="s">
        <v>42</v>
      </c>
      <c r="E5275" s="5" t="s">
        <v>530</v>
      </c>
      <c r="F5275" s="9">
        <v>55</v>
      </c>
      <c r="G5275" s="9">
        <v>615</v>
      </c>
      <c r="H5275" s="5" t="s">
        <v>21</v>
      </c>
      <c r="I5275" s="5" t="s">
        <v>12109</v>
      </c>
      <c r="J5275" s="12" t="str">
        <f>HYPERLINK("https://www.boe.es/gazeta/dias/1800/07/11/pdfs/GMD-1800-55.pdf#page=3","Abrir facsímil")</f>
        <v>Abrir facsímil</v>
      </c>
      <c r="K5275" s="15" t="s">
        <v>23</v>
      </c>
    </row>
    <row r="5276" spans="1:11" ht="42" customHeight="1">
      <c r="A5276" s="4" t="s">
        <v>12110</v>
      </c>
      <c r="B5276" s="5" t="s">
        <v>12111</v>
      </c>
      <c r="C5276" s="5" t="s">
        <v>84</v>
      </c>
      <c r="D5276" s="5" t="s">
        <v>85</v>
      </c>
      <c r="E5276" s="5" t="s">
        <v>461</v>
      </c>
      <c r="F5276" s="9">
        <v>18</v>
      </c>
      <c r="G5276" s="9">
        <v>172</v>
      </c>
      <c r="H5276" s="5" t="s">
        <v>21</v>
      </c>
      <c r="I5276" s="5" t="s">
        <v>12112</v>
      </c>
      <c r="J5276" s="12" t="str">
        <f>HYPERLINK("https://www.boe.es/datos/pdfs/BOE//1800/018/C00173-00176.pdf#page=8","Abrir facsímil")</f>
        <v>Abrir facsímil</v>
      </c>
      <c r="K5276" s="15" t="s">
        <v>23</v>
      </c>
    </row>
    <row r="5277" spans="1:11" ht="42" customHeight="1">
      <c r="A5277" s="4" t="s">
        <v>12110</v>
      </c>
      <c r="B5277" s="5" t="s">
        <v>12111</v>
      </c>
      <c r="C5277" s="5" t="s">
        <v>84</v>
      </c>
      <c r="D5277" s="5" t="s">
        <v>85</v>
      </c>
      <c r="E5277" s="5" t="s">
        <v>346</v>
      </c>
      <c r="F5277" s="9">
        <v>24</v>
      </c>
      <c r="G5277" s="9">
        <v>248</v>
      </c>
      <c r="H5277" s="5" t="s">
        <v>21</v>
      </c>
      <c r="I5277" s="5" t="s">
        <v>12113</v>
      </c>
      <c r="J5277" s="12" t="str">
        <f>HYPERLINK("https://www.boe.es/gazeta/dias/1800/03/25/pdfs/GMD-1800-24.pdf#page=12","Abrir facsímil")</f>
        <v>Abrir facsímil</v>
      </c>
      <c r="K5277" s="15" t="s">
        <v>23</v>
      </c>
    </row>
    <row r="5278" spans="1:11" ht="42" customHeight="1">
      <c r="A5278" s="4" t="s">
        <v>12110</v>
      </c>
      <c r="B5278" s="5" t="s">
        <v>12111</v>
      </c>
      <c r="C5278" s="5" t="s">
        <v>84</v>
      </c>
      <c r="D5278" s="5" t="s">
        <v>85</v>
      </c>
      <c r="E5278" s="5" t="s">
        <v>226</v>
      </c>
      <c r="F5278" s="9">
        <v>27</v>
      </c>
      <c r="G5278" s="9">
        <v>284</v>
      </c>
      <c r="H5278" s="5" t="s">
        <v>21</v>
      </c>
      <c r="I5278" s="5" t="s">
        <v>12114</v>
      </c>
      <c r="J5278" s="12" t="str">
        <f>HYPERLINK("https://www.boe.es/gazeta/dias/1800/04/04/pdfs/GMD-1800-27.pdf#page=12","Abrir facsímil")</f>
        <v>Abrir facsímil</v>
      </c>
      <c r="K5278" s="15" t="s">
        <v>23</v>
      </c>
    </row>
    <row r="5279" spans="1:11" ht="42" customHeight="1">
      <c r="A5279" s="4" t="s">
        <v>12110</v>
      </c>
      <c r="B5279" s="5" t="s">
        <v>12111</v>
      </c>
      <c r="C5279" s="5" t="s">
        <v>25</v>
      </c>
      <c r="D5279" s="5" t="s">
        <v>26</v>
      </c>
      <c r="E5279" s="5" t="s">
        <v>2338</v>
      </c>
      <c r="F5279" s="9">
        <v>42</v>
      </c>
      <c r="G5279" s="9">
        <v>436</v>
      </c>
      <c r="H5279" s="5" t="s">
        <v>21</v>
      </c>
      <c r="I5279" s="5" t="s">
        <v>12115</v>
      </c>
      <c r="J5279" s="12" t="str">
        <f>HYPERLINK("https://www.boe.es/gazeta/dias/1800/05/27/pdfs/GMD-1800-42.pdf#page=8","Abrir facsímil")</f>
        <v>Abrir facsímil</v>
      </c>
      <c r="K5279" s="15" t="s">
        <v>23</v>
      </c>
    </row>
    <row r="5280" spans="1:11" ht="42" customHeight="1">
      <c r="A5280" s="4" t="s">
        <v>12110</v>
      </c>
      <c r="B5280" s="5" t="s">
        <v>12111</v>
      </c>
      <c r="C5280" s="5" t="s">
        <v>84</v>
      </c>
      <c r="D5280" s="5" t="s">
        <v>85</v>
      </c>
      <c r="E5280" s="5" t="s">
        <v>445</v>
      </c>
      <c r="F5280" s="9">
        <v>96</v>
      </c>
      <c r="G5280" s="9">
        <v>1108</v>
      </c>
      <c r="H5280" s="5" t="s">
        <v>21</v>
      </c>
      <c r="I5280" s="5" t="s">
        <v>12116</v>
      </c>
      <c r="J5280" s="12" t="str">
        <f>HYPERLINK("https://www.boe.es/gazeta/dias/1800/11/28/pdfs/GMD-1800-96.pdf#page=12","Abrir facsímil")</f>
        <v>Abrir facsímil</v>
      </c>
      <c r="K5280" s="15" t="s">
        <v>23</v>
      </c>
    </row>
    <row r="5281" spans="1:11" ht="42" customHeight="1">
      <c r="A5281" s="4" t="s">
        <v>12117</v>
      </c>
      <c r="B5281" s="5" t="s">
        <v>12118</v>
      </c>
      <c r="C5281" s="5" t="s">
        <v>18</v>
      </c>
      <c r="D5281" s="5" t="s">
        <v>19</v>
      </c>
      <c r="E5281" s="5" t="s">
        <v>422</v>
      </c>
      <c r="F5281" s="9">
        <v>85</v>
      </c>
      <c r="G5281" s="9">
        <v>985</v>
      </c>
      <c r="H5281" s="5" t="s">
        <v>21</v>
      </c>
      <c r="I5281" s="5" t="s">
        <v>12119</v>
      </c>
      <c r="J5281" s="12" t="str">
        <f>HYPERLINK("https://www.boe.es/gazeta/dias/1800/10/21/pdfs/GMD-1800-85.pdf#page=7","Abrir facsímil")</f>
        <v>Abrir facsímil</v>
      </c>
      <c r="K5281" s="15" t="s">
        <v>23</v>
      </c>
    </row>
    <row r="5282" spans="1:11" ht="42" customHeight="1">
      <c r="A5282" s="4" t="s">
        <v>12120</v>
      </c>
      <c r="B5282" s="5" t="s">
        <v>12121</v>
      </c>
      <c r="C5282" s="5" t="s">
        <v>25</v>
      </c>
      <c r="D5282" s="5" t="s">
        <v>26</v>
      </c>
      <c r="E5282" s="5" t="s">
        <v>1287</v>
      </c>
      <c r="F5282" s="9">
        <v>57</v>
      </c>
      <c r="G5282" s="9">
        <v>650</v>
      </c>
      <c r="H5282" s="5" t="s">
        <v>21</v>
      </c>
      <c r="I5282" s="5" t="s">
        <v>12122</v>
      </c>
      <c r="J5282" s="12" t="str">
        <f>HYPERLINK("https://www.boe.es/gazeta/dias/1800/07/18/pdfs/GMD-1800-57.pdf#page=14","Abrir facsímil")</f>
        <v>Abrir facsímil</v>
      </c>
      <c r="K5282" s="15" t="s">
        <v>23</v>
      </c>
    </row>
    <row r="5283" spans="1:11" ht="42" customHeight="1">
      <c r="A5283" s="4" t="s">
        <v>12120</v>
      </c>
      <c r="B5283" s="5" t="s">
        <v>12121</v>
      </c>
      <c r="C5283" s="5" t="s">
        <v>25</v>
      </c>
      <c r="D5283" s="5" t="s">
        <v>26</v>
      </c>
      <c r="E5283" s="5" t="s">
        <v>283</v>
      </c>
      <c r="F5283" s="9">
        <v>68</v>
      </c>
      <c r="G5283" s="9">
        <v>766</v>
      </c>
      <c r="H5283" s="5" t="s">
        <v>21</v>
      </c>
      <c r="I5283" s="5" t="s">
        <v>12123</v>
      </c>
      <c r="J5283" s="12" t="str">
        <f>HYPERLINK("https://www.boe.es/gazeta/dias/1800/08/26/pdfs/GMD-1800-68.pdf#page=10","Abrir facsímil")</f>
        <v>Abrir facsímil</v>
      </c>
      <c r="K5283" s="15" t="s">
        <v>23</v>
      </c>
    </row>
    <row r="5284" spans="1:11" ht="42" customHeight="1">
      <c r="A5284" s="4" t="s">
        <v>12124</v>
      </c>
      <c r="B5284" s="5" t="s">
        <v>12125</v>
      </c>
      <c r="C5284" s="5" t="s">
        <v>18</v>
      </c>
      <c r="D5284" s="5" t="s">
        <v>19</v>
      </c>
      <c r="E5284" s="5" t="s">
        <v>576</v>
      </c>
      <c r="F5284" s="9">
        <v>91</v>
      </c>
      <c r="G5284" s="9">
        <v>1067</v>
      </c>
      <c r="H5284" s="5" t="s">
        <v>21</v>
      </c>
      <c r="I5284" s="5" t="s">
        <v>12126</v>
      </c>
      <c r="J5284" s="12" t="str">
        <f>HYPERLINK("https://www.boe.es/gazeta/dias/1800/11/11/pdfs/GMD-1800-91.pdf#page=9","Abrir facsímil")</f>
        <v>Abrir facsímil</v>
      </c>
      <c r="K5284" s="15" t="s">
        <v>23</v>
      </c>
    </row>
    <row r="5285" spans="1:11" ht="42" customHeight="1">
      <c r="A5285" s="4" t="s">
        <v>12127</v>
      </c>
      <c r="B5285" s="5" t="s">
        <v>12128</v>
      </c>
      <c r="C5285" s="5" t="s">
        <v>25</v>
      </c>
      <c r="D5285" s="5" t="s">
        <v>26</v>
      </c>
      <c r="E5285" s="5" t="s">
        <v>445</v>
      </c>
      <c r="F5285" s="9">
        <v>96</v>
      </c>
      <c r="G5285" s="9">
        <v>1105</v>
      </c>
      <c r="H5285" s="5" t="s">
        <v>21</v>
      </c>
      <c r="I5285" s="5" t="s">
        <v>12129</v>
      </c>
      <c r="J5285" s="12" t="str">
        <f>HYPERLINK("https://www.boe.es/gazeta/dias/1800/11/28/pdfs/GMD-1800-96.pdf#page=9","Abrir facsímil")</f>
        <v>Abrir facsímil</v>
      </c>
      <c r="K5285" s="15" t="s">
        <v>23</v>
      </c>
    </row>
    <row r="5286" spans="1:11" ht="42" customHeight="1">
      <c r="A5286" s="4" t="s">
        <v>12130</v>
      </c>
      <c r="B5286" s="5" t="s">
        <v>12131</v>
      </c>
      <c r="C5286" s="5" t="s">
        <v>41</v>
      </c>
      <c r="D5286" s="5" t="s">
        <v>42</v>
      </c>
      <c r="E5286" s="5" t="s">
        <v>530</v>
      </c>
      <c r="F5286" s="9">
        <v>55</v>
      </c>
      <c r="G5286" s="9">
        <v>618</v>
      </c>
      <c r="H5286" s="5" t="s">
        <v>21</v>
      </c>
      <c r="I5286" s="5" t="s">
        <v>12132</v>
      </c>
      <c r="J5286" s="12" t="str">
        <f>HYPERLINK("https://www.boe.es/gazeta/dias/1800/07/11/pdfs/GMD-1800-55.pdf#page=6","Abrir facsímil")</f>
        <v>Abrir facsímil</v>
      </c>
      <c r="K5286" s="15" t="s">
        <v>23</v>
      </c>
    </row>
    <row r="5287" spans="1:11" ht="42" customHeight="1">
      <c r="A5287" s="4" t="s">
        <v>12130</v>
      </c>
      <c r="B5287" s="5" t="s">
        <v>12131</v>
      </c>
      <c r="C5287" s="5" t="s">
        <v>41</v>
      </c>
      <c r="D5287" s="5" t="s">
        <v>42</v>
      </c>
      <c r="E5287" s="5" t="s">
        <v>410</v>
      </c>
      <c r="F5287" s="9">
        <v>87</v>
      </c>
      <c r="G5287" s="9">
        <v>1005</v>
      </c>
      <c r="H5287" s="5" t="s">
        <v>21</v>
      </c>
      <c r="I5287" s="5" t="s">
        <v>12133</v>
      </c>
      <c r="J5287" s="12" t="str">
        <f>HYPERLINK("https://www.boe.es/gazeta/dias/1800/10/28/pdfs/GMD-1800-87.pdf#page=3","Abrir facsímil")</f>
        <v>Abrir facsímil</v>
      </c>
      <c r="K5287" s="15" t="s">
        <v>23</v>
      </c>
    </row>
    <row r="5288" spans="1:11" ht="42" customHeight="1">
      <c r="A5288" s="4" t="s">
        <v>12134</v>
      </c>
      <c r="B5288" s="5" t="s">
        <v>12135</v>
      </c>
      <c r="C5288" s="5" t="s">
        <v>41</v>
      </c>
      <c r="D5288" s="5" t="s">
        <v>42</v>
      </c>
      <c r="E5288" s="5" t="s">
        <v>226</v>
      </c>
      <c r="F5288" s="9">
        <v>27</v>
      </c>
      <c r="G5288" s="9">
        <v>274</v>
      </c>
      <c r="H5288" s="5" t="s">
        <v>21</v>
      </c>
      <c r="I5288" s="5" t="s">
        <v>12136</v>
      </c>
      <c r="J5288" s="12" t="str">
        <f>HYPERLINK("https://www.boe.es/gazeta/dias/1800/04/04/pdfs/GMD-1800-27.pdf#page=2","Abrir facsímil")</f>
        <v>Abrir facsímil</v>
      </c>
      <c r="K5288" s="15" t="s">
        <v>23</v>
      </c>
    </row>
    <row r="5289" spans="1:11" ht="42" customHeight="1">
      <c r="A5289" s="4" t="s">
        <v>12137</v>
      </c>
      <c r="B5289" s="5" t="s">
        <v>12138</v>
      </c>
      <c r="C5289" s="5" t="s">
        <v>18</v>
      </c>
      <c r="D5289" s="5" t="s">
        <v>19</v>
      </c>
      <c r="E5289" s="5" t="s">
        <v>176</v>
      </c>
      <c r="F5289" s="9">
        <v>88</v>
      </c>
      <c r="G5289" s="9">
        <v>1034</v>
      </c>
      <c r="H5289" s="5" t="s">
        <v>21</v>
      </c>
      <c r="I5289" s="5" t="s">
        <v>12139</v>
      </c>
      <c r="J5289" s="12" t="str">
        <f>HYPERLINK("https://www.boe.es/gazeta/dias/1800/10/31/pdfs/GMD-1800-88.pdf#page=16","Abrir facsímil")</f>
        <v>Abrir facsímil</v>
      </c>
      <c r="K5289" s="15" t="s">
        <v>23</v>
      </c>
    </row>
    <row r="5290" spans="1:11" ht="42" customHeight="1">
      <c r="A5290" s="4" t="s">
        <v>12140</v>
      </c>
      <c r="B5290" s="5" t="s">
        <v>12141</v>
      </c>
      <c r="C5290" s="5" t="s">
        <v>18</v>
      </c>
      <c r="D5290" s="5" t="s">
        <v>19</v>
      </c>
      <c r="E5290" s="5" t="s">
        <v>478</v>
      </c>
      <c r="F5290" s="9">
        <v>34</v>
      </c>
      <c r="G5290" s="9">
        <v>347</v>
      </c>
      <c r="H5290" s="5" t="s">
        <v>21</v>
      </c>
      <c r="I5290" s="5" t="s">
        <v>12142</v>
      </c>
      <c r="J5290" s="12" t="str">
        <f>HYPERLINK("https://www.boe.es/gazeta/dias/1800/04/29/pdfs/GMD-1800-34.pdf#page=11","Abrir facsímil")</f>
        <v>Abrir facsímil</v>
      </c>
      <c r="K5290" s="15" t="s">
        <v>23</v>
      </c>
    </row>
    <row r="5291" spans="1:11" ht="42" customHeight="1">
      <c r="A5291" s="4" t="s">
        <v>12143</v>
      </c>
      <c r="B5291" s="5" t="s">
        <v>12144</v>
      </c>
      <c r="C5291" s="5" t="s">
        <v>25</v>
      </c>
      <c r="D5291" s="5" t="s">
        <v>26</v>
      </c>
      <c r="E5291" s="5" t="s">
        <v>314</v>
      </c>
      <c r="F5291" s="9">
        <v>74</v>
      </c>
      <c r="G5291" s="9">
        <v>830</v>
      </c>
      <c r="H5291" s="5" t="s">
        <v>21</v>
      </c>
      <c r="I5291" s="5" t="s">
        <v>12145</v>
      </c>
      <c r="J5291" s="12" t="str">
        <f>HYPERLINK("https://www.boe.es/gazeta/dias/1800/09/12/pdfs/GMD-1800-74.pdf#page=8","Abrir facsímil")</f>
        <v>Abrir facsímil</v>
      </c>
      <c r="K5291" s="15" t="s">
        <v>23</v>
      </c>
    </row>
    <row r="5292" spans="1:11" ht="42" customHeight="1">
      <c r="A5292" s="4" t="s">
        <v>12146</v>
      </c>
      <c r="B5292" s="5" t="s">
        <v>12147</v>
      </c>
      <c r="C5292" s="5" t="s">
        <v>18</v>
      </c>
      <c r="D5292" s="5" t="s">
        <v>19</v>
      </c>
      <c r="E5292" s="5" t="s">
        <v>116</v>
      </c>
      <c r="F5292" s="9">
        <v>86</v>
      </c>
      <c r="G5292" s="9">
        <v>997</v>
      </c>
      <c r="H5292" s="5" t="s">
        <v>21</v>
      </c>
      <c r="I5292" s="5" t="s">
        <v>12148</v>
      </c>
      <c r="J5292" s="12" t="str">
        <f>HYPERLINK("https://www.boe.es/gazeta/dias/1800/10/24/pdfs/GMD-1800-86.pdf#page=7","Abrir facsímil")</f>
        <v>Abrir facsímil</v>
      </c>
      <c r="K5292" s="15" t="s">
        <v>23</v>
      </c>
    </row>
    <row r="5293" spans="1:11" ht="42" customHeight="1">
      <c r="A5293" s="4" t="s">
        <v>12149</v>
      </c>
      <c r="B5293" s="5" t="s">
        <v>12150</v>
      </c>
      <c r="C5293" s="5" t="s">
        <v>18</v>
      </c>
      <c r="D5293" s="5" t="s">
        <v>19</v>
      </c>
      <c r="E5293" s="5" t="s">
        <v>244</v>
      </c>
      <c r="F5293" s="9">
        <v>9</v>
      </c>
      <c r="G5293" s="9">
        <v>85</v>
      </c>
      <c r="H5293" s="5" t="s">
        <v>21</v>
      </c>
      <c r="I5293" s="5" t="s">
        <v>12151</v>
      </c>
      <c r="J5293" s="12" t="str">
        <f>HYPERLINK("https://www.boe.es/gazeta/dias/1800/01/31/pdfs/GMD-1800-9.pdf#page=9","Abrir facsímil")</f>
        <v>Abrir facsímil</v>
      </c>
      <c r="K5293" s="15" t="s">
        <v>23</v>
      </c>
    </row>
    <row r="5294" spans="1:11" ht="42" customHeight="1">
      <c r="A5294" s="4" t="s">
        <v>12152</v>
      </c>
      <c r="B5294" s="5" t="s">
        <v>12153</v>
      </c>
      <c r="C5294" s="5" t="s">
        <v>41</v>
      </c>
      <c r="D5294" s="5" t="s">
        <v>42</v>
      </c>
      <c r="E5294" s="5" t="s">
        <v>406</v>
      </c>
      <c r="F5294" s="9">
        <v>44</v>
      </c>
      <c r="G5294" s="9">
        <v>456</v>
      </c>
      <c r="H5294" s="5" t="s">
        <v>21</v>
      </c>
      <c r="I5294" s="5" t="s">
        <v>12154</v>
      </c>
      <c r="J5294" s="12" t="str">
        <f>HYPERLINK("https://www.boe.es/gazeta/dias/1800/06/03/pdfs/GMD-1800-44.pdf#page=4","Abrir facsímil")</f>
        <v>Abrir facsímil</v>
      </c>
      <c r="K5294" s="15" t="s">
        <v>23</v>
      </c>
    </row>
    <row r="5295" spans="1:11" ht="42" customHeight="1">
      <c r="A5295" s="4" t="s">
        <v>12152</v>
      </c>
      <c r="B5295" s="5" t="s">
        <v>12153</v>
      </c>
      <c r="C5295" s="5" t="s">
        <v>41</v>
      </c>
      <c r="D5295" s="5" t="s">
        <v>42</v>
      </c>
      <c r="E5295" s="5" t="s">
        <v>465</v>
      </c>
      <c r="F5295" s="9">
        <v>49</v>
      </c>
      <c r="G5295" s="9">
        <v>529</v>
      </c>
      <c r="H5295" s="5" t="s">
        <v>21</v>
      </c>
      <c r="I5295" s="5" t="s">
        <v>12155</v>
      </c>
      <c r="J5295" s="12" t="str">
        <f>HYPERLINK("https://www.boe.es/gazeta/dias/1800/06/20/pdfs/GMD-1800-49.pdf#page=5","Abrir facsímil")</f>
        <v>Abrir facsímil</v>
      </c>
      <c r="K5295" s="15" t="s">
        <v>23</v>
      </c>
    </row>
    <row r="5296" spans="1:11" ht="42" customHeight="1">
      <c r="A5296" s="4" t="s">
        <v>12152</v>
      </c>
      <c r="B5296" s="5" t="s">
        <v>12153</v>
      </c>
      <c r="C5296" s="5" t="s">
        <v>41</v>
      </c>
      <c r="D5296" s="5" t="s">
        <v>42</v>
      </c>
      <c r="E5296" s="5" t="s">
        <v>823</v>
      </c>
      <c r="F5296" s="9">
        <v>50</v>
      </c>
      <c r="G5296" s="9">
        <v>540</v>
      </c>
      <c r="H5296" s="5" t="s">
        <v>21</v>
      </c>
      <c r="I5296" s="5" t="s">
        <v>12156</v>
      </c>
      <c r="J5296" s="12" t="str">
        <f>HYPERLINK("https://www.boe.es/gazeta/dias/1800/06/24/pdfs/GMD-1800-50.pdf#page=4","Abrir facsímil")</f>
        <v>Abrir facsímil</v>
      </c>
      <c r="K5296" s="15" t="s">
        <v>23</v>
      </c>
    </row>
    <row r="5297" spans="1:11" ht="42" customHeight="1">
      <c r="A5297" s="4" t="s">
        <v>12152</v>
      </c>
      <c r="B5297" s="5" t="s">
        <v>12153</v>
      </c>
      <c r="C5297" s="5" t="s">
        <v>41</v>
      </c>
      <c r="D5297" s="5" t="s">
        <v>42</v>
      </c>
      <c r="E5297" s="5" t="s">
        <v>825</v>
      </c>
      <c r="F5297" s="9">
        <v>51</v>
      </c>
      <c r="G5297" s="9">
        <v>555</v>
      </c>
      <c r="H5297" s="5" t="s">
        <v>21</v>
      </c>
      <c r="I5297" s="5" t="s">
        <v>12157</v>
      </c>
      <c r="J5297" s="12" t="str">
        <f>HYPERLINK("https://www.boe.es/gazeta/dias/1800/06/27/pdfs/GMD-1800-51.pdf#page=7","Abrir facsímil")</f>
        <v>Abrir facsímil</v>
      </c>
      <c r="K5297" s="15" t="s">
        <v>23</v>
      </c>
    </row>
    <row r="5298" spans="1:11" ht="42" customHeight="1">
      <c r="A5298" s="4" t="s">
        <v>12152</v>
      </c>
      <c r="B5298" s="5" t="s">
        <v>12153</v>
      </c>
      <c r="C5298" s="5" t="s">
        <v>41</v>
      </c>
      <c r="D5298" s="5" t="s">
        <v>42</v>
      </c>
      <c r="E5298" s="5" t="s">
        <v>825</v>
      </c>
      <c r="F5298" s="9">
        <v>51</v>
      </c>
      <c r="G5298" s="9">
        <v>558</v>
      </c>
      <c r="H5298" s="5" t="s">
        <v>21</v>
      </c>
      <c r="I5298" s="5" t="s">
        <v>12158</v>
      </c>
      <c r="J5298" s="12" t="str">
        <f>HYPERLINK("https://www.boe.es/gazeta/dias/1800/06/27/pdfs/GMD-1800-51.pdf#page=10","Abrir facsímil")</f>
        <v>Abrir facsímil</v>
      </c>
      <c r="K5298" s="15" t="s">
        <v>23</v>
      </c>
    </row>
    <row r="5299" spans="1:11" ht="42" customHeight="1">
      <c r="A5299" s="4" t="s">
        <v>12152</v>
      </c>
      <c r="B5299" s="5" t="s">
        <v>12153</v>
      </c>
      <c r="C5299" s="5" t="s">
        <v>41</v>
      </c>
      <c r="D5299" s="5" t="s">
        <v>42</v>
      </c>
      <c r="E5299" s="5" t="s">
        <v>825</v>
      </c>
      <c r="F5299" s="9">
        <v>51</v>
      </c>
      <c r="G5299" s="9">
        <v>559</v>
      </c>
      <c r="H5299" s="5" t="s">
        <v>21</v>
      </c>
      <c r="I5299" s="5" t="s">
        <v>12159</v>
      </c>
      <c r="J5299" s="12" t="str">
        <f>HYPERLINK("https://www.boe.es/gazeta/dias/1800/06/27/pdfs/GMD-1800-51.pdf#page=11","Abrir facsímil")</f>
        <v>Abrir facsímil</v>
      </c>
      <c r="K5299" s="15" t="s">
        <v>23</v>
      </c>
    </row>
    <row r="5300" spans="1:11" ht="42" customHeight="1">
      <c r="A5300" s="4" t="s">
        <v>12152</v>
      </c>
      <c r="B5300" s="5" t="s">
        <v>12153</v>
      </c>
      <c r="C5300" s="5" t="s">
        <v>41</v>
      </c>
      <c r="D5300" s="5" t="s">
        <v>42</v>
      </c>
      <c r="E5300" s="5" t="s">
        <v>828</v>
      </c>
      <c r="F5300" s="9">
        <v>53</v>
      </c>
      <c r="G5300" s="9">
        <v>584</v>
      </c>
      <c r="H5300" s="5" t="s">
        <v>21</v>
      </c>
      <c r="I5300" s="5" t="s">
        <v>12160</v>
      </c>
      <c r="J5300" s="12" t="str">
        <f>HYPERLINK("https://www.boe.es/gazeta/dias/1800/07/04/pdfs/GMD-1800-53.pdf#page=4","Abrir facsímil")</f>
        <v>Abrir facsímil</v>
      </c>
      <c r="K5300" s="15" t="s">
        <v>23</v>
      </c>
    </row>
    <row r="5301" spans="1:11" ht="42" customHeight="1">
      <c r="A5301" s="4" t="s">
        <v>12152</v>
      </c>
      <c r="B5301" s="5" t="s">
        <v>12153</v>
      </c>
      <c r="C5301" s="5" t="s">
        <v>41</v>
      </c>
      <c r="D5301" s="5" t="s">
        <v>42</v>
      </c>
      <c r="E5301" s="5" t="s">
        <v>828</v>
      </c>
      <c r="F5301" s="9">
        <v>53</v>
      </c>
      <c r="G5301" s="9">
        <v>586</v>
      </c>
      <c r="H5301" s="5" t="s">
        <v>21</v>
      </c>
      <c r="I5301" s="5" t="s">
        <v>12161</v>
      </c>
      <c r="J5301" s="12" t="str">
        <f>HYPERLINK("https://www.boe.es/gazeta/dias/1800/07/04/pdfs/GMD-1800-53.pdf#page=6","Abrir facsímil")</f>
        <v>Abrir facsímil</v>
      </c>
      <c r="K5301" s="15" t="s">
        <v>23</v>
      </c>
    </row>
    <row r="5302" spans="1:11" ht="42" customHeight="1">
      <c r="A5302" s="4" t="s">
        <v>12152</v>
      </c>
      <c r="B5302" s="5" t="s">
        <v>12153</v>
      </c>
      <c r="C5302" s="5" t="s">
        <v>41</v>
      </c>
      <c r="D5302" s="5" t="s">
        <v>42</v>
      </c>
      <c r="E5302" s="5" t="s">
        <v>828</v>
      </c>
      <c r="F5302" s="9">
        <v>53</v>
      </c>
      <c r="G5302" s="9">
        <v>589</v>
      </c>
      <c r="H5302" s="5" t="s">
        <v>21</v>
      </c>
      <c r="I5302" s="5" t="s">
        <v>12162</v>
      </c>
      <c r="J5302" s="12" t="str">
        <f>HYPERLINK("https://www.boe.es/gazeta/dias/1800/07/04/pdfs/GMD-1800-53.pdf#page=9","Abrir facsímil")</f>
        <v>Abrir facsímil</v>
      </c>
      <c r="K5302" s="15" t="s">
        <v>23</v>
      </c>
    </row>
    <row r="5303" spans="1:11" ht="42" customHeight="1">
      <c r="A5303" s="4" t="s">
        <v>12152</v>
      </c>
      <c r="B5303" s="5" t="s">
        <v>12153</v>
      </c>
      <c r="C5303" s="5" t="s">
        <v>41</v>
      </c>
      <c r="D5303" s="5" t="s">
        <v>42</v>
      </c>
      <c r="E5303" s="5" t="s">
        <v>184</v>
      </c>
      <c r="F5303" s="9">
        <v>82</v>
      </c>
      <c r="G5303" s="9">
        <v>947</v>
      </c>
      <c r="H5303" s="5" t="s">
        <v>21</v>
      </c>
      <c r="I5303" s="5" t="s">
        <v>12163</v>
      </c>
      <c r="J5303" s="12" t="str">
        <f>HYPERLINK("https://www.boe.es/gazeta/dias/1800/10/10/pdfs/GMD-1800-82.pdf#page=5","Abrir facsímil")</f>
        <v>Abrir facsímil</v>
      </c>
      <c r="K5303" s="15" t="s">
        <v>23</v>
      </c>
    </row>
    <row r="5304" spans="1:11" ht="42" customHeight="1">
      <c r="A5304" s="4" t="s">
        <v>12152</v>
      </c>
      <c r="B5304" s="5" t="s">
        <v>12153</v>
      </c>
      <c r="C5304" s="5" t="s">
        <v>18</v>
      </c>
      <c r="D5304" s="5" t="s">
        <v>19</v>
      </c>
      <c r="E5304" s="5" t="s">
        <v>60</v>
      </c>
      <c r="F5304" s="9">
        <v>105</v>
      </c>
      <c r="G5304" s="9">
        <v>1223</v>
      </c>
      <c r="H5304" s="5" t="s">
        <v>21</v>
      </c>
      <c r="I5304" s="5" t="s">
        <v>12164</v>
      </c>
      <c r="J5304" s="12" t="str">
        <f>HYPERLINK("https://www.boe.es/gazeta/dias/1800/12/30/pdfs/GMD-1800-105.pdf#page=7","Abrir facsímil")</f>
        <v>Abrir facsímil</v>
      </c>
      <c r="K5304" s="15" t="s">
        <v>23</v>
      </c>
    </row>
    <row r="5305" spans="1:11" ht="42" customHeight="1">
      <c r="A5305" s="4" t="s">
        <v>12165</v>
      </c>
      <c r="B5305" s="5" t="s">
        <v>12166</v>
      </c>
      <c r="C5305" s="5" t="s">
        <v>18</v>
      </c>
      <c r="D5305" s="5" t="s">
        <v>19</v>
      </c>
      <c r="E5305" s="5" t="s">
        <v>465</v>
      </c>
      <c r="F5305" s="9">
        <v>49</v>
      </c>
      <c r="G5305" s="9">
        <v>528</v>
      </c>
      <c r="H5305" s="5" t="s">
        <v>21</v>
      </c>
      <c r="I5305" s="5" t="s">
        <v>12167</v>
      </c>
      <c r="J5305" s="12" t="str">
        <f>HYPERLINK("https://www.boe.es/gazeta/dias/1800/06/20/pdfs/GMD-1800-49.pdf#page=4","Abrir facsímil")</f>
        <v>Abrir facsímil</v>
      </c>
      <c r="K5305" s="15" t="s">
        <v>23</v>
      </c>
    </row>
    <row r="5306" spans="1:11" ht="42" customHeight="1">
      <c r="A5306" s="4" t="s">
        <v>12165</v>
      </c>
      <c r="B5306" s="5" t="s">
        <v>12166</v>
      </c>
      <c r="C5306" s="5" t="s">
        <v>18</v>
      </c>
      <c r="D5306" s="5" t="s">
        <v>19</v>
      </c>
      <c r="E5306" s="5" t="s">
        <v>583</v>
      </c>
      <c r="F5306" s="9">
        <v>77</v>
      </c>
      <c r="G5306" s="9">
        <v>877</v>
      </c>
      <c r="H5306" s="5" t="s">
        <v>21</v>
      </c>
      <c r="I5306" s="5" t="s">
        <v>12168</v>
      </c>
      <c r="J5306" s="12" t="str">
        <f>HYPERLINK("https://www.boe.es/gazeta/dias/1800/09/23/pdfs/GMD-1800-77.pdf#page=7","Abrir facsímil")</f>
        <v>Abrir facsímil</v>
      </c>
      <c r="K5306" s="15" t="s">
        <v>23</v>
      </c>
    </row>
    <row r="5307" spans="1:11" ht="42" customHeight="1">
      <c r="A5307" s="4" t="s">
        <v>12169</v>
      </c>
      <c r="B5307" s="5" t="s">
        <v>12170</v>
      </c>
      <c r="C5307" s="5" t="s">
        <v>41</v>
      </c>
      <c r="D5307" s="5" t="s">
        <v>42</v>
      </c>
      <c r="E5307" s="5" t="s">
        <v>120</v>
      </c>
      <c r="F5307" s="9">
        <v>52</v>
      </c>
      <c r="G5307" s="9">
        <v>570</v>
      </c>
      <c r="H5307" s="5" t="s">
        <v>21</v>
      </c>
      <c r="I5307" s="5" t="s">
        <v>12171</v>
      </c>
      <c r="J5307" s="12" t="str">
        <f>HYPERLINK("https://www.boe.es/gazeta/dias/1800/07/01/pdfs/GMD-1800-52.pdf#page=6","Abrir facsímil")</f>
        <v>Abrir facsímil</v>
      </c>
      <c r="K5307" s="15" t="s">
        <v>23</v>
      </c>
    </row>
    <row r="5308" spans="1:11" ht="42" customHeight="1">
      <c r="A5308" s="4" t="s">
        <v>12172</v>
      </c>
      <c r="B5308" s="5" t="s">
        <v>12173</v>
      </c>
      <c r="C5308" s="5" t="s">
        <v>18</v>
      </c>
      <c r="D5308" s="5" t="s">
        <v>19</v>
      </c>
      <c r="E5308" s="5" t="s">
        <v>244</v>
      </c>
      <c r="F5308" s="9">
        <v>9</v>
      </c>
      <c r="G5308" s="9">
        <v>86</v>
      </c>
      <c r="H5308" s="5" t="s">
        <v>21</v>
      </c>
      <c r="I5308" s="5" t="s">
        <v>12174</v>
      </c>
      <c r="J5308" s="12" t="str">
        <f>HYPERLINK("https://www.boe.es/gazeta/dias/1800/01/31/pdfs/GMD-1800-9.pdf#page=10","Abrir facsímil")</f>
        <v>Abrir facsímil</v>
      </c>
      <c r="K5308" s="15" t="s">
        <v>23</v>
      </c>
    </row>
    <row r="5309" spans="1:11" ht="42" customHeight="1">
      <c r="A5309" s="4" t="s">
        <v>12172</v>
      </c>
      <c r="B5309" s="5" t="s">
        <v>12173</v>
      </c>
      <c r="C5309" s="5" t="s">
        <v>18</v>
      </c>
      <c r="D5309" s="5" t="s">
        <v>19</v>
      </c>
      <c r="E5309" s="5" t="s">
        <v>158</v>
      </c>
      <c r="F5309" s="9">
        <v>25</v>
      </c>
      <c r="G5309" s="9">
        <v>256</v>
      </c>
      <c r="H5309" s="5" t="s">
        <v>21</v>
      </c>
      <c r="I5309" s="5" t="s">
        <v>12175</v>
      </c>
      <c r="J5309" s="12" t="str">
        <f>HYPERLINK("https://www.boe.es/gazeta/dias/1800/03/28/pdfs/GMD-1800-25.pdf#page=8","Abrir facsímil")</f>
        <v>Abrir facsímil</v>
      </c>
      <c r="K5309" s="15" t="s">
        <v>23</v>
      </c>
    </row>
    <row r="5310" spans="1:11" ht="42" customHeight="1">
      <c r="A5310" s="4" t="s">
        <v>12176</v>
      </c>
      <c r="B5310" s="5" t="s">
        <v>12177</v>
      </c>
      <c r="C5310" s="5" t="s">
        <v>54</v>
      </c>
      <c r="D5310" s="5" t="s">
        <v>55</v>
      </c>
      <c r="E5310" s="5" t="s">
        <v>218</v>
      </c>
      <c r="F5310" s="9">
        <v>5</v>
      </c>
      <c r="G5310" s="9">
        <v>48</v>
      </c>
      <c r="H5310" s="5" t="s">
        <v>21</v>
      </c>
      <c r="I5310" s="5" t="s">
        <v>12178</v>
      </c>
      <c r="J5310" s="12" t="str">
        <f>HYPERLINK("https://www.boe.es/gazeta/dias/1800/01/17/pdfs/GMD-1800-5.pdf#page=8","Abrir facsímil")</f>
        <v>Abrir facsímil</v>
      </c>
      <c r="K5310" s="15" t="s">
        <v>23</v>
      </c>
    </row>
    <row r="5311" spans="1:11" ht="42" customHeight="1">
      <c r="A5311" s="4" t="s">
        <v>12179</v>
      </c>
      <c r="B5311" s="5" t="s">
        <v>12180</v>
      </c>
      <c r="C5311" s="5" t="s">
        <v>41</v>
      </c>
      <c r="D5311" s="5" t="s">
        <v>42</v>
      </c>
      <c r="E5311" s="5" t="s">
        <v>230</v>
      </c>
      <c r="F5311" s="9">
        <v>35</v>
      </c>
      <c r="G5311" s="9">
        <v>353</v>
      </c>
      <c r="H5311" s="5" t="s">
        <v>21</v>
      </c>
      <c r="I5311" s="5" t="s">
        <v>12181</v>
      </c>
      <c r="J5311" s="12" t="str">
        <f>HYPERLINK("https://www.boe.es/gazeta/dias/1800/05/02/pdfs/GMD-1800-35.pdf#page=5","Abrir facsímil")</f>
        <v>Abrir facsímil</v>
      </c>
      <c r="K5311" s="15" t="s">
        <v>23</v>
      </c>
    </row>
    <row r="5312" spans="1:11" ht="42" customHeight="1">
      <c r="A5312" s="4" t="s">
        <v>12182</v>
      </c>
      <c r="B5312" s="5" t="s">
        <v>12183</v>
      </c>
      <c r="C5312" s="5" t="s">
        <v>41</v>
      </c>
      <c r="D5312" s="5" t="s">
        <v>42</v>
      </c>
      <c r="E5312" s="5" t="s">
        <v>310</v>
      </c>
      <c r="F5312" s="9">
        <v>56</v>
      </c>
      <c r="G5312" s="9">
        <v>628</v>
      </c>
      <c r="H5312" s="5" t="s">
        <v>21</v>
      </c>
      <c r="I5312" s="5" t="s">
        <v>12184</v>
      </c>
      <c r="J5312" s="12" t="str">
        <f>HYPERLINK("https://www.boe.es/gazeta/dias/1800/07/15/pdfs/GMD-1800-56.pdf#page=4","Abrir facsímil")</f>
        <v>Abrir facsímil</v>
      </c>
      <c r="K5312" s="15" t="s">
        <v>23</v>
      </c>
    </row>
    <row r="5313" spans="1:11" ht="42" customHeight="1">
      <c r="A5313" s="4" t="s">
        <v>12185</v>
      </c>
      <c r="B5313" s="5" t="s">
        <v>12185</v>
      </c>
      <c r="C5313" s="5" t="s">
        <v>25</v>
      </c>
      <c r="D5313" s="5" t="s">
        <v>26</v>
      </c>
      <c r="E5313" s="5" t="s">
        <v>120</v>
      </c>
      <c r="F5313" s="9">
        <v>52</v>
      </c>
      <c r="G5313" s="9">
        <v>574</v>
      </c>
      <c r="H5313" s="5" t="s">
        <v>21</v>
      </c>
      <c r="I5313" s="5" t="s">
        <v>12186</v>
      </c>
      <c r="J5313" s="12" t="str">
        <f>HYPERLINK("https://www.boe.es/gazeta/dias/1800/07/01/pdfs/GMD-1800-52.pdf#page=10","Abrir facsímil")</f>
        <v>Abrir facsímil</v>
      </c>
      <c r="K5313" s="15" t="s">
        <v>23</v>
      </c>
    </row>
    <row r="5314" spans="1:11" ht="42" customHeight="1">
      <c r="A5314" s="4" t="s">
        <v>12185</v>
      </c>
      <c r="B5314" s="5" t="s">
        <v>12185</v>
      </c>
      <c r="C5314" s="5" t="s">
        <v>41</v>
      </c>
      <c r="D5314" s="5" t="s">
        <v>42</v>
      </c>
      <c r="E5314" s="5" t="s">
        <v>310</v>
      </c>
      <c r="F5314" s="9">
        <v>56</v>
      </c>
      <c r="G5314" s="9">
        <v>630</v>
      </c>
      <c r="H5314" s="5" t="s">
        <v>21</v>
      </c>
      <c r="I5314" s="5" t="s">
        <v>7755</v>
      </c>
      <c r="J5314" s="12" t="str">
        <f>HYPERLINK("https://www.boe.es/gazeta/dias/1800/07/15/pdfs/GMD-1800-56.pdf#page=6","Abrir facsímil")</f>
        <v>Abrir facsímil</v>
      </c>
      <c r="K5314" s="15" t="s">
        <v>23</v>
      </c>
    </row>
    <row r="5315" spans="1:11" ht="42" customHeight="1">
      <c r="A5315" s="4" t="s">
        <v>12187</v>
      </c>
      <c r="B5315" s="5" t="s">
        <v>12188</v>
      </c>
      <c r="C5315" s="5" t="s">
        <v>41</v>
      </c>
      <c r="D5315" s="5" t="s">
        <v>42</v>
      </c>
      <c r="E5315" s="5" t="s">
        <v>139</v>
      </c>
      <c r="F5315" s="9">
        <v>2</v>
      </c>
      <c r="G5315" s="9">
        <v>14</v>
      </c>
      <c r="H5315" s="5" t="s">
        <v>21</v>
      </c>
      <c r="I5315" s="5" t="s">
        <v>12189</v>
      </c>
      <c r="J5315" s="12" t="str">
        <f>HYPERLINK("https://www.boe.es/gazeta/dias/1800/01/07/pdfs/GMD-1800-2.pdf#page=6","Abrir facsímil")</f>
        <v>Abrir facsímil</v>
      </c>
      <c r="K5315" s="15" t="s">
        <v>23</v>
      </c>
    </row>
    <row r="5316" spans="1:11" ht="42" customHeight="1">
      <c r="A5316" s="4" t="s">
        <v>12187</v>
      </c>
      <c r="B5316" s="5" t="s">
        <v>12188</v>
      </c>
      <c r="C5316" s="5" t="s">
        <v>41</v>
      </c>
      <c r="D5316" s="5" t="s">
        <v>42</v>
      </c>
      <c r="E5316" s="5" t="s">
        <v>825</v>
      </c>
      <c r="F5316" s="9">
        <v>51</v>
      </c>
      <c r="G5316" s="9">
        <v>558</v>
      </c>
      <c r="H5316" s="5" t="s">
        <v>21</v>
      </c>
      <c r="I5316" s="5" t="s">
        <v>12190</v>
      </c>
      <c r="J5316" s="12" t="str">
        <f>HYPERLINK("https://www.boe.es/gazeta/dias/1800/06/27/pdfs/GMD-1800-51.pdf#page=10","Abrir facsímil")</f>
        <v>Abrir facsímil</v>
      </c>
      <c r="K5316" s="15" t="s">
        <v>23</v>
      </c>
    </row>
    <row r="5317" spans="1:11" ht="42" customHeight="1">
      <c r="A5317" s="4" t="s">
        <v>12187</v>
      </c>
      <c r="B5317" s="5" t="s">
        <v>12188</v>
      </c>
      <c r="C5317" s="5" t="s">
        <v>41</v>
      </c>
      <c r="D5317" s="5" t="s">
        <v>42</v>
      </c>
      <c r="E5317" s="5" t="s">
        <v>120</v>
      </c>
      <c r="F5317" s="9">
        <v>52</v>
      </c>
      <c r="G5317" s="9">
        <v>569</v>
      </c>
      <c r="H5317" s="5" t="s">
        <v>21</v>
      </c>
      <c r="I5317" s="5" t="s">
        <v>12191</v>
      </c>
      <c r="J5317" s="12" t="str">
        <f>HYPERLINK("https://www.boe.es/gazeta/dias/1800/07/01/pdfs/GMD-1800-52.pdf#page=5","Abrir facsímil")</f>
        <v>Abrir facsímil</v>
      </c>
      <c r="K5317" s="15" t="s">
        <v>23</v>
      </c>
    </row>
    <row r="5318" spans="1:11" ht="42" customHeight="1">
      <c r="A5318" s="4" t="s">
        <v>12187</v>
      </c>
      <c r="B5318" s="5" t="s">
        <v>12188</v>
      </c>
      <c r="C5318" s="5" t="s">
        <v>41</v>
      </c>
      <c r="D5318" s="5" t="s">
        <v>42</v>
      </c>
      <c r="E5318" s="5" t="s">
        <v>27</v>
      </c>
      <c r="F5318" s="9">
        <v>65</v>
      </c>
      <c r="G5318" s="9">
        <v>731</v>
      </c>
      <c r="H5318" s="5" t="s">
        <v>21</v>
      </c>
      <c r="I5318" s="5" t="s">
        <v>12192</v>
      </c>
      <c r="J5318" s="12" t="str">
        <f>HYPERLINK("https://www.boe.es/gazeta/dias/1800/08/15/pdfs/GMD-1800-65.pdf#page=7","Abrir facsímil")</f>
        <v>Abrir facsímil</v>
      </c>
      <c r="K5318" s="15" t="s">
        <v>23</v>
      </c>
    </row>
    <row r="5319" spans="1:11" ht="42" customHeight="1">
      <c r="A5319" s="4" t="s">
        <v>12187</v>
      </c>
      <c r="B5319" s="5" t="s">
        <v>12188</v>
      </c>
      <c r="C5319" s="5" t="s">
        <v>41</v>
      </c>
      <c r="D5319" s="5" t="s">
        <v>42</v>
      </c>
      <c r="E5319" s="5" t="s">
        <v>48</v>
      </c>
      <c r="F5319" s="9">
        <v>66</v>
      </c>
      <c r="G5319" s="9">
        <v>745</v>
      </c>
      <c r="H5319" s="5" t="s">
        <v>21</v>
      </c>
      <c r="I5319" s="5" t="s">
        <v>12193</v>
      </c>
      <c r="J5319" s="12" t="str">
        <f>HYPERLINK("https://www.boe.es/gazeta/dias/1800/08/19/pdfs/GMD-1800-66.pdf#page=9","Abrir facsímil")</f>
        <v>Abrir facsímil</v>
      </c>
      <c r="K5319" s="15" t="s">
        <v>23</v>
      </c>
    </row>
    <row r="5320" spans="1:11" ht="42" customHeight="1">
      <c r="A5320" s="4" t="s">
        <v>12187</v>
      </c>
      <c r="B5320" s="5" t="s">
        <v>12188</v>
      </c>
      <c r="C5320" s="5" t="s">
        <v>41</v>
      </c>
      <c r="D5320" s="5" t="s">
        <v>42</v>
      </c>
      <c r="E5320" s="5" t="s">
        <v>590</v>
      </c>
      <c r="F5320" s="9">
        <v>69</v>
      </c>
      <c r="G5320" s="9">
        <v>774</v>
      </c>
      <c r="H5320" s="5" t="s">
        <v>21</v>
      </c>
      <c r="I5320" s="5" t="s">
        <v>12194</v>
      </c>
      <c r="J5320" s="12" t="str">
        <f>HYPERLINK("https://www.boe.es/gazeta/dias/1800/08/29/pdfs/GMD-1800-69.pdf#page=6","Abrir facsímil")</f>
        <v>Abrir facsímil</v>
      </c>
      <c r="K5320" s="15" t="s">
        <v>23</v>
      </c>
    </row>
    <row r="5321" spans="1:11" ht="42" customHeight="1">
      <c r="A5321" s="4" t="s">
        <v>12187</v>
      </c>
      <c r="B5321" s="5" t="s">
        <v>12188</v>
      </c>
      <c r="C5321" s="5" t="s">
        <v>25</v>
      </c>
      <c r="D5321" s="5" t="s">
        <v>26</v>
      </c>
      <c r="E5321" s="5" t="s">
        <v>836</v>
      </c>
      <c r="F5321" s="9">
        <v>71</v>
      </c>
      <c r="G5321" s="9">
        <v>789</v>
      </c>
      <c r="H5321" s="5" t="s">
        <v>21</v>
      </c>
      <c r="I5321" s="5" t="s">
        <v>12195</v>
      </c>
      <c r="J5321" s="12" t="str">
        <f>HYPERLINK("https://www.boe.es/gazeta/dias/1800/09/02/pdfs/GMD-1800-71.pdf#page=7","Abrir facsímil")</f>
        <v>Abrir facsímil</v>
      </c>
      <c r="K5321" s="15" t="s">
        <v>23</v>
      </c>
    </row>
    <row r="5322" spans="1:11" ht="42" customHeight="1">
      <c r="A5322" s="4" t="s">
        <v>12187</v>
      </c>
      <c r="B5322" s="5" t="s">
        <v>12188</v>
      </c>
      <c r="C5322" s="5" t="s">
        <v>41</v>
      </c>
      <c r="D5322" s="5" t="s">
        <v>42</v>
      </c>
      <c r="E5322" s="5" t="s">
        <v>314</v>
      </c>
      <c r="F5322" s="9">
        <v>74</v>
      </c>
      <c r="G5322" s="9">
        <v>829</v>
      </c>
      <c r="H5322" s="5" t="s">
        <v>21</v>
      </c>
      <c r="I5322" s="5" t="s">
        <v>12196</v>
      </c>
      <c r="J5322" s="12" t="str">
        <f>HYPERLINK("https://www.boe.es/gazeta/dias/1800/09/12/pdfs/GMD-1800-74.pdf#page=7","Abrir facsímil")</f>
        <v>Abrir facsímil</v>
      </c>
      <c r="K5322" s="15" t="s">
        <v>23</v>
      </c>
    </row>
    <row r="5323" spans="1:11" ht="42" customHeight="1">
      <c r="A5323" s="4" t="s">
        <v>12187</v>
      </c>
      <c r="B5323" s="5" t="s">
        <v>12188</v>
      </c>
      <c r="C5323" s="5" t="s">
        <v>41</v>
      </c>
      <c r="D5323" s="5" t="s">
        <v>42</v>
      </c>
      <c r="E5323" s="5" t="s">
        <v>255</v>
      </c>
      <c r="F5323" s="9">
        <v>75</v>
      </c>
      <c r="G5323" s="9">
        <v>852</v>
      </c>
      <c r="H5323" s="5" t="s">
        <v>21</v>
      </c>
      <c r="I5323" s="5" t="s">
        <v>12197</v>
      </c>
      <c r="J5323" s="12" t="str">
        <f>HYPERLINK("https://www.boe.es/gazeta/dias/1800/09/16/pdfs/GMD-1800-75.pdf#page=6","Abrir facsímil")</f>
        <v>Abrir facsímil</v>
      </c>
      <c r="K5323" s="15" t="s">
        <v>23</v>
      </c>
    </row>
    <row r="5324" spans="1:11" ht="42" customHeight="1">
      <c r="A5324" s="4" t="s">
        <v>12187</v>
      </c>
      <c r="B5324" s="5" t="s">
        <v>12188</v>
      </c>
      <c r="C5324" s="5" t="s">
        <v>41</v>
      </c>
      <c r="D5324" s="5" t="s">
        <v>42</v>
      </c>
      <c r="E5324" s="5" t="s">
        <v>255</v>
      </c>
      <c r="F5324" s="9">
        <v>75</v>
      </c>
      <c r="G5324" s="9">
        <v>853</v>
      </c>
      <c r="H5324" s="5" t="s">
        <v>21</v>
      </c>
      <c r="I5324" s="5" t="s">
        <v>12198</v>
      </c>
      <c r="J5324" s="12" t="str">
        <f>HYPERLINK("https://www.boe.es/gazeta/dias/1800/09/16/pdfs/GMD-1800-75.pdf#page=7","Abrir facsímil")</f>
        <v>Abrir facsímil</v>
      </c>
      <c r="K5324" s="15" t="s">
        <v>23</v>
      </c>
    </row>
    <row r="5325" spans="1:11" ht="42" customHeight="1">
      <c r="A5325" s="4" t="s">
        <v>12187</v>
      </c>
      <c r="B5325" s="5" t="s">
        <v>12188</v>
      </c>
      <c r="C5325" s="5" t="s">
        <v>25</v>
      </c>
      <c r="D5325" s="5" t="s">
        <v>26</v>
      </c>
      <c r="E5325" s="5" t="s">
        <v>572</v>
      </c>
      <c r="F5325" s="9">
        <v>76</v>
      </c>
      <c r="G5325" s="9">
        <v>866</v>
      </c>
      <c r="H5325" s="5" t="s">
        <v>21</v>
      </c>
      <c r="I5325" s="5" t="s">
        <v>12199</v>
      </c>
      <c r="J5325" s="12" t="str">
        <f>HYPERLINK("https://www.boe.es/gazeta/dias/1800/09/19/pdfs/GMD-1800-76.pdf#page=8","Abrir facsímil")</f>
        <v>Abrir facsímil</v>
      </c>
      <c r="K5325" s="15" t="s">
        <v>23</v>
      </c>
    </row>
    <row r="5326" spans="1:11" ht="42" customHeight="1">
      <c r="A5326" s="4" t="s">
        <v>12187</v>
      </c>
      <c r="B5326" s="5" t="s">
        <v>12188</v>
      </c>
      <c r="C5326" s="5" t="s">
        <v>25</v>
      </c>
      <c r="D5326" s="5" t="s">
        <v>26</v>
      </c>
      <c r="E5326" s="5" t="s">
        <v>843</v>
      </c>
      <c r="F5326" s="9">
        <v>78</v>
      </c>
      <c r="G5326" s="9">
        <v>889</v>
      </c>
      <c r="H5326" s="5" t="s">
        <v>21</v>
      </c>
      <c r="I5326" s="5" t="s">
        <v>12200</v>
      </c>
      <c r="J5326" s="12" t="str">
        <f>HYPERLINK("https://www.boe.es/gazeta/dias/1800/09/26/pdfs/GMD-1800-78.pdf#page=7","Abrir facsímil")</f>
        <v>Abrir facsímil</v>
      </c>
      <c r="K5326" s="15" t="s">
        <v>23</v>
      </c>
    </row>
    <row r="5327" spans="1:11" ht="42" customHeight="1">
      <c r="A5327" s="4" t="s">
        <v>12187</v>
      </c>
      <c r="B5327" s="5" t="s">
        <v>12188</v>
      </c>
      <c r="C5327" s="5" t="s">
        <v>41</v>
      </c>
      <c r="D5327" s="5" t="s">
        <v>42</v>
      </c>
      <c r="E5327" s="5" t="s">
        <v>576</v>
      </c>
      <c r="F5327" s="9">
        <v>91</v>
      </c>
      <c r="G5327" s="9">
        <v>1065</v>
      </c>
      <c r="H5327" s="5" t="s">
        <v>21</v>
      </c>
      <c r="I5327" s="5" t="s">
        <v>12201</v>
      </c>
      <c r="J5327" s="12" t="str">
        <f>HYPERLINK("https://www.boe.es/gazeta/dias/1800/11/11/pdfs/GMD-1800-91.pdf#page=7","Abrir facsímil")</f>
        <v>Abrir facsímil</v>
      </c>
      <c r="K5327" s="15" t="s">
        <v>23</v>
      </c>
    </row>
    <row r="5328" spans="1:11" ht="42" customHeight="1">
      <c r="A5328" s="4" t="s">
        <v>12187</v>
      </c>
      <c r="B5328" s="5" t="s">
        <v>12188</v>
      </c>
      <c r="C5328" s="5" t="s">
        <v>41</v>
      </c>
      <c r="D5328" s="5" t="s">
        <v>42</v>
      </c>
      <c r="E5328" s="5" t="s">
        <v>190</v>
      </c>
      <c r="F5328" s="9">
        <v>93</v>
      </c>
      <c r="G5328" s="9">
        <v>1061</v>
      </c>
      <c r="H5328" s="5" t="s">
        <v>21</v>
      </c>
      <c r="I5328" s="5" t="s">
        <v>12202</v>
      </c>
      <c r="J5328" s="12" t="str">
        <f>HYPERLINK("https://www.boe.es/gazeta/dias/1800/11/18/pdfs/GMD-1800-93.pdf#page=7","Abrir facsímil")</f>
        <v>Abrir facsímil</v>
      </c>
      <c r="K5328" s="15" t="s">
        <v>23</v>
      </c>
    </row>
    <row r="5329" spans="1:11" ht="42" customHeight="1">
      <c r="A5329" s="4" t="s">
        <v>12187</v>
      </c>
      <c r="B5329" s="5" t="s">
        <v>12188</v>
      </c>
      <c r="C5329" s="5" t="s">
        <v>41</v>
      </c>
      <c r="D5329" s="5" t="s">
        <v>42</v>
      </c>
      <c r="E5329" s="5" t="s">
        <v>190</v>
      </c>
      <c r="F5329" s="9">
        <v>93</v>
      </c>
      <c r="G5329" s="9">
        <v>1063</v>
      </c>
      <c r="H5329" s="5" t="s">
        <v>21</v>
      </c>
      <c r="I5329" s="5" t="s">
        <v>12203</v>
      </c>
      <c r="J5329" s="12" t="str">
        <f>HYPERLINK("https://www.boe.es/gazeta/dias/1800/11/18/pdfs/GMD-1800-93.pdf#page=9","Abrir facsímil")</f>
        <v>Abrir facsímil</v>
      </c>
      <c r="K5329" s="15" t="s">
        <v>23</v>
      </c>
    </row>
    <row r="5330" spans="1:11" ht="42" customHeight="1">
      <c r="A5330" s="4" t="s">
        <v>12187</v>
      </c>
      <c r="B5330" s="5" t="s">
        <v>12188</v>
      </c>
      <c r="C5330" s="5" t="s">
        <v>41</v>
      </c>
      <c r="D5330" s="5" t="s">
        <v>42</v>
      </c>
      <c r="E5330" s="5" t="s">
        <v>445</v>
      </c>
      <c r="F5330" s="9">
        <v>96</v>
      </c>
      <c r="G5330" s="9">
        <v>1102</v>
      </c>
      <c r="H5330" s="5" t="s">
        <v>21</v>
      </c>
      <c r="I5330" s="5" t="s">
        <v>12204</v>
      </c>
      <c r="J5330" s="12" t="str">
        <f>HYPERLINK("https://www.boe.es/gazeta/dias/1800/11/28/pdfs/GMD-1800-96.pdf#page=6","Abrir facsímil")</f>
        <v>Abrir facsímil</v>
      </c>
      <c r="K5330" s="15" t="s">
        <v>23</v>
      </c>
    </row>
    <row r="5331" spans="1:11" ht="42" customHeight="1">
      <c r="A5331" s="4" t="s">
        <v>12187</v>
      </c>
      <c r="B5331" s="5" t="s">
        <v>12188</v>
      </c>
      <c r="C5331" s="5" t="s">
        <v>41</v>
      </c>
      <c r="D5331" s="5" t="s">
        <v>42</v>
      </c>
      <c r="E5331" s="5" t="s">
        <v>111</v>
      </c>
      <c r="F5331" s="9">
        <v>98</v>
      </c>
      <c r="G5331" s="9">
        <v>1125</v>
      </c>
      <c r="H5331" s="5" t="s">
        <v>21</v>
      </c>
      <c r="I5331" s="5" t="s">
        <v>12205</v>
      </c>
      <c r="J5331" s="12" t="str">
        <f>HYPERLINK("https://www.boe.es/gazeta/dias/1800/12/05/pdfs/GMD-1800-98.pdf#page=5","Abrir facsímil")</f>
        <v>Abrir facsímil</v>
      </c>
      <c r="K5331" s="15" t="s">
        <v>23</v>
      </c>
    </row>
    <row r="5332" spans="1:11" ht="42" customHeight="1">
      <c r="A5332" s="4" t="s">
        <v>12187</v>
      </c>
      <c r="B5332" s="5" t="s">
        <v>12188</v>
      </c>
      <c r="C5332" s="5" t="s">
        <v>41</v>
      </c>
      <c r="D5332" s="5" t="s">
        <v>42</v>
      </c>
      <c r="E5332" s="5" t="s">
        <v>402</v>
      </c>
      <c r="F5332" s="9">
        <v>101</v>
      </c>
      <c r="G5332" s="9">
        <v>1171</v>
      </c>
      <c r="H5332" s="5" t="s">
        <v>21</v>
      </c>
      <c r="I5332" s="5" t="s">
        <v>12206</v>
      </c>
      <c r="J5332" s="12" t="str">
        <f>HYPERLINK("https://www.boe.es/gazeta/dias/1800/12/16/pdfs/GMD-1800-101.pdf#page=7","Abrir facsímil")</f>
        <v>Abrir facsímil</v>
      </c>
      <c r="K5332" s="15" t="s">
        <v>23</v>
      </c>
    </row>
    <row r="5333" spans="1:11" ht="42" customHeight="1">
      <c r="A5333" s="4" t="s">
        <v>12187</v>
      </c>
      <c r="B5333" s="5" t="s">
        <v>12188</v>
      </c>
      <c r="C5333" s="5" t="s">
        <v>41</v>
      </c>
      <c r="D5333" s="5" t="s">
        <v>42</v>
      </c>
      <c r="E5333" s="5" t="s">
        <v>402</v>
      </c>
      <c r="F5333" s="9">
        <v>101</v>
      </c>
      <c r="G5333" s="9">
        <v>1172</v>
      </c>
      <c r="H5333" s="5" t="s">
        <v>21</v>
      </c>
      <c r="I5333" s="5" t="s">
        <v>12207</v>
      </c>
      <c r="J5333" s="12" t="str">
        <f>HYPERLINK("https://www.boe.es/gazeta/dias/1800/12/16/pdfs/GMD-1800-101.pdf#page=8","Abrir facsímil")</f>
        <v>Abrir facsímil</v>
      </c>
      <c r="K5333" s="15" t="s">
        <v>23</v>
      </c>
    </row>
    <row r="5334" spans="1:11" ht="42" customHeight="1">
      <c r="A5334" s="4" t="s">
        <v>12208</v>
      </c>
      <c r="B5334" s="5" t="s">
        <v>12209</v>
      </c>
      <c r="C5334" s="5" t="s">
        <v>41</v>
      </c>
      <c r="D5334" s="5" t="s">
        <v>42</v>
      </c>
      <c r="E5334" s="5" t="s">
        <v>843</v>
      </c>
      <c r="F5334" s="9">
        <v>78</v>
      </c>
      <c r="G5334" s="9">
        <v>888</v>
      </c>
      <c r="H5334" s="5" t="s">
        <v>21</v>
      </c>
      <c r="I5334" s="5" t="s">
        <v>12210</v>
      </c>
      <c r="J5334" s="12" t="str">
        <f>HYPERLINK("https://www.boe.es/gazeta/dias/1800/09/26/pdfs/GMD-1800-78.pdf#page=6","Abrir facsímil")</f>
        <v>Abrir facsímil</v>
      </c>
      <c r="K5334" s="15" t="s">
        <v>23</v>
      </c>
    </row>
    <row r="5335" spans="1:11" ht="42" customHeight="1">
      <c r="A5335" s="4" t="s">
        <v>12211</v>
      </c>
      <c r="B5335" s="5" t="s">
        <v>12212</v>
      </c>
      <c r="C5335" s="5" t="s">
        <v>41</v>
      </c>
      <c r="D5335" s="5" t="s">
        <v>42</v>
      </c>
      <c r="E5335" s="5" t="s">
        <v>275</v>
      </c>
      <c r="F5335" s="9">
        <v>60</v>
      </c>
      <c r="G5335" s="9">
        <v>685</v>
      </c>
      <c r="H5335" s="5" t="s">
        <v>21</v>
      </c>
      <c r="I5335" s="5" t="s">
        <v>12213</v>
      </c>
      <c r="J5335" s="12" t="str">
        <f>HYPERLINK("https://www.boe.es/gazeta/dias/1800/07/29/pdfs/GMD-1800-60.pdf#page=5","Abrir facsímil")</f>
        <v>Abrir facsímil</v>
      </c>
      <c r="K5335" s="15" t="s">
        <v>23</v>
      </c>
    </row>
    <row r="5336" spans="1:11" ht="42" customHeight="1">
      <c r="A5336" s="4" t="s">
        <v>12214</v>
      </c>
      <c r="B5336" s="5" t="s">
        <v>12215</v>
      </c>
      <c r="C5336" s="5" t="s">
        <v>18</v>
      </c>
      <c r="D5336" s="5" t="s">
        <v>19</v>
      </c>
      <c r="E5336" s="5" t="s">
        <v>39</v>
      </c>
      <c r="F5336" s="9">
        <v>43</v>
      </c>
      <c r="G5336" s="9">
        <v>449</v>
      </c>
      <c r="H5336" s="5" t="s">
        <v>21</v>
      </c>
      <c r="I5336" s="5" t="s">
        <v>12216</v>
      </c>
      <c r="J5336" s="12" t="str">
        <f>HYPERLINK("https://www.boe.es/gazeta/dias/1800/05/30/pdfs/GMD-1800-43.pdf#page=9","Abrir facsímil")</f>
        <v>Abrir facsímil</v>
      </c>
      <c r="K5336" s="15" t="s">
        <v>23</v>
      </c>
    </row>
    <row r="5337" spans="1:11" ht="42" customHeight="1">
      <c r="A5337" s="4" t="s">
        <v>12217</v>
      </c>
      <c r="B5337" s="5" t="s">
        <v>12218</v>
      </c>
      <c r="C5337" s="5" t="s">
        <v>18</v>
      </c>
      <c r="D5337" s="5" t="s">
        <v>19</v>
      </c>
      <c r="E5337" s="5" t="s">
        <v>135</v>
      </c>
      <c r="F5337" s="9">
        <v>73</v>
      </c>
      <c r="G5337" s="9">
        <v>815</v>
      </c>
      <c r="H5337" s="5" t="s">
        <v>21</v>
      </c>
      <c r="I5337" s="5" t="s">
        <v>12219</v>
      </c>
      <c r="J5337" s="12" t="str">
        <f>HYPERLINK("https://www.boe.es/gazeta/dias/1800/09/09/pdfs/GMD-1800-73.pdf#page=9","Abrir facsímil")</f>
        <v>Abrir facsímil</v>
      </c>
      <c r="K5337" s="15" t="s">
        <v>23</v>
      </c>
    </row>
    <row r="5338" spans="1:11" ht="42" customHeight="1">
      <c r="A5338" s="4" t="s">
        <v>12220</v>
      </c>
      <c r="B5338" s="5" t="s">
        <v>12221</v>
      </c>
      <c r="C5338" s="5" t="s">
        <v>18</v>
      </c>
      <c r="D5338" s="5" t="s">
        <v>19</v>
      </c>
      <c r="E5338" s="5" t="s">
        <v>135</v>
      </c>
      <c r="F5338" s="9">
        <v>73</v>
      </c>
      <c r="G5338" s="9">
        <v>815</v>
      </c>
      <c r="H5338" s="5" t="s">
        <v>21</v>
      </c>
      <c r="I5338" s="5" t="s">
        <v>12222</v>
      </c>
      <c r="J5338" s="12" t="str">
        <f>HYPERLINK("https://www.boe.es/gazeta/dias/1800/09/09/pdfs/GMD-1800-73.pdf#page=9","Abrir facsímil")</f>
        <v>Abrir facsímil</v>
      </c>
      <c r="K5338" s="15" t="s">
        <v>23</v>
      </c>
    </row>
    <row r="5339" spans="1:11" ht="42" customHeight="1">
      <c r="A5339" s="4" t="s">
        <v>12223</v>
      </c>
      <c r="B5339" s="5" t="s">
        <v>12224</v>
      </c>
      <c r="C5339" s="5" t="s">
        <v>207</v>
      </c>
      <c r="D5339" s="5" t="s">
        <v>55</v>
      </c>
      <c r="E5339" s="5" t="s">
        <v>329</v>
      </c>
      <c r="F5339" s="9">
        <v>99</v>
      </c>
      <c r="G5339" s="9">
        <v>1138</v>
      </c>
      <c r="H5339" s="5" t="s">
        <v>21</v>
      </c>
      <c r="I5339" s="5" t="s">
        <v>12225</v>
      </c>
      <c r="J5339" s="12" t="str">
        <f>HYPERLINK("https://www.boe.es/gazeta/dias/1800/12/09/pdfs/GMD-1800-99.pdf#page=6","Abrir facsímil")</f>
        <v>Abrir facsímil</v>
      </c>
      <c r="K5339" s="15" t="s">
        <v>23</v>
      </c>
    </row>
    <row r="5340" spans="1:11" ht="42" customHeight="1">
      <c r="A5340" s="4" t="s">
        <v>12226</v>
      </c>
      <c r="B5340" s="5" t="s">
        <v>12227</v>
      </c>
      <c r="C5340" s="5" t="s">
        <v>18</v>
      </c>
      <c r="D5340" s="5" t="s">
        <v>19</v>
      </c>
      <c r="E5340" s="5" t="s">
        <v>90</v>
      </c>
      <c r="F5340" s="9">
        <v>58</v>
      </c>
      <c r="G5340" s="9">
        <v>663</v>
      </c>
      <c r="H5340" s="5" t="s">
        <v>21</v>
      </c>
      <c r="I5340" s="5" t="s">
        <v>12228</v>
      </c>
      <c r="J5340" s="12" t="str">
        <f>HYPERLINK("https://www.boe.es/gazeta/dias/1800/07/22/pdfs/GMD-1800-58.pdf#page=11","Abrir facsímil")</f>
        <v>Abrir facsímil</v>
      </c>
      <c r="K5340" s="15" t="s">
        <v>23</v>
      </c>
    </row>
    <row r="5341" spans="1:11" ht="42" customHeight="1">
      <c r="A5341" s="4" t="s">
        <v>12229</v>
      </c>
      <c r="B5341" s="5" t="s">
        <v>12230</v>
      </c>
      <c r="C5341" s="5" t="s">
        <v>41</v>
      </c>
      <c r="D5341" s="5" t="s">
        <v>42</v>
      </c>
      <c r="E5341" s="5" t="s">
        <v>244</v>
      </c>
      <c r="F5341" s="9">
        <v>9</v>
      </c>
      <c r="G5341" s="9">
        <v>81</v>
      </c>
      <c r="H5341" s="5" t="s">
        <v>21</v>
      </c>
      <c r="I5341" s="5" t="s">
        <v>12231</v>
      </c>
      <c r="J5341" s="12" t="str">
        <f>HYPERLINK("https://www.boe.es/gazeta/dias/1800/01/31/pdfs/GMD-1800-9.pdf#page=5","Abrir facsímil")</f>
        <v>Abrir facsímil</v>
      </c>
      <c r="K5341" s="15" t="s">
        <v>23</v>
      </c>
    </row>
    <row r="5342" spans="1:11" ht="42" customHeight="1">
      <c r="A5342" s="4" t="s">
        <v>12229</v>
      </c>
      <c r="B5342" s="5" t="s">
        <v>12230</v>
      </c>
      <c r="C5342" s="5" t="s">
        <v>41</v>
      </c>
      <c r="D5342" s="5" t="s">
        <v>42</v>
      </c>
      <c r="E5342" s="5" t="s">
        <v>56</v>
      </c>
      <c r="F5342" s="9">
        <v>90</v>
      </c>
      <c r="G5342" s="9">
        <v>1051</v>
      </c>
      <c r="H5342" s="5" t="s">
        <v>21</v>
      </c>
      <c r="I5342" s="5" t="s">
        <v>12232</v>
      </c>
      <c r="J5342" s="12" t="str">
        <f>HYPERLINK("https://www.boe.es/gazeta/dias/1800/11/07/pdfs/GMD-1800-90.pdf#page=5","Abrir facsímil")</f>
        <v>Abrir facsímil</v>
      </c>
      <c r="K5342" s="15" t="s">
        <v>23</v>
      </c>
    </row>
    <row r="5343" spans="1:11" ht="42" customHeight="1">
      <c r="A5343" s="4" t="s">
        <v>12233</v>
      </c>
      <c r="B5343" s="5" t="s">
        <v>12233</v>
      </c>
      <c r="C5343" s="5" t="s">
        <v>171</v>
      </c>
      <c r="D5343" s="5" t="s">
        <v>172</v>
      </c>
      <c r="E5343" s="5" t="s">
        <v>465</v>
      </c>
      <c r="F5343" s="9">
        <v>49</v>
      </c>
      <c r="G5343" s="9">
        <v>535</v>
      </c>
      <c r="H5343" s="5" t="s">
        <v>21</v>
      </c>
      <c r="I5343" s="5" t="s">
        <v>12234</v>
      </c>
      <c r="J5343" s="12" t="str">
        <f>HYPERLINK("https://www.boe.es/gazeta/dias/1800/06/20/pdfs/GMD-C-1800-49.pdf#page=3","Abrir facsímil")</f>
        <v>Abrir facsímil</v>
      </c>
      <c r="K5343" s="15" t="s">
        <v>23</v>
      </c>
    </row>
    <row r="5344" spans="1:11" ht="42" customHeight="1">
      <c r="A5344" s="4" t="s">
        <v>12235</v>
      </c>
      <c r="B5344" s="5" t="s">
        <v>12236</v>
      </c>
      <c r="C5344" s="5" t="s">
        <v>41</v>
      </c>
      <c r="D5344" s="5" t="s">
        <v>42</v>
      </c>
      <c r="E5344" s="5" t="s">
        <v>60</v>
      </c>
      <c r="F5344" s="9">
        <v>105</v>
      </c>
      <c r="G5344" s="9">
        <v>1222</v>
      </c>
      <c r="H5344" s="5" t="s">
        <v>21</v>
      </c>
      <c r="I5344" s="5" t="s">
        <v>12237</v>
      </c>
      <c r="J5344" s="12" t="str">
        <f>HYPERLINK("https://www.boe.es/gazeta/dias/1800/12/30/pdfs/GMD-1800-105.pdf#page=6","Abrir facsímil")</f>
        <v>Abrir facsímil</v>
      </c>
      <c r="K5344" s="15" t="s">
        <v>23</v>
      </c>
    </row>
    <row r="5345" spans="1:11" ht="42" customHeight="1">
      <c r="A5345" s="4" t="s">
        <v>12238</v>
      </c>
      <c r="B5345" s="5" t="s">
        <v>12239</v>
      </c>
      <c r="C5345" s="5" t="s">
        <v>207</v>
      </c>
      <c r="D5345" s="5" t="s">
        <v>55</v>
      </c>
      <c r="E5345" s="5" t="s">
        <v>116</v>
      </c>
      <c r="F5345" s="9">
        <v>86</v>
      </c>
      <c r="G5345" s="9">
        <v>997</v>
      </c>
      <c r="H5345" s="5" t="s">
        <v>21</v>
      </c>
      <c r="I5345" s="5" t="s">
        <v>12240</v>
      </c>
      <c r="J5345" s="12" t="str">
        <f>HYPERLINK("https://www.boe.es/gazeta/dias/1800/10/24/pdfs/GMD-1800-86.pdf#page=7","Abrir facsímil")</f>
        <v>Abrir facsímil</v>
      </c>
      <c r="K5345" s="15" t="s">
        <v>23</v>
      </c>
    </row>
    <row r="5346" spans="1:11" ht="42" customHeight="1">
      <c r="A5346" s="4" t="s">
        <v>12241</v>
      </c>
      <c r="B5346" s="5" t="s">
        <v>12242</v>
      </c>
      <c r="C5346" s="5" t="s">
        <v>207</v>
      </c>
      <c r="D5346" s="5" t="s">
        <v>55</v>
      </c>
      <c r="E5346" s="5" t="s">
        <v>306</v>
      </c>
      <c r="F5346" s="9">
        <v>79</v>
      </c>
      <c r="G5346" s="9">
        <v>899</v>
      </c>
      <c r="H5346" s="5" t="s">
        <v>21</v>
      </c>
      <c r="I5346" s="5" t="s">
        <v>12243</v>
      </c>
      <c r="J5346" s="12" t="str">
        <f>HYPERLINK("https://www.boe.es/gazeta/dias/1800/09/30/pdfs/GMD-1800-79.pdf#page=9","Abrir facsímil")</f>
        <v>Abrir facsímil</v>
      </c>
      <c r="K5346" s="15" t="s">
        <v>23</v>
      </c>
    </row>
    <row r="5347" spans="1:11" ht="42" customHeight="1">
      <c r="A5347" s="4" t="s">
        <v>12244</v>
      </c>
      <c r="B5347" s="5" t="s">
        <v>12245</v>
      </c>
      <c r="C5347" s="5" t="s">
        <v>18</v>
      </c>
      <c r="D5347" s="5" t="s">
        <v>19</v>
      </c>
      <c r="E5347" s="5" t="s">
        <v>299</v>
      </c>
      <c r="F5347" s="9">
        <v>40</v>
      </c>
      <c r="G5347" s="9">
        <v>412</v>
      </c>
      <c r="H5347" s="5" t="s">
        <v>21</v>
      </c>
      <c r="I5347" s="5" t="s">
        <v>12246</v>
      </c>
      <c r="J5347" s="12" t="str">
        <f>HYPERLINK("https://www.boe.es/gazeta/dias/1800/05/20/pdfs/GMD-1800-40.pdf#page=8","Abrir facsímil")</f>
        <v>Abrir facsímil</v>
      </c>
      <c r="K5347" s="15" t="s">
        <v>23</v>
      </c>
    </row>
    <row r="5348" spans="1:11" ht="42" customHeight="1">
      <c r="A5348" s="4" t="s">
        <v>12244</v>
      </c>
      <c r="B5348" s="5" t="s">
        <v>12245</v>
      </c>
      <c r="C5348" s="5" t="s">
        <v>18</v>
      </c>
      <c r="D5348" s="5" t="s">
        <v>19</v>
      </c>
      <c r="E5348" s="5" t="s">
        <v>279</v>
      </c>
      <c r="F5348" s="9">
        <v>103</v>
      </c>
      <c r="G5348" s="9">
        <v>1197</v>
      </c>
      <c r="H5348" s="5" t="s">
        <v>21</v>
      </c>
      <c r="I5348" s="5" t="s">
        <v>12247</v>
      </c>
      <c r="J5348" s="12" t="str">
        <f>HYPERLINK("https://www.boe.es/gazeta/dias/1800/12/23/pdfs/GMD-1800-103.pdf#page=9","Abrir facsímil")</f>
        <v>Abrir facsímil</v>
      </c>
      <c r="K5348" s="15" t="s">
        <v>23</v>
      </c>
    </row>
    <row r="5349" spans="1:11" ht="42" customHeight="1">
      <c r="A5349" s="4" t="s">
        <v>12248</v>
      </c>
      <c r="B5349" s="5" t="s">
        <v>12249</v>
      </c>
      <c r="C5349" s="5" t="s">
        <v>18</v>
      </c>
      <c r="D5349" s="5" t="s">
        <v>19</v>
      </c>
      <c r="E5349" s="5" t="s">
        <v>478</v>
      </c>
      <c r="F5349" s="9">
        <v>34</v>
      </c>
      <c r="G5349" s="9">
        <v>346</v>
      </c>
      <c r="H5349" s="5" t="s">
        <v>21</v>
      </c>
      <c r="I5349" s="5" t="s">
        <v>12250</v>
      </c>
      <c r="J5349" s="12" t="str">
        <f>HYPERLINK("https://www.boe.es/gazeta/dias/1800/04/29/pdfs/GMD-1800-34.pdf#page=10","Abrir facsímil")</f>
        <v>Abrir facsímil</v>
      </c>
      <c r="K5349" s="15" t="s">
        <v>23</v>
      </c>
    </row>
    <row r="5350" spans="1:11" ht="42" customHeight="1">
      <c r="A5350" s="4" t="s">
        <v>12248</v>
      </c>
      <c r="B5350" s="5" t="s">
        <v>12249</v>
      </c>
      <c r="C5350" s="5" t="s">
        <v>18</v>
      </c>
      <c r="D5350" s="5" t="s">
        <v>19</v>
      </c>
      <c r="E5350" s="5" t="s">
        <v>135</v>
      </c>
      <c r="F5350" s="9">
        <v>73</v>
      </c>
      <c r="G5350" s="9">
        <v>815</v>
      </c>
      <c r="H5350" s="5" t="s">
        <v>21</v>
      </c>
      <c r="I5350" s="5" t="s">
        <v>12251</v>
      </c>
      <c r="J5350" s="12" t="str">
        <f>HYPERLINK("https://www.boe.es/gazeta/dias/1800/09/09/pdfs/GMD-1800-73.pdf#page=9","Abrir facsímil")</f>
        <v>Abrir facsímil</v>
      </c>
      <c r="K5350" s="15" t="s">
        <v>23</v>
      </c>
    </row>
    <row r="5351" spans="1:11" ht="42" customHeight="1">
      <c r="A5351" s="4" t="s">
        <v>12252</v>
      </c>
      <c r="B5351" s="5" t="s">
        <v>12253</v>
      </c>
      <c r="C5351" s="5" t="s">
        <v>18</v>
      </c>
      <c r="D5351" s="5" t="s">
        <v>19</v>
      </c>
      <c r="E5351" s="5" t="s">
        <v>262</v>
      </c>
      <c r="F5351" s="9">
        <v>39</v>
      </c>
      <c r="G5351" s="9">
        <v>400</v>
      </c>
      <c r="H5351" s="5" t="s">
        <v>21</v>
      </c>
      <c r="I5351" s="5" t="s">
        <v>12254</v>
      </c>
      <c r="J5351" s="12" t="str">
        <f>HYPERLINK("https://www.boe.es/gazeta/dias/1800/05/16/pdfs/GMD-1800-39.pdf#page=8","Abrir facsímil")</f>
        <v>Abrir facsímil</v>
      </c>
      <c r="K5351" s="15" t="s">
        <v>23</v>
      </c>
    </row>
    <row r="5352" spans="1:11" ht="42" customHeight="1">
      <c r="A5352" s="4" t="s">
        <v>12255</v>
      </c>
      <c r="B5352" s="5" t="s">
        <v>12256</v>
      </c>
      <c r="C5352" s="5" t="s">
        <v>18</v>
      </c>
      <c r="D5352" s="5" t="s">
        <v>19</v>
      </c>
      <c r="E5352" s="5" t="s">
        <v>673</v>
      </c>
      <c r="F5352" s="9">
        <v>89</v>
      </c>
      <c r="G5352" s="9">
        <v>1043</v>
      </c>
      <c r="H5352" s="5" t="s">
        <v>21</v>
      </c>
      <c r="I5352" s="5" t="s">
        <v>12257</v>
      </c>
      <c r="J5352" s="12" t="str">
        <f>HYPERLINK("https://www.boe.es/gazeta/dias/1800/11/04/pdfs/GMD-1800-89.pdf#page=9","Abrir facsímil")</f>
        <v>Abrir facsímil</v>
      </c>
      <c r="K5352" s="15" t="s">
        <v>23</v>
      </c>
    </row>
    <row r="5353" spans="1:11" ht="42" customHeight="1">
      <c r="A5353" s="4" t="s">
        <v>12258</v>
      </c>
      <c r="B5353" s="5" t="s">
        <v>12259</v>
      </c>
      <c r="C5353" s="5" t="s">
        <v>18</v>
      </c>
      <c r="D5353" s="5" t="s">
        <v>19</v>
      </c>
      <c r="E5353" s="5" t="s">
        <v>240</v>
      </c>
      <c r="F5353" s="9">
        <v>26</v>
      </c>
      <c r="G5353" s="9">
        <v>270</v>
      </c>
      <c r="H5353" s="5" t="s">
        <v>21</v>
      </c>
      <c r="I5353" s="5" t="s">
        <v>12260</v>
      </c>
      <c r="J5353" s="12" t="str">
        <f>HYPERLINK("https://www.boe.es/gazeta/dias/1800/04/01/pdfs/GMD-1800-26.pdf#page=10","Abrir facsímil")</f>
        <v>Abrir facsímil</v>
      </c>
      <c r="K5353" s="15" t="s">
        <v>23</v>
      </c>
    </row>
    <row r="5354" spans="1:11" ht="42" customHeight="1">
      <c r="A5354" s="4" t="s">
        <v>12261</v>
      </c>
      <c r="B5354" s="5" t="s">
        <v>12262</v>
      </c>
      <c r="C5354" s="5" t="s">
        <v>171</v>
      </c>
      <c r="D5354" s="5" t="s">
        <v>172</v>
      </c>
      <c r="E5354" s="5" t="s">
        <v>90</v>
      </c>
      <c r="F5354" s="9">
        <v>58</v>
      </c>
      <c r="G5354" s="9">
        <v>668</v>
      </c>
      <c r="H5354" s="5" t="s">
        <v>21</v>
      </c>
      <c r="I5354" s="5" t="s">
        <v>12263</v>
      </c>
      <c r="J5354" s="12" t="str">
        <f>HYPERLINK("https://www.boe.es/gazeta/dias/1800/07/22/pdfs/GMD-C-1800-58.pdf#page=4","Abrir facsímil")</f>
        <v>Abrir facsímil</v>
      </c>
      <c r="K5354" s="15" t="s">
        <v>23</v>
      </c>
    </row>
    <row r="5355" spans="1:11" ht="42" customHeight="1">
      <c r="A5355" s="4" t="s">
        <v>12264</v>
      </c>
      <c r="B5355" s="5" t="s">
        <v>12265</v>
      </c>
      <c r="C5355" s="5" t="s">
        <v>18</v>
      </c>
      <c r="D5355" s="5" t="s">
        <v>19</v>
      </c>
      <c r="E5355" s="5" t="s">
        <v>306</v>
      </c>
      <c r="F5355" s="9">
        <v>79</v>
      </c>
      <c r="G5355" s="9">
        <v>900</v>
      </c>
      <c r="H5355" s="5" t="s">
        <v>21</v>
      </c>
      <c r="I5355" s="5" t="s">
        <v>12266</v>
      </c>
      <c r="J5355" s="12" t="str">
        <f>HYPERLINK("https://www.boe.es/gazeta/dias/1800/09/30/pdfs/GMD-1800-79.pdf#page=10","Abrir facsímil")</f>
        <v>Abrir facsímil</v>
      </c>
      <c r="K5355" s="15" t="s">
        <v>23</v>
      </c>
    </row>
    <row r="5356" spans="1:11" ht="42" customHeight="1">
      <c r="A5356" s="4" t="s">
        <v>12267</v>
      </c>
      <c r="B5356" s="5" t="s">
        <v>12268</v>
      </c>
      <c r="C5356" s="5" t="s">
        <v>18</v>
      </c>
      <c r="D5356" s="5" t="s">
        <v>19</v>
      </c>
      <c r="E5356" s="5" t="s">
        <v>534</v>
      </c>
      <c r="F5356" s="9">
        <v>100</v>
      </c>
      <c r="G5356" s="9">
        <v>1159</v>
      </c>
      <c r="H5356" s="5" t="s">
        <v>21</v>
      </c>
      <c r="I5356" s="5" t="s">
        <v>12269</v>
      </c>
      <c r="J5356" s="12" t="str">
        <f>HYPERLINK("https://www.boe.es/gazeta/dias/1800/12/12/pdfs/GMD-1800-100.pdf#page=11","Abrir facsímil")</f>
        <v>Abrir facsímil</v>
      </c>
      <c r="K5356" s="15" t="s">
        <v>23</v>
      </c>
    </row>
    <row r="5357" spans="1:11" ht="42" customHeight="1">
      <c r="A5357" s="4" t="s">
        <v>12270</v>
      </c>
      <c r="B5357" s="5" t="s">
        <v>12271</v>
      </c>
      <c r="C5357" s="5" t="s">
        <v>18</v>
      </c>
      <c r="D5357" s="5" t="s">
        <v>19</v>
      </c>
      <c r="E5357" s="5" t="s">
        <v>27</v>
      </c>
      <c r="F5357" s="9">
        <v>65</v>
      </c>
      <c r="G5357" s="9">
        <v>733</v>
      </c>
      <c r="H5357" s="5" t="s">
        <v>21</v>
      </c>
      <c r="I5357" s="5" t="s">
        <v>12272</v>
      </c>
      <c r="J5357" s="12" t="str">
        <f>HYPERLINK("https://www.boe.es/gazeta/dias/1800/08/15/pdfs/GMD-1800-65.pdf#page=9","Abrir facsímil")</f>
        <v>Abrir facsímil</v>
      </c>
      <c r="K5357" s="15" t="s">
        <v>23</v>
      </c>
    </row>
    <row r="5358" spans="1:11" ht="42" customHeight="1">
      <c r="A5358" s="4" t="s">
        <v>12273</v>
      </c>
      <c r="B5358" s="5" t="s">
        <v>12274</v>
      </c>
      <c r="C5358" s="5" t="s">
        <v>18</v>
      </c>
      <c r="D5358" s="5" t="s">
        <v>19</v>
      </c>
      <c r="E5358" s="5" t="s">
        <v>314</v>
      </c>
      <c r="F5358" s="9">
        <v>74</v>
      </c>
      <c r="G5358" s="9">
        <v>831</v>
      </c>
      <c r="H5358" s="5" t="s">
        <v>21</v>
      </c>
      <c r="I5358" s="5" t="s">
        <v>12275</v>
      </c>
      <c r="J5358" s="12" t="str">
        <f>HYPERLINK("https://www.boe.es/gazeta/dias/1800/09/12/pdfs/GMD-1800-74.pdf#page=9","Abrir facsímil")</f>
        <v>Abrir facsímil</v>
      </c>
      <c r="K5358" s="15" t="s">
        <v>23</v>
      </c>
    </row>
    <row r="5359" spans="1:11" ht="42" customHeight="1">
      <c r="A5359" s="4" t="s">
        <v>12276</v>
      </c>
      <c r="B5359" s="5" t="s">
        <v>12277</v>
      </c>
      <c r="C5359" s="5" t="s">
        <v>18</v>
      </c>
      <c r="D5359" s="5" t="s">
        <v>19</v>
      </c>
      <c r="E5359" s="5" t="s">
        <v>60</v>
      </c>
      <c r="F5359" s="9">
        <v>105</v>
      </c>
      <c r="G5359" s="9">
        <v>1226</v>
      </c>
      <c r="H5359" s="5" t="s">
        <v>21</v>
      </c>
      <c r="I5359" s="5" t="s">
        <v>12278</v>
      </c>
      <c r="J5359" s="12" t="str">
        <f>HYPERLINK("https://www.boe.es/gazeta/dias/1800/12/30/pdfs/GMD-1800-105.pdf#page=10","Abrir facsímil")</f>
        <v>Abrir facsímil</v>
      </c>
      <c r="K5359" s="15" t="s">
        <v>23</v>
      </c>
    </row>
    <row r="5360" spans="1:11" ht="42" customHeight="1">
      <c r="A5360" s="4" t="s">
        <v>12279</v>
      </c>
      <c r="B5360" s="5" t="s">
        <v>12280</v>
      </c>
      <c r="C5360" s="5" t="s">
        <v>18</v>
      </c>
      <c r="D5360" s="5" t="s">
        <v>19</v>
      </c>
      <c r="E5360" s="5" t="s">
        <v>139</v>
      </c>
      <c r="F5360" s="9">
        <v>2</v>
      </c>
      <c r="G5360" s="9">
        <v>17</v>
      </c>
      <c r="H5360" s="5" t="s">
        <v>21</v>
      </c>
      <c r="I5360" s="5" t="s">
        <v>12281</v>
      </c>
      <c r="J5360" s="12" t="str">
        <f>HYPERLINK("https://www.boe.es/gazeta/dias/1800/01/07/pdfs/GMD-1800-2.pdf#page=9","Abrir facsímil")</f>
        <v>Abrir facsímil</v>
      </c>
      <c r="K5360" s="15" t="s">
        <v>23</v>
      </c>
    </row>
    <row r="5361" spans="1:11" ht="42" customHeight="1">
      <c r="A5361" s="4" t="s">
        <v>12282</v>
      </c>
      <c r="B5361" s="5" t="s">
        <v>12283</v>
      </c>
      <c r="C5361" s="5" t="s">
        <v>18</v>
      </c>
      <c r="D5361" s="5" t="s">
        <v>19</v>
      </c>
      <c r="E5361" s="5" t="s">
        <v>88</v>
      </c>
      <c r="F5361" s="9">
        <v>23</v>
      </c>
      <c r="G5361" s="9">
        <v>228</v>
      </c>
      <c r="H5361" s="5" t="s">
        <v>21</v>
      </c>
      <c r="I5361" s="5" t="s">
        <v>12284</v>
      </c>
      <c r="J5361" s="12" t="str">
        <f>HYPERLINK("https://www.boe.es/gazeta/dias/1800/03/21/pdfs/GMD-1800-23.pdf#page=4","Abrir facsímil")</f>
        <v>Abrir facsímil</v>
      </c>
      <c r="K5361" s="15" t="s">
        <v>23</v>
      </c>
    </row>
    <row r="5362" spans="1:11" ht="42" customHeight="1">
      <c r="A5362" s="4" t="s">
        <v>12285</v>
      </c>
      <c r="B5362" s="5" t="s">
        <v>12286</v>
      </c>
      <c r="C5362" s="5" t="s">
        <v>9860</v>
      </c>
      <c r="D5362" s="5" t="s">
        <v>55</v>
      </c>
      <c r="E5362" s="5" t="s">
        <v>139</v>
      </c>
      <c r="F5362" s="9">
        <v>2</v>
      </c>
      <c r="G5362" s="9">
        <v>20</v>
      </c>
      <c r="H5362" s="5" t="s">
        <v>4432</v>
      </c>
      <c r="I5362" s="5" t="s">
        <v>12287</v>
      </c>
      <c r="J5362" s="12" t="str">
        <f>HYPERLINK("https://www.boe.es/gazeta/dias/1800/01/07/pdfs/GMD-1800-2.pdf#page=12","Abrir facsímil")</f>
        <v>Abrir facsímil</v>
      </c>
      <c r="K5362" s="15" t="s">
        <v>4434</v>
      </c>
    </row>
    <row r="5363" spans="1:11" ht="42" customHeight="1">
      <c r="A5363" s="4" t="s">
        <v>12288</v>
      </c>
      <c r="B5363" s="5" t="s">
        <v>12289</v>
      </c>
      <c r="C5363" s="5" t="s">
        <v>84</v>
      </c>
      <c r="D5363" s="5" t="s">
        <v>85</v>
      </c>
      <c r="E5363" s="5" t="s">
        <v>1287</v>
      </c>
      <c r="F5363" s="9">
        <v>57</v>
      </c>
      <c r="G5363" s="9">
        <v>651</v>
      </c>
      <c r="H5363" s="5" t="s">
        <v>21</v>
      </c>
      <c r="I5363" s="5" t="s">
        <v>12290</v>
      </c>
      <c r="J5363" s="12" t="str">
        <f>HYPERLINK("https://www.boe.es/gazeta/dias/1800/07/18/pdfs/GMD-1800-57.pdf#page=15","Abrir facsímil")</f>
        <v>Abrir facsímil</v>
      </c>
      <c r="K5363" s="15" t="s">
        <v>23</v>
      </c>
    </row>
    <row r="5364" spans="1:11" ht="42" customHeight="1">
      <c r="A5364" s="4" t="s">
        <v>12291</v>
      </c>
      <c r="B5364" s="5" t="s">
        <v>12291</v>
      </c>
      <c r="C5364" s="5" t="s">
        <v>18</v>
      </c>
      <c r="D5364" s="5" t="s">
        <v>19</v>
      </c>
      <c r="E5364" s="5" t="s">
        <v>279</v>
      </c>
      <c r="F5364" s="9">
        <v>103</v>
      </c>
      <c r="G5364" s="9">
        <v>1191</v>
      </c>
      <c r="H5364" s="5" t="s">
        <v>21</v>
      </c>
      <c r="I5364" s="5" t="s">
        <v>12292</v>
      </c>
      <c r="J5364" s="12" t="str">
        <f>HYPERLINK("https://www.boe.es/gazeta/dias/1800/12/23/pdfs/GMD-1800-103.pdf#page=3","Abrir facsímil")</f>
        <v>Abrir facsímil</v>
      </c>
      <c r="K5364" s="15" t="s">
        <v>23</v>
      </c>
    </row>
    <row r="5365" spans="1:11" ht="42" customHeight="1">
      <c r="A5365" s="4" t="s">
        <v>12293</v>
      </c>
      <c r="B5365" s="5" t="s">
        <v>12294</v>
      </c>
      <c r="C5365" s="5" t="s">
        <v>18</v>
      </c>
      <c r="D5365" s="5" t="s">
        <v>19</v>
      </c>
      <c r="E5365" s="5" t="s">
        <v>346</v>
      </c>
      <c r="F5365" s="9">
        <v>24</v>
      </c>
      <c r="G5365" s="9">
        <v>244</v>
      </c>
      <c r="H5365" s="5" t="s">
        <v>21</v>
      </c>
      <c r="I5365" s="5" t="s">
        <v>12295</v>
      </c>
      <c r="J5365" s="12" t="str">
        <f>HYPERLINK("https://www.boe.es/gazeta/dias/1800/03/25/pdfs/GMD-1800-24.pdf#page=8","Abrir facsímil")</f>
        <v>Abrir facsímil</v>
      </c>
      <c r="K5365" s="15" t="s">
        <v>23</v>
      </c>
    </row>
    <row r="5366" spans="1:11" ht="42" customHeight="1">
      <c r="A5366" s="4" t="s">
        <v>12296</v>
      </c>
      <c r="B5366" s="5" t="s">
        <v>12297</v>
      </c>
      <c r="C5366" s="5" t="s">
        <v>18</v>
      </c>
      <c r="D5366" s="5" t="s">
        <v>19</v>
      </c>
      <c r="E5366" s="5" t="s">
        <v>20</v>
      </c>
      <c r="F5366" s="9">
        <v>104</v>
      </c>
      <c r="G5366" s="9">
        <v>1210</v>
      </c>
      <c r="H5366" s="5" t="s">
        <v>21</v>
      </c>
      <c r="I5366" s="5" t="s">
        <v>12298</v>
      </c>
      <c r="J5366" s="12" t="str">
        <f>HYPERLINK("https://www.boe.es/gazeta/dias/1800/12/26/pdfs/GMD-1800-104.pdf#page=10","Abrir facsímil")</f>
        <v>Abrir facsímil</v>
      </c>
      <c r="K5366" s="15" t="s">
        <v>23</v>
      </c>
    </row>
    <row r="5367" spans="1:11" ht="42" customHeight="1">
      <c r="A5367" s="4" t="s">
        <v>12299</v>
      </c>
      <c r="B5367" s="5" t="s">
        <v>12300</v>
      </c>
      <c r="C5367" s="5" t="s">
        <v>25</v>
      </c>
      <c r="D5367" s="5" t="s">
        <v>26</v>
      </c>
      <c r="E5367" s="5" t="s">
        <v>787</v>
      </c>
      <c r="F5367" s="9">
        <v>6</v>
      </c>
      <c r="G5367" s="9">
        <v>57</v>
      </c>
      <c r="H5367" s="5" t="s">
        <v>21</v>
      </c>
      <c r="I5367" s="5" t="s">
        <v>12301</v>
      </c>
      <c r="J5367" s="12" t="str">
        <f>HYPERLINK("https://www.boe.es/gazeta/dias/1800/01/21/pdfs/GMD-1800-6.pdf#page=9","Abrir facsímil")</f>
        <v>Abrir facsímil</v>
      </c>
      <c r="K5367" s="15" t="s">
        <v>23</v>
      </c>
    </row>
    <row r="5368" spans="1:11" ht="42" customHeight="1">
      <c r="A5368" s="4" t="s">
        <v>12302</v>
      </c>
      <c r="B5368" s="5" t="s">
        <v>12303</v>
      </c>
      <c r="C5368" s="5" t="s">
        <v>18</v>
      </c>
      <c r="D5368" s="5" t="s">
        <v>19</v>
      </c>
      <c r="E5368" s="5" t="s">
        <v>310</v>
      </c>
      <c r="F5368" s="9">
        <v>56</v>
      </c>
      <c r="G5368" s="9">
        <v>632</v>
      </c>
      <c r="H5368" s="5" t="s">
        <v>21</v>
      </c>
      <c r="I5368" s="5" t="s">
        <v>12304</v>
      </c>
      <c r="J5368" s="12" t="str">
        <f>HYPERLINK("https://www.boe.es/gazeta/dias/1800/07/15/pdfs/GMD-1800-56.pdf#page=8","Abrir facsímil")</f>
        <v>Abrir facsímil</v>
      </c>
      <c r="K5368" s="15" t="s">
        <v>23</v>
      </c>
    </row>
    <row r="5369" spans="1:11" ht="42" customHeight="1">
      <c r="A5369" s="4" t="s">
        <v>12305</v>
      </c>
      <c r="B5369" s="5" t="s">
        <v>12306</v>
      </c>
      <c r="C5369" s="5" t="s">
        <v>41</v>
      </c>
      <c r="D5369" s="5" t="s">
        <v>42</v>
      </c>
      <c r="E5369" s="5" t="s">
        <v>262</v>
      </c>
      <c r="F5369" s="9">
        <v>39</v>
      </c>
      <c r="G5369" s="9">
        <v>397</v>
      </c>
      <c r="H5369" s="5" t="s">
        <v>21</v>
      </c>
      <c r="I5369" s="5" t="s">
        <v>12307</v>
      </c>
      <c r="J5369" s="12" t="str">
        <f>HYPERLINK("https://www.boe.es/gazeta/dias/1800/05/16/pdfs/GMD-1800-39.pdf#page=5","Abrir facsímil")</f>
        <v>Abrir facsímil</v>
      </c>
      <c r="K5369" s="15" t="s">
        <v>23</v>
      </c>
    </row>
    <row r="5370" spans="1:11" ht="42" customHeight="1">
      <c r="A5370" s="4" t="s">
        <v>12308</v>
      </c>
      <c r="B5370" s="5" t="s">
        <v>12309</v>
      </c>
      <c r="C5370" s="5" t="s">
        <v>41</v>
      </c>
      <c r="D5370" s="5" t="s">
        <v>42</v>
      </c>
      <c r="E5370" s="5" t="s">
        <v>64</v>
      </c>
      <c r="F5370" s="9">
        <v>54</v>
      </c>
      <c r="G5370" s="9">
        <v>598</v>
      </c>
      <c r="H5370" s="5" t="s">
        <v>21</v>
      </c>
      <c r="I5370" s="5" t="s">
        <v>12310</v>
      </c>
      <c r="J5370" s="12" t="str">
        <f>HYPERLINK("https://www.boe.es/gazeta/dias/1800/07/08/pdfs/GMD-1800-54.pdf#page=2","Abrir facsímil")</f>
        <v>Abrir facsímil</v>
      </c>
      <c r="K5370" s="15" t="s">
        <v>23</v>
      </c>
    </row>
    <row r="5371" spans="1:11" ht="42" customHeight="1">
      <c r="A5371" s="4" t="s">
        <v>12305</v>
      </c>
      <c r="B5371" s="5" t="s">
        <v>12306</v>
      </c>
      <c r="C5371" s="5" t="s">
        <v>41</v>
      </c>
      <c r="D5371" s="5" t="s">
        <v>42</v>
      </c>
      <c r="E5371" s="5" t="s">
        <v>445</v>
      </c>
      <c r="F5371" s="9">
        <v>96</v>
      </c>
      <c r="G5371" s="9">
        <v>1103</v>
      </c>
      <c r="H5371" s="5" t="s">
        <v>21</v>
      </c>
      <c r="I5371" s="5" t="s">
        <v>12311</v>
      </c>
      <c r="J5371" s="12" t="str">
        <f>HYPERLINK("https://www.boe.es/gazeta/dias/1800/11/28/pdfs/GMD-1800-96.pdf#page=7","Abrir facsímil")</f>
        <v>Abrir facsímil</v>
      </c>
      <c r="K5371" s="15" t="s">
        <v>23</v>
      </c>
    </row>
    <row r="5372" spans="1:11" ht="42" customHeight="1">
      <c r="A5372" s="4" t="s">
        <v>12312</v>
      </c>
      <c r="B5372" s="5" t="s">
        <v>12313</v>
      </c>
      <c r="C5372" s="5" t="s">
        <v>18</v>
      </c>
      <c r="D5372" s="5" t="s">
        <v>19</v>
      </c>
      <c r="E5372" s="5" t="s">
        <v>194</v>
      </c>
      <c r="F5372" s="9">
        <v>48</v>
      </c>
      <c r="G5372" s="9">
        <v>518</v>
      </c>
      <c r="H5372" s="5" t="s">
        <v>21</v>
      </c>
      <c r="I5372" s="5" t="s">
        <v>12314</v>
      </c>
      <c r="J5372" s="12" t="str">
        <f>HYPERLINK("https://www.boe.es/gazeta/dias/1800/06/17/pdfs/GMD-1800-48.pdf#page=10","Abrir facsímil")</f>
        <v>Abrir facsímil</v>
      </c>
      <c r="K5372" s="15" t="s">
        <v>23</v>
      </c>
    </row>
    <row r="5373" spans="1:11" ht="42" customHeight="1">
      <c r="A5373" s="4" t="s">
        <v>12315</v>
      </c>
      <c r="B5373" s="5" t="s">
        <v>12316</v>
      </c>
      <c r="C5373" s="5" t="s">
        <v>207</v>
      </c>
      <c r="D5373" s="5" t="s">
        <v>55</v>
      </c>
      <c r="E5373" s="5" t="s">
        <v>184</v>
      </c>
      <c r="F5373" s="9">
        <v>82</v>
      </c>
      <c r="G5373" s="9">
        <v>949</v>
      </c>
      <c r="H5373" s="5" t="s">
        <v>21</v>
      </c>
      <c r="I5373" s="5" t="s">
        <v>12317</v>
      </c>
      <c r="J5373" s="12" t="str">
        <f>HYPERLINK("https://www.boe.es/gazeta/dias/1800/10/10/pdfs/GMD-1800-82.pdf#page=7","Abrir facsímil")</f>
        <v>Abrir facsímil</v>
      </c>
      <c r="K5373" s="15" t="s">
        <v>23</v>
      </c>
    </row>
    <row r="5374" spans="1:11" ht="42" customHeight="1">
      <c r="A5374" s="4" t="s">
        <v>12318</v>
      </c>
      <c r="B5374" s="5" t="s">
        <v>12319</v>
      </c>
      <c r="C5374" s="5" t="s">
        <v>25</v>
      </c>
      <c r="D5374" s="5" t="s">
        <v>26</v>
      </c>
      <c r="E5374" s="5" t="s">
        <v>420</v>
      </c>
      <c r="F5374" s="9">
        <v>38</v>
      </c>
      <c r="G5374" s="9">
        <v>391</v>
      </c>
      <c r="H5374" s="5" t="s">
        <v>21</v>
      </c>
      <c r="I5374" s="5" t="s">
        <v>12320</v>
      </c>
      <c r="J5374" s="12" t="str">
        <f>HYPERLINK("https://www.boe.es/gazeta/dias/1800/05/13/pdfs/GMD-1800-38.pdf#page=11","Abrir facsímil")</f>
        <v>Abrir facsímil</v>
      </c>
      <c r="K5374" s="15" t="s">
        <v>23</v>
      </c>
    </row>
    <row r="5375" spans="1:11" ht="42" customHeight="1">
      <c r="A5375" s="4" t="s">
        <v>12321</v>
      </c>
      <c r="B5375" s="5" t="s">
        <v>12321</v>
      </c>
      <c r="C5375" s="5" t="s">
        <v>41</v>
      </c>
      <c r="D5375" s="5" t="s">
        <v>42</v>
      </c>
      <c r="E5375" s="5" t="s">
        <v>465</v>
      </c>
      <c r="F5375" s="9">
        <v>49</v>
      </c>
      <c r="G5375" s="9">
        <v>527</v>
      </c>
      <c r="H5375" s="5" t="s">
        <v>21</v>
      </c>
      <c r="I5375" s="5" t="s">
        <v>12322</v>
      </c>
      <c r="J5375" s="12" t="str">
        <f>HYPERLINK("https://www.boe.es/gazeta/dias/1800/06/20/pdfs/GMD-1800-49.pdf#page=3","Abrir facsímil")</f>
        <v>Abrir facsímil</v>
      </c>
      <c r="K5375" s="15" t="s">
        <v>23</v>
      </c>
    </row>
    <row r="5376" spans="1:11" ht="42" customHeight="1">
      <c r="A5376" s="4" t="s">
        <v>12323</v>
      </c>
      <c r="B5376" s="5" t="s">
        <v>12324</v>
      </c>
      <c r="C5376" s="5" t="s">
        <v>84</v>
      </c>
      <c r="D5376" s="5" t="s">
        <v>85</v>
      </c>
      <c r="E5376" s="5" t="s">
        <v>244</v>
      </c>
      <c r="F5376" s="9">
        <v>9</v>
      </c>
      <c r="G5376" s="9">
        <v>88</v>
      </c>
      <c r="H5376" s="5" t="s">
        <v>21</v>
      </c>
      <c r="I5376" s="5" t="s">
        <v>12325</v>
      </c>
      <c r="J5376" s="12" t="str">
        <f>HYPERLINK("https://www.boe.es/gazeta/dias/1800/01/31/pdfs/GMD-1800-9.pdf#page=12","Abrir facsímil")</f>
        <v>Abrir facsímil</v>
      </c>
      <c r="K5376" s="15" t="s">
        <v>23</v>
      </c>
    </row>
    <row r="5377" spans="1:11" ht="42" customHeight="1">
      <c r="A5377" s="4" t="s">
        <v>12323</v>
      </c>
      <c r="B5377" s="5" t="s">
        <v>12324</v>
      </c>
      <c r="C5377" s="5" t="s">
        <v>84</v>
      </c>
      <c r="D5377" s="5" t="s">
        <v>85</v>
      </c>
      <c r="E5377" s="5" t="s">
        <v>143</v>
      </c>
      <c r="F5377" s="9">
        <v>22</v>
      </c>
      <c r="G5377" s="9">
        <v>223</v>
      </c>
      <c r="H5377" s="5" t="s">
        <v>21</v>
      </c>
      <c r="I5377" s="5" t="s">
        <v>12326</v>
      </c>
      <c r="J5377" s="12" t="str">
        <f>HYPERLINK("https://www.boe.es/gazeta/dias/1800/03/18/pdfs/GMD-1800-22.pdf#page=15","Abrir facsímil")</f>
        <v>Abrir facsímil</v>
      </c>
      <c r="K5377" s="15" t="s">
        <v>23</v>
      </c>
    </row>
    <row r="5378" spans="1:11" ht="42" customHeight="1">
      <c r="A5378" s="4" t="s">
        <v>12323</v>
      </c>
      <c r="B5378" s="5" t="s">
        <v>12324</v>
      </c>
      <c r="C5378" s="5" t="s">
        <v>84</v>
      </c>
      <c r="D5378" s="5" t="s">
        <v>85</v>
      </c>
      <c r="E5378" s="5" t="s">
        <v>64</v>
      </c>
      <c r="F5378" s="9">
        <v>54</v>
      </c>
      <c r="G5378" s="9">
        <v>608</v>
      </c>
      <c r="H5378" s="5" t="s">
        <v>21</v>
      </c>
      <c r="I5378" s="5" t="s">
        <v>12327</v>
      </c>
      <c r="J5378" s="12" t="str">
        <f>HYPERLINK("https://www.boe.es/gazeta/dias/1800/07/08/pdfs/GMD-1800-54.pdf#page=12","Abrir facsímil")</f>
        <v>Abrir facsímil</v>
      </c>
      <c r="K5378" s="15" t="s">
        <v>23</v>
      </c>
    </row>
    <row r="5379" spans="1:11" ht="42" customHeight="1">
      <c r="A5379" s="4" t="s">
        <v>12323</v>
      </c>
      <c r="B5379" s="5" t="s">
        <v>12324</v>
      </c>
      <c r="C5379" s="5" t="s">
        <v>25</v>
      </c>
      <c r="D5379" s="5" t="s">
        <v>26</v>
      </c>
      <c r="E5379" s="5" t="s">
        <v>845</v>
      </c>
      <c r="F5379" s="9">
        <v>80</v>
      </c>
      <c r="G5379" s="9">
        <v>910</v>
      </c>
      <c r="H5379" s="5" t="s">
        <v>21</v>
      </c>
      <c r="I5379" s="5" t="s">
        <v>12328</v>
      </c>
      <c r="J5379" s="12" t="str">
        <f>HYPERLINK("https://www.boe.es/gazeta/dias/1800/10/03/pdfs/GMD-1800-80.pdf#page=8","Abrir facsímil")</f>
        <v>Abrir facsímil</v>
      </c>
      <c r="K5379" s="15" t="s">
        <v>23</v>
      </c>
    </row>
    <row r="5380" spans="1:11" ht="42" customHeight="1">
      <c r="A5380" s="4" t="s">
        <v>12329</v>
      </c>
      <c r="B5380" s="5" t="s">
        <v>12330</v>
      </c>
      <c r="C5380" s="5" t="s">
        <v>18</v>
      </c>
      <c r="D5380" s="5" t="s">
        <v>19</v>
      </c>
      <c r="E5380" s="5" t="s">
        <v>111</v>
      </c>
      <c r="F5380" s="9">
        <v>98</v>
      </c>
      <c r="G5380" s="9">
        <v>1129</v>
      </c>
      <c r="H5380" s="5" t="s">
        <v>21</v>
      </c>
      <c r="I5380" s="5" t="s">
        <v>12331</v>
      </c>
      <c r="J5380" s="12" t="str">
        <f>HYPERLINK("https://www.boe.es/gazeta/dias/1800/12/05/pdfs/GMD-1800-98.pdf#page=9","Abrir facsímil")</f>
        <v>Abrir facsímil</v>
      </c>
      <c r="K5380" s="15" t="s">
        <v>23</v>
      </c>
    </row>
    <row r="5381" spans="1:11" ht="42" customHeight="1">
      <c r="A5381" s="4" t="s">
        <v>12332</v>
      </c>
      <c r="B5381" s="5" t="s">
        <v>12332</v>
      </c>
      <c r="C5381" s="5" t="s">
        <v>41</v>
      </c>
      <c r="D5381" s="5" t="s">
        <v>42</v>
      </c>
      <c r="E5381" s="5" t="s">
        <v>27</v>
      </c>
      <c r="F5381" s="9">
        <v>65</v>
      </c>
      <c r="G5381" s="9">
        <v>725</v>
      </c>
      <c r="H5381" s="5" t="s">
        <v>21</v>
      </c>
      <c r="I5381" s="5" t="s">
        <v>12333</v>
      </c>
      <c r="J5381" s="12" t="str">
        <f>HYPERLINK("https://www.boe.es/gazeta/dias/1800/08/15/pdfs/GMD-1800-65.pdf#page=1","Abrir facsímil")</f>
        <v>Abrir facsímil</v>
      </c>
      <c r="K5381" s="15" t="s">
        <v>23</v>
      </c>
    </row>
    <row r="5382" spans="1:11" ht="42" customHeight="1">
      <c r="A5382" s="4" t="s">
        <v>12334</v>
      </c>
      <c r="B5382" s="5" t="s">
        <v>12335</v>
      </c>
      <c r="C5382" s="5" t="s">
        <v>207</v>
      </c>
      <c r="D5382" s="5" t="s">
        <v>55</v>
      </c>
      <c r="E5382" s="5" t="s">
        <v>445</v>
      </c>
      <c r="F5382" s="9">
        <v>96</v>
      </c>
      <c r="G5382" s="9">
        <v>1105</v>
      </c>
      <c r="H5382" s="5" t="s">
        <v>21</v>
      </c>
      <c r="I5382" s="5" t="s">
        <v>12336</v>
      </c>
      <c r="J5382" s="12" t="str">
        <f>HYPERLINK("https://www.boe.es/gazeta/dias/1800/11/28/pdfs/GMD-1800-96.pdf#page=9","Abrir facsímil")</f>
        <v>Abrir facsímil</v>
      </c>
      <c r="K5382" s="15" t="s">
        <v>23</v>
      </c>
    </row>
    <row r="5383" spans="1:11" ht="42" customHeight="1">
      <c r="A5383" s="4" t="s">
        <v>12337</v>
      </c>
      <c r="B5383" s="5" t="s">
        <v>12338</v>
      </c>
      <c r="C5383" s="5" t="s">
        <v>18</v>
      </c>
      <c r="D5383" s="5" t="s">
        <v>19</v>
      </c>
      <c r="E5383" s="5" t="s">
        <v>422</v>
      </c>
      <c r="F5383" s="9">
        <v>85</v>
      </c>
      <c r="G5383" s="9">
        <v>985</v>
      </c>
      <c r="H5383" s="5" t="s">
        <v>21</v>
      </c>
      <c r="I5383" s="5" t="s">
        <v>12339</v>
      </c>
      <c r="J5383" s="12" t="str">
        <f>HYPERLINK("https://www.boe.es/gazeta/dias/1800/10/21/pdfs/GMD-1800-85.pdf#page=7","Abrir facsímil")</f>
        <v>Abrir facsímil</v>
      </c>
      <c r="K5383" s="15" t="s">
        <v>23</v>
      </c>
    </row>
    <row r="5384" spans="1:11" ht="42" customHeight="1">
      <c r="A5384" s="4" t="s">
        <v>12340</v>
      </c>
      <c r="B5384" s="5" t="s">
        <v>12341</v>
      </c>
      <c r="C5384" s="5" t="s">
        <v>18</v>
      </c>
      <c r="D5384" s="5" t="s">
        <v>19</v>
      </c>
      <c r="E5384" s="5" t="s">
        <v>180</v>
      </c>
      <c r="F5384" s="9">
        <v>102</v>
      </c>
      <c r="G5384" s="9">
        <v>1186</v>
      </c>
      <c r="H5384" s="5" t="s">
        <v>21</v>
      </c>
      <c r="I5384" s="5" t="s">
        <v>12342</v>
      </c>
      <c r="J5384" s="12" t="str">
        <f>HYPERLINK("https://www.boe.es/gazeta/dias/1800/12/19/pdfs/GMD-1800-102.pdf#page=10","Abrir facsímil")</f>
        <v>Abrir facsímil</v>
      </c>
      <c r="K5384" s="15" t="s">
        <v>23</v>
      </c>
    </row>
    <row r="5385" spans="1:11" ht="42" customHeight="1">
      <c r="A5385" s="4" t="s">
        <v>12343</v>
      </c>
      <c r="B5385" s="5" t="s">
        <v>12344</v>
      </c>
      <c r="C5385" s="5" t="s">
        <v>18</v>
      </c>
      <c r="D5385" s="5" t="s">
        <v>19</v>
      </c>
      <c r="E5385" s="5" t="s">
        <v>31</v>
      </c>
      <c r="F5385" s="9">
        <v>20</v>
      </c>
      <c r="G5385" s="9">
        <v>192</v>
      </c>
      <c r="H5385" s="5" t="s">
        <v>21</v>
      </c>
      <c r="I5385" s="5" t="s">
        <v>12345</v>
      </c>
      <c r="J5385" s="12" t="str">
        <f>HYPERLINK("https://www.boe.es/gazeta/dias/1800/03/11/pdfs/GMD-1800-20.pdf#page=8","Abrir facsímil")</f>
        <v>Abrir facsímil</v>
      </c>
      <c r="K5385" s="15" t="s">
        <v>23</v>
      </c>
    </row>
    <row r="5386" spans="1:11" ht="42" customHeight="1">
      <c r="A5386" s="4" t="s">
        <v>12346</v>
      </c>
      <c r="B5386" s="5" t="s">
        <v>12347</v>
      </c>
      <c r="C5386" s="5" t="s">
        <v>18</v>
      </c>
      <c r="D5386" s="5" t="s">
        <v>19</v>
      </c>
      <c r="E5386" s="5" t="s">
        <v>27</v>
      </c>
      <c r="F5386" s="9">
        <v>65</v>
      </c>
      <c r="G5386" s="9">
        <v>733</v>
      </c>
      <c r="H5386" s="5" t="s">
        <v>21</v>
      </c>
      <c r="I5386" s="5" t="s">
        <v>12348</v>
      </c>
      <c r="J5386" s="12" t="str">
        <f>HYPERLINK("https://www.boe.es/gazeta/dias/1800/08/15/pdfs/GMD-1800-65.pdf#page=9","Abrir facsímil")</f>
        <v>Abrir facsímil</v>
      </c>
      <c r="K5386" s="15" t="s">
        <v>23</v>
      </c>
    </row>
    <row r="5387" spans="1:11" ht="42" customHeight="1">
      <c r="A5387" s="4" t="s">
        <v>12349</v>
      </c>
      <c r="B5387" s="5" t="s">
        <v>12350</v>
      </c>
      <c r="C5387" s="5" t="s">
        <v>18</v>
      </c>
      <c r="D5387" s="5" t="s">
        <v>19</v>
      </c>
      <c r="E5387" s="5" t="s">
        <v>534</v>
      </c>
      <c r="F5387" s="9">
        <v>100</v>
      </c>
      <c r="G5387" s="9">
        <v>1160</v>
      </c>
      <c r="H5387" s="5" t="s">
        <v>21</v>
      </c>
      <c r="I5387" s="5" t="s">
        <v>12351</v>
      </c>
      <c r="J5387" s="12" t="str">
        <f>HYPERLINK("https://www.boe.es/gazeta/dias/1800/12/12/pdfs/GMD-1800-100.pdf#page=12","Abrir facsímil")</f>
        <v>Abrir facsímil</v>
      </c>
      <c r="K5387" s="15" t="s">
        <v>23</v>
      </c>
    </row>
    <row r="5388" spans="1:11" ht="42" customHeight="1">
      <c r="A5388" s="4" t="s">
        <v>12352</v>
      </c>
      <c r="B5388" s="5" t="s">
        <v>12352</v>
      </c>
      <c r="C5388" s="5" t="s">
        <v>41</v>
      </c>
      <c r="D5388" s="5" t="s">
        <v>42</v>
      </c>
      <c r="E5388" s="5" t="s">
        <v>1108</v>
      </c>
      <c r="F5388" s="9">
        <v>30</v>
      </c>
      <c r="G5388" s="9">
        <v>301</v>
      </c>
      <c r="H5388" s="5" t="s">
        <v>21</v>
      </c>
      <c r="I5388" s="5" t="s">
        <v>12353</v>
      </c>
      <c r="J5388" s="12" t="str">
        <f>HYPERLINK("https://www.boe.es/gazeta/dias/1800/04/15/pdfs/GMD-1800-30.pdf#page=1","Abrir facsímil")</f>
        <v>Abrir facsímil</v>
      </c>
      <c r="K5388" s="15" t="s">
        <v>23</v>
      </c>
    </row>
    <row r="5389" spans="1:11" ht="42" customHeight="1">
      <c r="A5389" s="4" t="s">
        <v>12354</v>
      </c>
      <c r="B5389" s="5" t="s">
        <v>12354</v>
      </c>
      <c r="C5389" s="5" t="s">
        <v>18</v>
      </c>
      <c r="D5389" s="5" t="s">
        <v>19</v>
      </c>
      <c r="E5389" s="5" t="s">
        <v>422</v>
      </c>
      <c r="F5389" s="9">
        <v>85</v>
      </c>
      <c r="G5389" s="9">
        <v>982</v>
      </c>
      <c r="H5389" s="5" t="s">
        <v>21</v>
      </c>
      <c r="I5389" s="5" t="s">
        <v>12355</v>
      </c>
      <c r="J5389" s="12" t="str">
        <f>HYPERLINK("https://www.boe.es/gazeta/dias/1800/10/21/pdfs/GMD-1800-85.pdf#page=4","Abrir facsímil")</f>
        <v>Abrir facsímil</v>
      </c>
      <c r="K5389" s="15" t="s">
        <v>23</v>
      </c>
    </row>
    <row r="5390" spans="1:11" ht="42" customHeight="1">
      <c r="A5390" s="4" t="s">
        <v>12356</v>
      </c>
      <c r="B5390" s="5" t="s">
        <v>12357</v>
      </c>
      <c r="C5390" s="5" t="s">
        <v>41</v>
      </c>
      <c r="D5390" s="5" t="s">
        <v>42</v>
      </c>
      <c r="E5390" s="5" t="s">
        <v>88</v>
      </c>
      <c r="F5390" s="9">
        <v>23</v>
      </c>
      <c r="G5390" s="9">
        <v>230</v>
      </c>
      <c r="H5390" s="5" t="s">
        <v>21</v>
      </c>
      <c r="I5390" s="5" t="s">
        <v>12358</v>
      </c>
      <c r="J5390" s="12" t="str">
        <f>HYPERLINK("https://www.boe.es/gazeta/dias/1800/03/21/pdfs/GMD-1800-23.pdf#page=6","Abrir facsímil")</f>
        <v>Abrir facsímil</v>
      </c>
      <c r="K5390" s="15" t="s">
        <v>23</v>
      </c>
    </row>
    <row r="5391" spans="1:11" ht="42" customHeight="1">
      <c r="A5391" s="4" t="s">
        <v>12359</v>
      </c>
      <c r="B5391" s="5" t="s">
        <v>12360</v>
      </c>
      <c r="C5391" s="5" t="s">
        <v>41</v>
      </c>
      <c r="D5391" s="5" t="s">
        <v>42</v>
      </c>
      <c r="E5391" s="5" t="s">
        <v>836</v>
      </c>
      <c r="F5391" s="9">
        <v>71</v>
      </c>
      <c r="G5391" s="9">
        <v>785</v>
      </c>
      <c r="H5391" s="5" t="s">
        <v>21</v>
      </c>
      <c r="I5391" s="5" t="s">
        <v>12361</v>
      </c>
      <c r="J5391" s="12" t="str">
        <f>HYPERLINK("https://www.boe.es/gazeta/dias/1800/09/02/pdfs/GMD-1800-71.pdf#page=3","Abrir facsímil")</f>
        <v>Abrir facsímil</v>
      </c>
      <c r="K5391" s="15" t="s">
        <v>23</v>
      </c>
    </row>
    <row r="5392" spans="1:11" ht="42" customHeight="1">
      <c r="A5392" s="4" t="s">
        <v>12362</v>
      </c>
      <c r="B5392" s="5" t="s">
        <v>12363</v>
      </c>
      <c r="C5392" s="5" t="s">
        <v>18</v>
      </c>
      <c r="D5392" s="5" t="s">
        <v>19</v>
      </c>
      <c r="E5392" s="5" t="s">
        <v>787</v>
      </c>
      <c r="F5392" s="9">
        <v>6</v>
      </c>
      <c r="G5392" s="9">
        <v>59</v>
      </c>
      <c r="H5392" s="5" t="s">
        <v>21</v>
      </c>
      <c r="I5392" s="5" t="s">
        <v>12364</v>
      </c>
      <c r="J5392" s="12" t="str">
        <f>HYPERLINK("https://www.boe.es/gazeta/dias/1800/01/21/pdfs/GMD-1800-6.pdf#page=11","Abrir facsímil")</f>
        <v>Abrir facsímil</v>
      </c>
      <c r="K5392" s="15" t="s">
        <v>23</v>
      </c>
    </row>
    <row r="5393" spans="1:11" ht="42" customHeight="1">
      <c r="A5393" s="4" t="s">
        <v>12365</v>
      </c>
      <c r="B5393" s="5" t="s">
        <v>12366</v>
      </c>
      <c r="C5393" s="5" t="s">
        <v>41</v>
      </c>
      <c r="D5393" s="5" t="s">
        <v>42</v>
      </c>
      <c r="E5393" s="5" t="s">
        <v>184</v>
      </c>
      <c r="F5393" s="9">
        <v>82</v>
      </c>
      <c r="G5393" s="9">
        <v>948</v>
      </c>
      <c r="H5393" s="5" t="s">
        <v>21</v>
      </c>
      <c r="I5393" s="5" t="s">
        <v>12367</v>
      </c>
      <c r="J5393" s="12" t="str">
        <f>HYPERLINK("https://www.boe.es/gazeta/dias/1800/10/10/pdfs/GMD-1800-82.pdf#page=6","Abrir facsímil")</f>
        <v>Abrir facsímil</v>
      </c>
      <c r="K5393" s="15" t="s">
        <v>23</v>
      </c>
    </row>
    <row r="5394" spans="1:11" ht="42" customHeight="1">
      <c r="A5394" s="4" t="s">
        <v>12368</v>
      </c>
      <c r="B5394" s="5" t="s">
        <v>12369</v>
      </c>
      <c r="C5394" s="5" t="s">
        <v>41</v>
      </c>
      <c r="D5394" s="5" t="s">
        <v>42</v>
      </c>
      <c r="E5394" s="5" t="s">
        <v>64</v>
      </c>
      <c r="F5394" s="9">
        <v>54</v>
      </c>
      <c r="G5394" s="9">
        <v>603</v>
      </c>
      <c r="H5394" s="5" t="s">
        <v>21</v>
      </c>
      <c r="I5394" s="5" t="s">
        <v>12370</v>
      </c>
      <c r="J5394" s="12" t="str">
        <f>HYPERLINK("https://www.boe.es/gazeta/dias/1800/07/08/pdfs/GMD-1800-54.pdf#page=7","Abrir facsímil")</f>
        <v>Abrir facsímil</v>
      </c>
      <c r="K5394" s="15" t="s">
        <v>23</v>
      </c>
    </row>
    <row r="5395" spans="1:11" ht="42" customHeight="1">
      <c r="A5395" s="4" t="s">
        <v>12371</v>
      </c>
      <c r="B5395" s="5" t="s">
        <v>12372</v>
      </c>
      <c r="C5395" s="5" t="s">
        <v>18</v>
      </c>
      <c r="D5395" s="5" t="s">
        <v>19</v>
      </c>
      <c r="E5395" s="5" t="s">
        <v>618</v>
      </c>
      <c r="F5395" s="9">
        <v>1</v>
      </c>
      <c r="G5395" s="9">
        <v>3</v>
      </c>
      <c r="H5395" s="5" t="s">
        <v>21</v>
      </c>
      <c r="I5395" s="5" t="s">
        <v>12373</v>
      </c>
      <c r="J5395" s="12" t="str">
        <f>HYPERLINK("https://www.boe.es/gazeta/dias/1800/01/03/pdfs/GMD-1800-1.pdf#page=3","Abrir facsímil")</f>
        <v>Abrir facsímil</v>
      </c>
      <c r="K5395" s="15" t="s">
        <v>23</v>
      </c>
    </row>
    <row r="5396" spans="1:11" ht="42" customHeight="1">
      <c r="A5396" s="4" t="s">
        <v>12371</v>
      </c>
      <c r="B5396" s="5" t="s">
        <v>12372</v>
      </c>
      <c r="C5396" s="5" t="s">
        <v>41</v>
      </c>
      <c r="D5396" s="5" t="s">
        <v>42</v>
      </c>
      <c r="E5396" s="5" t="s">
        <v>244</v>
      </c>
      <c r="F5396" s="9">
        <v>9</v>
      </c>
      <c r="G5396" s="9">
        <v>82</v>
      </c>
      <c r="H5396" s="5" t="s">
        <v>21</v>
      </c>
      <c r="I5396" s="5" t="s">
        <v>12374</v>
      </c>
      <c r="J5396" s="12" t="str">
        <f>HYPERLINK("https://www.boe.es/gazeta/dias/1800/01/31/pdfs/GMD-1800-9.pdf#page=6","Abrir facsímil")</f>
        <v>Abrir facsímil</v>
      </c>
      <c r="K5396" s="15" t="s">
        <v>23</v>
      </c>
    </row>
    <row r="5397" spans="1:11" ht="42" customHeight="1">
      <c r="A5397" s="4" t="s">
        <v>12371</v>
      </c>
      <c r="B5397" s="5" t="s">
        <v>12372</v>
      </c>
      <c r="C5397" s="5" t="s">
        <v>41</v>
      </c>
      <c r="D5397" s="5" t="s">
        <v>42</v>
      </c>
      <c r="E5397" s="5" t="s">
        <v>82</v>
      </c>
      <c r="F5397" s="9">
        <v>10</v>
      </c>
      <c r="G5397" s="9">
        <v>93</v>
      </c>
      <c r="H5397" s="5" t="s">
        <v>21</v>
      </c>
      <c r="I5397" s="5" t="s">
        <v>12375</v>
      </c>
      <c r="J5397" s="12" t="str">
        <f>HYPERLINK("https://www.boe.es/gazeta/dias/1800/02/04/pdfs/GMD-1800-10.pdf#page=5","Abrir facsímil")</f>
        <v>Abrir facsímil</v>
      </c>
      <c r="K5397" s="15" t="s">
        <v>23</v>
      </c>
    </row>
    <row r="5398" spans="1:11" ht="42" customHeight="1">
      <c r="A5398" s="4" t="s">
        <v>12371</v>
      </c>
      <c r="B5398" s="5" t="s">
        <v>12372</v>
      </c>
      <c r="C5398" s="5" t="s">
        <v>41</v>
      </c>
      <c r="D5398" s="5" t="s">
        <v>42</v>
      </c>
      <c r="E5398" s="5" t="s">
        <v>503</v>
      </c>
      <c r="F5398" s="9">
        <v>13</v>
      </c>
      <c r="G5398" s="9">
        <v>122</v>
      </c>
      <c r="H5398" s="5" t="s">
        <v>21</v>
      </c>
      <c r="I5398" s="5" t="s">
        <v>12376</v>
      </c>
      <c r="J5398" s="12" t="str">
        <f>HYPERLINK("https://www.boe.es/gazeta/dias/1800/02/14/pdfs/GMD-1800-13.pdf#page=6","Abrir facsímil")</f>
        <v>Abrir facsímil</v>
      </c>
      <c r="K5398" s="15" t="s">
        <v>23</v>
      </c>
    </row>
    <row r="5399" spans="1:11" ht="42" customHeight="1">
      <c r="A5399" s="4" t="s">
        <v>12371</v>
      </c>
      <c r="B5399" s="5" t="s">
        <v>12372</v>
      </c>
      <c r="C5399" s="5" t="s">
        <v>41</v>
      </c>
      <c r="D5399" s="5" t="s">
        <v>42</v>
      </c>
      <c r="E5399" s="5" t="s">
        <v>86</v>
      </c>
      <c r="F5399" s="9">
        <v>17</v>
      </c>
      <c r="G5399" s="9">
        <v>157</v>
      </c>
      <c r="H5399" s="5" t="s">
        <v>21</v>
      </c>
      <c r="I5399" s="5" t="s">
        <v>12377</v>
      </c>
      <c r="J5399" s="12" t="str">
        <f>HYPERLINK("https://www.boe.es/gazeta/dias/1800/02/28/pdfs/GMD-1800-17.pdf#page=5","Abrir facsímil")</f>
        <v>Abrir facsímil</v>
      </c>
      <c r="K5399" s="15" t="s">
        <v>23</v>
      </c>
    </row>
    <row r="5400" spans="1:11" ht="42" customHeight="1">
      <c r="A5400" s="4" t="s">
        <v>12371</v>
      </c>
      <c r="B5400" s="5" t="s">
        <v>12372</v>
      </c>
      <c r="C5400" s="5" t="s">
        <v>41</v>
      </c>
      <c r="D5400" s="5" t="s">
        <v>42</v>
      </c>
      <c r="E5400" s="5" t="s">
        <v>35</v>
      </c>
      <c r="F5400" s="9">
        <v>21</v>
      </c>
      <c r="G5400" s="9">
        <v>202</v>
      </c>
      <c r="H5400" s="5" t="s">
        <v>21</v>
      </c>
      <c r="I5400" s="5" t="s">
        <v>12378</v>
      </c>
      <c r="J5400" s="12" t="str">
        <f>HYPERLINK("https://www.boe.es/gazeta/dias/1800/03/14/pdfs/GMD-1800-21.pdf#page=6","Abrir facsímil")</f>
        <v>Abrir facsímil</v>
      </c>
      <c r="K5400" s="15" t="s">
        <v>23</v>
      </c>
    </row>
    <row r="5401" spans="1:11" ht="42" customHeight="1">
      <c r="A5401" s="4" t="s">
        <v>12371</v>
      </c>
      <c r="B5401" s="5" t="s">
        <v>12372</v>
      </c>
      <c r="C5401" s="5" t="s">
        <v>41</v>
      </c>
      <c r="D5401" s="5" t="s">
        <v>42</v>
      </c>
      <c r="E5401" s="5" t="s">
        <v>143</v>
      </c>
      <c r="F5401" s="9">
        <v>22</v>
      </c>
      <c r="G5401" s="9">
        <v>215</v>
      </c>
      <c r="H5401" s="5" t="s">
        <v>21</v>
      </c>
      <c r="I5401" s="5" t="s">
        <v>12379</v>
      </c>
      <c r="J5401" s="12" t="str">
        <f>HYPERLINK("https://www.boe.es/gazeta/dias/1800/03/18/pdfs/GMD-1800-22.pdf#page=7","Abrir facsímil")</f>
        <v>Abrir facsímil</v>
      </c>
      <c r="K5401" s="15" t="s">
        <v>23</v>
      </c>
    </row>
    <row r="5402" spans="1:11" ht="42" customHeight="1">
      <c r="A5402" s="4" t="s">
        <v>12371</v>
      </c>
      <c r="B5402" s="5" t="s">
        <v>12372</v>
      </c>
      <c r="C5402" s="5" t="s">
        <v>41</v>
      </c>
      <c r="D5402" s="5" t="s">
        <v>42</v>
      </c>
      <c r="E5402" s="5" t="s">
        <v>346</v>
      </c>
      <c r="F5402" s="9">
        <v>24</v>
      </c>
      <c r="G5402" s="9">
        <v>241</v>
      </c>
      <c r="H5402" s="5" t="s">
        <v>21</v>
      </c>
      <c r="I5402" s="5" t="s">
        <v>12380</v>
      </c>
      <c r="J5402" s="12" t="str">
        <f>HYPERLINK("https://www.boe.es/gazeta/dias/1800/03/25/pdfs/GMD-1800-24.pdf#page=5","Abrir facsímil")</f>
        <v>Abrir facsímil</v>
      </c>
      <c r="K5402" s="15" t="s">
        <v>23</v>
      </c>
    </row>
    <row r="5403" spans="1:11" ht="42" customHeight="1">
      <c r="A5403" s="4" t="s">
        <v>12371</v>
      </c>
      <c r="B5403" s="5" t="s">
        <v>12372</v>
      </c>
      <c r="C5403" s="5" t="s">
        <v>41</v>
      </c>
      <c r="D5403" s="5" t="s">
        <v>42</v>
      </c>
      <c r="E5403" s="5" t="s">
        <v>158</v>
      </c>
      <c r="F5403" s="9">
        <v>25</v>
      </c>
      <c r="G5403" s="9">
        <v>255</v>
      </c>
      <c r="H5403" s="5" t="s">
        <v>21</v>
      </c>
      <c r="I5403" s="5" t="s">
        <v>12381</v>
      </c>
      <c r="J5403" s="12" t="str">
        <f>HYPERLINK("https://www.boe.es/gazeta/dias/1800/03/28/pdfs/GMD-1800-25.pdf#page=7","Abrir facsímil")</f>
        <v>Abrir facsímil</v>
      </c>
      <c r="K5403" s="15" t="s">
        <v>23</v>
      </c>
    </row>
    <row r="5404" spans="1:11" ht="42" customHeight="1">
      <c r="A5404" s="4" t="s">
        <v>12371</v>
      </c>
      <c r="B5404" s="5" t="s">
        <v>12372</v>
      </c>
      <c r="C5404" s="5" t="s">
        <v>18</v>
      </c>
      <c r="D5404" s="5" t="s">
        <v>19</v>
      </c>
      <c r="E5404" s="5" t="s">
        <v>226</v>
      </c>
      <c r="F5404" s="9">
        <v>27</v>
      </c>
      <c r="G5404" s="9">
        <v>277</v>
      </c>
      <c r="H5404" s="5" t="s">
        <v>21</v>
      </c>
      <c r="I5404" s="5" t="s">
        <v>12382</v>
      </c>
      <c r="J5404" s="12" t="str">
        <f>HYPERLINK("https://www.boe.es/gazeta/dias/1800/04/04/pdfs/GMD-1800-27.pdf#page=5","Abrir facsímil")</f>
        <v>Abrir facsímil</v>
      </c>
      <c r="K5404" s="15" t="s">
        <v>23</v>
      </c>
    </row>
    <row r="5405" spans="1:11" ht="42" customHeight="1">
      <c r="A5405" s="4" t="s">
        <v>12371</v>
      </c>
      <c r="B5405" s="5" t="s">
        <v>12372</v>
      </c>
      <c r="C5405" s="5" t="s">
        <v>54</v>
      </c>
      <c r="D5405" s="5" t="s">
        <v>55</v>
      </c>
      <c r="E5405" s="5" t="s">
        <v>226</v>
      </c>
      <c r="F5405" s="9">
        <v>27</v>
      </c>
      <c r="G5405" s="9">
        <v>278</v>
      </c>
      <c r="H5405" s="5" t="s">
        <v>21</v>
      </c>
      <c r="I5405" s="5" t="s">
        <v>12383</v>
      </c>
      <c r="J5405" s="12" t="str">
        <f>HYPERLINK("https://www.boe.es/gazeta/dias/1800/04/04/pdfs/GMD-1800-27.pdf#page=6","Abrir facsímil")</f>
        <v>Abrir facsímil</v>
      </c>
      <c r="K5405" s="15" t="s">
        <v>23</v>
      </c>
    </row>
    <row r="5406" spans="1:11" ht="42" customHeight="1">
      <c r="A5406" s="4" t="s">
        <v>12371</v>
      </c>
      <c r="B5406" s="5" t="s">
        <v>12372</v>
      </c>
      <c r="C5406" s="5" t="s">
        <v>41</v>
      </c>
      <c r="D5406" s="5" t="s">
        <v>42</v>
      </c>
      <c r="E5406" s="5" t="s">
        <v>105</v>
      </c>
      <c r="F5406" s="9">
        <v>28</v>
      </c>
      <c r="G5406" s="9">
        <v>288</v>
      </c>
      <c r="H5406" s="5" t="s">
        <v>21</v>
      </c>
      <c r="I5406" s="5" t="s">
        <v>12384</v>
      </c>
      <c r="J5406" s="12" t="str">
        <f>HYPERLINK("https://www.boe.es/gazeta/dias/1800/04/08/pdfs/GMD-1800-28.pdf#page=4","Abrir facsímil")</f>
        <v>Abrir facsímil</v>
      </c>
      <c r="K5406" s="15" t="s">
        <v>23</v>
      </c>
    </row>
    <row r="5407" spans="1:11" ht="42" customHeight="1">
      <c r="A5407" s="4" t="s">
        <v>12371</v>
      </c>
      <c r="B5407" s="5" t="s">
        <v>12372</v>
      </c>
      <c r="C5407" s="5" t="s">
        <v>41</v>
      </c>
      <c r="D5407" s="5" t="s">
        <v>42</v>
      </c>
      <c r="E5407" s="5" t="s">
        <v>491</v>
      </c>
      <c r="F5407" s="9">
        <v>29</v>
      </c>
      <c r="G5407" s="9">
        <v>297</v>
      </c>
      <c r="H5407" s="5" t="s">
        <v>21</v>
      </c>
      <c r="I5407" s="5" t="s">
        <v>12385</v>
      </c>
      <c r="J5407" s="12" t="str">
        <f>HYPERLINK("https://www.boe.es/gazeta/dias/1800/04/11/pdfs/GMD-1800-29.pdf#page=5","Abrir facsímil")</f>
        <v>Abrir facsímil</v>
      </c>
      <c r="K5407" s="15" t="s">
        <v>23</v>
      </c>
    </row>
    <row r="5408" spans="1:11" ht="42" customHeight="1">
      <c r="A5408" s="4" t="s">
        <v>12371</v>
      </c>
      <c r="B5408" s="5" t="s">
        <v>12372</v>
      </c>
      <c r="C5408" s="5" t="s">
        <v>18</v>
      </c>
      <c r="D5408" s="5" t="s">
        <v>19</v>
      </c>
      <c r="E5408" s="5" t="s">
        <v>356</v>
      </c>
      <c r="F5408" s="9">
        <v>31</v>
      </c>
      <c r="G5408" s="9">
        <v>312</v>
      </c>
      <c r="H5408" s="5" t="s">
        <v>21</v>
      </c>
      <c r="I5408" s="5" t="s">
        <v>12386</v>
      </c>
      <c r="J5408" s="12" t="str">
        <f>HYPERLINK("https://www.boe.es/gazeta/dias/1800/04/18/pdfs/GMD-1800-31.pdf#page=4","Abrir facsímil")</f>
        <v>Abrir facsímil</v>
      </c>
      <c r="K5408" s="15" t="s">
        <v>23</v>
      </c>
    </row>
    <row r="5409" spans="1:11" ht="42" customHeight="1">
      <c r="A5409" s="4" t="s">
        <v>12371</v>
      </c>
      <c r="B5409" s="5" t="s">
        <v>12372</v>
      </c>
      <c r="C5409" s="5" t="s">
        <v>41</v>
      </c>
      <c r="D5409" s="5" t="s">
        <v>42</v>
      </c>
      <c r="E5409" s="5" t="s">
        <v>248</v>
      </c>
      <c r="F5409" s="9">
        <v>33</v>
      </c>
      <c r="G5409" s="9">
        <v>330</v>
      </c>
      <c r="H5409" s="5" t="s">
        <v>21</v>
      </c>
      <c r="I5409" s="5" t="s">
        <v>12387</v>
      </c>
      <c r="J5409" s="12" t="str">
        <f>HYPERLINK("https://www.boe.es/gazeta/dias/1800/04/25/pdfs/GMD-1800-33.pdf#page=6","Abrir facsímil")</f>
        <v>Abrir facsímil</v>
      </c>
      <c r="K5409" s="15" t="s">
        <v>23</v>
      </c>
    </row>
    <row r="5410" spans="1:11" ht="42" customHeight="1">
      <c r="A5410" s="4" t="s">
        <v>12371</v>
      </c>
      <c r="B5410" s="5" t="s">
        <v>12372</v>
      </c>
      <c r="C5410" s="5" t="s">
        <v>41</v>
      </c>
      <c r="D5410" s="5" t="s">
        <v>42</v>
      </c>
      <c r="E5410" s="5" t="s">
        <v>478</v>
      </c>
      <c r="F5410" s="9">
        <v>34</v>
      </c>
      <c r="G5410" s="9">
        <v>343</v>
      </c>
      <c r="H5410" s="5" t="s">
        <v>21</v>
      </c>
      <c r="I5410" s="5" t="s">
        <v>12388</v>
      </c>
      <c r="J5410" s="12" t="str">
        <f>HYPERLINK("https://www.boe.es/gazeta/dias/1800/04/29/pdfs/GMD-1800-34.pdf#page=7","Abrir facsímil")</f>
        <v>Abrir facsímil</v>
      </c>
      <c r="K5410" s="15" t="s">
        <v>23</v>
      </c>
    </row>
    <row r="5411" spans="1:11" ht="42" customHeight="1">
      <c r="A5411" s="4" t="s">
        <v>12371</v>
      </c>
      <c r="B5411" s="5" t="s">
        <v>12372</v>
      </c>
      <c r="C5411" s="5" t="s">
        <v>41</v>
      </c>
      <c r="D5411" s="5" t="s">
        <v>42</v>
      </c>
      <c r="E5411" s="5" t="s">
        <v>230</v>
      </c>
      <c r="F5411" s="9">
        <v>35</v>
      </c>
      <c r="G5411" s="9">
        <v>352</v>
      </c>
      <c r="H5411" s="5" t="s">
        <v>21</v>
      </c>
      <c r="I5411" s="5" t="s">
        <v>12389</v>
      </c>
      <c r="J5411" s="12" t="str">
        <f>HYPERLINK("https://www.boe.es/gazeta/dias/1800/05/02/pdfs/GMD-1800-35.pdf#page=4","Abrir facsímil")</f>
        <v>Abrir facsímil</v>
      </c>
      <c r="K5411" s="15" t="s">
        <v>23</v>
      </c>
    </row>
    <row r="5412" spans="1:11" ht="42" customHeight="1">
      <c r="A5412" s="4" t="s">
        <v>12371</v>
      </c>
      <c r="B5412" s="5" t="s">
        <v>12372</v>
      </c>
      <c r="C5412" s="5" t="s">
        <v>18</v>
      </c>
      <c r="D5412" s="5" t="s">
        <v>19</v>
      </c>
      <c r="E5412" s="5" t="s">
        <v>262</v>
      </c>
      <c r="F5412" s="9">
        <v>39</v>
      </c>
      <c r="G5412" s="9">
        <v>397</v>
      </c>
      <c r="H5412" s="5" t="s">
        <v>21</v>
      </c>
      <c r="I5412" s="5" t="s">
        <v>12390</v>
      </c>
      <c r="J5412" s="12" t="str">
        <f>HYPERLINK("https://www.boe.es/gazeta/dias/1800/05/16/pdfs/GMD-1800-39.pdf#page=5","Abrir facsímil")</f>
        <v>Abrir facsímil</v>
      </c>
      <c r="K5412" s="15" t="s">
        <v>23</v>
      </c>
    </row>
    <row r="5413" spans="1:11" ht="42" customHeight="1">
      <c r="A5413" s="4" t="s">
        <v>12371</v>
      </c>
      <c r="B5413" s="5" t="s">
        <v>12372</v>
      </c>
      <c r="C5413" s="5" t="s">
        <v>41</v>
      </c>
      <c r="D5413" s="5" t="s">
        <v>42</v>
      </c>
      <c r="E5413" s="5" t="s">
        <v>299</v>
      </c>
      <c r="F5413" s="9">
        <v>40</v>
      </c>
      <c r="G5413" s="9">
        <v>408</v>
      </c>
      <c r="H5413" s="5" t="s">
        <v>21</v>
      </c>
      <c r="I5413" s="5" t="s">
        <v>12391</v>
      </c>
      <c r="J5413" s="12" t="str">
        <f>HYPERLINK("https://www.boe.es/gazeta/dias/1800/05/20/pdfs/GMD-1800-40.pdf#page=4","Abrir facsímil")</f>
        <v>Abrir facsímil</v>
      </c>
      <c r="K5413" s="15" t="s">
        <v>23</v>
      </c>
    </row>
    <row r="5414" spans="1:11" ht="42" customHeight="1">
      <c r="A5414" s="4" t="s">
        <v>12371</v>
      </c>
      <c r="B5414" s="5" t="s">
        <v>12372</v>
      </c>
      <c r="C5414" s="5" t="s">
        <v>41</v>
      </c>
      <c r="D5414" s="5" t="s">
        <v>42</v>
      </c>
      <c r="E5414" s="5" t="s">
        <v>214</v>
      </c>
      <c r="F5414" s="9">
        <v>41</v>
      </c>
      <c r="G5414" s="9">
        <v>420</v>
      </c>
      <c r="H5414" s="5" t="s">
        <v>21</v>
      </c>
      <c r="I5414" s="5" t="s">
        <v>12392</v>
      </c>
      <c r="J5414" s="12" t="str">
        <f>HYPERLINK("https://www.boe.es/gazeta/dias/1800/05/23/pdfs/GMD-1800-41.pdf#page=4","Abrir facsímil")</f>
        <v>Abrir facsímil</v>
      </c>
      <c r="K5414" s="15" t="s">
        <v>23</v>
      </c>
    </row>
    <row r="5415" spans="1:11" ht="42" customHeight="1">
      <c r="A5415" s="4" t="s">
        <v>12371</v>
      </c>
      <c r="B5415" s="5" t="s">
        <v>12372</v>
      </c>
      <c r="C5415" s="5" t="s">
        <v>41</v>
      </c>
      <c r="D5415" s="5" t="s">
        <v>42</v>
      </c>
      <c r="E5415" s="5" t="s">
        <v>39</v>
      </c>
      <c r="F5415" s="9">
        <v>43</v>
      </c>
      <c r="G5415" s="9">
        <v>445</v>
      </c>
      <c r="H5415" s="5" t="s">
        <v>21</v>
      </c>
      <c r="I5415" s="5" t="s">
        <v>12393</v>
      </c>
      <c r="J5415" s="12" t="str">
        <f>HYPERLINK("https://www.boe.es/gazeta/dias/1800/05/30/pdfs/GMD-1800-43.pdf#page=5","Abrir facsímil")</f>
        <v>Abrir facsímil</v>
      </c>
      <c r="K5415" s="15" t="s">
        <v>23</v>
      </c>
    </row>
    <row r="5416" spans="1:11" ht="42" customHeight="1">
      <c r="A5416" s="4" t="s">
        <v>12371</v>
      </c>
      <c r="B5416" s="5" t="s">
        <v>12372</v>
      </c>
      <c r="C5416" s="5" t="s">
        <v>84</v>
      </c>
      <c r="D5416" s="5" t="s">
        <v>85</v>
      </c>
      <c r="E5416" s="5" t="s">
        <v>39</v>
      </c>
      <c r="F5416" s="9">
        <v>43</v>
      </c>
      <c r="G5416" s="9">
        <v>446</v>
      </c>
      <c r="H5416" s="5" t="s">
        <v>21</v>
      </c>
      <c r="I5416" s="5" t="s">
        <v>12394</v>
      </c>
      <c r="J5416" s="12" t="str">
        <f>HYPERLINK("https://www.boe.es/gazeta/dias/1800/05/30/pdfs/GMD-1800-43.pdf#page=6","Abrir facsímil")</f>
        <v>Abrir facsímil</v>
      </c>
      <c r="K5416" s="15" t="s">
        <v>23</v>
      </c>
    </row>
    <row r="5417" spans="1:11" ht="42" customHeight="1">
      <c r="A5417" s="4" t="s">
        <v>12371</v>
      </c>
      <c r="B5417" s="5" t="s">
        <v>12372</v>
      </c>
      <c r="C5417" s="5" t="s">
        <v>41</v>
      </c>
      <c r="D5417" s="5" t="s">
        <v>42</v>
      </c>
      <c r="E5417" s="5" t="s">
        <v>406</v>
      </c>
      <c r="F5417" s="9">
        <v>44</v>
      </c>
      <c r="G5417" s="9">
        <v>454</v>
      </c>
      <c r="H5417" s="5" t="s">
        <v>21</v>
      </c>
      <c r="I5417" s="5" t="s">
        <v>12395</v>
      </c>
      <c r="J5417" s="12" t="str">
        <f>HYPERLINK("https://www.boe.es/gazeta/dias/1800/06/03/pdfs/GMD-1800-44.pdf#page=2","Abrir facsímil")</f>
        <v>Abrir facsímil</v>
      </c>
      <c r="K5417" s="15" t="s">
        <v>23</v>
      </c>
    </row>
    <row r="5418" spans="1:11" ht="42" customHeight="1">
      <c r="A5418" s="4" t="s">
        <v>12371</v>
      </c>
      <c r="B5418" s="5" t="s">
        <v>12372</v>
      </c>
      <c r="C5418" s="5" t="s">
        <v>41</v>
      </c>
      <c r="D5418" s="5" t="s">
        <v>42</v>
      </c>
      <c r="E5418" s="5" t="s">
        <v>406</v>
      </c>
      <c r="F5418" s="9">
        <v>44</v>
      </c>
      <c r="G5418" s="9">
        <v>458</v>
      </c>
      <c r="H5418" s="5" t="s">
        <v>21</v>
      </c>
      <c r="I5418" s="5" t="s">
        <v>12396</v>
      </c>
      <c r="J5418" s="12" t="str">
        <f>HYPERLINK("https://www.boe.es/gazeta/dias/1800/06/03/pdfs/GMD-1800-44.pdf#page=6","Abrir facsímil")</f>
        <v>Abrir facsímil</v>
      </c>
      <c r="K5418" s="15" t="s">
        <v>23</v>
      </c>
    </row>
    <row r="5419" spans="1:11" ht="42" customHeight="1">
      <c r="A5419" s="4" t="s">
        <v>12371</v>
      </c>
      <c r="B5419" s="5" t="s">
        <v>12372</v>
      </c>
      <c r="C5419" s="5" t="s">
        <v>41</v>
      </c>
      <c r="D5419" s="5" t="s">
        <v>42</v>
      </c>
      <c r="E5419" s="5" t="s">
        <v>600</v>
      </c>
      <c r="F5419" s="9">
        <v>45</v>
      </c>
      <c r="G5419" s="9">
        <v>467</v>
      </c>
      <c r="H5419" s="5" t="s">
        <v>21</v>
      </c>
      <c r="I5419" s="5" t="s">
        <v>12397</v>
      </c>
      <c r="J5419" s="12" t="str">
        <f>HYPERLINK("https://www.boe.es/gazeta/dias/1800/06/06/pdfs/GMD-1800-45.pdf#page=3","Abrir facsímil")</f>
        <v>Abrir facsímil</v>
      </c>
      <c r="K5419" s="15" t="s">
        <v>23</v>
      </c>
    </row>
    <row r="5420" spans="1:11" ht="42" customHeight="1">
      <c r="A5420" s="4" t="s">
        <v>12371</v>
      </c>
      <c r="B5420" s="5" t="s">
        <v>12372</v>
      </c>
      <c r="C5420" s="5" t="s">
        <v>41</v>
      </c>
      <c r="D5420" s="5" t="s">
        <v>42</v>
      </c>
      <c r="E5420" s="5" t="s">
        <v>600</v>
      </c>
      <c r="F5420" s="9">
        <v>45</v>
      </c>
      <c r="G5420" s="9">
        <v>469</v>
      </c>
      <c r="H5420" s="5" t="s">
        <v>21</v>
      </c>
      <c r="I5420" s="5" t="s">
        <v>12398</v>
      </c>
      <c r="J5420" s="12" t="str">
        <f>HYPERLINK("https://www.boe.es/gazeta/dias/1800/06/06/pdfs/GMD-1800-45.pdf#page=5","Abrir facsímil")</f>
        <v>Abrir facsímil</v>
      </c>
      <c r="K5420" s="15" t="s">
        <v>23</v>
      </c>
    </row>
    <row r="5421" spans="1:11" ht="42" customHeight="1">
      <c r="A5421" s="4" t="s">
        <v>12371</v>
      </c>
      <c r="B5421" s="5" t="s">
        <v>12372</v>
      </c>
      <c r="C5421" s="5" t="s">
        <v>41</v>
      </c>
      <c r="D5421" s="5" t="s">
        <v>42</v>
      </c>
      <c r="E5421" s="5" t="s">
        <v>43</v>
      </c>
      <c r="F5421" s="9">
        <v>46</v>
      </c>
      <c r="G5421" s="9">
        <v>483</v>
      </c>
      <c r="H5421" s="5" t="s">
        <v>21</v>
      </c>
      <c r="I5421" s="5" t="s">
        <v>12399</v>
      </c>
      <c r="J5421" s="12" t="str">
        <f>HYPERLINK("https://www.boe.es/gazeta/dias/1800/06/10/pdfs/GMD-1800-46.pdf#page=7","Abrir facsímil")</f>
        <v>Abrir facsímil</v>
      </c>
      <c r="K5421" s="15" t="s">
        <v>23</v>
      </c>
    </row>
    <row r="5422" spans="1:11" ht="42" customHeight="1">
      <c r="A5422" s="4" t="s">
        <v>12371</v>
      </c>
      <c r="B5422" s="5" t="s">
        <v>12372</v>
      </c>
      <c r="C5422" s="5" t="s">
        <v>41</v>
      </c>
      <c r="D5422" s="5" t="s">
        <v>42</v>
      </c>
      <c r="E5422" s="5" t="s">
        <v>43</v>
      </c>
      <c r="F5422" s="9">
        <v>46</v>
      </c>
      <c r="G5422" s="9">
        <v>484</v>
      </c>
      <c r="H5422" s="5" t="s">
        <v>21</v>
      </c>
      <c r="I5422" s="5" t="s">
        <v>12400</v>
      </c>
      <c r="J5422" s="12" t="str">
        <f>HYPERLINK("https://www.boe.es/gazeta/dias/1800/06/10/pdfs/GMD-1800-46.pdf#page=8","Abrir facsímil")</f>
        <v>Abrir facsímil</v>
      </c>
      <c r="K5422" s="15" t="s">
        <v>23</v>
      </c>
    </row>
    <row r="5423" spans="1:11" ht="42" customHeight="1">
      <c r="A5423" s="4" t="s">
        <v>12371</v>
      </c>
      <c r="B5423" s="5" t="s">
        <v>12372</v>
      </c>
      <c r="C5423" s="5" t="s">
        <v>41</v>
      </c>
      <c r="D5423" s="5" t="s">
        <v>42</v>
      </c>
      <c r="E5423" s="5" t="s">
        <v>45</v>
      </c>
      <c r="F5423" s="9">
        <v>47</v>
      </c>
      <c r="G5423" s="9">
        <v>498</v>
      </c>
      <c r="H5423" s="5" t="s">
        <v>21</v>
      </c>
      <c r="I5423" s="5" t="s">
        <v>12401</v>
      </c>
      <c r="J5423" s="12" t="str">
        <f>HYPERLINK("https://www.boe.es/gazeta/dias/1800/06/13/pdfs/GMD-1800-47.pdf#page=6","Abrir facsímil")</f>
        <v>Abrir facsímil</v>
      </c>
      <c r="K5423" s="15" t="s">
        <v>23</v>
      </c>
    </row>
    <row r="5424" spans="1:11" ht="42" customHeight="1">
      <c r="A5424" s="4" t="s">
        <v>12371</v>
      </c>
      <c r="B5424" s="5" t="s">
        <v>12372</v>
      </c>
      <c r="C5424" s="5" t="s">
        <v>18</v>
      </c>
      <c r="D5424" s="5" t="s">
        <v>19</v>
      </c>
      <c r="E5424" s="5" t="s">
        <v>45</v>
      </c>
      <c r="F5424" s="9">
        <v>47</v>
      </c>
      <c r="G5424" s="9">
        <v>499</v>
      </c>
      <c r="H5424" s="5" t="s">
        <v>21</v>
      </c>
      <c r="I5424" s="5" t="s">
        <v>12402</v>
      </c>
      <c r="J5424" s="12" t="str">
        <f>HYPERLINK("https://www.boe.es/gazeta/dias/1800/06/13/pdfs/GMD-1800-47.pdf#page=7","Abrir facsímil")</f>
        <v>Abrir facsímil</v>
      </c>
      <c r="K5424" s="15" t="s">
        <v>23</v>
      </c>
    </row>
    <row r="5425" spans="1:11" ht="42" customHeight="1">
      <c r="A5425" s="4" t="s">
        <v>12371</v>
      </c>
      <c r="B5425" s="5" t="s">
        <v>12372</v>
      </c>
      <c r="C5425" s="5" t="s">
        <v>25</v>
      </c>
      <c r="D5425" s="5" t="s">
        <v>26</v>
      </c>
      <c r="E5425" s="5" t="s">
        <v>465</v>
      </c>
      <c r="F5425" s="9">
        <v>49</v>
      </c>
      <c r="G5425" s="9">
        <v>531</v>
      </c>
      <c r="H5425" s="5" t="s">
        <v>21</v>
      </c>
      <c r="I5425" s="5" t="s">
        <v>12403</v>
      </c>
      <c r="J5425" s="12" t="str">
        <f>HYPERLINK("https://www.boe.es/gazeta/dias/1800/06/20/pdfs/GMD-1800-49.pdf#page=7","Abrir facsímil")</f>
        <v>Abrir facsímil</v>
      </c>
      <c r="K5425" s="15" t="s">
        <v>23</v>
      </c>
    </row>
    <row r="5426" spans="1:11" ht="42" customHeight="1">
      <c r="A5426" s="4" t="s">
        <v>12371</v>
      </c>
      <c r="B5426" s="5" t="s">
        <v>12372</v>
      </c>
      <c r="C5426" s="5" t="s">
        <v>41</v>
      </c>
      <c r="D5426" s="5" t="s">
        <v>42</v>
      </c>
      <c r="E5426" s="5" t="s">
        <v>823</v>
      </c>
      <c r="F5426" s="9">
        <v>50</v>
      </c>
      <c r="G5426" s="9">
        <v>538</v>
      </c>
      <c r="H5426" s="5" t="s">
        <v>21</v>
      </c>
      <c r="I5426" s="5" t="s">
        <v>12404</v>
      </c>
      <c r="J5426" s="12" t="str">
        <f>HYPERLINK("https://www.boe.es/gazeta/dias/1800/06/24/pdfs/GMD-1800-50.pdf#page=2","Abrir facsímil")</f>
        <v>Abrir facsímil</v>
      </c>
      <c r="K5426" s="15" t="s">
        <v>23</v>
      </c>
    </row>
    <row r="5427" spans="1:11" ht="42" customHeight="1">
      <c r="A5427" s="4" t="s">
        <v>12371</v>
      </c>
      <c r="B5427" s="5" t="s">
        <v>12372</v>
      </c>
      <c r="C5427" s="5" t="s">
        <v>41</v>
      </c>
      <c r="D5427" s="5" t="s">
        <v>42</v>
      </c>
      <c r="E5427" s="5" t="s">
        <v>823</v>
      </c>
      <c r="F5427" s="9">
        <v>50</v>
      </c>
      <c r="G5427" s="9">
        <v>541</v>
      </c>
      <c r="H5427" s="5" t="s">
        <v>21</v>
      </c>
      <c r="I5427" s="5" t="s">
        <v>12405</v>
      </c>
      <c r="J5427" s="12" t="str">
        <f>HYPERLINK("https://www.boe.es/gazeta/dias/1800/06/24/pdfs/GMD-1800-50.pdf#page=5","Abrir facsímil")</f>
        <v>Abrir facsímil</v>
      </c>
      <c r="K5427" s="15" t="s">
        <v>23</v>
      </c>
    </row>
    <row r="5428" spans="1:11" ht="42" customHeight="1">
      <c r="A5428" s="4" t="s">
        <v>12371</v>
      </c>
      <c r="B5428" s="5" t="s">
        <v>12372</v>
      </c>
      <c r="C5428" s="5" t="s">
        <v>41</v>
      </c>
      <c r="D5428" s="5" t="s">
        <v>42</v>
      </c>
      <c r="E5428" s="5" t="s">
        <v>825</v>
      </c>
      <c r="F5428" s="9">
        <v>51</v>
      </c>
      <c r="G5428" s="9">
        <v>552</v>
      </c>
      <c r="H5428" s="5" t="s">
        <v>21</v>
      </c>
      <c r="I5428" s="5" t="s">
        <v>12406</v>
      </c>
      <c r="J5428" s="12" t="str">
        <f>HYPERLINK("https://www.boe.es/gazeta/dias/1800/06/27/pdfs/GMD-1800-51.pdf#page=4","Abrir facsímil")</f>
        <v>Abrir facsímil</v>
      </c>
      <c r="K5428" s="15" t="s">
        <v>23</v>
      </c>
    </row>
    <row r="5429" spans="1:11" ht="42" customHeight="1">
      <c r="A5429" s="4" t="s">
        <v>12371</v>
      </c>
      <c r="B5429" s="5" t="s">
        <v>12372</v>
      </c>
      <c r="C5429" s="5" t="s">
        <v>41</v>
      </c>
      <c r="D5429" s="5" t="s">
        <v>42</v>
      </c>
      <c r="E5429" s="5" t="s">
        <v>120</v>
      </c>
      <c r="F5429" s="9">
        <v>52</v>
      </c>
      <c r="G5429" s="9">
        <v>566</v>
      </c>
      <c r="H5429" s="5" t="s">
        <v>21</v>
      </c>
      <c r="I5429" s="5" t="s">
        <v>12407</v>
      </c>
      <c r="J5429" s="12" t="str">
        <f>HYPERLINK("https://www.boe.es/gazeta/dias/1800/07/01/pdfs/GMD-1800-52.pdf#page=2","Abrir facsímil")</f>
        <v>Abrir facsímil</v>
      </c>
      <c r="K5429" s="15" t="s">
        <v>23</v>
      </c>
    </row>
    <row r="5430" spans="1:11" ht="42" customHeight="1">
      <c r="A5430" s="4" t="s">
        <v>12371</v>
      </c>
      <c r="B5430" s="5" t="s">
        <v>12372</v>
      </c>
      <c r="C5430" s="5" t="s">
        <v>54</v>
      </c>
      <c r="D5430" s="5" t="s">
        <v>55</v>
      </c>
      <c r="E5430" s="5" t="s">
        <v>120</v>
      </c>
      <c r="F5430" s="9">
        <v>52</v>
      </c>
      <c r="G5430" s="9">
        <v>567</v>
      </c>
      <c r="H5430" s="5" t="s">
        <v>21</v>
      </c>
      <c r="I5430" s="5" t="s">
        <v>12408</v>
      </c>
      <c r="J5430" s="12" t="str">
        <f>HYPERLINK("https://www.boe.es/gazeta/dias/1800/07/01/pdfs/GMD-1800-52.pdf#page=3","Abrir facsímil")</f>
        <v>Abrir facsímil</v>
      </c>
      <c r="K5430" s="15" t="s">
        <v>23</v>
      </c>
    </row>
    <row r="5431" spans="1:11" ht="42" customHeight="1">
      <c r="A5431" s="4" t="s">
        <v>12371</v>
      </c>
      <c r="B5431" s="5" t="s">
        <v>12372</v>
      </c>
      <c r="C5431" s="5" t="s">
        <v>41</v>
      </c>
      <c r="D5431" s="5" t="s">
        <v>42</v>
      </c>
      <c r="E5431" s="5" t="s">
        <v>120</v>
      </c>
      <c r="F5431" s="9">
        <v>52</v>
      </c>
      <c r="G5431" s="9">
        <v>568</v>
      </c>
      <c r="H5431" s="5" t="s">
        <v>21</v>
      </c>
      <c r="I5431" s="5" t="s">
        <v>12409</v>
      </c>
      <c r="J5431" s="12" t="str">
        <f>HYPERLINK("https://www.boe.es/gazeta/dias/1800/07/01/pdfs/GMD-1800-52.pdf#page=4","Abrir facsímil")</f>
        <v>Abrir facsímil</v>
      </c>
      <c r="K5431" s="15" t="s">
        <v>23</v>
      </c>
    </row>
    <row r="5432" spans="1:11" ht="42" customHeight="1">
      <c r="A5432" s="4" t="s">
        <v>12371</v>
      </c>
      <c r="B5432" s="5" t="s">
        <v>12372</v>
      </c>
      <c r="C5432" s="5" t="s">
        <v>41</v>
      </c>
      <c r="D5432" s="5" t="s">
        <v>42</v>
      </c>
      <c r="E5432" s="5" t="s">
        <v>828</v>
      </c>
      <c r="F5432" s="9">
        <v>53</v>
      </c>
      <c r="G5432" s="9">
        <v>585</v>
      </c>
      <c r="H5432" s="5" t="s">
        <v>21</v>
      </c>
      <c r="I5432" s="5" t="s">
        <v>12410</v>
      </c>
      <c r="J5432" s="12" t="str">
        <f>HYPERLINK("https://www.boe.es/gazeta/dias/1800/07/04/pdfs/GMD-1800-53.pdf#page=5","Abrir facsímil")</f>
        <v>Abrir facsímil</v>
      </c>
      <c r="K5432" s="15" t="s">
        <v>23</v>
      </c>
    </row>
    <row r="5433" spans="1:11" ht="42" customHeight="1">
      <c r="A5433" s="4" t="s">
        <v>12371</v>
      </c>
      <c r="B5433" s="5" t="s">
        <v>12372</v>
      </c>
      <c r="C5433" s="5" t="s">
        <v>41</v>
      </c>
      <c r="D5433" s="5" t="s">
        <v>42</v>
      </c>
      <c r="E5433" s="5" t="s">
        <v>64</v>
      </c>
      <c r="F5433" s="9">
        <v>54</v>
      </c>
      <c r="G5433" s="9">
        <v>598</v>
      </c>
      <c r="H5433" s="5" t="s">
        <v>21</v>
      </c>
      <c r="I5433" s="5" t="s">
        <v>12411</v>
      </c>
      <c r="J5433" s="12" t="str">
        <f>HYPERLINK("https://www.boe.es/gazeta/dias/1800/07/08/pdfs/GMD-1800-54.pdf#page=2","Abrir facsímil")</f>
        <v>Abrir facsímil</v>
      </c>
      <c r="K5433" s="15" t="s">
        <v>23</v>
      </c>
    </row>
    <row r="5434" spans="1:11" ht="42" customHeight="1">
      <c r="A5434" s="4" t="s">
        <v>12371</v>
      </c>
      <c r="B5434" s="5" t="s">
        <v>12372</v>
      </c>
      <c r="C5434" s="5" t="s">
        <v>41</v>
      </c>
      <c r="D5434" s="5" t="s">
        <v>42</v>
      </c>
      <c r="E5434" s="5" t="s">
        <v>64</v>
      </c>
      <c r="F5434" s="9">
        <v>54</v>
      </c>
      <c r="G5434" s="9">
        <v>601</v>
      </c>
      <c r="H5434" s="5" t="s">
        <v>21</v>
      </c>
      <c r="I5434" s="5" t="s">
        <v>12412</v>
      </c>
      <c r="J5434" s="12" t="str">
        <f>HYPERLINK("https://www.boe.es/gazeta/dias/1800/07/08/pdfs/GMD-1800-54.pdf#page=5","Abrir facsímil")</f>
        <v>Abrir facsímil</v>
      </c>
      <c r="K5434" s="15" t="s">
        <v>23</v>
      </c>
    </row>
    <row r="5435" spans="1:11" ht="42" customHeight="1">
      <c r="A5435" s="4" t="s">
        <v>12371</v>
      </c>
      <c r="B5435" s="5" t="s">
        <v>12372</v>
      </c>
      <c r="C5435" s="5" t="s">
        <v>41</v>
      </c>
      <c r="D5435" s="5" t="s">
        <v>42</v>
      </c>
      <c r="E5435" s="5" t="s">
        <v>64</v>
      </c>
      <c r="F5435" s="9">
        <v>54</v>
      </c>
      <c r="G5435" s="9">
        <v>604</v>
      </c>
      <c r="H5435" s="5" t="s">
        <v>21</v>
      </c>
      <c r="I5435" s="5" t="s">
        <v>12413</v>
      </c>
      <c r="J5435" s="12" t="str">
        <f>HYPERLINK("https://www.boe.es/gazeta/dias/1800/07/08/pdfs/GMD-1800-54.pdf#page=8","Abrir facsímil")</f>
        <v>Abrir facsímil</v>
      </c>
      <c r="K5435" s="15" t="s">
        <v>23</v>
      </c>
    </row>
    <row r="5436" spans="1:11" ht="42" customHeight="1">
      <c r="A5436" s="4" t="s">
        <v>12371</v>
      </c>
      <c r="B5436" s="5" t="s">
        <v>12372</v>
      </c>
      <c r="C5436" s="5" t="s">
        <v>54</v>
      </c>
      <c r="D5436" s="5" t="s">
        <v>55</v>
      </c>
      <c r="E5436" s="5" t="s">
        <v>530</v>
      </c>
      <c r="F5436" s="9">
        <v>55</v>
      </c>
      <c r="G5436" s="9">
        <v>618</v>
      </c>
      <c r="H5436" s="5" t="s">
        <v>21</v>
      </c>
      <c r="I5436" s="5" t="s">
        <v>12414</v>
      </c>
      <c r="J5436" s="12" t="str">
        <f>HYPERLINK("https://www.boe.es/gazeta/dias/1800/07/11/pdfs/GMD-1800-55.pdf#page=6","Abrir facsímil")</f>
        <v>Abrir facsímil</v>
      </c>
      <c r="K5436" s="15" t="s">
        <v>23</v>
      </c>
    </row>
    <row r="5437" spans="1:11" ht="42" customHeight="1">
      <c r="A5437" s="4" t="s">
        <v>12371</v>
      </c>
      <c r="B5437" s="5" t="s">
        <v>12372</v>
      </c>
      <c r="C5437" s="5" t="s">
        <v>41</v>
      </c>
      <c r="D5437" s="5" t="s">
        <v>42</v>
      </c>
      <c r="E5437" s="5" t="s">
        <v>1287</v>
      </c>
      <c r="F5437" s="9">
        <v>57</v>
      </c>
      <c r="G5437" s="9">
        <v>639</v>
      </c>
      <c r="H5437" s="5" t="s">
        <v>21</v>
      </c>
      <c r="I5437" s="5" t="s">
        <v>12415</v>
      </c>
      <c r="J5437" s="12" t="str">
        <f>HYPERLINK("https://www.boe.es/gazeta/dias/1800/07/18/pdfs/GMD-1800-57.pdf#page=3","Abrir facsímil")</f>
        <v>Abrir facsímil</v>
      </c>
      <c r="K5437" s="15" t="s">
        <v>23</v>
      </c>
    </row>
    <row r="5438" spans="1:11" ht="42" customHeight="1">
      <c r="A5438" s="4" t="s">
        <v>12371</v>
      </c>
      <c r="B5438" s="5" t="s">
        <v>12372</v>
      </c>
      <c r="C5438" s="5" t="s">
        <v>41</v>
      </c>
      <c r="D5438" s="5" t="s">
        <v>42</v>
      </c>
      <c r="E5438" s="5" t="s">
        <v>1287</v>
      </c>
      <c r="F5438" s="9">
        <v>57</v>
      </c>
      <c r="G5438" s="9">
        <v>640</v>
      </c>
      <c r="H5438" s="5" t="s">
        <v>21</v>
      </c>
      <c r="I5438" s="5" t="s">
        <v>12416</v>
      </c>
      <c r="J5438" s="12" t="str">
        <f>HYPERLINK("https://www.boe.es/gazeta/dias/1800/07/18/pdfs/GMD-1800-57.pdf#page=4","Abrir facsímil")</f>
        <v>Abrir facsímil</v>
      </c>
      <c r="K5438" s="15" t="s">
        <v>23</v>
      </c>
    </row>
    <row r="5439" spans="1:11" ht="42" customHeight="1">
      <c r="A5439" s="4" t="s">
        <v>12371</v>
      </c>
      <c r="B5439" s="5" t="s">
        <v>12372</v>
      </c>
      <c r="C5439" s="5" t="s">
        <v>54</v>
      </c>
      <c r="D5439" s="5" t="s">
        <v>55</v>
      </c>
      <c r="E5439" s="5" t="s">
        <v>90</v>
      </c>
      <c r="F5439" s="9">
        <v>58</v>
      </c>
      <c r="G5439" s="9">
        <v>658</v>
      </c>
      <c r="H5439" s="5" t="s">
        <v>21</v>
      </c>
      <c r="I5439" s="5" t="s">
        <v>12417</v>
      </c>
      <c r="J5439" s="12" t="str">
        <f>HYPERLINK("https://www.boe.es/gazeta/dias/1800/07/22/pdfs/GMD-1800-58.pdf#page=6","Abrir facsímil")</f>
        <v>Abrir facsímil</v>
      </c>
      <c r="K5439" s="15" t="s">
        <v>23</v>
      </c>
    </row>
    <row r="5440" spans="1:11" ht="42" customHeight="1">
      <c r="A5440" s="4" t="s">
        <v>12371</v>
      </c>
      <c r="B5440" s="5" t="s">
        <v>12372</v>
      </c>
      <c r="C5440" s="5" t="s">
        <v>41</v>
      </c>
      <c r="D5440" s="5" t="s">
        <v>42</v>
      </c>
      <c r="E5440" s="5" t="s">
        <v>1294</v>
      </c>
      <c r="F5440" s="9">
        <v>59</v>
      </c>
      <c r="G5440" s="9">
        <v>673</v>
      </c>
      <c r="H5440" s="5" t="s">
        <v>21</v>
      </c>
      <c r="I5440" s="5" t="s">
        <v>12418</v>
      </c>
      <c r="J5440" s="12" t="str">
        <f>HYPERLINK("https://www.boe.es/gazeta/dias/1800/07/25/pdfs/GMD-1800-59.pdf#page=5","Abrir facsímil")</f>
        <v>Abrir facsímil</v>
      </c>
      <c r="K5440" s="15" t="s">
        <v>23</v>
      </c>
    </row>
    <row r="5441" spans="1:11" ht="42" customHeight="1">
      <c r="A5441" s="4" t="s">
        <v>12371</v>
      </c>
      <c r="B5441" s="5" t="s">
        <v>12372</v>
      </c>
      <c r="C5441" s="5" t="s">
        <v>41</v>
      </c>
      <c r="D5441" s="5" t="s">
        <v>42</v>
      </c>
      <c r="E5441" s="5" t="s">
        <v>154</v>
      </c>
      <c r="F5441" s="9">
        <v>61</v>
      </c>
      <c r="G5441" s="9">
        <v>691</v>
      </c>
      <c r="H5441" s="5" t="s">
        <v>21</v>
      </c>
      <c r="I5441" s="5" t="s">
        <v>12419</v>
      </c>
      <c r="J5441" s="12" t="str">
        <f>HYPERLINK("https://www.boe.es/gazeta/dias/1800/08/01/pdfs/GMD-1800-61.pdf#page=3","Abrir facsímil")</f>
        <v>Abrir facsímil</v>
      </c>
      <c r="K5441" s="15" t="s">
        <v>23</v>
      </c>
    </row>
    <row r="5442" spans="1:11" ht="42" customHeight="1">
      <c r="A5442" s="4" t="s">
        <v>12371</v>
      </c>
      <c r="B5442" s="5" t="s">
        <v>12372</v>
      </c>
      <c r="C5442" s="5" t="s">
        <v>41</v>
      </c>
      <c r="D5442" s="5" t="s">
        <v>42</v>
      </c>
      <c r="E5442" s="5" t="s">
        <v>154</v>
      </c>
      <c r="F5442" s="9">
        <v>61</v>
      </c>
      <c r="G5442" s="9">
        <v>693</v>
      </c>
      <c r="H5442" s="5" t="s">
        <v>21</v>
      </c>
      <c r="I5442" s="5" t="s">
        <v>12420</v>
      </c>
      <c r="J5442" s="12" t="str">
        <f>HYPERLINK("https://www.boe.es/gazeta/dias/1800/08/01/pdfs/GMD-1800-61.pdf#page=5","Abrir facsímil")</f>
        <v>Abrir facsímil</v>
      </c>
      <c r="K5442" s="15" t="s">
        <v>23</v>
      </c>
    </row>
    <row r="5443" spans="1:11" ht="42" customHeight="1">
      <c r="A5443" s="4" t="s">
        <v>12371</v>
      </c>
      <c r="B5443" s="5" t="s">
        <v>12372</v>
      </c>
      <c r="C5443" s="5" t="s">
        <v>41</v>
      </c>
      <c r="D5443" s="5" t="s">
        <v>42</v>
      </c>
      <c r="E5443" s="5" t="s">
        <v>319</v>
      </c>
      <c r="F5443" s="9">
        <v>62</v>
      </c>
      <c r="G5443" s="9">
        <v>703</v>
      </c>
      <c r="H5443" s="5" t="s">
        <v>21</v>
      </c>
      <c r="I5443" s="5" t="s">
        <v>12421</v>
      </c>
      <c r="J5443" s="12" t="str">
        <f>HYPERLINK("https://www.boe.es/gazeta/dias/1800/08/05/pdfs/GMD-1800-62.pdf#page=3","Abrir facsímil")</f>
        <v>Abrir facsímil</v>
      </c>
      <c r="K5443" s="15" t="s">
        <v>23</v>
      </c>
    </row>
    <row r="5444" spans="1:11" ht="42" customHeight="1">
      <c r="A5444" s="4" t="s">
        <v>12371</v>
      </c>
      <c r="B5444" s="5" t="s">
        <v>12372</v>
      </c>
      <c r="C5444" s="5" t="s">
        <v>54</v>
      </c>
      <c r="D5444" s="5" t="s">
        <v>55</v>
      </c>
      <c r="E5444" s="5" t="s">
        <v>319</v>
      </c>
      <c r="F5444" s="9">
        <v>62</v>
      </c>
      <c r="G5444" s="9">
        <v>705</v>
      </c>
      <c r="H5444" s="5" t="s">
        <v>21</v>
      </c>
      <c r="I5444" s="5" t="s">
        <v>12422</v>
      </c>
      <c r="J5444" s="12" t="str">
        <f>HYPERLINK("https://www.boe.es/gazeta/dias/1800/08/05/pdfs/GMD-1800-62.pdf#page=5","Abrir facsímil")</f>
        <v>Abrir facsímil</v>
      </c>
      <c r="K5444" s="15" t="s">
        <v>23</v>
      </c>
    </row>
    <row r="5445" spans="1:11" ht="42" customHeight="1">
      <c r="A5445" s="4" t="s">
        <v>12371</v>
      </c>
      <c r="B5445" s="5" t="s">
        <v>12372</v>
      </c>
      <c r="C5445" s="5" t="s">
        <v>41</v>
      </c>
      <c r="D5445" s="5" t="s">
        <v>42</v>
      </c>
      <c r="E5445" s="5" t="s">
        <v>454</v>
      </c>
      <c r="F5445" s="9">
        <v>63</v>
      </c>
      <c r="G5445" s="9">
        <v>714</v>
      </c>
      <c r="H5445" s="5" t="s">
        <v>21</v>
      </c>
      <c r="I5445" s="5" t="s">
        <v>12423</v>
      </c>
      <c r="J5445" s="12" t="str">
        <f>HYPERLINK("https://www.boe.es/gazeta/dias/1800/08/08/pdfs/GMD-1800-63.pdf#page=2","Abrir facsímil")</f>
        <v>Abrir facsímil</v>
      </c>
      <c r="K5445" s="15" t="s">
        <v>23</v>
      </c>
    </row>
    <row r="5446" spans="1:11" ht="42" customHeight="1">
      <c r="A5446" s="4" t="s">
        <v>12371</v>
      </c>
      <c r="B5446" s="5" t="s">
        <v>12372</v>
      </c>
      <c r="C5446" s="5" t="s">
        <v>41</v>
      </c>
      <c r="D5446" s="5" t="s">
        <v>42</v>
      </c>
      <c r="E5446" s="5" t="s">
        <v>75</v>
      </c>
      <c r="F5446" s="9">
        <v>64</v>
      </c>
      <c r="G5446" s="9">
        <v>727</v>
      </c>
      <c r="H5446" s="5" t="s">
        <v>21</v>
      </c>
      <c r="I5446" s="5" t="s">
        <v>12424</v>
      </c>
      <c r="J5446" s="12" t="str">
        <f>HYPERLINK("https://www.boe.es/gazeta/dias/1800/08/12/pdfs/GMD-1800-64.pdf#page=3","Abrir facsímil")</f>
        <v>Abrir facsímil</v>
      </c>
      <c r="K5446" s="15" t="s">
        <v>23</v>
      </c>
    </row>
    <row r="5447" spans="1:11" ht="42" customHeight="1">
      <c r="A5447" s="4" t="s">
        <v>12371</v>
      </c>
      <c r="B5447" s="5" t="s">
        <v>12372</v>
      </c>
      <c r="C5447" s="5" t="s">
        <v>41</v>
      </c>
      <c r="D5447" s="5" t="s">
        <v>42</v>
      </c>
      <c r="E5447" s="5" t="s">
        <v>75</v>
      </c>
      <c r="F5447" s="9">
        <v>64</v>
      </c>
      <c r="G5447" s="9">
        <v>731</v>
      </c>
      <c r="H5447" s="5" t="s">
        <v>21</v>
      </c>
      <c r="I5447" s="5" t="s">
        <v>12425</v>
      </c>
      <c r="J5447" s="12" t="str">
        <f>HYPERLINK("https://www.boe.es/gazeta/dias/1800/08/12/pdfs/GMD-1800-64.pdf#page=7","Abrir facsímil")</f>
        <v>Abrir facsímil</v>
      </c>
      <c r="K5447" s="15" t="s">
        <v>23</v>
      </c>
    </row>
    <row r="5448" spans="1:11" ht="42" customHeight="1">
      <c r="A5448" s="4" t="s">
        <v>12371</v>
      </c>
      <c r="B5448" s="5" t="s">
        <v>12372</v>
      </c>
      <c r="C5448" s="5" t="s">
        <v>41</v>
      </c>
      <c r="D5448" s="5" t="s">
        <v>42</v>
      </c>
      <c r="E5448" s="5" t="s">
        <v>27</v>
      </c>
      <c r="F5448" s="9">
        <v>65</v>
      </c>
      <c r="G5448" s="9">
        <v>727</v>
      </c>
      <c r="H5448" s="5" t="s">
        <v>21</v>
      </c>
      <c r="I5448" s="5" t="s">
        <v>12426</v>
      </c>
      <c r="J5448" s="12" t="str">
        <f>HYPERLINK("https://www.boe.es/gazeta/dias/1800/08/15/pdfs/GMD-1800-65.pdf#page=3","Abrir facsímil")</f>
        <v>Abrir facsímil</v>
      </c>
      <c r="K5448" s="15" t="s">
        <v>23</v>
      </c>
    </row>
    <row r="5449" spans="1:11" ht="42" customHeight="1">
      <c r="A5449" s="4" t="s">
        <v>12371</v>
      </c>
      <c r="B5449" s="5" t="s">
        <v>12372</v>
      </c>
      <c r="C5449" s="5" t="s">
        <v>41</v>
      </c>
      <c r="D5449" s="5" t="s">
        <v>42</v>
      </c>
      <c r="E5449" s="5" t="s">
        <v>27</v>
      </c>
      <c r="F5449" s="9">
        <v>65</v>
      </c>
      <c r="G5449" s="9">
        <v>728</v>
      </c>
      <c r="H5449" s="5" t="s">
        <v>21</v>
      </c>
      <c r="I5449" s="5" t="s">
        <v>12427</v>
      </c>
      <c r="J5449" s="12" t="str">
        <f>HYPERLINK("https://www.boe.es/gazeta/dias/1800/08/15/pdfs/GMD-1800-65.pdf#page=4","Abrir facsímil")</f>
        <v>Abrir facsímil</v>
      </c>
      <c r="K5449" s="15" t="s">
        <v>23</v>
      </c>
    </row>
    <row r="5450" spans="1:11" ht="42" customHeight="1">
      <c r="A5450" s="4" t="s">
        <v>12371</v>
      </c>
      <c r="B5450" s="5" t="s">
        <v>12372</v>
      </c>
      <c r="C5450" s="5" t="s">
        <v>41</v>
      </c>
      <c r="D5450" s="5" t="s">
        <v>42</v>
      </c>
      <c r="E5450" s="5" t="s">
        <v>283</v>
      </c>
      <c r="F5450" s="9">
        <v>68</v>
      </c>
      <c r="G5450" s="9">
        <v>759</v>
      </c>
      <c r="H5450" s="5" t="s">
        <v>21</v>
      </c>
      <c r="I5450" s="5" t="s">
        <v>12428</v>
      </c>
      <c r="J5450" s="12" t="str">
        <f>HYPERLINK("https://www.boe.es/gazeta/dias/1800/08/26/pdfs/GMD-1800-68.pdf#page=3","Abrir facsímil")</f>
        <v>Abrir facsímil</v>
      </c>
      <c r="K5450" s="15" t="s">
        <v>23</v>
      </c>
    </row>
    <row r="5451" spans="1:11" ht="42" customHeight="1">
      <c r="A5451" s="4" t="s">
        <v>12371</v>
      </c>
      <c r="B5451" s="5" t="s">
        <v>12372</v>
      </c>
      <c r="C5451" s="5" t="s">
        <v>41</v>
      </c>
      <c r="D5451" s="5" t="s">
        <v>42</v>
      </c>
      <c r="E5451" s="5" t="s">
        <v>590</v>
      </c>
      <c r="F5451" s="9">
        <v>69</v>
      </c>
      <c r="G5451" s="9">
        <v>770</v>
      </c>
      <c r="H5451" s="5" t="s">
        <v>21</v>
      </c>
      <c r="I5451" s="5" t="s">
        <v>12429</v>
      </c>
      <c r="J5451" s="12" t="str">
        <f>HYPERLINK("https://www.boe.es/gazeta/dias/1800/08/29/pdfs/GMD-1800-69.pdf#page=2","Abrir facsímil")</f>
        <v>Abrir facsímil</v>
      </c>
      <c r="K5451" s="15" t="s">
        <v>23</v>
      </c>
    </row>
    <row r="5452" spans="1:11" ht="42" customHeight="1">
      <c r="A5452" s="4" t="s">
        <v>12371</v>
      </c>
      <c r="B5452" s="5" t="s">
        <v>12372</v>
      </c>
      <c r="C5452" s="5" t="s">
        <v>41</v>
      </c>
      <c r="D5452" s="5" t="s">
        <v>42</v>
      </c>
      <c r="E5452" s="5" t="s">
        <v>590</v>
      </c>
      <c r="F5452" s="9">
        <v>69</v>
      </c>
      <c r="G5452" s="9">
        <v>773</v>
      </c>
      <c r="H5452" s="5" t="s">
        <v>21</v>
      </c>
      <c r="I5452" s="5" t="s">
        <v>12430</v>
      </c>
      <c r="J5452" s="12" t="str">
        <f>HYPERLINK("https://www.boe.es/gazeta/dias/1800/08/29/pdfs/GMD-1800-69.pdf#page=5","Abrir facsímil")</f>
        <v>Abrir facsímil</v>
      </c>
      <c r="K5452" s="15" t="s">
        <v>23</v>
      </c>
    </row>
    <row r="5453" spans="1:11" ht="42" customHeight="1">
      <c r="A5453" s="4" t="s">
        <v>12371</v>
      </c>
      <c r="B5453" s="5" t="s">
        <v>12372</v>
      </c>
      <c r="C5453" s="5" t="s">
        <v>41</v>
      </c>
      <c r="D5453" s="5" t="s">
        <v>42</v>
      </c>
      <c r="E5453" s="5" t="s">
        <v>836</v>
      </c>
      <c r="F5453" s="9">
        <v>71</v>
      </c>
      <c r="G5453" s="9">
        <v>787</v>
      </c>
      <c r="H5453" s="5" t="s">
        <v>21</v>
      </c>
      <c r="I5453" s="5" t="s">
        <v>12431</v>
      </c>
      <c r="J5453" s="12" t="str">
        <f>HYPERLINK("https://www.boe.es/gazeta/dias/1800/09/02/pdfs/GMD-1800-71.pdf#page=5","Abrir facsímil")</f>
        <v>Abrir facsímil</v>
      </c>
      <c r="K5453" s="15" t="s">
        <v>23</v>
      </c>
    </row>
    <row r="5454" spans="1:11" ht="42" customHeight="1">
      <c r="A5454" s="4" t="s">
        <v>12371</v>
      </c>
      <c r="B5454" s="5" t="s">
        <v>12372</v>
      </c>
      <c r="C5454" s="5" t="s">
        <v>18</v>
      </c>
      <c r="D5454" s="5" t="s">
        <v>19</v>
      </c>
      <c r="E5454" s="5" t="s">
        <v>595</v>
      </c>
      <c r="F5454" s="9">
        <v>72</v>
      </c>
      <c r="G5454" s="9">
        <v>792</v>
      </c>
      <c r="H5454" s="5" t="s">
        <v>21</v>
      </c>
      <c r="I5454" s="5" t="s">
        <v>12432</v>
      </c>
      <c r="J5454" s="12" t="str">
        <f>HYPERLINK("https://www.boe.es/gazeta/dias/1800/09/05/pdfs/GMD-1800-72.pdf#page=2","Abrir facsímil")</f>
        <v>Abrir facsímil</v>
      </c>
      <c r="K5454" s="15" t="s">
        <v>23</v>
      </c>
    </row>
    <row r="5455" spans="1:11" ht="42" customHeight="1">
      <c r="A5455" s="4" t="s">
        <v>12371</v>
      </c>
      <c r="B5455" s="5" t="s">
        <v>12372</v>
      </c>
      <c r="C5455" s="5" t="s">
        <v>41</v>
      </c>
      <c r="D5455" s="5" t="s">
        <v>42</v>
      </c>
      <c r="E5455" s="5" t="s">
        <v>595</v>
      </c>
      <c r="F5455" s="9">
        <v>72</v>
      </c>
      <c r="G5455" s="9">
        <v>793</v>
      </c>
      <c r="H5455" s="5" t="s">
        <v>21</v>
      </c>
      <c r="I5455" s="5" t="s">
        <v>12433</v>
      </c>
      <c r="J5455" s="12" t="str">
        <f>HYPERLINK("https://www.boe.es/gazeta/dias/1800/09/05/pdfs/GMD-1800-72.pdf#page=3","Abrir facsímil")</f>
        <v>Abrir facsímil</v>
      </c>
      <c r="K5455" s="15" t="s">
        <v>23</v>
      </c>
    </row>
    <row r="5456" spans="1:11" ht="42" customHeight="1">
      <c r="A5456" s="4" t="s">
        <v>12434</v>
      </c>
      <c r="B5456" s="5" t="s">
        <v>12435</v>
      </c>
      <c r="C5456" s="5" t="s">
        <v>41</v>
      </c>
      <c r="D5456" s="5" t="s">
        <v>42</v>
      </c>
      <c r="E5456" s="5" t="s">
        <v>595</v>
      </c>
      <c r="F5456" s="9">
        <v>72</v>
      </c>
      <c r="G5456" s="9">
        <v>795</v>
      </c>
      <c r="H5456" s="5" t="s">
        <v>21</v>
      </c>
      <c r="I5456" s="5" t="s">
        <v>12436</v>
      </c>
      <c r="J5456" s="12" t="str">
        <f>HYPERLINK("https://www.boe.es/gazeta/dias/1800/09/05/pdfs/GMD-1800-72.pdf#page=5","Abrir facsímil")</f>
        <v>Abrir facsímil</v>
      </c>
      <c r="K5456" s="15" t="s">
        <v>23</v>
      </c>
    </row>
    <row r="5457" spans="1:11" ht="42" customHeight="1">
      <c r="A5457" s="4" t="s">
        <v>12371</v>
      </c>
      <c r="B5457" s="5" t="s">
        <v>12372</v>
      </c>
      <c r="C5457" s="5" t="s">
        <v>41</v>
      </c>
      <c r="D5457" s="5" t="s">
        <v>42</v>
      </c>
      <c r="E5457" s="5" t="s">
        <v>135</v>
      </c>
      <c r="F5457" s="9">
        <v>73</v>
      </c>
      <c r="G5457" s="9">
        <v>809</v>
      </c>
      <c r="H5457" s="5" t="s">
        <v>21</v>
      </c>
      <c r="I5457" s="5" t="s">
        <v>12437</v>
      </c>
      <c r="J5457" s="12" t="str">
        <f>HYPERLINK("https://www.boe.es/gazeta/dias/1800/09/09/pdfs/GMD-1800-73.pdf#page=3","Abrir facsímil")</f>
        <v>Abrir facsímil</v>
      </c>
      <c r="K5457" s="15" t="s">
        <v>23</v>
      </c>
    </row>
    <row r="5458" spans="1:11" ht="42" customHeight="1">
      <c r="A5458" s="4" t="s">
        <v>12371</v>
      </c>
      <c r="B5458" s="5" t="s">
        <v>12372</v>
      </c>
      <c r="C5458" s="5" t="s">
        <v>41</v>
      </c>
      <c r="D5458" s="5" t="s">
        <v>42</v>
      </c>
      <c r="E5458" s="5" t="s">
        <v>135</v>
      </c>
      <c r="F5458" s="9">
        <v>73</v>
      </c>
      <c r="G5458" s="9">
        <v>811</v>
      </c>
      <c r="H5458" s="5" t="s">
        <v>21</v>
      </c>
      <c r="I5458" s="5" t="s">
        <v>12438</v>
      </c>
      <c r="J5458" s="12" t="str">
        <f>HYPERLINK("https://www.boe.es/gazeta/dias/1800/09/09/pdfs/GMD-1800-73.pdf#page=5","Abrir facsímil")</f>
        <v>Abrir facsímil</v>
      </c>
      <c r="K5458" s="15" t="s">
        <v>23</v>
      </c>
    </row>
    <row r="5459" spans="1:11" ht="42" customHeight="1">
      <c r="A5459" s="4" t="s">
        <v>12371</v>
      </c>
      <c r="B5459" s="5" t="s">
        <v>12372</v>
      </c>
      <c r="C5459" s="5" t="s">
        <v>41</v>
      </c>
      <c r="D5459" s="5" t="s">
        <v>42</v>
      </c>
      <c r="E5459" s="5" t="s">
        <v>255</v>
      </c>
      <c r="F5459" s="9">
        <v>75</v>
      </c>
      <c r="G5459" s="9">
        <v>849</v>
      </c>
      <c r="H5459" s="5" t="s">
        <v>21</v>
      </c>
      <c r="I5459" s="5" t="s">
        <v>12439</v>
      </c>
      <c r="J5459" s="12" t="str">
        <f>HYPERLINK("https://www.boe.es/gazeta/dias/1800/09/16/pdfs/GMD-1800-75.pdf#page=3","Abrir facsímil")</f>
        <v>Abrir facsímil</v>
      </c>
      <c r="K5459" s="15" t="s">
        <v>23</v>
      </c>
    </row>
    <row r="5460" spans="1:11" ht="42" customHeight="1">
      <c r="A5460" s="4" t="s">
        <v>12371</v>
      </c>
      <c r="B5460" s="5" t="s">
        <v>12372</v>
      </c>
      <c r="C5460" s="5" t="s">
        <v>41</v>
      </c>
      <c r="D5460" s="5" t="s">
        <v>42</v>
      </c>
      <c r="E5460" s="5" t="s">
        <v>583</v>
      </c>
      <c r="F5460" s="9">
        <v>77</v>
      </c>
      <c r="G5460" s="9">
        <v>874</v>
      </c>
      <c r="H5460" s="5" t="s">
        <v>21</v>
      </c>
      <c r="I5460" s="5" t="s">
        <v>12440</v>
      </c>
      <c r="J5460" s="12" t="str">
        <f>HYPERLINK("https://www.boe.es/gazeta/dias/1800/09/23/pdfs/GMD-1800-77.pdf#page=4","Abrir facsímil")</f>
        <v>Abrir facsímil</v>
      </c>
      <c r="K5460" s="15" t="s">
        <v>23</v>
      </c>
    </row>
    <row r="5461" spans="1:11" ht="42" customHeight="1">
      <c r="A5461" s="4" t="s">
        <v>12441</v>
      </c>
      <c r="B5461" s="5" t="s">
        <v>12442</v>
      </c>
      <c r="C5461" s="5" t="s">
        <v>41</v>
      </c>
      <c r="D5461" s="5" t="s">
        <v>42</v>
      </c>
      <c r="E5461" s="5" t="s">
        <v>843</v>
      </c>
      <c r="F5461" s="9">
        <v>78</v>
      </c>
      <c r="G5461" s="9">
        <v>886</v>
      </c>
      <c r="H5461" s="5" t="s">
        <v>21</v>
      </c>
      <c r="I5461" s="5" t="s">
        <v>12443</v>
      </c>
      <c r="J5461" s="12" t="str">
        <f>HYPERLINK("https://www.boe.es/gazeta/dias/1800/09/26/pdfs/GMD-1800-78.pdf#page=4","Abrir facsímil")</f>
        <v>Abrir facsímil</v>
      </c>
      <c r="K5461" s="15" t="s">
        <v>23</v>
      </c>
    </row>
    <row r="5462" spans="1:11" ht="42" customHeight="1">
      <c r="A5462" s="4" t="s">
        <v>12371</v>
      </c>
      <c r="B5462" s="5" t="s">
        <v>12372</v>
      </c>
      <c r="C5462" s="5" t="s">
        <v>41</v>
      </c>
      <c r="D5462" s="5" t="s">
        <v>42</v>
      </c>
      <c r="E5462" s="5" t="s">
        <v>306</v>
      </c>
      <c r="F5462" s="9">
        <v>79</v>
      </c>
      <c r="G5462" s="9">
        <v>893</v>
      </c>
      <c r="H5462" s="5" t="s">
        <v>21</v>
      </c>
      <c r="I5462" s="5" t="s">
        <v>12444</v>
      </c>
      <c r="J5462" s="12" t="str">
        <f>HYPERLINK("https://www.boe.es/gazeta/dias/1800/09/30/pdfs/GMD-1800-79.pdf#page=3","Abrir facsímil")</f>
        <v>Abrir facsímil</v>
      </c>
      <c r="K5462" s="15" t="s">
        <v>23</v>
      </c>
    </row>
    <row r="5463" spans="1:11" ht="42" customHeight="1">
      <c r="A5463" s="4" t="s">
        <v>12371</v>
      </c>
      <c r="B5463" s="5" t="s">
        <v>12372</v>
      </c>
      <c r="C5463" s="5" t="s">
        <v>41</v>
      </c>
      <c r="D5463" s="5" t="s">
        <v>42</v>
      </c>
      <c r="E5463" s="5" t="s">
        <v>50</v>
      </c>
      <c r="F5463" s="9">
        <v>81</v>
      </c>
      <c r="G5463" s="9">
        <v>913</v>
      </c>
      <c r="H5463" s="5" t="s">
        <v>21</v>
      </c>
      <c r="I5463" s="5" t="s">
        <v>12445</v>
      </c>
      <c r="J5463" s="12" t="str">
        <f>HYPERLINK("https://www.boe.es/gazeta/dias/1800/10/07/pdfs/GMD-1800-81.pdf#page=3","Abrir facsímil")</f>
        <v>Abrir facsímil</v>
      </c>
      <c r="K5463" s="15" t="s">
        <v>23</v>
      </c>
    </row>
    <row r="5464" spans="1:11" ht="42" customHeight="1">
      <c r="A5464" s="4" t="s">
        <v>12371</v>
      </c>
      <c r="B5464" s="5" t="s">
        <v>12372</v>
      </c>
      <c r="C5464" s="5" t="s">
        <v>41</v>
      </c>
      <c r="D5464" s="5" t="s">
        <v>42</v>
      </c>
      <c r="E5464" s="5" t="s">
        <v>50</v>
      </c>
      <c r="F5464" s="9">
        <v>81</v>
      </c>
      <c r="G5464" s="9">
        <v>914</v>
      </c>
      <c r="H5464" s="5" t="s">
        <v>21</v>
      </c>
      <c r="I5464" s="5" t="s">
        <v>12446</v>
      </c>
      <c r="J5464" s="12" t="str">
        <f>HYPERLINK("https://www.boe.es/gazeta/dias/1800/10/07/pdfs/GMD-1800-81.pdf#page=4","Abrir facsímil")</f>
        <v>Abrir facsímil</v>
      </c>
      <c r="K5464" s="15" t="s">
        <v>23</v>
      </c>
    </row>
    <row r="5465" spans="1:11" ht="42" customHeight="1">
      <c r="A5465" s="4" t="s">
        <v>12371</v>
      </c>
      <c r="B5465" s="5" t="s">
        <v>12372</v>
      </c>
      <c r="C5465" s="5" t="s">
        <v>18</v>
      </c>
      <c r="D5465" s="5" t="s">
        <v>19</v>
      </c>
      <c r="E5465" s="5" t="s">
        <v>184</v>
      </c>
      <c r="F5465" s="9">
        <v>82</v>
      </c>
      <c r="G5465" s="9">
        <v>945</v>
      </c>
      <c r="H5465" s="5" t="s">
        <v>21</v>
      </c>
      <c r="I5465" s="5" t="s">
        <v>12447</v>
      </c>
      <c r="J5465" s="12" t="str">
        <f>HYPERLINK("https://www.boe.es/gazeta/dias/1800/10/10/pdfs/GMD-1800-82.pdf#page=3","Abrir facsímil")</f>
        <v>Abrir facsímil</v>
      </c>
      <c r="K5465" s="15" t="s">
        <v>23</v>
      </c>
    </row>
    <row r="5466" spans="1:11" ht="42" customHeight="1">
      <c r="A5466" s="4" t="s">
        <v>12371</v>
      </c>
      <c r="B5466" s="5" t="s">
        <v>12372</v>
      </c>
      <c r="C5466" s="5" t="s">
        <v>41</v>
      </c>
      <c r="D5466" s="5" t="s">
        <v>42</v>
      </c>
      <c r="E5466" s="5" t="s">
        <v>184</v>
      </c>
      <c r="F5466" s="9">
        <v>82</v>
      </c>
      <c r="G5466" s="9">
        <v>946</v>
      </c>
      <c r="H5466" s="5" t="s">
        <v>21</v>
      </c>
      <c r="I5466" s="5" t="s">
        <v>12448</v>
      </c>
      <c r="J5466" s="12" t="str">
        <f>HYPERLINK("https://www.boe.es/gazeta/dias/1800/10/10/pdfs/GMD-1800-82.pdf#page=4","Abrir facsímil")</f>
        <v>Abrir facsímil</v>
      </c>
      <c r="K5466" s="15" t="s">
        <v>23</v>
      </c>
    </row>
    <row r="5467" spans="1:11" ht="42" customHeight="1">
      <c r="A5467" s="4" t="s">
        <v>12371</v>
      </c>
      <c r="B5467" s="5" t="s">
        <v>12372</v>
      </c>
      <c r="C5467" s="5" t="s">
        <v>18</v>
      </c>
      <c r="D5467" s="5" t="s">
        <v>19</v>
      </c>
      <c r="E5467" s="5" t="s">
        <v>52</v>
      </c>
      <c r="F5467" s="9">
        <v>83</v>
      </c>
      <c r="G5467" s="9">
        <v>956</v>
      </c>
      <c r="H5467" s="5" t="s">
        <v>21</v>
      </c>
      <c r="I5467" s="5" t="s">
        <v>12449</v>
      </c>
      <c r="J5467" s="12" t="str">
        <f>HYPERLINK("https://www.boe.es/gazeta/dias/1800/10/14/pdfs/GMD-1800-83.pdf#page=2","Abrir facsímil")</f>
        <v>Abrir facsímil</v>
      </c>
      <c r="K5467" s="15" t="s">
        <v>23</v>
      </c>
    </row>
    <row r="5468" spans="1:11" ht="42" customHeight="1">
      <c r="A5468" s="4" t="s">
        <v>12371</v>
      </c>
      <c r="B5468" s="5" t="s">
        <v>12372</v>
      </c>
      <c r="C5468" s="5" t="s">
        <v>41</v>
      </c>
      <c r="D5468" s="5" t="s">
        <v>42</v>
      </c>
      <c r="E5468" s="5" t="s">
        <v>52</v>
      </c>
      <c r="F5468" s="9">
        <v>83</v>
      </c>
      <c r="G5468" s="9">
        <v>957</v>
      </c>
      <c r="H5468" s="5" t="s">
        <v>21</v>
      </c>
      <c r="I5468" s="5" t="s">
        <v>12450</v>
      </c>
      <c r="J5468" s="12" t="str">
        <f>HYPERLINK("https://www.boe.es/gazeta/dias/1800/10/14/pdfs/GMD-1800-83.pdf#page=3","Abrir facsímil")</f>
        <v>Abrir facsímil</v>
      </c>
      <c r="K5468" s="15" t="s">
        <v>23</v>
      </c>
    </row>
    <row r="5469" spans="1:11" ht="42" customHeight="1">
      <c r="A5469" s="4" t="s">
        <v>12371</v>
      </c>
      <c r="B5469" s="5" t="s">
        <v>12372</v>
      </c>
      <c r="C5469" s="5" t="s">
        <v>41</v>
      </c>
      <c r="D5469" s="5" t="s">
        <v>42</v>
      </c>
      <c r="E5469" s="5" t="s">
        <v>147</v>
      </c>
      <c r="F5469" s="9">
        <v>84</v>
      </c>
      <c r="G5469" s="9">
        <v>970</v>
      </c>
      <c r="H5469" s="5" t="s">
        <v>21</v>
      </c>
      <c r="I5469" s="5" t="s">
        <v>12451</v>
      </c>
      <c r="J5469" s="12" t="str">
        <f>HYPERLINK("https://www.boe.es/gazeta/dias/1800/10/17/pdfs/GMD-1800-84.pdf#page=4","Abrir facsímil")</f>
        <v>Abrir facsímil</v>
      </c>
      <c r="K5469" s="15" t="s">
        <v>23</v>
      </c>
    </row>
    <row r="5470" spans="1:11" ht="42" customHeight="1">
      <c r="A5470" s="4" t="s">
        <v>12371</v>
      </c>
      <c r="B5470" s="5" t="s">
        <v>12372</v>
      </c>
      <c r="C5470" s="5" t="s">
        <v>41</v>
      </c>
      <c r="D5470" s="5" t="s">
        <v>42</v>
      </c>
      <c r="E5470" s="5" t="s">
        <v>422</v>
      </c>
      <c r="F5470" s="9">
        <v>85</v>
      </c>
      <c r="G5470" s="9">
        <v>980</v>
      </c>
      <c r="H5470" s="5" t="s">
        <v>21</v>
      </c>
      <c r="I5470" s="5" t="s">
        <v>12452</v>
      </c>
      <c r="J5470" s="12" t="str">
        <f>HYPERLINK("https://www.boe.es/gazeta/dias/1800/10/21/pdfs/GMD-1800-85.pdf#page=2","Abrir facsímil")</f>
        <v>Abrir facsímil</v>
      </c>
      <c r="K5470" s="15" t="s">
        <v>23</v>
      </c>
    </row>
    <row r="5471" spans="1:11" ht="42" customHeight="1">
      <c r="A5471" s="4" t="s">
        <v>12371</v>
      </c>
      <c r="B5471" s="5" t="s">
        <v>12372</v>
      </c>
      <c r="C5471" s="5" t="s">
        <v>41</v>
      </c>
      <c r="D5471" s="5" t="s">
        <v>42</v>
      </c>
      <c r="E5471" s="5" t="s">
        <v>116</v>
      </c>
      <c r="F5471" s="9">
        <v>86</v>
      </c>
      <c r="G5471" s="9">
        <v>995</v>
      </c>
      <c r="H5471" s="5" t="s">
        <v>21</v>
      </c>
      <c r="I5471" s="5" t="s">
        <v>12453</v>
      </c>
      <c r="J5471" s="12" t="str">
        <f>HYPERLINK("https://www.boe.es/gazeta/dias/1800/10/24/pdfs/GMD-1800-86.pdf#page=5","Abrir facsímil")</f>
        <v>Abrir facsímil</v>
      </c>
      <c r="K5471" s="15" t="s">
        <v>23</v>
      </c>
    </row>
    <row r="5472" spans="1:11" ht="42" customHeight="1">
      <c r="A5472" s="4" t="s">
        <v>12371</v>
      </c>
      <c r="B5472" s="5" t="s">
        <v>12372</v>
      </c>
      <c r="C5472" s="5" t="s">
        <v>41</v>
      </c>
      <c r="D5472" s="5" t="s">
        <v>42</v>
      </c>
      <c r="E5472" s="5" t="s">
        <v>410</v>
      </c>
      <c r="F5472" s="9">
        <v>87</v>
      </c>
      <c r="G5472" s="9">
        <v>1004</v>
      </c>
      <c r="H5472" s="5" t="s">
        <v>21</v>
      </c>
      <c r="I5472" s="5" t="s">
        <v>12454</v>
      </c>
      <c r="J5472" s="12" t="str">
        <f>HYPERLINK("https://www.boe.es/gazeta/dias/1800/10/28/pdfs/GMD-1800-87.pdf#page=2","Abrir facsímil")</f>
        <v>Abrir facsímil</v>
      </c>
      <c r="K5472" s="15" t="s">
        <v>23</v>
      </c>
    </row>
    <row r="5473" spans="1:11" ht="42" customHeight="1">
      <c r="A5473" s="4" t="s">
        <v>12371</v>
      </c>
      <c r="B5473" s="5" t="s">
        <v>12372</v>
      </c>
      <c r="C5473" s="5" t="s">
        <v>207</v>
      </c>
      <c r="D5473" s="5" t="s">
        <v>55</v>
      </c>
      <c r="E5473" s="5" t="s">
        <v>176</v>
      </c>
      <c r="F5473" s="9">
        <v>88</v>
      </c>
      <c r="G5473" s="9">
        <v>1022</v>
      </c>
      <c r="H5473" s="5" t="s">
        <v>21</v>
      </c>
      <c r="I5473" s="5" t="s">
        <v>12455</v>
      </c>
      <c r="J5473" s="12" t="str">
        <f>HYPERLINK("https://www.boe.es/gazeta/dias/1800/10/31/pdfs/GMD-1800-88.pdf#page=4","Abrir facsímil")</f>
        <v>Abrir facsímil</v>
      </c>
      <c r="K5473" s="15" t="s">
        <v>23</v>
      </c>
    </row>
    <row r="5474" spans="1:11" ht="42" customHeight="1">
      <c r="A5474" s="4" t="s">
        <v>12371</v>
      </c>
      <c r="B5474" s="5" t="s">
        <v>12372</v>
      </c>
      <c r="C5474" s="5" t="s">
        <v>41</v>
      </c>
      <c r="D5474" s="5" t="s">
        <v>42</v>
      </c>
      <c r="E5474" s="5" t="s">
        <v>176</v>
      </c>
      <c r="F5474" s="9">
        <v>88</v>
      </c>
      <c r="G5474" s="9">
        <v>1023</v>
      </c>
      <c r="H5474" s="5" t="s">
        <v>21</v>
      </c>
      <c r="I5474" s="5" t="s">
        <v>12456</v>
      </c>
      <c r="J5474" s="12" t="str">
        <f>HYPERLINK("https://www.boe.es/gazeta/dias/1800/10/31/pdfs/GMD-1800-88.pdf#page=5","Abrir facsímil")</f>
        <v>Abrir facsímil</v>
      </c>
      <c r="K5474" s="15" t="s">
        <v>23</v>
      </c>
    </row>
    <row r="5475" spans="1:11" ht="42" customHeight="1">
      <c r="A5475" s="4" t="s">
        <v>12371</v>
      </c>
      <c r="B5475" s="5" t="s">
        <v>12372</v>
      </c>
      <c r="C5475" s="5" t="s">
        <v>41</v>
      </c>
      <c r="D5475" s="5" t="s">
        <v>42</v>
      </c>
      <c r="E5475" s="5" t="s">
        <v>673</v>
      </c>
      <c r="F5475" s="9">
        <v>89</v>
      </c>
      <c r="G5475" s="9">
        <v>1037</v>
      </c>
      <c r="H5475" s="5" t="s">
        <v>21</v>
      </c>
      <c r="I5475" s="5" t="s">
        <v>12457</v>
      </c>
      <c r="J5475" s="12" t="str">
        <f>HYPERLINK("https://www.boe.es/gazeta/dias/1800/11/04/pdfs/GMD-1800-89.pdf#page=3","Abrir facsímil")</f>
        <v>Abrir facsímil</v>
      </c>
      <c r="K5475" s="15" t="s">
        <v>23</v>
      </c>
    </row>
    <row r="5476" spans="1:11" ht="42" customHeight="1">
      <c r="A5476" s="4" t="s">
        <v>12371</v>
      </c>
      <c r="B5476" s="5" t="s">
        <v>12372</v>
      </c>
      <c r="C5476" s="5" t="s">
        <v>41</v>
      </c>
      <c r="D5476" s="5" t="s">
        <v>42</v>
      </c>
      <c r="E5476" s="5" t="s">
        <v>56</v>
      </c>
      <c r="F5476" s="9">
        <v>90</v>
      </c>
      <c r="G5476" s="9">
        <v>1048</v>
      </c>
      <c r="H5476" s="5" t="s">
        <v>21</v>
      </c>
      <c r="I5476" s="5" t="s">
        <v>12458</v>
      </c>
      <c r="J5476" s="12" t="str">
        <f>HYPERLINK("https://www.boe.es/gazeta/dias/1800/11/07/pdfs/GMD-1800-90.pdf#page=2","Abrir facsímil")</f>
        <v>Abrir facsímil</v>
      </c>
      <c r="K5476" s="15" t="s">
        <v>23</v>
      </c>
    </row>
    <row r="5477" spans="1:11" ht="42" customHeight="1">
      <c r="A5477" s="4" t="s">
        <v>12371</v>
      </c>
      <c r="B5477" s="5" t="s">
        <v>12372</v>
      </c>
      <c r="C5477" s="5" t="s">
        <v>41</v>
      </c>
      <c r="D5477" s="5" t="s">
        <v>42</v>
      </c>
      <c r="E5477" s="5" t="s">
        <v>56</v>
      </c>
      <c r="F5477" s="9">
        <v>90</v>
      </c>
      <c r="G5477" s="9">
        <v>1049</v>
      </c>
      <c r="H5477" s="5" t="s">
        <v>21</v>
      </c>
      <c r="I5477" s="5" t="s">
        <v>12459</v>
      </c>
      <c r="J5477" s="12" t="str">
        <f>HYPERLINK("https://www.boe.es/gazeta/dias/1800/11/07/pdfs/GMD-1800-90.pdf#page=3","Abrir facsímil")</f>
        <v>Abrir facsímil</v>
      </c>
      <c r="K5477" s="15" t="s">
        <v>23</v>
      </c>
    </row>
    <row r="5478" spans="1:11" ht="42" customHeight="1">
      <c r="A5478" s="4" t="s">
        <v>12371</v>
      </c>
      <c r="B5478" s="5" t="s">
        <v>12372</v>
      </c>
      <c r="C5478" s="5" t="s">
        <v>41</v>
      </c>
      <c r="D5478" s="5" t="s">
        <v>42</v>
      </c>
      <c r="E5478" s="5" t="s">
        <v>56</v>
      </c>
      <c r="F5478" s="9">
        <v>90</v>
      </c>
      <c r="G5478" s="9">
        <v>1052</v>
      </c>
      <c r="H5478" s="5" t="s">
        <v>21</v>
      </c>
      <c r="I5478" s="5" t="s">
        <v>12460</v>
      </c>
      <c r="J5478" s="12" t="str">
        <f>HYPERLINK("https://www.boe.es/gazeta/dias/1800/11/07/pdfs/GMD-1800-90.pdf#page=6","Abrir facsímil")</f>
        <v>Abrir facsímil</v>
      </c>
      <c r="K5478" s="15" t="s">
        <v>23</v>
      </c>
    </row>
    <row r="5479" spans="1:11" ht="42" customHeight="1">
      <c r="A5479" s="4" t="s">
        <v>12371</v>
      </c>
      <c r="B5479" s="5" t="s">
        <v>12372</v>
      </c>
      <c r="C5479" s="5" t="s">
        <v>41</v>
      </c>
      <c r="D5479" s="5" t="s">
        <v>42</v>
      </c>
      <c r="E5479" s="5" t="s">
        <v>576</v>
      </c>
      <c r="F5479" s="9">
        <v>91</v>
      </c>
      <c r="G5479" s="9">
        <v>1066</v>
      </c>
      <c r="H5479" s="5" t="s">
        <v>21</v>
      </c>
      <c r="I5479" s="5" t="s">
        <v>12461</v>
      </c>
      <c r="J5479" s="12" t="str">
        <f>HYPERLINK("https://www.boe.es/gazeta/dias/1800/11/11/pdfs/GMD-1800-91.pdf#page=8","Abrir facsímil")</f>
        <v>Abrir facsímil</v>
      </c>
      <c r="K5479" s="15" t="s">
        <v>23</v>
      </c>
    </row>
    <row r="5480" spans="1:11" ht="42" customHeight="1">
      <c r="A5480" s="4" t="s">
        <v>12371</v>
      </c>
      <c r="B5480" s="5" t="s">
        <v>12372</v>
      </c>
      <c r="C5480" s="5" t="s">
        <v>18</v>
      </c>
      <c r="D5480" s="5" t="s">
        <v>19</v>
      </c>
      <c r="E5480" s="5" t="s">
        <v>576</v>
      </c>
      <c r="F5480" s="9">
        <v>91</v>
      </c>
      <c r="G5480" s="9">
        <v>1067</v>
      </c>
      <c r="H5480" s="5" t="s">
        <v>21</v>
      </c>
      <c r="I5480" s="5" t="s">
        <v>12462</v>
      </c>
      <c r="J5480" s="12" t="str">
        <f>HYPERLINK("https://www.boe.es/gazeta/dias/1800/11/11/pdfs/GMD-1800-91.pdf#page=9","Abrir facsímil")</f>
        <v>Abrir facsímil</v>
      </c>
      <c r="K5480" s="15" t="s">
        <v>23</v>
      </c>
    </row>
    <row r="5481" spans="1:11" ht="42" customHeight="1">
      <c r="A5481" s="4" t="s">
        <v>12371</v>
      </c>
      <c r="B5481" s="5" t="s">
        <v>12372</v>
      </c>
      <c r="C5481" s="5" t="s">
        <v>18</v>
      </c>
      <c r="D5481" s="5" t="s">
        <v>19</v>
      </c>
      <c r="E5481" s="5" t="s">
        <v>58</v>
      </c>
      <c r="F5481" s="9">
        <v>92</v>
      </c>
      <c r="G5481" s="9">
        <v>1048</v>
      </c>
      <c r="H5481" s="5" t="s">
        <v>21</v>
      </c>
      <c r="I5481" s="5" t="s">
        <v>12463</v>
      </c>
      <c r="J5481" s="12" t="str">
        <f>HYPERLINK("https://www.boe.es/gazeta/dias/1800/11/14/pdfs/GMD-1800-92.pdf#page=2","Abrir facsímil")</f>
        <v>Abrir facsímil</v>
      </c>
      <c r="K5481" s="15" t="s">
        <v>23</v>
      </c>
    </row>
    <row r="5482" spans="1:11" ht="42" customHeight="1">
      <c r="A5482" s="4" t="s">
        <v>12371</v>
      </c>
      <c r="B5482" s="5" t="s">
        <v>12372</v>
      </c>
      <c r="C5482" s="5" t="s">
        <v>41</v>
      </c>
      <c r="D5482" s="5" t="s">
        <v>42</v>
      </c>
      <c r="E5482" s="5" t="s">
        <v>190</v>
      </c>
      <c r="F5482" s="9">
        <v>93</v>
      </c>
      <c r="G5482" s="9">
        <v>1058</v>
      </c>
      <c r="H5482" s="5" t="s">
        <v>21</v>
      </c>
      <c r="I5482" s="5" t="s">
        <v>12464</v>
      </c>
      <c r="J5482" s="12" t="str">
        <f>HYPERLINK("https://www.boe.es/gazeta/dias/1800/11/18/pdfs/GMD-1800-93.pdf#page=4","Abrir facsímil")</f>
        <v>Abrir facsímil</v>
      </c>
      <c r="K5482" s="15" t="s">
        <v>23</v>
      </c>
    </row>
    <row r="5483" spans="1:11" ht="42" customHeight="1">
      <c r="A5483" s="4" t="s">
        <v>12371</v>
      </c>
      <c r="B5483" s="5" t="s">
        <v>12372</v>
      </c>
      <c r="C5483" s="5" t="s">
        <v>41</v>
      </c>
      <c r="D5483" s="5" t="s">
        <v>42</v>
      </c>
      <c r="E5483" s="5" t="s">
        <v>190</v>
      </c>
      <c r="F5483" s="9">
        <v>93</v>
      </c>
      <c r="G5483" s="9">
        <v>1062</v>
      </c>
      <c r="H5483" s="5" t="s">
        <v>21</v>
      </c>
      <c r="I5483" s="5" t="s">
        <v>12465</v>
      </c>
      <c r="J5483" s="12" t="str">
        <f>HYPERLINK("https://www.boe.es/gazeta/dias/1800/11/18/pdfs/GMD-1800-93.pdf#page=8","Abrir facsímil")</f>
        <v>Abrir facsímil</v>
      </c>
      <c r="K5483" s="15" t="s">
        <v>23</v>
      </c>
    </row>
    <row r="5484" spans="1:11" ht="42" customHeight="1">
      <c r="A5484" s="4" t="s">
        <v>12371</v>
      </c>
      <c r="B5484" s="5" t="s">
        <v>12372</v>
      </c>
      <c r="C5484" s="5" t="s">
        <v>41</v>
      </c>
      <c r="D5484" s="5" t="s">
        <v>42</v>
      </c>
      <c r="E5484" s="5" t="s">
        <v>445</v>
      </c>
      <c r="F5484" s="9">
        <v>96</v>
      </c>
      <c r="G5484" s="9">
        <v>1099</v>
      </c>
      <c r="H5484" s="5" t="s">
        <v>21</v>
      </c>
      <c r="I5484" s="5" t="s">
        <v>12466</v>
      </c>
      <c r="J5484" s="12" t="str">
        <f>HYPERLINK("https://www.boe.es/gazeta/dias/1800/11/28/pdfs/GMD-1800-96.pdf#page=3","Abrir facsímil")</f>
        <v>Abrir facsímil</v>
      </c>
      <c r="K5484" s="15" t="s">
        <v>23</v>
      </c>
    </row>
    <row r="5485" spans="1:11" ht="42" customHeight="1">
      <c r="A5485" s="4" t="s">
        <v>12371</v>
      </c>
      <c r="B5485" s="5" t="s">
        <v>12372</v>
      </c>
      <c r="C5485" s="5" t="s">
        <v>41</v>
      </c>
      <c r="D5485" s="5" t="s">
        <v>42</v>
      </c>
      <c r="E5485" s="5" t="s">
        <v>445</v>
      </c>
      <c r="F5485" s="9">
        <v>96</v>
      </c>
      <c r="G5485" s="9">
        <v>1100</v>
      </c>
      <c r="H5485" s="5" t="s">
        <v>21</v>
      </c>
      <c r="I5485" s="5" t="s">
        <v>12467</v>
      </c>
      <c r="J5485" s="12" t="str">
        <f>HYPERLINK("https://www.boe.es/gazeta/dias/1800/11/28/pdfs/GMD-1800-96.pdf#page=4","Abrir facsímil")</f>
        <v>Abrir facsímil</v>
      </c>
      <c r="K5485" s="15" t="s">
        <v>23</v>
      </c>
    </row>
    <row r="5486" spans="1:11" ht="42" customHeight="1">
      <c r="A5486" s="4" t="s">
        <v>12371</v>
      </c>
      <c r="B5486" s="5" t="s">
        <v>12372</v>
      </c>
      <c r="C5486" s="5" t="s">
        <v>41</v>
      </c>
      <c r="D5486" s="5" t="s">
        <v>42</v>
      </c>
      <c r="E5486" s="5" t="s">
        <v>111</v>
      </c>
      <c r="F5486" s="9">
        <v>98</v>
      </c>
      <c r="G5486" s="9">
        <v>1123</v>
      </c>
      <c r="H5486" s="5" t="s">
        <v>21</v>
      </c>
      <c r="I5486" s="5" t="s">
        <v>12468</v>
      </c>
      <c r="J5486" s="12" t="str">
        <f>HYPERLINK("https://www.boe.es/gazeta/dias/1800/12/05/pdfs/GMD-1800-98.pdf#page=3","Abrir facsímil")</f>
        <v>Abrir facsímil</v>
      </c>
      <c r="K5486" s="15" t="s">
        <v>23</v>
      </c>
    </row>
    <row r="5487" spans="1:11" ht="42" customHeight="1">
      <c r="A5487" s="4" t="s">
        <v>12371</v>
      </c>
      <c r="B5487" s="5" t="s">
        <v>12372</v>
      </c>
      <c r="C5487" s="5" t="s">
        <v>41</v>
      </c>
      <c r="D5487" s="5" t="s">
        <v>42</v>
      </c>
      <c r="E5487" s="5" t="s">
        <v>111</v>
      </c>
      <c r="F5487" s="9">
        <v>98</v>
      </c>
      <c r="G5487" s="9">
        <v>1127</v>
      </c>
      <c r="H5487" s="5" t="s">
        <v>21</v>
      </c>
      <c r="I5487" s="5" t="s">
        <v>12469</v>
      </c>
      <c r="J5487" s="12" t="str">
        <f>HYPERLINK("https://www.boe.es/gazeta/dias/1800/12/05/pdfs/GMD-1800-98.pdf#page=7","Abrir facsímil")</f>
        <v>Abrir facsímil</v>
      </c>
      <c r="K5487" s="15" t="s">
        <v>23</v>
      </c>
    </row>
    <row r="5488" spans="1:11" ht="42" customHeight="1">
      <c r="A5488" s="4" t="s">
        <v>12371</v>
      </c>
      <c r="B5488" s="5" t="s">
        <v>12372</v>
      </c>
      <c r="C5488" s="5" t="s">
        <v>18</v>
      </c>
      <c r="D5488" s="5" t="s">
        <v>19</v>
      </c>
      <c r="E5488" s="5" t="s">
        <v>329</v>
      </c>
      <c r="F5488" s="9">
        <v>99</v>
      </c>
      <c r="G5488" s="9">
        <v>1136</v>
      </c>
      <c r="H5488" s="5" t="s">
        <v>21</v>
      </c>
      <c r="I5488" s="5" t="s">
        <v>12470</v>
      </c>
      <c r="J5488" s="12" t="str">
        <f>HYPERLINK("https://www.boe.es/gazeta/dias/1800/12/09/pdfs/GMD-1800-99.pdf#page=4","Abrir facsímil")</f>
        <v>Abrir facsímil</v>
      </c>
      <c r="K5488" s="15" t="s">
        <v>23</v>
      </c>
    </row>
    <row r="5489" spans="1:11" ht="42" customHeight="1">
      <c r="A5489" s="4" t="s">
        <v>12371</v>
      </c>
      <c r="B5489" s="5" t="s">
        <v>12372</v>
      </c>
      <c r="C5489" s="5" t="s">
        <v>41</v>
      </c>
      <c r="D5489" s="5" t="s">
        <v>42</v>
      </c>
      <c r="E5489" s="5" t="s">
        <v>329</v>
      </c>
      <c r="F5489" s="9">
        <v>99</v>
      </c>
      <c r="G5489" s="9">
        <v>1137</v>
      </c>
      <c r="H5489" s="5" t="s">
        <v>21</v>
      </c>
      <c r="I5489" s="5" t="s">
        <v>12471</v>
      </c>
      <c r="J5489" s="12" t="str">
        <f>HYPERLINK("https://www.boe.es/gazeta/dias/1800/12/09/pdfs/GMD-1800-99.pdf#page=5","Abrir facsímil")</f>
        <v>Abrir facsímil</v>
      </c>
      <c r="K5489" s="15" t="s">
        <v>23</v>
      </c>
    </row>
    <row r="5490" spans="1:11" ht="42" customHeight="1">
      <c r="A5490" s="4" t="s">
        <v>12371</v>
      </c>
      <c r="B5490" s="5" t="s">
        <v>12372</v>
      </c>
      <c r="C5490" s="5" t="s">
        <v>41</v>
      </c>
      <c r="D5490" s="5" t="s">
        <v>42</v>
      </c>
      <c r="E5490" s="5" t="s">
        <v>534</v>
      </c>
      <c r="F5490" s="9">
        <v>100</v>
      </c>
      <c r="G5490" s="9">
        <v>1150</v>
      </c>
      <c r="H5490" s="5" t="s">
        <v>21</v>
      </c>
      <c r="I5490" s="5" t="s">
        <v>12472</v>
      </c>
      <c r="J5490" s="12" t="str">
        <f>HYPERLINK("https://www.boe.es/gazeta/dias/1800/12/12/pdfs/GMD-1800-100.pdf#page=2","Abrir facsímil")</f>
        <v>Abrir facsímil</v>
      </c>
      <c r="K5490" s="15" t="s">
        <v>23</v>
      </c>
    </row>
    <row r="5491" spans="1:11" ht="42" customHeight="1">
      <c r="A5491" s="4" t="s">
        <v>12371</v>
      </c>
      <c r="B5491" s="5" t="s">
        <v>12372</v>
      </c>
      <c r="C5491" s="5" t="s">
        <v>41</v>
      </c>
      <c r="D5491" s="5" t="s">
        <v>42</v>
      </c>
      <c r="E5491" s="5" t="s">
        <v>534</v>
      </c>
      <c r="F5491" s="9">
        <v>100</v>
      </c>
      <c r="G5491" s="9">
        <v>1155</v>
      </c>
      <c r="H5491" s="5" t="s">
        <v>21</v>
      </c>
      <c r="I5491" s="5" t="s">
        <v>12473</v>
      </c>
      <c r="J5491" s="12" t="str">
        <f>HYPERLINK("https://www.boe.es/gazeta/dias/1800/12/12/pdfs/GMD-1800-100.pdf#page=7","Abrir facsímil")</f>
        <v>Abrir facsímil</v>
      </c>
      <c r="K5491" s="15" t="s">
        <v>23</v>
      </c>
    </row>
    <row r="5492" spans="1:11" ht="42" customHeight="1">
      <c r="A5492" s="4" t="s">
        <v>12371</v>
      </c>
      <c r="B5492" s="5" t="s">
        <v>12372</v>
      </c>
      <c r="C5492" s="5" t="s">
        <v>41</v>
      </c>
      <c r="D5492" s="5" t="s">
        <v>42</v>
      </c>
      <c r="E5492" s="5" t="s">
        <v>402</v>
      </c>
      <c r="F5492" s="9">
        <v>101</v>
      </c>
      <c r="G5492" s="9">
        <v>1170</v>
      </c>
      <c r="H5492" s="5" t="s">
        <v>21</v>
      </c>
      <c r="I5492" s="5" t="s">
        <v>12474</v>
      </c>
      <c r="J5492" s="12" t="str">
        <f>HYPERLINK("https://www.boe.es/gazeta/dias/1800/12/16/pdfs/GMD-1800-101.pdf#page=6","Abrir facsímil")</f>
        <v>Abrir facsímil</v>
      </c>
      <c r="K5492" s="15" t="s">
        <v>23</v>
      </c>
    </row>
    <row r="5493" spans="1:11" ht="42" customHeight="1">
      <c r="A5493" s="4" t="s">
        <v>12371</v>
      </c>
      <c r="B5493" s="5" t="s">
        <v>12372</v>
      </c>
      <c r="C5493" s="5" t="s">
        <v>41</v>
      </c>
      <c r="D5493" s="5" t="s">
        <v>42</v>
      </c>
      <c r="E5493" s="5" t="s">
        <v>180</v>
      </c>
      <c r="F5493" s="9">
        <v>102</v>
      </c>
      <c r="G5493" s="9">
        <v>1178</v>
      </c>
      <c r="H5493" s="5" t="s">
        <v>21</v>
      </c>
      <c r="I5493" s="5" t="s">
        <v>12475</v>
      </c>
      <c r="J5493" s="12" t="str">
        <f>HYPERLINK("https://www.boe.es/gazeta/dias/1800/12/19/pdfs/GMD-1800-102.pdf#page=2","Abrir facsímil")</f>
        <v>Abrir facsímil</v>
      </c>
      <c r="K5493" s="15" t="s">
        <v>23</v>
      </c>
    </row>
    <row r="5494" spans="1:11" ht="42" customHeight="1">
      <c r="A5494" s="4" t="s">
        <v>12371</v>
      </c>
      <c r="B5494" s="5" t="s">
        <v>12372</v>
      </c>
      <c r="C5494" s="5" t="s">
        <v>41</v>
      </c>
      <c r="D5494" s="5" t="s">
        <v>42</v>
      </c>
      <c r="E5494" s="5" t="s">
        <v>279</v>
      </c>
      <c r="F5494" s="9">
        <v>103</v>
      </c>
      <c r="G5494" s="9">
        <v>1192</v>
      </c>
      <c r="H5494" s="5" t="s">
        <v>21</v>
      </c>
      <c r="I5494" s="5" t="s">
        <v>12476</v>
      </c>
      <c r="J5494" s="12" t="str">
        <f>HYPERLINK("https://www.boe.es/gazeta/dias/1800/12/23/pdfs/GMD-1800-103.pdf#page=4","Abrir facsímil")</f>
        <v>Abrir facsímil</v>
      </c>
      <c r="K5494" s="15" t="s">
        <v>23</v>
      </c>
    </row>
    <row r="5495" spans="1:11" ht="42" customHeight="1">
      <c r="A5495" s="4" t="s">
        <v>12371</v>
      </c>
      <c r="B5495" s="5" t="s">
        <v>12372</v>
      </c>
      <c r="C5495" s="5" t="s">
        <v>54</v>
      </c>
      <c r="D5495" s="5" t="s">
        <v>55</v>
      </c>
      <c r="E5495" s="5" t="s">
        <v>279</v>
      </c>
      <c r="F5495" s="9">
        <v>103</v>
      </c>
      <c r="G5495" s="9">
        <v>1195</v>
      </c>
      <c r="H5495" s="5" t="s">
        <v>21</v>
      </c>
      <c r="I5495" s="5" t="s">
        <v>12477</v>
      </c>
      <c r="J5495" s="12" t="str">
        <f>HYPERLINK("https://www.boe.es/gazeta/dias/1800/12/23/pdfs/GMD-1800-103.pdf#page=7","Abrir facsímil")</f>
        <v>Abrir facsímil</v>
      </c>
      <c r="K5495" s="15" t="s">
        <v>23</v>
      </c>
    </row>
    <row r="5496" spans="1:11" ht="42" customHeight="1">
      <c r="A5496" s="4" t="s">
        <v>12371</v>
      </c>
      <c r="B5496" s="5" t="s">
        <v>12372</v>
      </c>
      <c r="C5496" s="5" t="s">
        <v>84</v>
      </c>
      <c r="D5496" s="5" t="s">
        <v>85</v>
      </c>
      <c r="E5496" s="5" t="s">
        <v>20</v>
      </c>
      <c r="F5496" s="9">
        <v>104</v>
      </c>
      <c r="G5496" s="9">
        <v>1203</v>
      </c>
      <c r="H5496" s="5" t="s">
        <v>21</v>
      </c>
      <c r="I5496" s="5" t="s">
        <v>12478</v>
      </c>
      <c r="J5496" s="12" t="str">
        <f>HYPERLINK("https://www.boe.es/gazeta/dias/1800/12/26/pdfs/GMD-1800-104.pdf#page=3","Abrir facsímil")</f>
        <v>Abrir facsímil</v>
      </c>
      <c r="K5496" s="15" t="s">
        <v>23</v>
      </c>
    </row>
    <row r="5497" spans="1:11" ht="42" customHeight="1">
      <c r="A5497" s="4" t="s">
        <v>12371</v>
      </c>
      <c r="B5497" s="5" t="s">
        <v>12372</v>
      </c>
      <c r="C5497" s="5" t="s">
        <v>18</v>
      </c>
      <c r="D5497" s="5" t="s">
        <v>19</v>
      </c>
      <c r="E5497" s="5" t="s">
        <v>60</v>
      </c>
      <c r="F5497" s="9">
        <v>105</v>
      </c>
      <c r="G5497" s="9">
        <v>1219</v>
      </c>
      <c r="H5497" s="5" t="s">
        <v>21</v>
      </c>
      <c r="I5497" s="5" t="s">
        <v>12479</v>
      </c>
      <c r="J5497" s="12" t="str">
        <f>HYPERLINK("https://www.boe.es/gazeta/dias/1800/12/30/pdfs/GMD-1800-105.pdf#page=3","Abrir facsímil")</f>
        <v>Abrir facsímil</v>
      </c>
      <c r="K5497" s="15" t="s">
        <v>23</v>
      </c>
    </row>
    <row r="5498" spans="1:11" ht="42" customHeight="1">
      <c r="A5498" s="4" t="s">
        <v>12371</v>
      </c>
      <c r="B5498" s="5" t="s">
        <v>12372</v>
      </c>
      <c r="C5498" s="5" t="s">
        <v>41</v>
      </c>
      <c r="D5498" s="5" t="s">
        <v>42</v>
      </c>
      <c r="E5498" s="5" t="s">
        <v>60</v>
      </c>
      <c r="F5498" s="9">
        <v>105</v>
      </c>
      <c r="G5498" s="9">
        <v>1222</v>
      </c>
      <c r="H5498" s="5" t="s">
        <v>21</v>
      </c>
      <c r="I5498" s="5" t="s">
        <v>12480</v>
      </c>
      <c r="J5498" s="12" t="str">
        <f>HYPERLINK("https://www.boe.es/gazeta/dias/1800/12/30/pdfs/GMD-1800-105.pdf#page=6","Abrir facsímil")</f>
        <v>Abrir facsímil</v>
      </c>
      <c r="K5498" s="15" t="s">
        <v>23</v>
      </c>
    </row>
    <row r="5499" spans="1:11" ht="42" customHeight="1">
      <c r="A5499" s="4" t="s">
        <v>12371</v>
      </c>
      <c r="B5499" s="5" t="s">
        <v>12372</v>
      </c>
      <c r="C5499" s="5" t="s">
        <v>41</v>
      </c>
      <c r="D5499" s="5" t="s">
        <v>42</v>
      </c>
      <c r="E5499" s="5" t="s">
        <v>60</v>
      </c>
      <c r="F5499" s="9">
        <v>105</v>
      </c>
      <c r="G5499" s="9">
        <v>1223</v>
      </c>
      <c r="H5499" s="5" t="s">
        <v>21</v>
      </c>
      <c r="I5499" s="5" t="s">
        <v>12481</v>
      </c>
      <c r="J5499" s="12" t="str">
        <f>HYPERLINK("https://www.boe.es/gazeta/dias/1800/12/30/pdfs/GMD-1800-105.pdf#page=7","Abrir facsímil")</f>
        <v>Abrir facsímil</v>
      </c>
      <c r="K5499" s="15" t="s">
        <v>23</v>
      </c>
    </row>
    <row r="5500" spans="1:11" ht="42" customHeight="1">
      <c r="A5500" s="4" t="s">
        <v>12371</v>
      </c>
      <c r="B5500" s="5" t="s">
        <v>12372</v>
      </c>
      <c r="C5500" s="5" t="s">
        <v>54</v>
      </c>
      <c r="D5500" s="5" t="s">
        <v>55</v>
      </c>
      <c r="E5500" s="5" t="s">
        <v>60</v>
      </c>
      <c r="F5500" s="9">
        <v>105</v>
      </c>
      <c r="G5500" s="9">
        <v>1224</v>
      </c>
      <c r="H5500" s="5" t="s">
        <v>21</v>
      </c>
      <c r="I5500" s="5" t="s">
        <v>12482</v>
      </c>
      <c r="J5500" s="12" t="str">
        <f>HYPERLINK("https://www.boe.es/gazeta/dias/1800/12/30/pdfs/GMD-1800-105.pdf#page=8","Abrir facsímil")</f>
        <v>Abrir facsímil</v>
      </c>
      <c r="K5500" s="15" t="s">
        <v>23</v>
      </c>
    </row>
    <row r="5501" spans="1:11" ht="42" customHeight="1">
      <c r="A5501" s="4" t="s">
        <v>12483</v>
      </c>
      <c r="B5501" s="5" t="s">
        <v>12484</v>
      </c>
      <c r="C5501" s="5" t="s">
        <v>18</v>
      </c>
      <c r="D5501" s="5" t="s">
        <v>19</v>
      </c>
      <c r="E5501" s="5" t="s">
        <v>590</v>
      </c>
      <c r="F5501" s="9">
        <v>69</v>
      </c>
      <c r="G5501" s="9">
        <v>774</v>
      </c>
      <c r="H5501" s="5" t="s">
        <v>21</v>
      </c>
      <c r="I5501" s="5" t="s">
        <v>12485</v>
      </c>
      <c r="J5501" s="12" t="str">
        <f>HYPERLINK("https://www.boe.es/gazeta/dias/1800/08/29/pdfs/GMD-1800-69.pdf#page=6","Abrir facsímil")</f>
        <v>Abrir facsímil</v>
      </c>
      <c r="K5501" s="15" t="s">
        <v>23</v>
      </c>
    </row>
    <row r="5502" spans="1:11" ht="42" customHeight="1">
      <c r="A5502" s="4" t="s">
        <v>12486</v>
      </c>
      <c r="B5502" s="5" t="s">
        <v>12487</v>
      </c>
      <c r="C5502" s="5" t="s">
        <v>18</v>
      </c>
      <c r="D5502" s="5" t="s">
        <v>19</v>
      </c>
      <c r="E5502" s="5" t="s">
        <v>595</v>
      </c>
      <c r="F5502" s="9">
        <v>72</v>
      </c>
      <c r="G5502" s="9">
        <v>797</v>
      </c>
      <c r="H5502" s="5" t="s">
        <v>21</v>
      </c>
      <c r="I5502" s="5" t="s">
        <v>12488</v>
      </c>
      <c r="J5502" s="12" t="str">
        <f>HYPERLINK("https://www.boe.es/gazeta/dias/1800/09/05/pdfs/GMD-1800-72.pdf#page=7","Abrir facsímil")</f>
        <v>Abrir facsímil</v>
      </c>
      <c r="K5502" s="15" t="s">
        <v>23</v>
      </c>
    </row>
    <row r="5503" spans="1:11" ht="42" customHeight="1">
      <c r="A5503" s="4" t="s">
        <v>12489</v>
      </c>
      <c r="B5503" s="5" t="s">
        <v>12490</v>
      </c>
      <c r="C5503" s="5" t="s">
        <v>18</v>
      </c>
      <c r="D5503" s="5" t="s">
        <v>19</v>
      </c>
      <c r="E5503" s="5" t="s">
        <v>190</v>
      </c>
      <c r="F5503" s="9">
        <v>93</v>
      </c>
      <c r="G5503" s="9">
        <v>1066</v>
      </c>
      <c r="H5503" s="5" t="s">
        <v>21</v>
      </c>
      <c r="I5503" s="5" t="s">
        <v>12491</v>
      </c>
      <c r="J5503" s="12" t="str">
        <f>HYPERLINK("https://www.boe.es/gazeta/dias/1800/11/18/pdfs/GMD-1800-93.pdf#page=12","Abrir facsímil")</f>
        <v>Abrir facsímil</v>
      </c>
      <c r="K5503" s="15" t="s">
        <v>23</v>
      </c>
    </row>
    <row r="5504" spans="1:11" ht="42" customHeight="1">
      <c r="A5504" s="4" t="s">
        <v>12492</v>
      </c>
      <c r="B5504" s="5" t="s">
        <v>12493</v>
      </c>
      <c r="C5504" s="5" t="s">
        <v>18</v>
      </c>
      <c r="D5504" s="5" t="s">
        <v>19</v>
      </c>
      <c r="E5504" s="5" t="s">
        <v>248</v>
      </c>
      <c r="F5504" s="9">
        <v>33</v>
      </c>
      <c r="G5504" s="9">
        <v>334</v>
      </c>
      <c r="H5504" s="5" t="s">
        <v>21</v>
      </c>
      <c r="I5504" s="5" t="s">
        <v>12494</v>
      </c>
      <c r="J5504" s="12" t="str">
        <f>HYPERLINK("https://www.boe.es/gazeta/dias/1800/04/25/pdfs/GMD-1800-33.pdf#page=10","Abrir facsímil")</f>
        <v>Abrir facsímil</v>
      </c>
      <c r="K5504" s="15" t="s">
        <v>23</v>
      </c>
    </row>
    <row r="5505" spans="1:11" ht="42" customHeight="1">
      <c r="A5505" s="4" t="s">
        <v>12495</v>
      </c>
      <c r="B5505" s="5" t="s">
        <v>12496</v>
      </c>
      <c r="C5505" s="5" t="s">
        <v>207</v>
      </c>
      <c r="D5505" s="5" t="s">
        <v>55</v>
      </c>
      <c r="E5505" s="5" t="s">
        <v>283</v>
      </c>
      <c r="F5505" s="9">
        <v>68</v>
      </c>
      <c r="G5505" s="9">
        <v>764</v>
      </c>
      <c r="H5505" s="5" t="s">
        <v>21</v>
      </c>
      <c r="I5505" s="5" t="s">
        <v>12497</v>
      </c>
      <c r="J5505" s="12" t="str">
        <f>HYPERLINK("https://www.boe.es/gazeta/dias/1800/08/26/pdfs/GMD-1800-68.pdf#page=8","Abrir facsímil")</f>
        <v>Abrir facsímil</v>
      </c>
      <c r="K5505" s="15" t="s">
        <v>23</v>
      </c>
    </row>
    <row r="5506" spans="1:11" ht="42" customHeight="1">
      <c r="A5506" s="4" t="s">
        <v>12498</v>
      </c>
      <c r="B5506" s="5" t="s">
        <v>12499</v>
      </c>
      <c r="C5506" s="5" t="s">
        <v>207</v>
      </c>
      <c r="D5506" s="5" t="s">
        <v>55</v>
      </c>
      <c r="E5506" s="5" t="s">
        <v>139</v>
      </c>
      <c r="F5506" s="9">
        <v>2</v>
      </c>
      <c r="G5506" s="9">
        <v>18</v>
      </c>
      <c r="H5506" s="5" t="s">
        <v>21</v>
      </c>
      <c r="I5506" s="5" t="s">
        <v>12500</v>
      </c>
      <c r="J5506" s="12" t="str">
        <f>HYPERLINK("https://www.boe.es/gazeta/dias/1800/01/07/pdfs/GMD-1800-2.pdf#page=10","Abrir facsímil")</f>
        <v>Abrir facsímil</v>
      </c>
      <c r="K5506" s="15" t="s">
        <v>23</v>
      </c>
    </row>
    <row r="5507" spans="1:11" ht="42" customHeight="1">
      <c r="A5507" s="4" t="s">
        <v>12501</v>
      </c>
      <c r="B5507" s="5" t="s">
        <v>12502</v>
      </c>
      <c r="C5507" s="5" t="s">
        <v>25</v>
      </c>
      <c r="D5507" s="5" t="s">
        <v>26</v>
      </c>
      <c r="E5507" s="5" t="s">
        <v>445</v>
      </c>
      <c r="F5507" s="9">
        <v>96</v>
      </c>
      <c r="G5507" s="9">
        <v>1105</v>
      </c>
      <c r="H5507" s="5" t="s">
        <v>21</v>
      </c>
      <c r="I5507" s="5" t="s">
        <v>12503</v>
      </c>
      <c r="J5507" s="12" t="str">
        <f>HYPERLINK("https://www.boe.es/gazeta/dias/1800/11/28/pdfs/GMD-1800-96.pdf#page=9","Abrir facsímil")</f>
        <v>Abrir facsímil</v>
      </c>
      <c r="K5507" s="15" t="s">
        <v>23</v>
      </c>
    </row>
    <row r="5508" spans="1:11" ht="42" customHeight="1">
      <c r="A5508" s="4" t="s">
        <v>12504</v>
      </c>
      <c r="B5508" s="5" t="s">
        <v>12505</v>
      </c>
      <c r="C5508" s="5" t="s">
        <v>25</v>
      </c>
      <c r="D5508" s="5" t="s">
        <v>26</v>
      </c>
      <c r="E5508" s="5" t="s">
        <v>45</v>
      </c>
      <c r="F5508" s="9">
        <v>47</v>
      </c>
      <c r="G5508" s="9">
        <v>502</v>
      </c>
      <c r="H5508" s="5" t="s">
        <v>21</v>
      </c>
      <c r="I5508" s="5" t="s">
        <v>12506</v>
      </c>
      <c r="J5508" s="12" t="str">
        <f>HYPERLINK("https://www.boe.es/gazeta/dias/1800/06/13/pdfs/GMD-1800-47.pdf#page=10","Abrir facsímil")</f>
        <v>Abrir facsímil</v>
      </c>
      <c r="K5508" s="15" t="s">
        <v>23</v>
      </c>
    </row>
    <row r="5509" spans="1:11" ht="42" customHeight="1">
      <c r="A5509" s="4" t="s">
        <v>12507</v>
      </c>
      <c r="B5509" s="5" t="s">
        <v>12508</v>
      </c>
      <c r="C5509" s="5" t="s">
        <v>18</v>
      </c>
      <c r="D5509" s="5" t="s">
        <v>19</v>
      </c>
      <c r="E5509" s="5" t="s">
        <v>158</v>
      </c>
      <c r="F5509" s="9">
        <v>25</v>
      </c>
      <c r="G5509" s="9">
        <v>256</v>
      </c>
      <c r="H5509" s="5" t="s">
        <v>21</v>
      </c>
      <c r="I5509" s="5" t="s">
        <v>12509</v>
      </c>
      <c r="J5509" s="12" t="str">
        <f>HYPERLINK("https://www.boe.es/gazeta/dias/1800/03/28/pdfs/GMD-1800-25.pdf#page=8","Abrir facsímil")</f>
        <v>Abrir facsímil</v>
      </c>
      <c r="K5509" s="15" t="s">
        <v>23</v>
      </c>
    </row>
    <row r="5510" spans="1:11" ht="42" customHeight="1">
      <c r="A5510" s="4" t="s">
        <v>12510</v>
      </c>
      <c r="B5510" s="5" t="s">
        <v>12511</v>
      </c>
      <c r="C5510" s="5" t="s">
        <v>18</v>
      </c>
      <c r="D5510" s="5" t="s">
        <v>19</v>
      </c>
      <c r="E5510" s="5" t="s">
        <v>176</v>
      </c>
      <c r="F5510" s="9">
        <v>88</v>
      </c>
      <c r="G5510" s="9">
        <v>1030</v>
      </c>
      <c r="H5510" s="5" t="s">
        <v>21</v>
      </c>
      <c r="I5510" s="5" t="s">
        <v>12512</v>
      </c>
      <c r="J5510" s="12" t="str">
        <f>HYPERLINK("https://www.boe.es/gazeta/dias/1800/10/31/pdfs/GMD-1800-88.pdf#page=12","Abrir facsímil")</f>
        <v>Abrir facsímil</v>
      </c>
      <c r="K5510" s="15" t="s">
        <v>23</v>
      </c>
    </row>
    <row r="5511" spans="1:11" ht="42" customHeight="1">
      <c r="A5511" s="4" t="s">
        <v>12513</v>
      </c>
      <c r="B5511" s="5" t="s">
        <v>12514</v>
      </c>
      <c r="C5511" s="5" t="s">
        <v>18</v>
      </c>
      <c r="D5511" s="5" t="s">
        <v>19</v>
      </c>
      <c r="E5511" s="5" t="s">
        <v>194</v>
      </c>
      <c r="F5511" s="9">
        <v>48</v>
      </c>
      <c r="G5511" s="9">
        <v>518</v>
      </c>
      <c r="H5511" s="5" t="s">
        <v>21</v>
      </c>
      <c r="I5511" s="5" t="s">
        <v>12515</v>
      </c>
      <c r="J5511" s="12" t="str">
        <f>HYPERLINK("https://www.boe.es/gazeta/dias/1800/06/17/pdfs/GMD-1800-48.pdf#page=10","Abrir facsímil")</f>
        <v>Abrir facsímil</v>
      </c>
      <c r="K5511" s="15" t="s">
        <v>23</v>
      </c>
    </row>
    <row r="5512" spans="1:11" ht="42" customHeight="1">
      <c r="A5512" s="4" t="s">
        <v>12516</v>
      </c>
      <c r="B5512" s="5" t="s">
        <v>12517</v>
      </c>
      <c r="C5512" s="5" t="s">
        <v>18</v>
      </c>
      <c r="D5512" s="5" t="s">
        <v>19</v>
      </c>
      <c r="E5512" s="5" t="s">
        <v>90</v>
      </c>
      <c r="F5512" s="9">
        <v>58</v>
      </c>
      <c r="G5512" s="9">
        <v>663</v>
      </c>
      <c r="H5512" s="5" t="s">
        <v>21</v>
      </c>
      <c r="I5512" s="5" t="s">
        <v>12518</v>
      </c>
      <c r="J5512" s="12" t="str">
        <f>HYPERLINK("https://www.boe.es/gazeta/dias/1800/07/22/pdfs/GMD-1800-58.pdf#page=11","Abrir facsímil")</f>
        <v>Abrir facsímil</v>
      </c>
      <c r="K5512" s="15" t="s">
        <v>23</v>
      </c>
    </row>
    <row r="5513" spans="1:11" ht="42" customHeight="1">
      <c r="A5513" s="4" t="s">
        <v>12516</v>
      </c>
      <c r="B5513" s="5" t="s">
        <v>12517</v>
      </c>
      <c r="C5513" s="5" t="s">
        <v>25</v>
      </c>
      <c r="D5513" s="5" t="s">
        <v>26</v>
      </c>
      <c r="E5513" s="5" t="s">
        <v>5375</v>
      </c>
      <c r="F5513" s="9">
        <v>70</v>
      </c>
      <c r="G5513" s="9">
        <v>781</v>
      </c>
      <c r="H5513" s="5" t="s">
        <v>21</v>
      </c>
      <c r="I5513" s="5" t="s">
        <v>12519</v>
      </c>
      <c r="J5513" s="12" t="str">
        <f>HYPERLINK("https://www.boe.es/gazeta/dias/1800/08/31/pdfs/GMD-1800-70E.pdf#page=5","Abrir facsímil")</f>
        <v>Abrir facsímil</v>
      </c>
      <c r="K5513" s="15" t="s">
        <v>23</v>
      </c>
    </row>
    <row r="5514" spans="1:11" ht="42" customHeight="1">
      <c r="A5514" s="4" t="s">
        <v>12516</v>
      </c>
      <c r="B5514" s="5" t="s">
        <v>12517</v>
      </c>
      <c r="C5514" s="5" t="s">
        <v>18</v>
      </c>
      <c r="D5514" s="5" t="s">
        <v>19</v>
      </c>
      <c r="E5514" s="5" t="s">
        <v>196</v>
      </c>
      <c r="F5514" s="9">
        <v>97</v>
      </c>
      <c r="G5514" s="9">
        <v>1117</v>
      </c>
      <c r="H5514" s="5" t="s">
        <v>21</v>
      </c>
      <c r="I5514" s="5" t="s">
        <v>12520</v>
      </c>
      <c r="J5514" s="12" t="str">
        <f>HYPERLINK("https://www.boe.es/gazeta/dias/1800/12/02/pdfs/GMD-1800-97.pdf#page=9","Abrir facsímil")</f>
        <v>Abrir facsímil</v>
      </c>
      <c r="K5514" s="15" t="s">
        <v>23</v>
      </c>
    </row>
    <row r="5515" spans="1:11" ht="42" customHeight="1">
      <c r="A5515" s="4" t="s">
        <v>12521</v>
      </c>
      <c r="B5515" s="5" t="s">
        <v>12522</v>
      </c>
      <c r="C5515" s="5" t="s">
        <v>1179</v>
      </c>
      <c r="D5515" s="5" t="s">
        <v>1180</v>
      </c>
      <c r="E5515" s="5" t="s">
        <v>314</v>
      </c>
      <c r="F5515" s="9">
        <v>74</v>
      </c>
      <c r="G5515" s="9">
        <v>839</v>
      </c>
      <c r="H5515" s="5" t="s">
        <v>21</v>
      </c>
      <c r="I5515" s="5" t="s">
        <v>12523</v>
      </c>
      <c r="J5515" s="12" t="str">
        <f>HYPERLINK("https://www.boe.es/gazeta/dias/1800/09/12/pdfs/GMD-C-1800-74.pdf#page=1","Abrir facsímil")</f>
        <v>Abrir facsímil</v>
      </c>
      <c r="K5515" s="15" t="s">
        <v>23</v>
      </c>
    </row>
    <row r="5516" spans="1:11" ht="42" customHeight="1">
      <c r="A5516" s="4" t="s">
        <v>12524</v>
      </c>
      <c r="B5516" s="5" t="s">
        <v>12525</v>
      </c>
      <c r="C5516" s="5" t="s">
        <v>18</v>
      </c>
      <c r="D5516" s="5" t="s">
        <v>19</v>
      </c>
      <c r="E5516" s="5" t="s">
        <v>356</v>
      </c>
      <c r="F5516" s="9">
        <v>31</v>
      </c>
      <c r="G5516" s="9">
        <v>315</v>
      </c>
      <c r="H5516" s="5" t="s">
        <v>21</v>
      </c>
      <c r="I5516" s="5" t="s">
        <v>12526</v>
      </c>
      <c r="J5516" s="12" t="str">
        <f>HYPERLINK("https://www.boe.es/gazeta/dias/1800/04/18/pdfs/GMD-1800-31.pdf#page=7","Abrir facsímil")</f>
        <v>Abrir facsímil</v>
      </c>
      <c r="K5516" s="15" t="s">
        <v>23</v>
      </c>
    </row>
    <row r="5517" spans="1:11" ht="42" customHeight="1">
      <c r="A5517" s="4" t="s">
        <v>12527</v>
      </c>
      <c r="B5517" s="5" t="s">
        <v>12528</v>
      </c>
      <c r="C5517" s="5" t="s">
        <v>171</v>
      </c>
      <c r="D5517" s="5" t="s">
        <v>172</v>
      </c>
      <c r="E5517" s="5" t="s">
        <v>64</v>
      </c>
      <c r="F5517" s="9">
        <v>54</v>
      </c>
      <c r="G5517" s="9">
        <v>612</v>
      </c>
      <c r="H5517" s="5" t="s">
        <v>21</v>
      </c>
      <c r="I5517" s="5" t="s">
        <v>12529</v>
      </c>
      <c r="J5517" s="12" t="str">
        <f>HYPERLINK("https://www.boe.es/gazeta/dias/1800/07/08/pdfs/GMD-C-1800-54.pdf#page=4","Abrir facsímil")</f>
        <v>Abrir facsímil</v>
      </c>
      <c r="K5517" s="15" t="s">
        <v>23</v>
      </c>
    </row>
    <row r="5518" spans="1:11" ht="42" customHeight="1">
      <c r="A5518" s="4" t="s">
        <v>12530</v>
      </c>
      <c r="B5518" s="5" t="s">
        <v>12531</v>
      </c>
      <c r="C5518" s="5" t="s">
        <v>207</v>
      </c>
      <c r="D5518" s="5" t="s">
        <v>55</v>
      </c>
      <c r="E5518" s="5" t="s">
        <v>1213</v>
      </c>
      <c r="F5518" s="9">
        <v>4</v>
      </c>
      <c r="G5518" s="9">
        <v>35</v>
      </c>
      <c r="H5518" s="5" t="s">
        <v>21</v>
      </c>
      <c r="I5518" s="5" t="s">
        <v>12532</v>
      </c>
      <c r="J5518" s="12" t="str">
        <f>HYPERLINK("https://www.boe.es/gazeta/dias/1800/01/14/pdfs/GMD-1800-4.pdf#page=7","Abrir facsímil")</f>
        <v>Abrir facsímil</v>
      </c>
      <c r="K5518" s="15" t="s">
        <v>23</v>
      </c>
    </row>
    <row r="5519" spans="1:11" ht="42" customHeight="1">
      <c r="A5519" s="4" t="s">
        <v>12533</v>
      </c>
      <c r="B5519" s="5" t="s">
        <v>12534</v>
      </c>
      <c r="C5519" s="5" t="s">
        <v>18</v>
      </c>
      <c r="D5519" s="5" t="s">
        <v>19</v>
      </c>
      <c r="E5519" s="5" t="s">
        <v>422</v>
      </c>
      <c r="F5519" s="9">
        <v>85</v>
      </c>
      <c r="G5519" s="9">
        <v>985</v>
      </c>
      <c r="H5519" s="5" t="s">
        <v>21</v>
      </c>
      <c r="I5519" s="5" t="s">
        <v>12535</v>
      </c>
      <c r="J5519" s="12" t="str">
        <f>HYPERLINK("https://www.boe.es/gazeta/dias/1800/10/21/pdfs/GMD-1800-85.pdf#page=7","Abrir facsímil")</f>
        <v>Abrir facsímil</v>
      </c>
      <c r="K5519" s="15" t="s">
        <v>23</v>
      </c>
    </row>
    <row r="5520" spans="1:11" ht="42" customHeight="1">
      <c r="A5520" s="4" t="s">
        <v>12536</v>
      </c>
      <c r="B5520" s="5" t="s">
        <v>12537</v>
      </c>
      <c r="C5520" s="5" t="s">
        <v>84</v>
      </c>
      <c r="D5520" s="5" t="s">
        <v>85</v>
      </c>
      <c r="E5520" s="5" t="s">
        <v>787</v>
      </c>
      <c r="F5520" s="9">
        <v>6</v>
      </c>
      <c r="G5520" s="9">
        <v>56</v>
      </c>
      <c r="H5520" s="5" t="s">
        <v>21</v>
      </c>
      <c r="I5520" s="5" t="s">
        <v>12538</v>
      </c>
      <c r="J5520" s="12" t="str">
        <f>HYPERLINK("https://www.boe.es/gazeta/dias/1800/01/21/pdfs/GMD-1800-6.pdf#page=8","Abrir facsímil")</f>
        <v>Abrir facsímil</v>
      </c>
      <c r="K5520" s="15" t="s">
        <v>23</v>
      </c>
    </row>
    <row r="5521" spans="1:11" ht="42" customHeight="1">
      <c r="A5521" s="4" t="s">
        <v>12539</v>
      </c>
      <c r="B5521" s="5" t="s">
        <v>12540</v>
      </c>
      <c r="C5521" s="5" t="s">
        <v>114</v>
      </c>
      <c r="D5521" s="5" t="s">
        <v>115</v>
      </c>
      <c r="E5521" s="5" t="s">
        <v>116</v>
      </c>
      <c r="F5521" s="9">
        <v>86</v>
      </c>
      <c r="G5521" s="9" t="s">
        <v>725</v>
      </c>
      <c r="H5521" s="5" t="s">
        <v>21</v>
      </c>
      <c r="I5521" s="5" t="s">
        <v>12541</v>
      </c>
      <c r="J5521" s="12" t="str">
        <f>HYPERLINK("https://www.boe.es/gazeta/dias/1800/10/24/pdfs/GMD-D-1800-86.pdf#page=1","Abrir facsímil")</f>
        <v>Abrir facsímil</v>
      </c>
      <c r="K5521" s="15" t="s">
        <v>23</v>
      </c>
    </row>
    <row r="5522" spans="1:11" ht="42" customHeight="1">
      <c r="A5522" s="4" t="s">
        <v>12542</v>
      </c>
      <c r="B5522" s="5" t="s">
        <v>12543</v>
      </c>
      <c r="C5522" s="5" t="s">
        <v>18</v>
      </c>
      <c r="D5522" s="5" t="s">
        <v>19</v>
      </c>
      <c r="E5522" s="5" t="s">
        <v>196</v>
      </c>
      <c r="F5522" s="9">
        <v>97</v>
      </c>
      <c r="G5522" s="9">
        <v>1117</v>
      </c>
      <c r="H5522" s="5" t="s">
        <v>21</v>
      </c>
      <c r="I5522" s="5" t="s">
        <v>12544</v>
      </c>
      <c r="J5522" s="12" t="str">
        <f>HYPERLINK("https://www.boe.es/gazeta/dias/1800/12/02/pdfs/GMD-1800-97.pdf#page=9","Abrir facsímil")</f>
        <v>Abrir facsímil</v>
      </c>
      <c r="K5522" s="15" t="s">
        <v>23</v>
      </c>
    </row>
    <row r="5523" spans="1:11" ht="42" customHeight="1">
      <c r="A5523" s="4" t="s">
        <v>12545</v>
      </c>
      <c r="B5523" s="5" t="s">
        <v>12546</v>
      </c>
      <c r="C5523" s="5" t="s">
        <v>18</v>
      </c>
      <c r="D5523" s="5" t="s">
        <v>19</v>
      </c>
      <c r="E5523" s="5" t="s">
        <v>314</v>
      </c>
      <c r="F5523" s="9">
        <v>74</v>
      </c>
      <c r="G5523" s="9">
        <v>831</v>
      </c>
      <c r="H5523" s="5" t="s">
        <v>21</v>
      </c>
      <c r="I5523" s="5" t="s">
        <v>12547</v>
      </c>
      <c r="J5523" s="12" t="str">
        <f>HYPERLINK("https://www.boe.es/gazeta/dias/1800/09/12/pdfs/GMD-1800-74.pdf#page=9","Abrir facsímil")</f>
        <v>Abrir facsímil</v>
      </c>
      <c r="K5523" s="15" t="s">
        <v>23</v>
      </c>
    </row>
    <row r="5524" spans="1:11" ht="42" customHeight="1">
      <c r="A5524" s="4" t="s">
        <v>12548</v>
      </c>
      <c r="B5524" s="5" t="s">
        <v>12549</v>
      </c>
      <c r="C5524" s="5" t="s">
        <v>18</v>
      </c>
      <c r="D5524" s="5" t="s">
        <v>19</v>
      </c>
      <c r="E5524" s="5" t="s">
        <v>154</v>
      </c>
      <c r="F5524" s="9">
        <v>61</v>
      </c>
      <c r="G5524" s="9">
        <v>696</v>
      </c>
      <c r="H5524" s="5" t="s">
        <v>21</v>
      </c>
      <c r="I5524" s="5" t="s">
        <v>12550</v>
      </c>
      <c r="J5524" s="12" t="str">
        <f>HYPERLINK("https://www.boe.es/gazeta/dias/1800/08/01/pdfs/GMD-1800-61.pdf#page=8","Abrir facsímil")</f>
        <v>Abrir facsímil</v>
      </c>
      <c r="K5524" s="15" t="s">
        <v>23</v>
      </c>
    </row>
    <row r="5525" spans="1:11" ht="42" customHeight="1">
      <c r="A5525" s="4" t="s">
        <v>12551</v>
      </c>
      <c r="B5525" s="5" t="s">
        <v>12552</v>
      </c>
      <c r="C5525" s="5" t="s">
        <v>18</v>
      </c>
      <c r="D5525" s="5" t="s">
        <v>19</v>
      </c>
      <c r="E5525" s="5" t="s">
        <v>154</v>
      </c>
      <c r="F5525" s="9">
        <v>61</v>
      </c>
      <c r="G5525" s="9">
        <v>696</v>
      </c>
      <c r="H5525" s="5" t="s">
        <v>21</v>
      </c>
      <c r="I5525" s="5" t="s">
        <v>12553</v>
      </c>
      <c r="J5525" s="12" t="str">
        <f>HYPERLINK("https://www.boe.es/gazeta/dias/1800/08/01/pdfs/GMD-1800-61.pdf#page=8","Abrir facsímil")</f>
        <v>Abrir facsímil</v>
      </c>
      <c r="K5525" s="15" t="s">
        <v>23</v>
      </c>
    </row>
    <row r="5526" spans="1:11" ht="42" customHeight="1">
      <c r="A5526" s="4" t="s">
        <v>12554</v>
      </c>
      <c r="B5526" s="5" t="s">
        <v>12555</v>
      </c>
      <c r="C5526" s="5" t="s">
        <v>18</v>
      </c>
      <c r="D5526" s="5" t="s">
        <v>19</v>
      </c>
      <c r="E5526" s="5" t="s">
        <v>154</v>
      </c>
      <c r="F5526" s="9">
        <v>61</v>
      </c>
      <c r="G5526" s="9">
        <v>696</v>
      </c>
      <c r="H5526" s="5" t="s">
        <v>21</v>
      </c>
      <c r="I5526" s="5" t="s">
        <v>12556</v>
      </c>
      <c r="J5526" s="12" t="str">
        <f>HYPERLINK("https://www.boe.es/gazeta/dias/1800/08/01/pdfs/GMD-1800-61.pdf#page=8","Abrir facsímil")</f>
        <v>Abrir facsímil</v>
      </c>
      <c r="K5526" s="15" t="s">
        <v>23</v>
      </c>
    </row>
    <row r="5527" spans="1:11" ht="42" customHeight="1">
      <c r="A5527" s="4" t="s">
        <v>12557</v>
      </c>
      <c r="B5527" s="5" t="s">
        <v>12557</v>
      </c>
      <c r="C5527" s="5" t="s">
        <v>41</v>
      </c>
      <c r="D5527" s="5" t="s">
        <v>42</v>
      </c>
      <c r="E5527" s="5" t="s">
        <v>255</v>
      </c>
      <c r="F5527" s="9">
        <v>75</v>
      </c>
      <c r="G5527" s="9">
        <v>847</v>
      </c>
      <c r="H5527" s="5" t="s">
        <v>21</v>
      </c>
      <c r="I5527" s="5" t="s">
        <v>12558</v>
      </c>
      <c r="J5527" s="12" t="str">
        <f>HYPERLINK("https://www.boe.es/gazeta/dias/1800/09/16/pdfs/GMD-1800-75.pdf#page=1","Abrir facsímil")</f>
        <v>Abrir facsímil</v>
      </c>
      <c r="K5527" s="15" t="s">
        <v>23</v>
      </c>
    </row>
    <row r="5528" spans="1:11" ht="42" customHeight="1">
      <c r="A5528" s="4" t="s">
        <v>12557</v>
      </c>
      <c r="B5528" s="5" t="s">
        <v>12557</v>
      </c>
      <c r="C5528" s="5" t="s">
        <v>41</v>
      </c>
      <c r="D5528" s="5" t="s">
        <v>42</v>
      </c>
      <c r="E5528" s="5" t="s">
        <v>572</v>
      </c>
      <c r="F5528" s="9">
        <v>76</v>
      </c>
      <c r="G5528" s="9">
        <v>865</v>
      </c>
      <c r="H5528" s="5" t="s">
        <v>21</v>
      </c>
      <c r="I5528" s="5" t="s">
        <v>12559</v>
      </c>
      <c r="J5528" s="12" t="str">
        <f>HYPERLINK("https://www.boe.es/gazeta/dias/1800/09/19/pdfs/GMD-1800-76.pdf#page=7","Abrir facsímil")</f>
        <v>Abrir facsímil</v>
      </c>
      <c r="K5528" s="15" t="s">
        <v>23</v>
      </c>
    </row>
    <row r="5529" spans="1:11" ht="42" customHeight="1">
      <c r="A5529" s="4" t="s">
        <v>12560</v>
      </c>
      <c r="B5529" s="5" t="s">
        <v>12561</v>
      </c>
      <c r="C5529" s="5" t="s">
        <v>18</v>
      </c>
      <c r="D5529" s="5" t="s">
        <v>19</v>
      </c>
      <c r="E5529" s="5" t="s">
        <v>445</v>
      </c>
      <c r="F5529" s="9">
        <v>96</v>
      </c>
      <c r="G5529" s="9">
        <v>1106</v>
      </c>
      <c r="H5529" s="5" t="s">
        <v>21</v>
      </c>
      <c r="I5529" s="5" t="s">
        <v>12562</v>
      </c>
      <c r="J5529" s="12" t="str">
        <f>HYPERLINK("https://www.boe.es/gazeta/dias/1800/11/28/pdfs/GMD-1800-96.pdf#page=10","Abrir facsímil")</f>
        <v>Abrir facsímil</v>
      </c>
      <c r="K5529" s="15" t="s">
        <v>23</v>
      </c>
    </row>
    <row r="5530" spans="1:11" ht="42" customHeight="1">
      <c r="A5530" s="4" t="s">
        <v>12563</v>
      </c>
      <c r="B5530" s="5" t="s">
        <v>12564</v>
      </c>
      <c r="C5530" s="5" t="s">
        <v>114</v>
      </c>
      <c r="D5530" s="5" t="s">
        <v>115</v>
      </c>
      <c r="E5530" s="5" t="s">
        <v>116</v>
      </c>
      <c r="F5530" s="9">
        <v>86</v>
      </c>
      <c r="G5530" s="9" t="s">
        <v>991</v>
      </c>
      <c r="H5530" s="5" t="s">
        <v>21</v>
      </c>
      <c r="I5530" s="5" t="s">
        <v>12565</v>
      </c>
      <c r="J5530" s="12" t="str">
        <f>HYPERLINK("https://www.boe.es/gazeta/dias/1800/10/24/pdfs/GMD-D-1800-86.pdf#page=4","Abrir facsímil")</f>
        <v>Abrir facsímil</v>
      </c>
      <c r="K5530" s="15" t="s">
        <v>23</v>
      </c>
    </row>
    <row r="5531" spans="1:11" ht="42" customHeight="1">
      <c r="A5531" s="4" t="s">
        <v>12566</v>
      </c>
      <c r="B5531" s="5" t="s">
        <v>12567</v>
      </c>
      <c r="C5531" s="5" t="s">
        <v>18</v>
      </c>
      <c r="D5531" s="5" t="s">
        <v>19</v>
      </c>
      <c r="E5531" s="5" t="s">
        <v>576</v>
      </c>
      <c r="F5531" s="9">
        <v>91</v>
      </c>
      <c r="G5531" s="9">
        <v>1067</v>
      </c>
      <c r="H5531" s="5" t="s">
        <v>21</v>
      </c>
      <c r="I5531" s="5" t="s">
        <v>12568</v>
      </c>
      <c r="J5531" s="12" t="str">
        <f>HYPERLINK("https://www.boe.es/gazeta/dias/1800/11/11/pdfs/GMD-1800-91.pdf#page=9","Abrir facsímil")</f>
        <v>Abrir facsímil</v>
      </c>
      <c r="K5531" s="15" t="s">
        <v>23</v>
      </c>
    </row>
    <row r="5532" spans="1:11" ht="42" customHeight="1">
      <c r="A5532" s="4" t="s">
        <v>12569</v>
      </c>
      <c r="B5532" s="5" t="s">
        <v>12570</v>
      </c>
      <c r="C5532" s="5" t="s">
        <v>41</v>
      </c>
      <c r="D5532" s="5" t="s">
        <v>42</v>
      </c>
      <c r="E5532" s="5" t="s">
        <v>180</v>
      </c>
      <c r="F5532" s="9">
        <v>102</v>
      </c>
      <c r="G5532" s="9">
        <v>1184</v>
      </c>
      <c r="H5532" s="5" t="s">
        <v>21</v>
      </c>
      <c r="I5532" s="5" t="s">
        <v>12571</v>
      </c>
      <c r="J5532" s="12" t="str">
        <f>HYPERLINK("https://www.boe.es/gazeta/dias/1800/12/19/pdfs/GMD-1800-102.pdf#page=8","Abrir facsímil")</f>
        <v>Abrir facsímil</v>
      </c>
      <c r="K5532" s="15" t="s">
        <v>23</v>
      </c>
    </row>
    <row r="5533" spans="1:11" ht="42" customHeight="1">
      <c r="A5533" s="4" t="s">
        <v>12572</v>
      </c>
      <c r="B5533" s="5" t="s">
        <v>12573</v>
      </c>
      <c r="C5533" s="5" t="s">
        <v>41</v>
      </c>
      <c r="D5533" s="5" t="s">
        <v>42</v>
      </c>
      <c r="E5533" s="5" t="s">
        <v>143</v>
      </c>
      <c r="F5533" s="9">
        <v>22</v>
      </c>
      <c r="G5533" s="9">
        <v>218</v>
      </c>
      <c r="H5533" s="5" t="s">
        <v>21</v>
      </c>
      <c r="I5533" s="5" t="s">
        <v>12574</v>
      </c>
      <c r="J5533" s="12" t="str">
        <f>HYPERLINK("https://www.boe.es/gazeta/dias/1800/03/18/pdfs/GMD-1800-22.pdf#page=10","Abrir facsímil")</f>
        <v>Abrir facsímil</v>
      </c>
      <c r="K5533" s="15" t="s">
        <v>23</v>
      </c>
    </row>
    <row r="5534" spans="1:11" ht="42" customHeight="1">
      <c r="A5534" s="4" t="s">
        <v>12572</v>
      </c>
      <c r="B5534" s="5" t="s">
        <v>12573</v>
      </c>
      <c r="C5534" s="5" t="s">
        <v>41</v>
      </c>
      <c r="D5534" s="5" t="s">
        <v>42</v>
      </c>
      <c r="E5534" s="5" t="s">
        <v>143</v>
      </c>
      <c r="F5534" s="9">
        <v>22</v>
      </c>
      <c r="G5534" s="9">
        <v>219</v>
      </c>
      <c r="H5534" s="5" t="s">
        <v>21</v>
      </c>
      <c r="I5534" s="5" t="s">
        <v>12575</v>
      </c>
      <c r="J5534" s="12" t="str">
        <f>HYPERLINK("https://www.boe.es/gazeta/dias/1800/03/18/pdfs/GMD-1800-22.pdf#page=11","Abrir facsímil")</f>
        <v>Abrir facsímil</v>
      </c>
      <c r="K5534" s="15" t="s">
        <v>23</v>
      </c>
    </row>
    <row r="5535" spans="1:11" ht="42" customHeight="1">
      <c r="A5535" s="4" t="s">
        <v>12572</v>
      </c>
      <c r="B5535" s="5" t="s">
        <v>12573</v>
      </c>
      <c r="C5535" s="5" t="s">
        <v>18</v>
      </c>
      <c r="D5535" s="5" t="s">
        <v>19</v>
      </c>
      <c r="E5535" s="5" t="s">
        <v>143</v>
      </c>
      <c r="F5535" s="9">
        <v>22</v>
      </c>
      <c r="G5535" s="9">
        <v>220</v>
      </c>
      <c r="H5535" s="5" t="s">
        <v>21</v>
      </c>
      <c r="I5535" s="5" t="s">
        <v>12576</v>
      </c>
      <c r="J5535" s="12" t="str">
        <f>HYPERLINK("https://www.boe.es/gazeta/dias/1800/03/18/pdfs/GMD-1800-22.pdf#page=12","Abrir facsímil")</f>
        <v>Abrir facsímil</v>
      </c>
      <c r="K5535" s="15" t="s">
        <v>23</v>
      </c>
    </row>
    <row r="5536" spans="1:11" ht="42" customHeight="1">
      <c r="A5536" s="4" t="s">
        <v>12577</v>
      </c>
      <c r="B5536" s="5" t="s">
        <v>12578</v>
      </c>
      <c r="C5536" s="5" t="s">
        <v>41</v>
      </c>
      <c r="D5536" s="5" t="s">
        <v>42</v>
      </c>
      <c r="E5536" s="5" t="s">
        <v>244</v>
      </c>
      <c r="F5536" s="9">
        <v>9</v>
      </c>
      <c r="G5536" s="9">
        <v>80</v>
      </c>
      <c r="H5536" s="5" t="s">
        <v>21</v>
      </c>
      <c r="I5536" s="5" t="s">
        <v>12579</v>
      </c>
      <c r="J5536" s="12" t="str">
        <f>HYPERLINK("https://www.boe.es/gazeta/dias/1800/01/31/pdfs/GMD-1800-9.pdf#page=4","Abrir facsímil")</f>
        <v>Abrir facsímil</v>
      </c>
      <c r="K5536" s="15" t="s">
        <v>23</v>
      </c>
    </row>
    <row r="5537" spans="1:11" ht="42" customHeight="1">
      <c r="A5537" s="4" t="s">
        <v>12580</v>
      </c>
      <c r="B5537" s="5" t="s">
        <v>12581</v>
      </c>
      <c r="C5537" s="5" t="s">
        <v>41</v>
      </c>
      <c r="D5537" s="5" t="s">
        <v>42</v>
      </c>
      <c r="E5537" s="5" t="s">
        <v>20</v>
      </c>
      <c r="F5537" s="9">
        <v>104</v>
      </c>
      <c r="G5537" s="9">
        <v>1202</v>
      </c>
      <c r="H5537" s="5" t="s">
        <v>21</v>
      </c>
      <c r="I5537" s="5" t="s">
        <v>12582</v>
      </c>
      <c r="J5537" s="12" t="str">
        <f>HYPERLINK("https://www.boe.es/gazeta/dias/1800/12/26/pdfs/GMD-1800-104.pdf#page=2","Abrir facsímil")</f>
        <v>Abrir facsímil</v>
      </c>
      <c r="K5537" s="15" t="s">
        <v>23</v>
      </c>
    </row>
    <row r="5538" spans="1:11" ht="42" customHeight="1">
      <c r="A5538" s="4" t="s">
        <v>12583</v>
      </c>
      <c r="B5538" s="5" t="s">
        <v>12583</v>
      </c>
      <c r="C5538" s="5" t="s">
        <v>41</v>
      </c>
      <c r="D5538" s="5" t="s">
        <v>42</v>
      </c>
      <c r="E5538" s="5" t="s">
        <v>56</v>
      </c>
      <c r="F5538" s="9">
        <v>90</v>
      </c>
      <c r="G5538" s="9">
        <v>1053</v>
      </c>
      <c r="H5538" s="5" t="s">
        <v>21</v>
      </c>
      <c r="I5538" s="5" t="s">
        <v>12584</v>
      </c>
      <c r="J5538" s="12" t="str">
        <f>HYPERLINK("https://www.boe.es/gazeta/dias/1800/11/07/pdfs/GMD-1800-90.pdf#page=7","Abrir facsímil")</f>
        <v>Abrir facsímil</v>
      </c>
      <c r="K5538" s="15" t="s">
        <v>23</v>
      </c>
    </row>
    <row r="5539" spans="1:11" ht="42" customHeight="1">
      <c r="A5539" s="4" t="s">
        <v>12585</v>
      </c>
      <c r="B5539" s="5" t="s">
        <v>12586</v>
      </c>
      <c r="C5539" s="5" t="s">
        <v>41</v>
      </c>
      <c r="D5539" s="5" t="s">
        <v>42</v>
      </c>
      <c r="E5539" s="5" t="s">
        <v>124</v>
      </c>
      <c r="F5539" s="9">
        <v>16</v>
      </c>
      <c r="G5539" s="9">
        <v>145</v>
      </c>
      <c r="H5539" s="5" t="s">
        <v>21</v>
      </c>
      <c r="I5539" s="5" t="s">
        <v>12587</v>
      </c>
      <c r="J5539" s="12" t="str">
        <f>HYPERLINK("https://www.boe.es/gazeta/dias/1800/02/25/pdfs/GMD-1800-16.pdf#page=1","Abrir facsímil")</f>
        <v>Abrir facsímil</v>
      </c>
      <c r="K5539" s="15" t="s">
        <v>23</v>
      </c>
    </row>
    <row r="5540" spans="1:11" ht="42" customHeight="1">
      <c r="A5540" s="4" t="s">
        <v>12588</v>
      </c>
      <c r="B5540" s="5" t="s">
        <v>12589</v>
      </c>
      <c r="C5540" s="5" t="s">
        <v>18</v>
      </c>
      <c r="D5540" s="5" t="s">
        <v>19</v>
      </c>
      <c r="E5540" s="5" t="s">
        <v>314</v>
      </c>
      <c r="F5540" s="9">
        <v>74</v>
      </c>
      <c r="G5540" s="9">
        <v>831</v>
      </c>
      <c r="H5540" s="5" t="s">
        <v>21</v>
      </c>
      <c r="I5540" s="5" t="s">
        <v>12590</v>
      </c>
      <c r="J5540" s="12" t="str">
        <f>HYPERLINK("https://www.boe.es/gazeta/dias/1800/09/12/pdfs/GMD-1800-74.pdf#page=9","Abrir facsímil")</f>
        <v>Abrir facsímil</v>
      </c>
      <c r="K5540" s="15" t="s">
        <v>23</v>
      </c>
    </row>
    <row r="5541" spans="1:11" ht="42" customHeight="1">
      <c r="A5541" s="4" t="s">
        <v>12591</v>
      </c>
      <c r="B5541" s="5" t="s">
        <v>12592</v>
      </c>
      <c r="C5541" s="5" t="s">
        <v>54</v>
      </c>
      <c r="D5541" s="5" t="s">
        <v>55</v>
      </c>
      <c r="E5541" s="5" t="s">
        <v>329</v>
      </c>
      <c r="F5541" s="9">
        <v>99</v>
      </c>
      <c r="G5541" s="9">
        <v>1139</v>
      </c>
      <c r="H5541" s="5" t="s">
        <v>21</v>
      </c>
      <c r="I5541" s="5" t="s">
        <v>12593</v>
      </c>
      <c r="J5541" s="12" t="str">
        <f>HYPERLINK("https://www.boe.es/gazeta/dias/1800/12/09/pdfs/GMD-1800-99.pdf#page=7","Abrir facsímil")</f>
        <v>Abrir facsímil</v>
      </c>
      <c r="K5541" s="15" t="s">
        <v>23</v>
      </c>
    </row>
    <row r="5542" spans="1:11" ht="42" customHeight="1">
      <c r="A5542" s="4" t="s">
        <v>12594</v>
      </c>
      <c r="B5542" s="5" t="s">
        <v>12595</v>
      </c>
      <c r="C5542" s="5" t="s">
        <v>25</v>
      </c>
      <c r="D5542" s="5" t="s">
        <v>26</v>
      </c>
      <c r="E5542" s="5" t="s">
        <v>329</v>
      </c>
      <c r="F5542" s="9">
        <v>99</v>
      </c>
      <c r="G5542" s="9">
        <v>1139</v>
      </c>
      <c r="H5542" s="5" t="s">
        <v>21</v>
      </c>
      <c r="I5542" s="5" t="s">
        <v>12596</v>
      </c>
      <c r="J5542" s="12" t="str">
        <f>HYPERLINK("https://www.boe.es/gazeta/dias/1800/12/09/pdfs/GMD-1800-99.pdf#page=7","Abrir facsímil")</f>
        <v>Abrir facsímil</v>
      </c>
      <c r="K5542" s="15" t="s">
        <v>23</v>
      </c>
    </row>
    <row r="5543" spans="1:11" ht="42" customHeight="1">
      <c r="A5543" s="4" t="s">
        <v>12597</v>
      </c>
      <c r="B5543" s="5" t="s">
        <v>12598</v>
      </c>
      <c r="C5543" s="5" t="s">
        <v>41</v>
      </c>
      <c r="D5543" s="5" t="s">
        <v>42</v>
      </c>
      <c r="E5543" s="5" t="s">
        <v>244</v>
      </c>
      <c r="F5543" s="9">
        <v>9</v>
      </c>
      <c r="G5543" s="9">
        <v>81</v>
      </c>
      <c r="H5543" s="5" t="s">
        <v>21</v>
      </c>
      <c r="I5543" s="5" t="s">
        <v>12599</v>
      </c>
      <c r="J5543" s="12" t="str">
        <f>HYPERLINK("https://www.boe.es/gazeta/dias/1800/01/31/pdfs/GMD-1800-9.pdf#page=5","Abrir facsímil")</f>
        <v>Abrir facsímil</v>
      </c>
      <c r="K5543" s="15" t="s">
        <v>23</v>
      </c>
    </row>
    <row r="5544" spans="1:11" ht="42" customHeight="1">
      <c r="A5544" s="4" t="s">
        <v>12600</v>
      </c>
      <c r="B5544" s="5" t="s">
        <v>12601</v>
      </c>
      <c r="C5544" s="5" t="s">
        <v>41</v>
      </c>
      <c r="D5544" s="5" t="s">
        <v>42</v>
      </c>
      <c r="E5544" s="5" t="s">
        <v>79</v>
      </c>
      <c r="F5544" s="9">
        <v>7</v>
      </c>
      <c r="G5544" s="9">
        <v>62</v>
      </c>
      <c r="H5544" s="5" t="s">
        <v>21</v>
      </c>
      <c r="I5544" s="5" t="s">
        <v>12602</v>
      </c>
      <c r="J5544" s="12" t="str">
        <f>HYPERLINK("https://www.boe.es/gazeta/dias/1800/01/24/pdfs/GMD-1800-7.pdf#page=2","Abrir facsímil")</f>
        <v>Abrir facsímil</v>
      </c>
      <c r="K5544" s="15" t="s">
        <v>23</v>
      </c>
    </row>
    <row r="5545" spans="1:11" ht="42" customHeight="1">
      <c r="A5545" s="4" t="s">
        <v>12603</v>
      </c>
      <c r="B5545" s="5" t="s">
        <v>12604</v>
      </c>
      <c r="C5545" s="5" t="s">
        <v>18</v>
      </c>
      <c r="D5545" s="5" t="s">
        <v>19</v>
      </c>
      <c r="E5545" s="5" t="s">
        <v>162</v>
      </c>
      <c r="F5545" s="9">
        <v>15</v>
      </c>
      <c r="G5545" s="9">
        <v>142</v>
      </c>
      <c r="H5545" s="5" t="s">
        <v>21</v>
      </c>
      <c r="I5545" s="5" t="s">
        <v>12605</v>
      </c>
      <c r="J5545" s="12" t="str">
        <f>HYPERLINK("https://www.boe.es/gazeta/dias/1800/02/21/pdfs/GMD-1800-15.pdf#page=6","Abrir facsímil")</f>
        <v>Abrir facsímil</v>
      </c>
      <c r="K5545" s="15" t="s">
        <v>23</v>
      </c>
    </row>
    <row r="5546" spans="1:11" ht="42" customHeight="1">
      <c r="A5546" s="4" t="s">
        <v>12606</v>
      </c>
      <c r="B5546" s="5" t="s">
        <v>12606</v>
      </c>
      <c r="C5546" s="5" t="s">
        <v>41</v>
      </c>
      <c r="D5546" s="5" t="s">
        <v>42</v>
      </c>
      <c r="E5546" s="5" t="s">
        <v>314</v>
      </c>
      <c r="F5546" s="9">
        <v>74</v>
      </c>
      <c r="G5546" s="9">
        <v>827</v>
      </c>
      <c r="H5546" s="5" t="s">
        <v>21</v>
      </c>
      <c r="I5546" s="5" t="s">
        <v>12607</v>
      </c>
      <c r="J5546" s="12" t="str">
        <f>HYPERLINK("https://www.boe.es/gazeta/dias/1800/09/12/pdfs/GMD-1800-74.pdf#page=5","Abrir facsímil")</f>
        <v>Abrir facsímil</v>
      </c>
      <c r="K5546" s="15" t="s">
        <v>23</v>
      </c>
    </row>
    <row r="5547" spans="1:11" ht="42" customHeight="1">
      <c r="A5547" s="4" t="s">
        <v>12608</v>
      </c>
      <c r="B5547" s="5" t="s">
        <v>12609</v>
      </c>
      <c r="C5547" s="5" t="s">
        <v>18</v>
      </c>
      <c r="D5547" s="5" t="s">
        <v>19</v>
      </c>
      <c r="E5547" s="5" t="s">
        <v>31</v>
      </c>
      <c r="F5547" s="9">
        <v>20</v>
      </c>
      <c r="G5547" s="9">
        <v>192</v>
      </c>
      <c r="H5547" s="5" t="s">
        <v>21</v>
      </c>
      <c r="I5547" s="5" t="s">
        <v>12610</v>
      </c>
      <c r="J5547" s="12" t="str">
        <f>HYPERLINK("https://www.boe.es/gazeta/dias/1800/03/11/pdfs/GMD-1800-20.pdf#page=8","Abrir facsímil")</f>
        <v>Abrir facsímil</v>
      </c>
      <c r="K5547" s="15" t="s">
        <v>23</v>
      </c>
    </row>
    <row r="5548" spans="1:11" ht="42" customHeight="1">
      <c r="A5548" s="4" t="s">
        <v>12611</v>
      </c>
      <c r="B5548" s="5" t="s">
        <v>12612</v>
      </c>
      <c r="C5548" s="5" t="s">
        <v>18</v>
      </c>
      <c r="D5548" s="5" t="s">
        <v>19</v>
      </c>
      <c r="E5548" s="5" t="s">
        <v>45</v>
      </c>
      <c r="F5548" s="9">
        <v>47</v>
      </c>
      <c r="G5548" s="9">
        <v>501</v>
      </c>
      <c r="H5548" s="5" t="s">
        <v>21</v>
      </c>
      <c r="I5548" s="5" t="s">
        <v>12613</v>
      </c>
      <c r="J5548" s="12" t="str">
        <f>HYPERLINK("https://www.boe.es/gazeta/dias/1800/06/13/pdfs/GMD-1800-47.pdf#page=9","Abrir facsímil")</f>
        <v>Abrir facsímil</v>
      </c>
      <c r="K5548" s="15" t="s">
        <v>23</v>
      </c>
    </row>
    <row r="5549" spans="1:11" ht="42" customHeight="1">
      <c r="A5549" s="4" t="s">
        <v>12614</v>
      </c>
      <c r="B5549" s="5" t="s">
        <v>12615</v>
      </c>
      <c r="C5549" s="5" t="s">
        <v>207</v>
      </c>
      <c r="D5549" s="5" t="s">
        <v>55</v>
      </c>
      <c r="E5549" s="5" t="s">
        <v>52</v>
      </c>
      <c r="F5549" s="9">
        <v>83</v>
      </c>
      <c r="G5549" s="9">
        <v>962</v>
      </c>
      <c r="H5549" s="5" t="s">
        <v>21</v>
      </c>
      <c r="I5549" s="5" t="s">
        <v>12616</v>
      </c>
      <c r="J5549" s="12" t="str">
        <f>HYPERLINK("https://www.boe.es/gazeta/dias/1800/10/14/pdfs/GMD-1800-83.pdf#page=8","Abrir facsímil")</f>
        <v>Abrir facsímil</v>
      </c>
      <c r="K5549" s="15" t="s">
        <v>23</v>
      </c>
    </row>
    <row r="5550" spans="1:11" ht="42" customHeight="1">
      <c r="A5550" s="4" t="s">
        <v>12617</v>
      </c>
      <c r="B5550" s="5" t="s">
        <v>12617</v>
      </c>
      <c r="C5550" s="5" t="s">
        <v>41</v>
      </c>
      <c r="D5550" s="5" t="s">
        <v>42</v>
      </c>
      <c r="E5550" s="5" t="s">
        <v>825</v>
      </c>
      <c r="F5550" s="9">
        <v>51</v>
      </c>
      <c r="G5550" s="9">
        <v>554</v>
      </c>
      <c r="H5550" s="5" t="s">
        <v>21</v>
      </c>
      <c r="I5550" s="5" t="s">
        <v>12618</v>
      </c>
      <c r="J5550" s="12" t="str">
        <f>HYPERLINK("https://www.boe.es/gazeta/dias/1800/06/27/pdfs/GMD-1800-51.pdf#page=6","Abrir facsímil")</f>
        <v>Abrir facsímil</v>
      </c>
      <c r="K5550" s="15" t="s">
        <v>23</v>
      </c>
    </row>
    <row r="5551" spans="1:11" ht="42" customHeight="1">
      <c r="A5551" s="4" t="s">
        <v>12619</v>
      </c>
      <c r="B5551" s="5" t="s">
        <v>12620</v>
      </c>
      <c r="C5551" s="5" t="s">
        <v>207</v>
      </c>
      <c r="D5551" s="5" t="s">
        <v>55</v>
      </c>
      <c r="E5551" s="5" t="s">
        <v>20</v>
      </c>
      <c r="F5551" s="9">
        <v>104</v>
      </c>
      <c r="G5551" s="9">
        <v>1209</v>
      </c>
      <c r="H5551" s="5" t="s">
        <v>21</v>
      </c>
      <c r="I5551" s="5" t="s">
        <v>12621</v>
      </c>
      <c r="J5551" s="12" t="str">
        <f>HYPERLINK("https://www.boe.es/gazeta/dias/1800/12/26/pdfs/GMD-1800-104.pdf#page=9","Abrir facsímil")</f>
        <v>Abrir facsímil</v>
      </c>
      <c r="K5551" s="15" t="s">
        <v>23</v>
      </c>
    </row>
    <row r="5552" spans="1:11" ht="42" customHeight="1">
      <c r="A5552" s="4" t="s">
        <v>12622</v>
      </c>
      <c r="B5552" s="5" t="s">
        <v>12623</v>
      </c>
      <c r="C5552" s="5" t="s">
        <v>207</v>
      </c>
      <c r="D5552" s="5" t="s">
        <v>55</v>
      </c>
      <c r="E5552" s="5" t="s">
        <v>478</v>
      </c>
      <c r="F5552" s="9">
        <v>34</v>
      </c>
      <c r="G5552" s="9">
        <v>346</v>
      </c>
      <c r="H5552" s="5" t="s">
        <v>21</v>
      </c>
      <c r="I5552" s="5" t="s">
        <v>12624</v>
      </c>
      <c r="J5552" s="12" t="str">
        <f>HYPERLINK("https://www.boe.es/gazeta/dias/1800/04/29/pdfs/GMD-1800-34.pdf#page=10","Abrir facsímil")</f>
        <v>Abrir facsímil</v>
      </c>
      <c r="K5552" s="15" t="s">
        <v>23</v>
      </c>
    </row>
    <row r="5553" spans="1:11" ht="42" customHeight="1">
      <c r="A5553" s="4" t="s">
        <v>12625</v>
      </c>
      <c r="B5553" s="5" t="s">
        <v>12626</v>
      </c>
      <c r="C5553" s="5" t="s">
        <v>18</v>
      </c>
      <c r="D5553" s="5" t="s">
        <v>19</v>
      </c>
      <c r="E5553" s="5" t="s">
        <v>534</v>
      </c>
      <c r="F5553" s="9">
        <v>100</v>
      </c>
      <c r="G5553" s="9">
        <v>1149</v>
      </c>
      <c r="H5553" s="5" t="s">
        <v>21</v>
      </c>
      <c r="I5553" s="5" t="s">
        <v>12627</v>
      </c>
      <c r="J5553" s="12" t="str">
        <f>HYPERLINK("https://www.boe.es/gazeta/dias/1800/12/12/pdfs/GMD-1800-100.pdf#page=1","Abrir facsímil")</f>
        <v>Abrir facsímil</v>
      </c>
      <c r="K5553" s="15" t="s">
        <v>23</v>
      </c>
    </row>
    <row r="5554" spans="1:11" ht="42" customHeight="1">
      <c r="A5554" s="4" t="s">
        <v>12628</v>
      </c>
      <c r="B5554" s="5" t="s">
        <v>12629</v>
      </c>
      <c r="C5554" s="5" t="s">
        <v>18</v>
      </c>
      <c r="D5554" s="5" t="s">
        <v>19</v>
      </c>
      <c r="E5554" s="5" t="s">
        <v>48</v>
      </c>
      <c r="F5554" s="9">
        <v>66</v>
      </c>
      <c r="G5554" s="9">
        <v>737</v>
      </c>
      <c r="H5554" s="5" t="s">
        <v>21</v>
      </c>
      <c r="I5554" s="5" t="s">
        <v>12630</v>
      </c>
      <c r="J5554" s="12" t="str">
        <f>HYPERLINK("https://www.boe.es/gazeta/dias/1800/08/19/pdfs/GMD-1800-66.pdf#page=1","Abrir facsímil")</f>
        <v>Abrir facsímil</v>
      </c>
      <c r="K5554" s="15" t="s">
        <v>23</v>
      </c>
    </row>
    <row r="5555" spans="1:11" ht="42" customHeight="1">
      <c r="A5555" s="4" t="s">
        <v>12631</v>
      </c>
      <c r="B5555" s="5" t="s">
        <v>12632</v>
      </c>
      <c r="C5555" s="5" t="s">
        <v>84</v>
      </c>
      <c r="D5555" s="5" t="s">
        <v>85</v>
      </c>
      <c r="E5555" s="5" t="s">
        <v>319</v>
      </c>
      <c r="F5555" s="9">
        <v>62</v>
      </c>
      <c r="G5555" s="9">
        <v>712</v>
      </c>
      <c r="H5555" s="5" t="s">
        <v>21</v>
      </c>
      <c r="I5555" s="5" t="s">
        <v>12633</v>
      </c>
      <c r="J5555" s="12" t="str">
        <f>HYPERLINK("https://www.boe.es/gazeta/dias/1800/08/05/pdfs/GMD-1800-62.pdf#page=12","Abrir facsímil")</f>
        <v>Abrir facsímil</v>
      </c>
      <c r="K5555" s="15" t="s">
        <v>23</v>
      </c>
    </row>
    <row r="5556" spans="1:11" ht="42" customHeight="1">
      <c r="A5556" s="4" t="s">
        <v>12634</v>
      </c>
      <c r="B5556" s="5" t="s">
        <v>12635</v>
      </c>
      <c r="C5556" s="5" t="s">
        <v>18</v>
      </c>
      <c r="D5556" s="5" t="s">
        <v>19</v>
      </c>
      <c r="E5556" s="5" t="s">
        <v>576</v>
      </c>
      <c r="F5556" s="9">
        <v>91</v>
      </c>
      <c r="G5556" s="9">
        <v>1067</v>
      </c>
      <c r="H5556" s="5" t="s">
        <v>21</v>
      </c>
      <c r="I5556" s="5" t="s">
        <v>12636</v>
      </c>
      <c r="J5556" s="12" t="str">
        <f>HYPERLINK("https://www.boe.es/gazeta/dias/1800/11/11/pdfs/GMD-1800-91.pdf#page=9","Abrir facsímil")</f>
        <v>Abrir facsímil</v>
      </c>
      <c r="K5556" s="15" t="s">
        <v>23</v>
      </c>
    </row>
    <row r="5557" spans="1:11" ht="42" customHeight="1">
      <c r="A5557" s="4" t="s">
        <v>12634</v>
      </c>
      <c r="B5557" s="5" t="s">
        <v>12635</v>
      </c>
      <c r="C5557" s="5" t="s">
        <v>18</v>
      </c>
      <c r="D5557" s="5" t="s">
        <v>19</v>
      </c>
      <c r="E5557" s="5" t="s">
        <v>190</v>
      </c>
      <c r="F5557" s="9">
        <v>93</v>
      </c>
      <c r="G5557" s="9">
        <v>1066</v>
      </c>
      <c r="H5557" s="5" t="s">
        <v>21</v>
      </c>
      <c r="I5557" s="5" t="s">
        <v>12637</v>
      </c>
      <c r="J5557" s="12" t="str">
        <f>HYPERLINK("https://www.boe.es/gazeta/dias/1800/11/18/pdfs/GMD-1800-93.pdf#page=12","Abrir facsímil")</f>
        <v>Abrir facsímil</v>
      </c>
      <c r="K5557" s="15" t="s">
        <v>23</v>
      </c>
    </row>
    <row r="5558" spans="1:11" ht="42" customHeight="1">
      <c r="A5558" s="4" t="s">
        <v>12638</v>
      </c>
      <c r="B5558" s="5" t="s">
        <v>12639</v>
      </c>
      <c r="C5558" s="5" t="s">
        <v>41</v>
      </c>
      <c r="D5558" s="5" t="s">
        <v>42</v>
      </c>
      <c r="E5558" s="5" t="s">
        <v>139</v>
      </c>
      <c r="F5558" s="9">
        <v>2</v>
      </c>
      <c r="G5558" s="9">
        <v>12</v>
      </c>
      <c r="H5558" s="5" t="s">
        <v>21</v>
      </c>
      <c r="I5558" s="5" t="s">
        <v>12640</v>
      </c>
      <c r="J5558" s="12" t="str">
        <f>HYPERLINK("https://www.boe.es/gazeta/dias/1800/01/07/pdfs/GMD-1800-2.pdf#page=4","Abrir facsímil")</f>
        <v>Abrir facsímil</v>
      </c>
      <c r="K5558" s="15" t="s">
        <v>23</v>
      </c>
    </row>
    <row r="5559" spans="1:11" ht="42" customHeight="1">
      <c r="A5559" s="4" t="s">
        <v>12641</v>
      </c>
      <c r="B5559" s="5" t="s">
        <v>12642</v>
      </c>
      <c r="C5559" s="5" t="s">
        <v>41</v>
      </c>
      <c r="D5559" s="5" t="s">
        <v>42</v>
      </c>
      <c r="E5559" s="5" t="s">
        <v>45</v>
      </c>
      <c r="F5559" s="9">
        <v>47</v>
      </c>
      <c r="G5559" s="9">
        <v>499</v>
      </c>
      <c r="H5559" s="5" t="s">
        <v>21</v>
      </c>
      <c r="I5559" s="5" t="s">
        <v>12643</v>
      </c>
      <c r="J5559" s="12" t="str">
        <f>HYPERLINK("https://www.boe.es/gazeta/dias/1800/06/13/pdfs/GMD-1800-47.pdf#page=7","Abrir facsímil")</f>
        <v>Abrir facsímil</v>
      </c>
      <c r="K5559" s="15" t="s">
        <v>23</v>
      </c>
    </row>
    <row r="5560" spans="1:11" ht="42" customHeight="1">
      <c r="A5560" s="4" t="s">
        <v>12644</v>
      </c>
      <c r="B5560" s="5" t="s">
        <v>12645</v>
      </c>
      <c r="C5560" s="5" t="s">
        <v>41</v>
      </c>
      <c r="D5560" s="5" t="s">
        <v>42</v>
      </c>
      <c r="E5560" s="5" t="s">
        <v>1433</v>
      </c>
      <c r="F5560" s="9">
        <v>12</v>
      </c>
      <c r="G5560" s="9">
        <v>113</v>
      </c>
      <c r="H5560" s="5" t="s">
        <v>21</v>
      </c>
      <c r="I5560" s="5" t="s">
        <v>12646</v>
      </c>
      <c r="J5560" s="12" t="str">
        <f>HYPERLINK("https://www.boe.es/gazeta/dias/1800/02/11/pdfs/GMD-1800-12.pdf#page=5","Abrir facsímil")</f>
        <v>Abrir facsímil</v>
      </c>
      <c r="K5560" s="15" t="s">
        <v>23</v>
      </c>
    </row>
    <row r="5561" spans="1:11" ht="42" customHeight="1">
      <c r="A5561" s="4" t="s">
        <v>12647</v>
      </c>
      <c r="B5561" s="5" t="s">
        <v>12648</v>
      </c>
      <c r="C5561" s="5" t="s">
        <v>41</v>
      </c>
      <c r="D5561" s="5" t="s">
        <v>42</v>
      </c>
      <c r="E5561" s="5" t="s">
        <v>244</v>
      </c>
      <c r="F5561" s="9">
        <v>9</v>
      </c>
      <c r="G5561" s="9">
        <v>81</v>
      </c>
      <c r="H5561" s="5" t="s">
        <v>21</v>
      </c>
      <c r="I5561" s="5" t="s">
        <v>12649</v>
      </c>
      <c r="J5561" s="12" t="str">
        <f>HYPERLINK("https://www.boe.es/gazeta/dias/1800/01/31/pdfs/GMD-1800-9.pdf#page=5","Abrir facsímil")</f>
        <v>Abrir facsímil</v>
      </c>
      <c r="K5561" s="15" t="s">
        <v>23</v>
      </c>
    </row>
    <row r="5562" spans="1:11" ht="42" customHeight="1">
      <c r="A5562" s="4" t="s">
        <v>12647</v>
      </c>
      <c r="B5562" s="5" t="s">
        <v>12648</v>
      </c>
      <c r="C5562" s="5" t="s">
        <v>18</v>
      </c>
      <c r="D5562" s="5" t="s">
        <v>19</v>
      </c>
      <c r="E5562" s="5" t="s">
        <v>124</v>
      </c>
      <c r="F5562" s="9">
        <v>16</v>
      </c>
      <c r="G5562" s="9">
        <v>148</v>
      </c>
      <c r="H5562" s="5" t="s">
        <v>21</v>
      </c>
      <c r="I5562" s="5" t="s">
        <v>12650</v>
      </c>
      <c r="J5562" s="12" t="str">
        <f>HYPERLINK("https://www.boe.es/gazeta/dias/1800/02/25/pdfs/GMD-1800-16.pdf#page=4","Abrir facsímil")</f>
        <v>Abrir facsímil</v>
      </c>
      <c r="K5562" s="15" t="s">
        <v>23</v>
      </c>
    </row>
    <row r="5563" spans="1:11" ht="42" customHeight="1">
      <c r="A5563" s="4" t="s">
        <v>12651</v>
      </c>
      <c r="B5563" s="5" t="s">
        <v>12652</v>
      </c>
      <c r="C5563" s="5" t="s">
        <v>18</v>
      </c>
      <c r="D5563" s="5" t="s">
        <v>19</v>
      </c>
      <c r="E5563" s="5" t="s">
        <v>56</v>
      </c>
      <c r="F5563" s="9">
        <v>90</v>
      </c>
      <c r="G5563" s="9">
        <v>1056</v>
      </c>
      <c r="H5563" s="5" t="s">
        <v>21</v>
      </c>
      <c r="I5563" s="5" t="s">
        <v>12653</v>
      </c>
      <c r="J5563" s="12" t="str">
        <f>HYPERLINK("https://www.boe.es/gazeta/dias/1800/11/07/pdfs/GMD-1800-90.pdf#page=10","Abrir facsímil")</f>
        <v>Abrir facsímil</v>
      </c>
      <c r="K5563" s="15" t="s">
        <v>23</v>
      </c>
    </row>
    <row r="5564" spans="1:11" ht="42" customHeight="1">
      <c r="A5564" s="4" t="s">
        <v>12654</v>
      </c>
      <c r="B5564" s="5" t="s">
        <v>12655</v>
      </c>
      <c r="C5564" s="5" t="s">
        <v>25</v>
      </c>
      <c r="D5564" s="5" t="s">
        <v>26</v>
      </c>
      <c r="E5564" s="5" t="s">
        <v>184</v>
      </c>
      <c r="F5564" s="9">
        <v>82</v>
      </c>
      <c r="G5564" s="9">
        <v>954</v>
      </c>
      <c r="H5564" s="5" t="s">
        <v>21</v>
      </c>
      <c r="I5564" s="5" t="s">
        <v>12656</v>
      </c>
      <c r="J5564" s="12" t="str">
        <f>HYPERLINK("https://www.boe.es/gazeta/dias/1800/10/10/pdfs/GMD-1800-82.pdf#page=12","Abrir facsímil")</f>
        <v>Abrir facsímil</v>
      </c>
      <c r="K5564" s="15" t="s">
        <v>23</v>
      </c>
    </row>
    <row r="5565" spans="1:11" ht="42" customHeight="1">
      <c r="A5565" s="4" t="s">
        <v>12657</v>
      </c>
      <c r="B5565" s="5" t="s">
        <v>12658</v>
      </c>
      <c r="C5565" s="5" t="s">
        <v>25</v>
      </c>
      <c r="D5565" s="5" t="s">
        <v>26</v>
      </c>
      <c r="E5565" s="5" t="s">
        <v>86</v>
      </c>
      <c r="F5565" s="9">
        <v>17</v>
      </c>
      <c r="G5565" s="9">
        <v>163</v>
      </c>
      <c r="H5565" s="5" t="s">
        <v>21</v>
      </c>
      <c r="I5565" s="5" t="s">
        <v>12659</v>
      </c>
      <c r="J5565" s="12" t="str">
        <f>HYPERLINK("https://www.boe.es/gazeta/dias/1800/02/28/pdfs/GMD-1800-17.pdf#page=11","Abrir facsímil")</f>
        <v>Abrir facsímil</v>
      </c>
      <c r="K5565" s="15" t="s">
        <v>23</v>
      </c>
    </row>
    <row r="5566" spans="1:11" ht="42" customHeight="1">
      <c r="A5566" s="4" t="s">
        <v>12660</v>
      </c>
      <c r="B5566" s="5" t="s">
        <v>12661</v>
      </c>
      <c r="C5566" s="5" t="s">
        <v>18</v>
      </c>
      <c r="D5566" s="5" t="s">
        <v>19</v>
      </c>
      <c r="E5566" s="5" t="s">
        <v>147</v>
      </c>
      <c r="F5566" s="9">
        <v>84</v>
      </c>
      <c r="G5566" s="9">
        <v>973</v>
      </c>
      <c r="H5566" s="5" t="s">
        <v>21</v>
      </c>
      <c r="I5566" s="5" t="s">
        <v>12662</v>
      </c>
      <c r="J5566" s="12" t="str">
        <f>HYPERLINK("https://www.boe.es/gazeta/dias/1800/10/17/pdfs/GMD-1800-84.pdf#page=7","Abrir facsímil")</f>
        <v>Abrir facsímil</v>
      </c>
      <c r="K5566" s="15" t="s">
        <v>23</v>
      </c>
    </row>
    <row r="5567" spans="1:11" ht="42" customHeight="1">
      <c r="A5567" s="4" t="s">
        <v>12663</v>
      </c>
      <c r="B5567" s="5" t="s">
        <v>12664</v>
      </c>
      <c r="C5567" s="5" t="s">
        <v>18</v>
      </c>
      <c r="D5567" s="5" t="s">
        <v>19</v>
      </c>
      <c r="E5567" s="5" t="s">
        <v>420</v>
      </c>
      <c r="F5567" s="9">
        <v>38</v>
      </c>
      <c r="G5567" s="9">
        <v>388</v>
      </c>
      <c r="H5567" s="5" t="s">
        <v>21</v>
      </c>
      <c r="I5567" s="5" t="s">
        <v>12665</v>
      </c>
      <c r="J5567" s="12" t="str">
        <f>HYPERLINK("https://www.boe.es/gazeta/dias/1800/05/13/pdfs/GMD-1800-38.pdf#page=8","Abrir facsímil")</f>
        <v>Abrir facsímil</v>
      </c>
      <c r="K5567" s="15" t="s">
        <v>23</v>
      </c>
    </row>
    <row r="5568" spans="1:11" ht="42" customHeight="1">
      <c r="A5568" s="4" t="s">
        <v>12666</v>
      </c>
      <c r="B5568" s="5" t="s">
        <v>12667</v>
      </c>
      <c r="C5568" s="5" t="s">
        <v>18</v>
      </c>
      <c r="D5568" s="5" t="s">
        <v>19</v>
      </c>
      <c r="E5568" s="5" t="s">
        <v>279</v>
      </c>
      <c r="F5568" s="9">
        <v>103</v>
      </c>
      <c r="G5568" s="9">
        <v>1197</v>
      </c>
      <c r="H5568" s="5" t="s">
        <v>21</v>
      </c>
      <c r="I5568" s="5" t="s">
        <v>12668</v>
      </c>
      <c r="J5568" s="12" t="str">
        <f>HYPERLINK("https://www.boe.es/gazeta/dias/1800/12/23/pdfs/GMD-1800-103.pdf#page=9","Abrir facsímil")</f>
        <v>Abrir facsímil</v>
      </c>
      <c r="K5568" s="15" t="s">
        <v>23</v>
      </c>
    </row>
    <row r="5569" spans="1:11" ht="42" customHeight="1">
      <c r="A5569" s="4" t="s">
        <v>12669</v>
      </c>
      <c r="B5569" s="5" t="s">
        <v>12670</v>
      </c>
      <c r="C5569" s="5" t="s">
        <v>25</v>
      </c>
      <c r="D5569" s="5" t="s">
        <v>26</v>
      </c>
      <c r="E5569" s="5" t="s">
        <v>147</v>
      </c>
      <c r="F5569" s="9">
        <v>84</v>
      </c>
      <c r="G5569" s="9">
        <v>974</v>
      </c>
      <c r="H5569" s="5" t="s">
        <v>21</v>
      </c>
      <c r="I5569" s="5" t="s">
        <v>12671</v>
      </c>
      <c r="J5569" s="12" t="str">
        <f>HYPERLINK("https://www.boe.es/gazeta/dias/1800/10/17/pdfs/GMD-1800-84.pdf#page=8","Abrir facsímil")</f>
        <v>Abrir facsímil</v>
      </c>
      <c r="K5569" s="15" t="s">
        <v>23</v>
      </c>
    </row>
    <row r="5570" spans="1:11" ht="42" customHeight="1">
      <c r="A5570" s="4" t="s">
        <v>12672</v>
      </c>
      <c r="B5570" s="5" t="s">
        <v>12673</v>
      </c>
      <c r="C5570" s="5" t="s">
        <v>171</v>
      </c>
      <c r="D5570" s="5" t="s">
        <v>172</v>
      </c>
      <c r="E5570" s="5" t="s">
        <v>45</v>
      </c>
      <c r="F5570" s="9">
        <v>47</v>
      </c>
      <c r="G5570" s="9">
        <v>506</v>
      </c>
      <c r="H5570" s="5" t="s">
        <v>21</v>
      </c>
      <c r="I5570" s="5" t="s">
        <v>12674</v>
      </c>
      <c r="J5570" s="12" t="str">
        <f>HYPERLINK("https://www.boe.es/gazeta/dias/1800/06/13/pdfs/GMD-C-1800-47.pdf#page=2","Abrir facsímil")</f>
        <v>Abrir facsímil</v>
      </c>
      <c r="K5570" s="15" t="s">
        <v>23</v>
      </c>
    </row>
    <row r="5571" spans="1:11" ht="42" customHeight="1">
      <c r="A5571" s="4" t="s">
        <v>12675</v>
      </c>
      <c r="B5571" s="5" t="s">
        <v>12676</v>
      </c>
      <c r="C5571" s="5" t="s">
        <v>18</v>
      </c>
      <c r="D5571" s="5" t="s">
        <v>19</v>
      </c>
      <c r="E5571" s="5" t="s">
        <v>248</v>
      </c>
      <c r="F5571" s="9">
        <v>33</v>
      </c>
      <c r="G5571" s="9">
        <v>333</v>
      </c>
      <c r="H5571" s="5" t="s">
        <v>21</v>
      </c>
      <c r="I5571" s="5" t="s">
        <v>12677</v>
      </c>
      <c r="J5571" s="12" t="str">
        <f>HYPERLINK("https://www.boe.es/gazeta/dias/1800/04/25/pdfs/GMD-1800-33.pdf#page=9","Abrir facsímil")</f>
        <v>Abrir facsímil</v>
      </c>
      <c r="K5571" s="15" t="s">
        <v>23</v>
      </c>
    </row>
    <row r="5572" spans="1:11" ht="42" customHeight="1">
      <c r="A5572" s="4" t="s">
        <v>12678</v>
      </c>
      <c r="B5572" s="5" t="s">
        <v>12679</v>
      </c>
      <c r="C5572" s="5" t="s">
        <v>18</v>
      </c>
      <c r="D5572" s="5" t="s">
        <v>19</v>
      </c>
      <c r="E5572" s="5" t="s">
        <v>534</v>
      </c>
      <c r="F5572" s="9">
        <v>100</v>
      </c>
      <c r="G5572" s="9">
        <v>1160</v>
      </c>
      <c r="H5572" s="5" t="s">
        <v>21</v>
      </c>
      <c r="I5572" s="5" t="s">
        <v>12680</v>
      </c>
      <c r="J5572" s="12" t="str">
        <f>HYPERLINK("https://www.boe.es/gazeta/dias/1800/12/12/pdfs/GMD-1800-100.pdf#page=12","Abrir facsímil")</f>
        <v>Abrir facsímil</v>
      </c>
      <c r="K5572" s="15" t="s">
        <v>23</v>
      </c>
    </row>
    <row r="5573" spans="1:11" ht="42" customHeight="1">
      <c r="A5573" s="4" t="s">
        <v>12681</v>
      </c>
      <c r="B5573" s="5" t="s">
        <v>12682</v>
      </c>
      <c r="C5573" s="5" t="s">
        <v>18</v>
      </c>
      <c r="D5573" s="5" t="s">
        <v>19</v>
      </c>
      <c r="E5573" s="5" t="s">
        <v>240</v>
      </c>
      <c r="F5573" s="9">
        <v>26</v>
      </c>
      <c r="G5573" s="9">
        <v>269</v>
      </c>
      <c r="H5573" s="5" t="s">
        <v>21</v>
      </c>
      <c r="I5573" s="5" t="s">
        <v>12683</v>
      </c>
      <c r="J5573" s="12" t="str">
        <f>HYPERLINK("https://www.boe.es/gazeta/dias/1800/04/01/pdfs/GMD-1800-26.pdf#page=9","Abrir facsímil")</f>
        <v>Abrir facsímil</v>
      </c>
      <c r="K5573" s="15" t="s">
        <v>23</v>
      </c>
    </row>
    <row r="5574" spans="1:11" ht="42" customHeight="1">
      <c r="A5574" s="4" t="s">
        <v>12684</v>
      </c>
      <c r="B5574" s="5" t="s">
        <v>12685</v>
      </c>
      <c r="C5574" s="5" t="s">
        <v>54</v>
      </c>
      <c r="D5574" s="5" t="s">
        <v>55</v>
      </c>
      <c r="E5574" s="5" t="s">
        <v>45</v>
      </c>
      <c r="F5574" s="9">
        <v>47</v>
      </c>
      <c r="G5574" s="9">
        <v>502</v>
      </c>
      <c r="H5574" s="5" t="s">
        <v>21</v>
      </c>
      <c r="I5574" s="5" t="s">
        <v>12686</v>
      </c>
      <c r="J5574" s="12" t="str">
        <f>HYPERLINK("https://www.boe.es/gazeta/dias/1800/06/13/pdfs/GMD-1800-47.pdf#page=10","Abrir facsímil")</f>
        <v>Abrir facsímil</v>
      </c>
      <c r="K5574" s="15" t="s">
        <v>23</v>
      </c>
    </row>
    <row r="5575" spans="1:11" ht="42" customHeight="1">
      <c r="A5575" s="4" t="s">
        <v>12687</v>
      </c>
      <c r="B5575" s="5" t="s">
        <v>12688</v>
      </c>
      <c r="C5575" s="5" t="s">
        <v>18</v>
      </c>
      <c r="D5575" s="5" t="s">
        <v>19</v>
      </c>
      <c r="E5575" s="5" t="s">
        <v>196</v>
      </c>
      <c r="F5575" s="9">
        <v>97</v>
      </c>
      <c r="G5575" s="9">
        <v>1120</v>
      </c>
      <c r="H5575" s="5" t="s">
        <v>21</v>
      </c>
      <c r="I5575" s="5" t="s">
        <v>12689</v>
      </c>
      <c r="J5575" s="12" t="str">
        <f>HYPERLINK("https://www.boe.es/gazeta/dias/1800/12/02/pdfs/GMD-1800-97.pdf#page=12","Abrir facsímil")</f>
        <v>Abrir facsímil</v>
      </c>
      <c r="K5575" s="15" t="s">
        <v>23</v>
      </c>
    </row>
    <row r="5576" spans="1:11" ht="42" customHeight="1">
      <c r="A5576" s="4" t="s">
        <v>12690</v>
      </c>
      <c r="B5576" s="5" t="s">
        <v>12691</v>
      </c>
      <c r="C5576" s="5" t="s">
        <v>84</v>
      </c>
      <c r="D5576" s="5" t="s">
        <v>85</v>
      </c>
      <c r="E5576" s="5" t="s">
        <v>600</v>
      </c>
      <c r="F5576" s="9">
        <v>45</v>
      </c>
      <c r="G5576" s="9">
        <v>473</v>
      </c>
      <c r="H5576" s="5" t="s">
        <v>21</v>
      </c>
      <c r="I5576" s="5" t="s">
        <v>12692</v>
      </c>
      <c r="J5576" s="12" t="str">
        <f>HYPERLINK("https://www.boe.es/gazeta/dias/1800/06/06/pdfs/GMD-1800-45.pdf#page=9","Abrir facsímil")</f>
        <v>Abrir facsímil</v>
      </c>
      <c r="K5576" s="15" t="s">
        <v>23</v>
      </c>
    </row>
    <row r="5577" spans="1:11" ht="42" customHeight="1">
      <c r="A5577" s="4" t="s">
        <v>12693</v>
      </c>
      <c r="B5577" s="5" t="s">
        <v>12694</v>
      </c>
      <c r="C5577" s="5" t="s">
        <v>18</v>
      </c>
      <c r="D5577" s="5" t="s">
        <v>19</v>
      </c>
      <c r="E5577" s="5" t="s">
        <v>56</v>
      </c>
      <c r="F5577" s="9">
        <v>90</v>
      </c>
      <c r="G5577" s="9">
        <v>1055</v>
      </c>
      <c r="H5577" s="5" t="s">
        <v>21</v>
      </c>
      <c r="I5577" s="5" t="s">
        <v>12695</v>
      </c>
      <c r="J5577" s="12" t="str">
        <f>HYPERLINK("https://www.boe.es/gazeta/dias/1800/11/07/pdfs/GMD-1800-90.pdf#page=9","Abrir facsímil")</f>
        <v>Abrir facsímil</v>
      </c>
      <c r="K5577" s="15" t="s">
        <v>23</v>
      </c>
    </row>
    <row r="5578" spans="1:11" ht="42" customHeight="1">
      <c r="A5578" s="4" t="s">
        <v>12696</v>
      </c>
      <c r="B5578" s="5" t="s">
        <v>12697</v>
      </c>
      <c r="C5578" s="5" t="s">
        <v>18</v>
      </c>
      <c r="D5578" s="5" t="s">
        <v>19</v>
      </c>
      <c r="E5578" s="5" t="s">
        <v>56</v>
      </c>
      <c r="F5578" s="9">
        <v>90</v>
      </c>
      <c r="G5578" s="9">
        <v>1055</v>
      </c>
      <c r="H5578" s="5" t="s">
        <v>21</v>
      </c>
      <c r="I5578" s="5" t="s">
        <v>12698</v>
      </c>
      <c r="J5578" s="12" t="str">
        <f>HYPERLINK("https://www.boe.es/gazeta/dias/1800/11/07/pdfs/GMD-1800-90.pdf#page=9","Abrir facsímil")</f>
        <v>Abrir facsímil</v>
      </c>
      <c r="K5578" s="15" t="s">
        <v>23</v>
      </c>
    </row>
    <row r="5579" spans="1:11" ht="42" customHeight="1">
      <c r="A5579" s="4" t="s">
        <v>12699</v>
      </c>
      <c r="B5579" s="5" t="s">
        <v>12700</v>
      </c>
      <c r="C5579" s="5" t="s">
        <v>25</v>
      </c>
      <c r="D5579" s="5" t="s">
        <v>26</v>
      </c>
      <c r="E5579" s="5" t="s">
        <v>20</v>
      </c>
      <c r="F5579" s="9">
        <v>104</v>
      </c>
      <c r="G5579" s="9">
        <v>1210</v>
      </c>
      <c r="H5579" s="5" t="s">
        <v>21</v>
      </c>
      <c r="I5579" s="5" t="s">
        <v>12701</v>
      </c>
      <c r="J5579" s="12" t="str">
        <f>HYPERLINK("https://www.boe.es/gazeta/dias/1800/12/26/pdfs/GMD-1800-104.pdf#page=10","Abrir facsímil")</f>
        <v>Abrir facsímil</v>
      </c>
      <c r="K5579" s="15" t="s">
        <v>23</v>
      </c>
    </row>
    <row r="5580" spans="1:11" ht="42" customHeight="1">
      <c r="A5580" s="4" t="s">
        <v>12702</v>
      </c>
      <c r="B5580" s="5" t="s">
        <v>12703</v>
      </c>
      <c r="C5580" s="5" t="s">
        <v>18</v>
      </c>
      <c r="D5580" s="5" t="s">
        <v>19</v>
      </c>
      <c r="E5580" s="5" t="s">
        <v>491</v>
      </c>
      <c r="F5580" s="9">
        <v>29</v>
      </c>
      <c r="G5580" s="9">
        <v>300</v>
      </c>
      <c r="H5580" s="5" t="s">
        <v>21</v>
      </c>
      <c r="I5580" s="5" t="s">
        <v>12704</v>
      </c>
      <c r="J5580" s="12" t="str">
        <f>HYPERLINK("https://www.boe.es/gazeta/dias/1800/04/11/pdfs/GMD-1800-29.pdf#page=8","Abrir facsímil")</f>
        <v>Abrir facsímil</v>
      </c>
      <c r="K5580" s="15" t="s">
        <v>23</v>
      </c>
    </row>
    <row r="5581" spans="1:11" ht="42" customHeight="1">
      <c r="A5581" s="4" t="s">
        <v>12705</v>
      </c>
      <c r="B5581" s="5" t="s">
        <v>12706</v>
      </c>
      <c r="C5581" s="5" t="s">
        <v>84</v>
      </c>
      <c r="D5581" s="5" t="s">
        <v>85</v>
      </c>
      <c r="E5581" s="5" t="s">
        <v>1127</v>
      </c>
      <c r="F5581" s="9">
        <v>11</v>
      </c>
      <c r="G5581" s="9">
        <v>108</v>
      </c>
      <c r="H5581" s="5" t="s">
        <v>21</v>
      </c>
      <c r="I5581" s="5" t="s">
        <v>12707</v>
      </c>
      <c r="J5581" s="12" t="str">
        <f>HYPERLINK("https://www.boe.es/gazeta/dias/1800/02/07/pdfs/GMD-1800-11.pdf#page=8","Abrir facsímil")</f>
        <v>Abrir facsímil</v>
      </c>
      <c r="K5581" s="15" t="s">
        <v>23</v>
      </c>
    </row>
    <row r="5582" spans="1:11" ht="42" customHeight="1">
      <c r="A5582" s="4" t="s">
        <v>12708</v>
      </c>
      <c r="B5582" s="5" t="s">
        <v>12709</v>
      </c>
      <c r="C5582" s="5" t="s">
        <v>18</v>
      </c>
      <c r="D5582" s="5" t="s">
        <v>19</v>
      </c>
      <c r="E5582" s="5" t="s">
        <v>56</v>
      </c>
      <c r="F5582" s="9">
        <v>90</v>
      </c>
      <c r="G5582" s="9">
        <v>1055</v>
      </c>
      <c r="H5582" s="5" t="s">
        <v>21</v>
      </c>
      <c r="I5582" s="5" t="s">
        <v>12710</v>
      </c>
      <c r="J5582" s="12" t="str">
        <f>HYPERLINK("https://www.boe.es/gazeta/dias/1800/11/07/pdfs/GMD-1800-90.pdf#page=9","Abrir facsímil")</f>
        <v>Abrir facsímil</v>
      </c>
      <c r="K5582" s="15" t="s">
        <v>23</v>
      </c>
    </row>
    <row r="5583" spans="1:11" ht="42" customHeight="1">
      <c r="A5583" s="4" t="s">
        <v>12711</v>
      </c>
      <c r="B5583" s="5" t="s">
        <v>12711</v>
      </c>
      <c r="C5583" s="5" t="s">
        <v>41</v>
      </c>
      <c r="D5583" s="5" t="s">
        <v>42</v>
      </c>
      <c r="E5583" s="5" t="s">
        <v>101</v>
      </c>
      <c r="F5583" s="9">
        <v>37</v>
      </c>
      <c r="G5583" s="9">
        <v>373</v>
      </c>
      <c r="H5583" s="5" t="s">
        <v>21</v>
      </c>
      <c r="I5583" s="5" t="s">
        <v>11107</v>
      </c>
      <c r="J5583" s="12" t="str">
        <f>HYPERLINK("https://www.boe.es/gazeta/dias/1800/05/09/pdfs/GMD-1800-37.pdf#page=5","Abrir facsímil")</f>
        <v>Abrir facsímil</v>
      </c>
      <c r="K5583" s="15" t="s">
        <v>23</v>
      </c>
    </row>
    <row r="5584" spans="1:11" ht="42" customHeight="1">
      <c r="A5584" s="4" t="s">
        <v>12712</v>
      </c>
      <c r="B5584" s="5" t="s">
        <v>12713</v>
      </c>
      <c r="C5584" s="5" t="s">
        <v>41</v>
      </c>
      <c r="D5584" s="5" t="s">
        <v>42</v>
      </c>
      <c r="E5584" s="5" t="s">
        <v>461</v>
      </c>
      <c r="F5584" s="9">
        <v>18</v>
      </c>
      <c r="G5584" s="9">
        <v>167</v>
      </c>
      <c r="H5584" s="5" t="s">
        <v>21</v>
      </c>
      <c r="I5584" s="5" t="s">
        <v>12714</v>
      </c>
      <c r="J5584" s="12" t="str">
        <f>HYPERLINK("https://www.boe.es/datos/pdfs/BOE//1800/018/C00173-00176.pdf#page=3","Abrir facsímil")</f>
        <v>Abrir facsímil</v>
      </c>
      <c r="K5584" s="15" t="s">
        <v>23</v>
      </c>
    </row>
    <row r="5585" spans="1:11" ht="42" customHeight="1">
      <c r="A5585" s="4" t="s">
        <v>12712</v>
      </c>
      <c r="B5585" s="5" t="s">
        <v>12713</v>
      </c>
      <c r="C5585" s="5" t="s">
        <v>41</v>
      </c>
      <c r="D5585" s="5" t="s">
        <v>42</v>
      </c>
      <c r="E5585" s="5" t="s">
        <v>31</v>
      </c>
      <c r="F5585" s="9">
        <v>20</v>
      </c>
      <c r="G5585" s="9">
        <v>189</v>
      </c>
      <c r="H5585" s="5" t="s">
        <v>21</v>
      </c>
      <c r="I5585" s="5" t="s">
        <v>12715</v>
      </c>
      <c r="J5585" s="12" t="str">
        <f>HYPERLINK("https://www.boe.es/gazeta/dias/1800/03/11/pdfs/GMD-1800-20.pdf#page=5","Abrir facsímil")</f>
        <v>Abrir facsímil</v>
      </c>
      <c r="K5585" s="15" t="s">
        <v>23</v>
      </c>
    </row>
    <row r="5586" spans="1:11" ht="42" customHeight="1">
      <c r="A5586" s="4" t="s">
        <v>12712</v>
      </c>
      <c r="B5586" s="5" t="s">
        <v>12713</v>
      </c>
      <c r="C5586" s="5" t="s">
        <v>41</v>
      </c>
      <c r="D5586" s="5" t="s">
        <v>42</v>
      </c>
      <c r="E5586" s="5" t="s">
        <v>88</v>
      </c>
      <c r="F5586" s="9">
        <v>23</v>
      </c>
      <c r="G5586" s="9">
        <v>230</v>
      </c>
      <c r="H5586" s="5" t="s">
        <v>21</v>
      </c>
      <c r="I5586" s="5" t="s">
        <v>12716</v>
      </c>
      <c r="J5586" s="12" t="str">
        <f>HYPERLINK("https://www.boe.es/gazeta/dias/1800/03/21/pdfs/GMD-1800-23.pdf#page=6","Abrir facsímil")</f>
        <v>Abrir facsímil</v>
      </c>
      <c r="K5586" s="15" t="s">
        <v>23</v>
      </c>
    </row>
    <row r="5587" spans="1:11" ht="42" customHeight="1">
      <c r="A5587" s="4" t="s">
        <v>12712</v>
      </c>
      <c r="B5587" s="5" t="s">
        <v>12713</v>
      </c>
      <c r="C5587" s="5" t="s">
        <v>41</v>
      </c>
      <c r="D5587" s="5" t="s">
        <v>42</v>
      </c>
      <c r="E5587" s="5" t="s">
        <v>825</v>
      </c>
      <c r="F5587" s="9">
        <v>51</v>
      </c>
      <c r="G5587" s="9">
        <v>557</v>
      </c>
      <c r="H5587" s="5" t="s">
        <v>21</v>
      </c>
      <c r="I5587" s="5" t="s">
        <v>12717</v>
      </c>
      <c r="J5587" s="12" t="str">
        <f>HYPERLINK("https://www.boe.es/gazeta/dias/1800/06/27/pdfs/GMD-1800-51.pdf#page=9","Abrir facsímil")</f>
        <v>Abrir facsímil</v>
      </c>
      <c r="K5587" s="15" t="s">
        <v>23</v>
      </c>
    </row>
    <row r="5588" spans="1:11" ht="42" customHeight="1">
      <c r="A5588" s="4" t="s">
        <v>12712</v>
      </c>
      <c r="B5588" s="5" t="s">
        <v>12713</v>
      </c>
      <c r="C5588" s="5" t="s">
        <v>41</v>
      </c>
      <c r="D5588" s="5" t="s">
        <v>42</v>
      </c>
      <c r="E5588" s="5" t="s">
        <v>825</v>
      </c>
      <c r="F5588" s="9">
        <v>51</v>
      </c>
      <c r="G5588" s="9">
        <v>558</v>
      </c>
      <c r="H5588" s="5" t="s">
        <v>21</v>
      </c>
      <c r="I5588" s="5" t="s">
        <v>12718</v>
      </c>
      <c r="J5588" s="12" t="str">
        <f>HYPERLINK("https://www.boe.es/gazeta/dias/1800/06/27/pdfs/GMD-1800-51.pdf#page=10","Abrir facsímil")</f>
        <v>Abrir facsímil</v>
      </c>
      <c r="K5588" s="15" t="s">
        <v>23</v>
      </c>
    </row>
    <row r="5589" spans="1:11" ht="42" customHeight="1">
      <c r="A5589" s="4" t="s">
        <v>12712</v>
      </c>
      <c r="B5589" s="5" t="s">
        <v>12713</v>
      </c>
      <c r="C5589" s="5" t="s">
        <v>41</v>
      </c>
      <c r="D5589" s="5" t="s">
        <v>42</v>
      </c>
      <c r="E5589" s="5" t="s">
        <v>825</v>
      </c>
      <c r="F5589" s="9">
        <v>51</v>
      </c>
      <c r="G5589" s="9">
        <v>559</v>
      </c>
      <c r="H5589" s="5" t="s">
        <v>21</v>
      </c>
      <c r="I5589" s="5" t="s">
        <v>12719</v>
      </c>
      <c r="J5589" s="12" t="str">
        <f>HYPERLINK("https://www.boe.es/gazeta/dias/1800/06/27/pdfs/GMD-1800-51.pdf#page=11","Abrir facsímil")</f>
        <v>Abrir facsímil</v>
      </c>
      <c r="K5589" s="15" t="s">
        <v>23</v>
      </c>
    </row>
    <row r="5590" spans="1:11" ht="42" customHeight="1">
      <c r="A5590" s="4" t="s">
        <v>12712</v>
      </c>
      <c r="B5590" s="5" t="s">
        <v>12713</v>
      </c>
      <c r="C5590" s="5" t="s">
        <v>41</v>
      </c>
      <c r="D5590" s="5" t="s">
        <v>42</v>
      </c>
      <c r="E5590" s="5" t="s">
        <v>120</v>
      </c>
      <c r="F5590" s="9">
        <v>52</v>
      </c>
      <c r="G5590" s="9">
        <v>569</v>
      </c>
      <c r="H5590" s="5" t="s">
        <v>21</v>
      </c>
      <c r="I5590" s="5" t="s">
        <v>12720</v>
      </c>
      <c r="J5590" s="12" t="str">
        <f>HYPERLINK("https://www.boe.es/gazeta/dias/1800/07/01/pdfs/GMD-1800-52.pdf#page=5","Abrir facsímil")</f>
        <v>Abrir facsímil</v>
      </c>
      <c r="K5590" s="15" t="s">
        <v>23</v>
      </c>
    </row>
    <row r="5591" spans="1:11" ht="42" customHeight="1">
      <c r="A5591" s="4" t="s">
        <v>12712</v>
      </c>
      <c r="B5591" s="5" t="s">
        <v>12713</v>
      </c>
      <c r="C5591" s="5" t="s">
        <v>41</v>
      </c>
      <c r="D5591" s="5" t="s">
        <v>42</v>
      </c>
      <c r="E5591" s="5" t="s">
        <v>120</v>
      </c>
      <c r="F5591" s="9">
        <v>52</v>
      </c>
      <c r="G5591" s="9">
        <v>570</v>
      </c>
      <c r="H5591" s="5" t="s">
        <v>21</v>
      </c>
      <c r="I5591" s="5" t="s">
        <v>12721</v>
      </c>
      <c r="J5591" s="12" t="str">
        <f>HYPERLINK("https://www.boe.es/gazeta/dias/1800/07/01/pdfs/GMD-1800-52.pdf#page=6","Abrir facsímil")</f>
        <v>Abrir facsímil</v>
      </c>
      <c r="K5591" s="15" t="s">
        <v>23</v>
      </c>
    </row>
    <row r="5592" spans="1:11" ht="42" customHeight="1">
      <c r="A5592" s="4" t="s">
        <v>12712</v>
      </c>
      <c r="B5592" s="5" t="s">
        <v>12713</v>
      </c>
      <c r="C5592" s="5" t="s">
        <v>41</v>
      </c>
      <c r="D5592" s="5" t="s">
        <v>42</v>
      </c>
      <c r="E5592" s="5" t="s">
        <v>828</v>
      </c>
      <c r="F5592" s="9">
        <v>53</v>
      </c>
      <c r="G5592" s="9">
        <v>589</v>
      </c>
      <c r="H5592" s="5" t="s">
        <v>21</v>
      </c>
      <c r="I5592" s="5" t="s">
        <v>12722</v>
      </c>
      <c r="J5592" s="12" t="str">
        <f>HYPERLINK("https://www.boe.es/gazeta/dias/1800/07/04/pdfs/GMD-1800-53.pdf#page=9","Abrir facsímil")</f>
        <v>Abrir facsímil</v>
      </c>
      <c r="K5592" s="15" t="s">
        <v>23</v>
      </c>
    </row>
    <row r="5593" spans="1:11" ht="42" customHeight="1">
      <c r="A5593" s="4" t="s">
        <v>12712</v>
      </c>
      <c r="B5593" s="5" t="s">
        <v>12713</v>
      </c>
      <c r="C5593" s="5" t="s">
        <v>41</v>
      </c>
      <c r="D5593" s="5" t="s">
        <v>42</v>
      </c>
      <c r="E5593" s="5" t="s">
        <v>1287</v>
      </c>
      <c r="F5593" s="9">
        <v>57</v>
      </c>
      <c r="G5593" s="9">
        <v>644</v>
      </c>
      <c r="H5593" s="5" t="s">
        <v>21</v>
      </c>
      <c r="I5593" s="5" t="s">
        <v>12723</v>
      </c>
      <c r="J5593" s="12" t="str">
        <f>HYPERLINK("https://www.boe.es/gazeta/dias/1800/07/18/pdfs/GMD-1800-57.pdf#page=8","Abrir facsímil")</f>
        <v>Abrir facsímil</v>
      </c>
      <c r="K5593" s="15" t="s">
        <v>23</v>
      </c>
    </row>
    <row r="5594" spans="1:11" ht="42" customHeight="1">
      <c r="A5594" s="4" t="s">
        <v>12712</v>
      </c>
      <c r="B5594" s="5" t="s">
        <v>12713</v>
      </c>
      <c r="C5594" s="5" t="s">
        <v>84</v>
      </c>
      <c r="D5594" s="5" t="s">
        <v>85</v>
      </c>
      <c r="E5594" s="5" t="s">
        <v>1294</v>
      </c>
      <c r="F5594" s="9">
        <v>59</v>
      </c>
      <c r="G5594" s="9">
        <v>675</v>
      </c>
      <c r="H5594" s="5" t="s">
        <v>21</v>
      </c>
      <c r="I5594" s="5" t="s">
        <v>12724</v>
      </c>
      <c r="J5594" s="12" t="str">
        <f>HYPERLINK("https://www.boe.es/gazeta/dias/1800/07/25/pdfs/GMD-1800-59.pdf#page=7","Abrir facsímil")</f>
        <v>Abrir facsímil</v>
      </c>
      <c r="K5594" s="15" t="s">
        <v>23</v>
      </c>
    </row>
    <row r="5595" spans="1:11" ht="42" customHeight="1">
      <c r="A5595" s="4" t="s">
        <v>12712</v>
      </c>
      <c r="B5595" s="5" t="s">
        <v>12713</v>
      </c>
      <c r="C5595" s="5" t="s">
        <v>41</v>
      </c>
      <c r="D5595" s="5" t="s">
        <v>42</v>
      </c>
      <c r="E5595" s="5" t="s">
        <v>595</v>
      </c>
      <c r="F5595" s="9">
        <v>72</v>
      </c>
      <c r="G5595" s="9">
        <v>795</v>
      </c>
      <c r="H5595" s="5" t="s">
        <v>21</v>
      </c>
      <c r="I5595" s="5" t="s">
        <v>12725</v>
      </c>
      <c r="J5595" s="12" t="str">
        <f>HYPERLINK("https://www.boe.es/gazeta/dias/1800/09/05/pdfs/GMD-1800-72.pdf#page=5","Abrir facsímil")</f>
        <v>Abrir facsímil</v>
      </c>
      <c r="K5595" s="15" t="s">
        <v>23</v>
      </c>
    </row>
    <row r="5596" spans="1:11" ht="42" customHeight="1">
      <c r="A5596" s="4" t="s">
        <v>12712</v>
      </c>
      <c r="B5596" s="5" t="s">
        <v>12713</v>
      </c>
      <c r="C5596" s="5" t="s">
        <v>41</v>
      </c>
      <c r="D5596" s="5" t="s">
        <v>42</v>
      </c>
      <c r="E5596" s="5" t="s">
        <v>255</v>
      </c>
      <c r="F5596" s="9">
        <v>75</v>
      </c>
      <c r="G5596" s="9">
        <v>852</v>
      </c>
      <c r="H5596" s="5" t="s">
        <v>21</v>
      </c>
      <c r="I5596" s="5" t="s">
        <v>12726</v>
      </c>
      <c r="J5596" s="12" t="str">
        <f>HYPERLINK("https://www.boe.es/gazeta/dias/1800/09/16/pdfs/GMD-1800-75.pdf#page=6","Abrir facsímil")</f>
        <v>Abrir facsímil</v>
      </c>
      <c r="K5596" s="15" t="s">
        <v>23</v>
      </c>
    </row>
    <row r="5597" spans="1:11" ht="42" customHeight="1">
      <c r="A5597" s="4" t="s">
        <v>12712</v>
      </c>
      <c r="B5597" s="5" t="s">
        <v>12713</v>
      </c>
      <c r="C5597" s="5" t="s">
        <v>41</v>
      </c>
      <c r="D5597" s="5" t="s">
        <v>42</v>
      </c>
      <c r="E5597" s="5" t="s">
        <v>60</v>
      </c>
      <c r="F5597" s="9">
        <v>105</v>
      </c>
      <c r="G5597" s="9">
        <v>1223</v>
      </c>
      <c r="H5597" s="5" t="s">
        <v>21</v>
      </c>
      <c r="I5597" s="5" t="s">
        <v>12727</v>
      </c>
      <c r="J5597" s="12" t="str">
        <f>HYPERLINK("https://www.boe.es/gazeta/dias/1800/12/30/pdfs/GMD-1800-105.pdf#page=7","Abrir facsímil")</f>
        <v>Abrir facsímil</v>
      </c>
      <c r="K5597" s="15" t="s">
        <v>23</v>
      </c>
    </row>
    <row r="5598" spans="1:11" ht="42" customHeight="1">
      <c r="A5598" s="4" t="s">
        <v>12728</v>
      </c>
      <c r="B5598" s="5" t="s">
        <v>12728</v>
      </c>
      <c r="C5598" s="5" t="s">
        <v>18</v>
      </c>
      <c r="D5598" s="5" t="s">
        <v>19</v>
      </c>
      <c r="E5598" s="5" t="s">
        <v>64</v>
      </c>
      <c r="F5598" s="9">
        <v>54</v>
      </c>
      <c r="G5598" s="9">
        <v>606</v>
      </c>
      <c r="H5598" s="5" t="s">
        <v>21</v>
      </c>
      <c r="I5598" s="5" t="s">
        <v>12729</v>
      </c>
      <c r="J5598" s="12" t="str">
        <f>HYPERLINK("https://www.boe.es/gazeta/dias/1800/07/08/pdfs/GMD-1800-54.pdf#page=10","Abrir facsímil")</f>
        <v>Abrir facsímil</v>
      </c>
      <c r="K5598" s="15" t="s">
        <v>23</v>
      </c>
    </row>
    <row r="5599" spans="1:11" ht="42" customHeight="1">
      <c r="A5599" s="4" t="s">
        <v>12730</v>
      </c>
      <c r="B5599" s="5" t="s">
        <v>12731</v>
      </c>
      <c r="C5599" s="5" t="s">
        <v>18</v>
      </c>
      <c r="D5599" s="5" t="s">
        <v>19</v>
      </c>
      <c r="E5599" s="5" t="s">
        <v>158</v>
      </c>
      <c r="F5599" s="9">
        <v>25</v>
      </c>
      <c r="G5599" s="9">
        <v>256</v>
      </c>
      <c r="H5599" s="5" t="s">
        <v>21</v>
      </c>
      <c r="I5599" s="5" t="s">
        <v>12732</v>
      </c>
      <c r="J5599" s="12" t="str">
        <f>HYPERLINK("https://www.boe.es/gazeta/dias/1800/03/28/pdfs/GMD-1800-25.pdf#page=8","Abrir facsímil")</f>
        <v>Abrir facsímil</v>
      </c>
      <c r="K5599" s="15" t="s">
        <v>23</v>
      </c>
    </row>
    <row r="5600" spans="1:11" ht="42" customHeight="1">
      <c r="A5600" s="4" t="s">
        <v>12733</v>
      </c>
      <c r="B5600" s="5" t="s">
        <v>12733</v>
      </c>
      <c r="C5600" s="5" t="s">
        <v>18</v>
      </c>
      <c r="D5600" s="5" t="s">
        <v>19</v>
      </c>
      <c r="E5600" s="5" t="s">
        <v>88</v>
      </c>
      <c r="F5600" s="9">
        <v>23</v>
      </c>
      <c r="G5600" s="9">
        <v>231</v>
      </c>
      <c r="H5600" s="5" t="s">
        <v>21</v>
      </c>
      <c r="I5600" s="5" t="s">
        <v>12734</v>
      </c>
      <c r="J5600" s="12" t="str">
        <f>HYPERLINK("https://www.boe.es/gazeta/dias/1800/03/21/pdfs/GMD-1800-23.pdf#page=7","Abrir facsímil")</f>
        <v>Abrir facsímil</v>
      </c>
      <c r="K5600" s="15" t="s">
        <v>23</v>
      </c>
    </row>
    <row r="5601" spans="1:11" ht="42" customHeight="1">
      <c r="A5601" s="4" t="s">
        <v>12733</v>
      </c>
      <c r="B5601" s="5" t="s">
        <v>12733</v>
      </c>
      <c r="C5601" s="5" t="s">
        <v>41</v>
      </c>
      <c r="D5601" s="5" t="s">
        <v>42</v>
      </c>
      <c r="E5601" s="5" t="s">
        <v>158</v>
      </c>
      <c r="F5601" s="9">
        <v>25</v>
      </c>
      <c r="G5601" s="9">
        <v>254</v>
      </c>
      <c r="H5601" s="5" t="s">
        <v>21</v>
      </c>
      <c r="I5601" s="5" t="s">
        <v>12735</v>
      </c>
      <c r="J5601" s="12" t="str">
        <f>HYPERLINK("https://www.boe.es/gazeta/dias/1800/03/28/pdfs/GMD-1800-25.pdf#page=6","Abrir facsímil")</f>
        <v>Abrir facsímil</v>
      </c>
      <c r="K5601" s="15" t="s">
        <v>23</v>
      </c>
    </row>
    <row r="5602" spans="1:11" ht="42" customHeight="1">
      <c r="A5602" s="4" t="s">
        <v>12733</v>
      </c>
      <c r="B5602" s="5" t="s">
        <v>12733</v>
      </c>
      <c r="C5602" s="5" t="s">
        <v>41</v>
      </c>
      <c r="D5602" s="5" t="s">
        <v>42</v>
      </c>
      <c r="E5602" s="5" t="s">
        <v>240</v>
      </c>
      <c r="F5602" s="9">
        <v>26</v>
      </c>
      <c r="G5602" s="9">
        <v>266</v>
      </c>
      <c r="H5602" s="5" t="s">
        <v>21</v>
      </c>
      <c r="I5602" s="5" t="s">
        <v>12736</v>
      </c>
      <c r="J5602" s="12" t="str">
        <f>HYPERLINK("https://www.boe.es/gazeta/dias/1800/04/01/pdfs/GMD-1800-26.pdf#page=6","Abrir facsímil")</f>
        <v>Abrir facsímil</v>
      </c>
      <c r="K5602" s="15" t="s">
        <v>23</v>
      </c>
    </row>
    <row r="5603" spans="1:11" ht="42" customHeight="1">
      <c r="A5603" s="4" t="s">
        <v>12733</v>
      </c>
      <c r="B5603" s="5" t="s">
        <v>12733</v>
      </c>
      <c r="C5603" s="5" t="s">
        <v>25</v>
      </c>
      <c r="D5603" s="5" t="s">
        <v>26</v>
      </c>
      <c r="E5603" s="5" t="s">
        <v>410</v>
      </c>
      <c r="F5603" s="9">
        <v>87</v>
      </c>
      <c r="G5603" s="9">
        <v>1007</v>
      </c>
      <c r="H5603" s="5" t="s">
        <v>21</v>
      </c>
      <c r="I5603" s="5" t="s">
        <v>12737</v>
      </c>
      <c r="J5603" s="12" t="str">
        <f>HYPERLINK("https://www.boe.es/gazeta/dias/1800/10/28/pdfs/GMD-1800-87.pdf#page=5","Abrir facsímil")</f>
        <v>Abrir facsímil</v>
      </c>
      <c r="K5603" s="15" t="s">
        <v>23</v>
      </c>
    </row>
    <row r="5604" spans="1:11" ht="42" customHeight="1">
      <c r="A5604" s="4" t="s">
        <v>12733</v>
      </c>
      <c r="B5604" s="5" t="s">
        <v>12733</v>
      </c>
      <c r="C5604" s="5" t="s">
        <v>41</v>
      </c>
      <c r="D5604" s="5" t="s">
        <v>42</v>
      </c>
      <c r="E5604" s="5" t="s">
        <v>576</v>
      </c>
      <c r="F5604" s="9">
        <v>91</v>
      </c>
      <c r="G5604" s="9">
        <v>1065</v>
      </c>
      <c r="H5604" s="5" t="s">
        <v>21</v>
      </c>
      <c r="I5604" s="5" t="s">
        <v>12738</v>
      </c>
      <c r="J5604" s="12" t="str">
        <f>HYPERLINK("https://www.boe.es/gazeta/dias/1800/11/11/pdfs/GMD-1800-91.pdf#page=7","Abrir facsímil")</f>
        <v>Abrir facsímil</v>
      </c>
      <c r="K5604" s="15" t="s">
        <v>23</v>
      </c>
    </row>
    <row r="5605" spans="1:11" ht="42" customHeight="1">
      <c r="A5605" s="4" t="s">
        <v>12739</v>
      </c>
      <c r="B5605" s="5" t="s">
        <v>12740</v>
      </c>
      <c r="C5605" s="5" t="s">
        <v>41</v>
      </c>
      <c r="D5605" s="5" t="s">
        <v>42</v>
      </c>
      <c r="E5605" s="5" t="s">
        <v>162</v>
      </c>
      <c r="F5605" s="9">
        <v>15</v>
      </c>
      <c r="G5605" s="9">
        <v>139</v>
      </c>
      <c r="H5605" s="5" t="s">
        <v>21</v>
      </c>
      <c r="I5605" s="5" t="s">
        <v>12741</v>
      </c>
      <c r="J5605" s="12" t="str">
        <f>HYPERLINK("https://www.boe.es/gazeta/dias/1800/02/21/pdfs/GMD-1800-15.pdf#page=3","Abrir facsímil")</f>
        <v>Abrir facsímil</v>
      </c>
      <c r="K5605" s="15" t="s">
        <v>23</v>
      </c>
    </row>
    <row r="5606" spans="1:11" ht="42" customHeight="1">
      <c r="A5606" s="4" t="s">
        <v>12742</v>
      </c>
      <c r="B5606" s="5" t="s">
        <v>12743</v>
      </c>
      <c r="C5606" s="5" t="s">
        <v>18</v>
      </c>
      <c r="D5606" s="5" t="s">
        <v>19</v>
      </c>
      <c r="E5606" s="5" t="s">
        <v>75</v>
      </c>
      <c r="F5606" s="9">
        <v>64</v>
      </c>
      <c r="G5606" s="9">
        <v>729</v>
      </c>
      <c r="H5606" s="5" t="s">
        <v>21</v>
      </c>
      <c r="I5606" s="5" t="s">
        <v>12744</v>
      </c>
      <c r="J5606" s="12" t="str">
        <f>HYPERLINK("https://www.boe.es/gazeta/dias/1800/08/12/pdfs/GMD-1800-64.pdf#page=5","Abrir facsímil")</f>
        <v>Abrir facsímil</v>
      </c>
      <c r="K5606" s="15" t="s">
        <v>23</v>
      </c>
    </row>
    <row r="5607" spans="1:11" ht="42" customHeight="1">
      <c r="A5607" s="4" t="s">
        <v>12742</v>
      </c>
      <c r="B5607" s="5" t="s">
        <v>12743</v>
      </c>
      <c r="C5607" s="5" t="s">
        <v>41</v>
      </c>
      <c r="D5607" s="5" t="s">
        <v>42</v>
      </c>
      <c r="E5607" s="5" t="s">
        <v>590</v>
      </c>
      <c r="F5607" s="9">
        <v>69</v>
      </c>
      <c r="G5607" s="9">
        <v>769</v>
      </c>
      <c r="H5607" s="5" t="s">
        <v>21</v>
      </c>
      <c r="I5607" s="5" t="s">
        <v>12745</v>
      </c>
      <c r="J5607" s="12" t="str">
        <f>HYPERLINK("https://www.boe.es/gazeta/dias/1800/08/29/pdfs/GMD-1800-69.pdf#page=1","Abrir facsímil")</f>
        <v>Abrir facsímil</v>
      </c>
      <c r="K5607" s="15" t="s">
        <v>23</v>
      </c>
    </row>
    <row r="5608" spans="1:11" ht="42" customHeight="1">
      <c r="A5608" s="4" t="s">
        <v>12746</v>
      </c>
      <c r="B5608" s="5" t="s">
        <v>12747</v>
      </c>
      <c r="C5608" s="5" t="s">
        <v>18</v>
      </c>
      <c r="D5608" s="5" t="s">
        <v>19</v>
      </c>
      <c r="E5608" s="5" t="s">
        <v>48</v>
      </c>
      <c r="F5608" s="9">
        <v>66</v>
      </c>
      <c r="G5608" s="9">
        <v>737</v>
      </c>
      <c r="H5608" s="5" t="s">
        <v>21</v>
      </c>
      <c r="I5608" s="5" t="s">
        <v>12748</v>
      </c>
      <c r="J5608" s="12" t="str">
        <f>HYPERLINK("https://www.boe.es/gazeta/dias/1800/08/19/pdfs/GMD-1800-66.pdf#page=1","Abrir facsímil")</f>
        <v>Abrir facsímil</v>
      </c>
      <c r="K5608" s="15" t="s">
        <v>23</v>
      </c>
    </row>
    <row r="5609" spans="1:11" ht="42" customHeight="1">
      <c r="A5609" s="4" t="s">
        <v>12749</v>
      </c>
      <c r="B5609" s="5" t="s">
        <v>12750</v>
      </c>
      <c r="C5609" s="5" t="s">
        <v>41</v>
      </c>
      <c r="D5609" s="5" t="s">
        <v>42</v>
      </c>
      <c r="E5609" s="5" t="s">
        <v>68</v>
      </c>
      <c r="F5609" s="9">
        <v>67</v>
      </c>
      <c r="G5609" s="9">
        <v>753</v>
      </c>
      <c r="H5609" s="5" t="s">
        <v>21</v>
      </c>
      <c r="I5609" s="5" t="s">
        <v>12751</v>
      </c>
      <c r="J5609" s="12" t="str">
        <f>HYPERLINK("https://www.boe.es/gazeta/dias/1800/08/22/pdfs/GMD-1800-67.pdf#page=5","Abrir facsímil")</f>
        <v>Abrir facsímil</v>
      </c>
      <c r="K5609" s="15" t="s">
        <v>23</v>
      </c>
    </row>
    <row r="5610" spans="1:11" ht="42" customHeight="1">
      <c r="A5610" s="4" t="s">
        <v>12752</v>
      </c>
      <c r="B5610" s="5" t="s">
        <v>12753</v>
      </c>
      <c r="C5610" s="5" t="s">
        <v>54</v>
      </c>
      <c r="D5610" s="5" t="s">
        <v>55</v>
      </c>
      <c r="E5610" s="5" t="s">
        <v>139</v>
      </c>
      <c r="F5610" s="9">
        <v>2</v>
      </c>
      <c r="G5610" s="9">
        <v>19</v>
      </c>
      <c r="H5610" s="5" t="s">
        <v>21</v>
      </c>
      <c r="I5610" s="5" t="s">
        <v>12754</v>
      </c>
      <c r="J5610" s="12" t="str">
        <f>HYPERLINK("https://www.boe.es/gazeta/dias/1800/01/07/pdfs/GMD-1800-2.pdf#page=11","Abrir facsímil")</f>
        <v>Abrir facsímil</v>
      </c>
      <c r="K5610" s="15" t="s">
        <v>23</v>
      </c>
    </row>
    <row r="5611" spans="1:11" ht="42" customHeight="1">
      <c r="A5611" s="4" t="s">
        <v>12755</v>
      </c>
      <c r="B5611" s="5" t="s">
        <v>12756</v>
      </c>
      <c r="C5611" s="5" t="s">
        <v>41</v>
      </c>
      <c r="D5611" s="5" t="s">
        <v>42</v>
      </c>
      <c r="E5611" s="5" t="s">
        <v>88</v>
      </c>
      <c r="F5611" s="9">
        <v>23</v>
      </c>
      <c r="G5611" s="9">
        <v>230</v>
      </c>
      <c r="H5611" s="5" t="s">
        <v>21</v>
      </c>
      <c r="I5611" s="5" t="s">
        <v>12757</v>
      </c>
      <c r="J5611" s="12" t="str">
        <f>HYPERLINK("https://www.boe.es/gazeta/dias/1800/03/21/pdfs/GMD-1800-23.pdf#page=6","Abrir facsímil")</f>
        <v>Abrir facsímil</v>
      </c>
      <c r="K5611" s="15" t="s">
        <v>23</v>
      </c>
    </row>
    <row r="5612" spans="1:11" ht="42" customHeight="1">
      <c r="A5612" s="4" t="s">
        <v>12758</v>
      </c>
      <c r="B5612" s="5" t="s">
        <v>12759</v>
      </c>
      <c r="C5612" s="5" t="s">
        <v>84</v>
      </c>
      <c r="D5612" s="5" t="s">
        <v>85</v>
      </c>
      <c r="E5612" s="5" t="s">
        <v>420</v>
      </c>
      <c r="F5612" s="9">
        <v>38</v>
      </c>
      <c r="G5612" s="9">
        <v>386</v>
      </c>
      <c r="H5612" s="5" t="s">
        <v>21</v>
      </c>
      <c r="I5612" s="5" t="s">
        <v>12760</v>
      </c>
      <c r="J5612" s="12" t="str">
        <f>HYPERLINK("https://www.boe.es/gazeta/dias/1800/05/13/pdfs/GMD-1800-38.pdf#page=6","Abrir facsímil")</f>
        <v>Abrir facsímil</v>
      </c>
      <c r="K5612" s="15" t="s">
        <v>23</v>
      </c>
    </row>
    <row r="5613" spans="1:11" ht="42" customHeight="1">
      <c r="A5613" s="4" t="s">
        <v>12761</v>
      </c>
      <c r="B5613" s="5" t="s">
        <v>12762</v>
      </c>
      <c r="C5613" s="5" t="s">
        <v>114</v>
      </c>
      <c r="D5613" s="5" t="s">
        <v>115</v>
      </c>
      <c r="E5613" s="5" t="s">
        <v>116</v>
      </c>
      <c r="F5613" s="9">
        <v>86</v>
      </c>
      <c r="G5613" s="9" t="s">
        <v>117</v>
      </c>
      <c r="H5613" s="5" t="s">
        <v>21</v>
      </c>
      <c r="I5613" s="5" t="s">
        <v>12763</v>
      </c>
      <c r="J5613" s="12" t="str">
        <f>HYPERLINK("https://www.boe.es/gazeta/dias/1800/10/24/pdfs/GMD-D-1800-86.pdf#page=3","Abrir facsímil")</f>
        <v>Abrir facsímil</v>
      </c>
      <c r="K5613" s="15" t="s">
        <v>23</v>
      </c>
    </row>
    <row r="5614" spans="1:11" ht="42" customHeight="1">
      <c r="A5614" s="4" t="s">
        <v>12764</v>
      </c>
      <c r="B5614" s="5" t="s">
        <v>12765</v>
      </c>
      <c r="C5614" s="5" t="s">
        <v>18</v>
      </c>
      <c r="D5614" s="5" t="s">
        <v>19</v>
      </c>
      <c r="E5614" s="5" t="s">
        <v>196</v>
      </c>
      <c r="F5614" s="9">
        <v>97</v>
      </c>
      <c r="G5614" s="9">
        <v>1117</v>
      </c>
      <c r="H5614" s="5" t="s">
        <v>21</v>
      </c>
      <c r="I5614" s="5" t="s">
        <v>12766</v>
      </c>
      <c r="J5614" s="12" t="str">
        <f>HYPERLINK("https://www.boe.es/gazeta/dias/1800/12/02/pdfs/GMD-1800-97.pdf#page=9","Abrir facsímil")</f>
        <v>Abrir facsímil</v>
      </c>
      <c r="K5614" s="15" t="s">
        <v>23</v>
      </c>
    </row>
    <row r="5615" spans="1:11" ht="42" customHeight="1">
      <c r="A5615" s="4" t="s">
        <v>12767</v>
      </c>
      <c r="B5615" s="5" t="s">
        <v>12768</v>
      </c>
      <c r="C5615" s="5" t="s">
        <v>41</v>
      </c>
      <c r="D5615" s="5" t="s">
        <v>42</v>
      </c>
      <c r="E5615" s="5" t="s">
        <v>143</v>
      </c>
      <c r="F5615" s="9">
        <v>22</v>
      </c>
      <c r="G5615" s="9">
        <v>219</v>
      </c>
      <c r="H5615" s="5" t="s">
        <v>21</v>
      </c>
      <c r="I5615" s="5" t="s">
        <v>12769</v>
      </c>
      <c r="J5615" s="12" t="str">
        <f>HYPERLINK("https://www.boe.es/gazeta/dias/1800/03/18/pdfs/GMD-1800-22.pdf#page=11","Abrir facsímil")</f>
        <v>Abrir facsímil</v>
      </c>
      <c r="K5615" s="15" t="s">
        <v>23</v>
      </c>
    </row>
    <row r="5616" spans="1:11" ht="42" customHeight="1">
      <c r="A5616" s="4" t="s">
        <v>12770</v>
      </c>
      <c r="B5616" s="5" t="s">
        <v>12770</v>
      </c>
      <c r="C5616" s="5" t="s">
        <v>114</v>
      </c>
      <c r="D5616" s="5" t="s">
        <v>115</v>
      </c>
      <c r="E5616" s="5" t="s">
        <v>116</v>
      </c>
      <c r="F5616" s="9">
        <v>86</v>
      </c>
      <c r="G5616" s="9" t="s">
        <v>991</v>
      </c>
      <c r="H5616" s="5" t="s">
        <v>21</v>
      </c>
      <c r="I5616" s="5" t="s">
        <v>12771</v>
      </c>
      <c r="J5616" s="12" t="str">
        <f>HYPERLINK("https://www.boe.es/gazeta/dias/1800/10/24/pdfs/GMD-D-1800-86.pdf#page=4","Abrir facsímil")</f>
        <v>Abrir facsímil</v>
      </c>
      <c r="K5616" s="15" t="s">
        <v>23</v>
      </c>
    </row>
    <row r="5617" spans="1:11" ht="42" customHeight="1">
      <c r="A5617" s="4" t="s">
        <v>12772</v>
      </c>
      <c r="B5617" s="5" t="s">
        <v>12772</v>
      </c>
      <c r="C5617" s="5" t="s">
        <v>54</v>
      </c>
      <c r="D5617" s="5" t="s">
        <v>55</v>
      </c>
      <c r="E5617" s="5" t="s">
        <v>503</v>
      </c>
      <c r="F5617" s="9">
        <v>13</v>
      </c>
      <c r="G5617" s="9">
        <v>126</v>
      </c>
      <c r="H5617" s="5" t="s">
        <v>21</v>
      </c>
      <c r="I5617" s="5" t="s">
        <v>12773</v>
      </c>
      <c r="J5617" s="12" t="str">
        <f>HYPERLINK("https://www.boe.es/gazeta/dias/1800/02/14/pdfs/GMD-1800-13.pdf#page=10","Abrir facsímil")</f>
        <v>Abrir facsímil</v>
      </c>
      <c r="K5617" s="15" t="s">
        <v>23</v>
      </c>
    </row>
    <row r="5618" spans="1:11" ht="42" customHeight="1">
      <c r="A5618" s="4" t="s">
        <v>12772</v>
      </c>
      <c r="B5618" s="5" t="s">
        <v>12772</v>
      </c>
      <c r="C5618" s="5" t="s">
        <v>54</v>
      </c>
      <c r="D5618" s="5" t="s">
        <v>55</v>
      </c>
      <c r="E5618" s="5" t="s">
        <v>75</v>
      </c>
      <c r="F5618" s="9">
        <v>64</v>
      </c>
      <c r="G5618" s="9">
        <v>734</v>
      </c>
      <c r="H5618" s="5" t="s">
        <v>21</v>
      </c>
      <c r="I5618" s="5" t="s">
        <v>12774</v>
      </c>
      <c r="J5618" s="12" t="str">
        <f>HYPERLINK("https://www.boe.es/gazeta/dias/1800/08/12/pdfs/GMD-1800-64.pdf#page=10","Abrir facsímil")</f>
        <v>Abrir facsímil</v>
      </c>
      <c r="K5618" s="15" t="s">
        <v>23</v>
      </c>
    </row>
    <row r="5619" spans="1:11" ht="42" customHeight="1">
      <c r="A5619" s="4" t="s">
        <v>12775</v>
      </c>
      <c r="B5619" s="5" t="s">
        <v>12775</v>
      </c>
      <c r="C5619" s="5" t="s">
        <v>207</v>
      </c>
      <c r="D5619" s="5" t="s">
        <v>55</v>
      </c>
      <c r="E5619" s="5" t="s">
        <v>43</v>
      </c>
      <c r="F5619" s="9">
        <v>46</v>
      </c>
      <c r="G5619" s="9">
        <v>487</v>
      </c>
      <c r="H5619" s="5" t="s">
        <v>21</v>
      </c>
      <c r="I5619" s="5" t="s">
        <v>12776</v>
      </c>
      <c r="J5619" s="12" t="str">
        <f>HYPERLINK("https://www.boe.es/gazeta/dias/1800/06/10/pdfs/GMD-1800-46.pdf#page=11","Abrir facsímil")</f>
        <v>Abrir facsímil</v>
      </c>
      <c r="K5619" s="15" t="s">
        <v>23</v>
      </c>
    </row>
    <row r="5620" spans="1:11" ht="42" customHeight="1">
      <c r="A5620" s="4" t="s">
        <v>12777</v>
      </c>
      <c r="B5620" s="5" t="s">
        <v>12778</v>
      </c>
      <c r="C5620" s="5" t="s">
        <v>18</v>
      </c>
      <c r="D5620" s="5" t="s">
        <v>19</v>
      </c>
      <c r="E5620" s="5" t="s">
        <v>56</v>
      </c>
      <c r="F5620" s="9">
        <v>90</v>
      </c>
      <c r="G5620" s="9">
        <v>1055</v>
      </c>
      <c r="H5620" s="5" t="s">
        <v>21</v>
      </c>
      <c r="I5620" s="5" t="s">
        <v>12779</v>
      </c>
      <c r="J5620" s="12" t="str">
        <f>HYPERLINK("https://www.boe.es/gazeta/dias/1800/11/07/pdfs/GMD-1800-90.pdf#page=9","Abrir facsímil")</f>
        <v>Abrir facsímil</v>
      </c>
      <c r="K5620" s="15" t="s">
        <v>23</v>
      </c>
    </row>
    <row r="5621" spans="1:11" ht="42" customHeight="1">
      <c r="A5621" s="4" t="s">
        <v>12780</v>
      </c>
      <c r="B5621" s="5" t="s">
        <v>12781</v>
      </c>
      <c r="C5621" s="5" t="s">
        <v>18</v>
      </c>
      <c r="D5621" s="5" t="s">
        <v>19</v>
      </c>
      <c r="E5621" s="5" t="s">
        <v>135</v>
      </c>
      <c r="F5621" s="9">
        <v>73</v>
      </c>
      <c r="G5621" s="9">
        <v>815</v>
      </c>
      <c r="H5621" s="5" t="s">
        <v>21</v>
      </c>
      <c r="I5621" s="5" t="s">
        <v>12782</v>
      </c>
      <c r="J5621" s="12" t="str">
        <f>HYPERLINK("https://www.boe.es/gazeta/dias/1800/09/09/pdfs/GMD-1800-73.pdf#page=9","Abrir facsímil")</f>
        <v>Abrir facsímil</v>
      </c>
      <c r="K5621" s="15" t="s">
        <v>23</v>
      </c>
    </row>
    <row r="5622" spans="1:11" ht="42" customHeight="1">
      <c r="A5622" s="4" t="s">
        <v>12783</v>
      </c>
      <c r="B5622" s="5" t="s">
        <v>12784</v>
      </c>
      <c r="C5622" s="5" t="s">
        <v>18</v>
      </c>
      <c r="D5622" s="5" t="s">
        <v>19</v>
      </c>
      <c r="E5622" s="5" t="s">
        <v>279</v>
      </c>
      <c r="F5622" s="9">
        <v>103</v>
      </c>
      <c r="G5622" s="9">
        <v>1197</v>
      </c>
      <c r="H5622" s="5" t="s">
        <v>21</v>
      </c>
      <c r="I5622" s="5" t="s">
        <v>12785</v>
      </c>
      <c r="J5622" s="12" t="str">
        <f>HYPERLINK("https://www.boe.es/gazeta/dias/1800/12/23/pdfs/GMD-1800-103.pdf#page=9","Abrir facsímil")</f>
        <v>Abrir facsímil</v>
      </c>
      <c r="K5622" s="15" t="s">
        <v>23</v>
      </c>
    </row>
    <row r="5623" spans="1:11" ht="42" customHeight="1">
      <c r="A5623" s="4" t="s">
        <v>12786</v>
      </c>
      <c r="B5623" s="5" t="s">
        <v>12787</v>
      </c>
      <c r="C5623" s="5" t="s">
        <v>18</v>
      </c>
      <c r="D5623" s="5" t="s">
        <v>19</v>
      </c>
      <c r="E5623" s="5" t="s">
        <v>478</v>
      </c>
      <c r="F5623" s="9">
        <v>34</v>
      </c>
      <c r="G5623" s="9">
        <v>346</v>
      </c>
      <c r="H5623" s="5" t="s">
        <v>21</v>
      </c>
      <c r="I5623" s="5" t="s">
        <v>12788</v>
      </c>
      <c r="J5623" s="12" t="str">
        <f>HYPERLINK("https://www.boe.es/gazeta/dias/1800/04/29/pdfs/GMD-1800-34.pdf#page=10","Abrir facsímil")</f>
        <v>Abrir facsímil</v>
      </c>
      <c r="K5623" s="15" t="s">
        <v>23</v>
      </c>
    </row>
    <row r="5624" spans="1:11" ht="42" customHeight="1">
      <c r="A5624" s="4" t="s">
        <v>12789</v>
      </c>
      <c r="B5624" s="5" t="s">
        <v>12790</v>
      </c>
      <c r="C5624" s="5" t="s">
        <v>18</v>
      </c>
      <c r="D5624" s="5" t="s">
        <v>19</v>
      </c>
      <c r="E5624" s="5" t="s">
        <v>56</v>
      </c>
      <c r="F5624" s="9">
        <v>90</v>
      </c>
      <c r="G5624" s="9">
        <v>1056</v>
      </c>
      <c r="H5624" s="5" t="s">
        <v>21</v>
      </c>
      <c r="I5624" s="5" t="s">
        <v>12791</v>
      </c>
      <c r="J5624" s="12" t="str">
        <f>HYPERLINK("https://www.boe.es/gazeta/dias/1800/11/07/pdfs/GMD-1800-90.pdf#page=10","Abrir facsímil")</f>
        <v>Abrir facsímil</v>
      </c>
      <c r="K5624" s="15" t="s">
        <v>23</v>
      </c>
    </row>
    <row r="5625" spans="1:11" ht="42" customHeight="1">
      <c r="A5625" s="4" t="s">
        <v>12792</v>
      </c>
      <c r="B5625" s="5" t="s">
        <v>12793</v>
      </c>
      <c r="C5625" s="5" t="s">
        <v>41</v>
      </c>
      <c r="D5625" s="5" t="s">
        <v>42</v>
      </c>
      <c r="E5625" s="5" t="s">
        <v>27</v>
      </c>
      <c r="F5625" s="9">
        <v>65</v>
      </c>
      <c r="G5625" s="9">
        <v>732</v>
      </c>
      <c r="H5625" s="5" t="s">
        <v>21</v>
      </c>
      <c r="I5625" s="5" t="s">
        <v>12794</v>
      </c>
      <c r="J5625" s="12" t="str">
        <f>HYPERLINK("https://www.boe.es/gazeta/dias/1800/08/15/pdfs/GMD-1800-65.pdf#page=8","Abrir facsímil")</f>
        <v>Abrir facsímil</v>
      </c>
      <c r="K5625" s="15" t="s">
        <v>23</v>
      </c>
    </row>
    <row r="5626" spans="1:11" ht="42" customHeight="1">
      <c r="A5626" s="4" t="s">
        <v>12795</v>
      </c>
      <c r="B5626" s="5" t="s">
        <v>12796</v>
      </c>
      <c r="C5626" s="5" t="s">
        <v>41</v>
      </c>
      <c r="D5626" s="5" t="s">
        <v>42</v>
      </c>
      <c r="E5626" s="5" t="s">
        <v>184</v>
      </c>
      <c r="F5626" s="9">
        <v>82</v>
      </c>
      <c r="G5626" s="9">
        <v>946</v>
      </c>
      <c r="H5626" s="5" t="s">
        <v>21</v>
      </c>
      <c r="I5626" s="5" t="s">
        <v>12797</v>
      </c>
      <c r="J5626" s="12" t="str">
        <f>HYPERLINK("https://www.boe.es/gazeta/dias/1800/10/10/pdfs/GMD-1800-82.pdf#page=4","Abrir facsímil")</f>
        <v>Abrir facsímil</v>
      </c>
      <c r="K5626" s="15" t="s">
        <v>23</v>
      </c>
    </row>
    <row r="5627" spans="1:11" ht="42" customHeight="1">
      <c r="A5627" s="4" t="s">
        <v>12798</v>
      </c>
      <c r="B5627" s="5" t="s">
        <v>12799</v>
      </c>
      <c r="C5627" s="5" t="s">
        <v>41</v>
      </c>
      <c r="D5627" s="5" t="s">
        <v>42</v>
      </c>
      <c r="E5627" s="5" t="s">
        <v>1231</v>
      </c>
      <c r="F5627" s="9">
        <v>36</v>
      </c>
      <c r="G5627" s="9">
        <v>357</v>
      </c>
      <c r="H5627" s="5" t="s">
        <v>21</v>
      </c>
      <c r="I5627" s="5" t="s">
        <v>12800</v>
      </c>
      <c r="J5627" s="12" t="str">
        <f>HYPERLINK("https://www.boe.es/gazeta/dias/1800/05/06/pdfs/GMD-1800-36.pdf#page=1","Abrir facsímil")</f>
        <v>Abrir facsímil</v>
      </c>
      <c r="K5627" s="15" t="s">
        <v>23</v>
      </c>
    </row>
    <row r="5628" spans="1:11" ht="42" customHeight="1">
      <c r="A5628" s="4" t="s">
        <v>12801</v>
      </c>
      <c r="B5628" s="5" t="s">
        <v>12802</v>
      </c>
      <c r="C5628" s="5" t="s">
        <v>18</v>
      </c>
      <c r="D5628" s="5" t="s">
        <v>19</v>
      </c>
      <c r="E5628" s="5" t="s">
        <v>356</v>
      </c>
      <c r="F5628" s="9">
        <v>31</v>
      </c>
      <c r="G5628" s="9">
        <v>315</v>
      </c>
      <c r="H5628" s="5" t="s">
        <v>21</v>
      </c>
      <c r="I5628" s="5" t="s">
        <v>12803</v>
      </c>
      <c r="J5628" s="12" t="str">
        <f>HYPERLINK("https://www.boe.es/gazeta/dias/1800/04/18/pdfs/GMD-1800-31.pdf#page=7","Abrir facsímil")</f>
        <v>Abrir facsímil</v>
      </c>
      <c r="K5628" s="15" t="s">
        <v>23</v>
      </c>
    </row>
    <row r="5629" spans="1:11" ht="42" customHeight="1">
      <c r="A5629" s="4" t="s">
        <v>12804</v>
      </c>
      <c r="B5629" s="5" t="s">
        <v>12804</v>
      </c>
      <c r="C5629" s="5" t="s">
        <v>18</v>
      </c>
      <c r="D5629" s="5" t="s">
        <v>19</v>
      </c>
      <c r="E5629" s="5" t="s">
        <v>214</v>
      </c>
      <c r="F5629" s="9">
        <v>41</v>
      </c>
      <c r="G5629" s="9">
        <v>419</v>
      </c>
      <c r="H5629" s="5" t="s">
        <v>21</v>
      </c>
      <c r="I5629" s="5" t="s">
        <v>12805</v>
      </c>
      <c r="J5629" s="12" t="str">
        <f>HYPERLINK("https://www.boe.es/gazeta/dias/1800/05/23/pdfs/GMD-1800-41.pdf#page=3","Abrir facsímil")</f>
        <v>Abrir facsímil</v>
      </c>
      <c r="K5629" s="15" t="s">
        <v>23</v>
      </c>
    </row>
    <row r="5630" spans="1:11" ht="42" customHeight="1">
      <c r="A5630" s="4" t="s">
        <v>12806</v>
      </c>
      <c r="B5630" s="5" t="s">
        <v>12806</v>
      </c>
      <c r="C5630" s="5" t="s">
        <v>41</v>
      </c>
      <c r="D5630" s="5" t="s">
        <v>42</v>
      </c>
      <c r="E5630" s="5" t="s">
        <v>45</v>
      </c>
      <c r="F5630" s="9">
        <v>47</v>
      </c>
      <c r="G5630" s="9">
        <v>494</v>
      </c>
      <c r="H5630" s="5" t="s">
        <v>21</v>
      </c>
      <c r="I5630" s="5" t="s">
        <v>12807</v>
      </c>
      <c r="J5630" s="12" t="str">
        <f>HYPERLINK("https://www.boe.es/gazeta/dias/1800/06/13/pdfs/GMD-1800-47.pdf#page=2","Abrir facsímil")</f>
        <v>Abrir facsímil</v>
      </c>
      <c r="K5630" s="15" t="s">
        <v>23</v>
      </c>
    </row>
    <row r="5631" spans="1:11" ht="42" customHeight="1">
      <c r="A5631" s="4" t="s">
        <v>12808</v>
      </c>
      <c r="B5631" s="5" t="s">
        <v>12809</v>
      </c>
      <c r="C5631" s="5" t="s">
        <v>41</v>
      </c>
      <c r="D5631" s="5" t="s">
        <v>42</v>
      </c>
      <c r="E5631" s="5" t="s">
        <v>45</v>
      </c>
      <c r="F5631" s="9">
        <v>47</v>
      </c>
      <c r="G5631" s="9">
        <v>494</v>
      </c>
      <c r="H5631" s="5" t="s">
        <v>21</v>
      </c>
      <c r="I5631" s="5" t="s">
        <v>12810</v>
      </c>
      <c r="J5631" s="12" t="str">
        <f>HYPERLINK("https://www.boe.es/gazeta/dias/1800/06/13/pdfs/GMD-1800-47.pdf#page=2","Abrir facsímil")</f>
        <v>Abrir facsímil</v>
      </c>
      <c r="K5631" s="15" t="s">
        <v>23</v>
      </c>
    </row>
    <row r="5632" spans="1:11" ht="42" customHeight="1">
      <c r="A5632" s="4" t="s">
        <v>12811</v>
      </c>
      <c r="B5632" s="5" t="s">
        <v>12812</v>
      </c>
      <c r="C5632" s="5" t="s">
        <v>41</v>
      </c>
      <c r="D5632" s="5" t="s">
        <v>42</v>
      </c>
      <c r="E5632" s="5" t="s">
        <v>158</v>
      </c>
      <c r="F5632" s="9">
        <v>25</v>
      </c>
      <c r="G5632" s="9">
        <v>251</v>
      </c>
      <c r="H5632" s="5" t="s">
        <v>21</v>
      </c>
      <c r="I5632" s="5" t="s">
        <v>12813</v>
      </c>
      <c r="J5632" s="12" t="str">
        <f>HYPERLINK("https://www.boe.es/gazeta/dias/1800/03/28/pdfs/GMD-1800-25.pdf#page=3","Abrir facsímil")</f>
        <v>Abrir facsímil</v>
      </c>
      <c r="K5632" s="15" t="s">
        <v>23</v>
      </c>
    </row>
    <row r="5633" spans="1:11" ht="42" customHeight="1">
      <c r="A5633" s="4" t="s">
        <v>12811</v>
      </c>
      <c r="B5633" s="5" t="s">
        <v>12812</v>
      </c>
      <c r="C5633" s="5" t="s">
        <v>41</v>
      </c>
      <c r="D5633" s="5" t="s">
        <v>42</v>
      </c>
      <c r="E5633" s="5" t="s">
        <v>64</v>
      </c>
      <c r="F5633" s="9">
        <v>54</v>
      </c>
      <c r="G5633" s="9">
        <v>601</v>
      </c>
      <c r="H5633" s="5" t="s">
        <v>21</v>
      </c>
      <c r="I5633" s="5" t="s">
        <v>12814</v>
      </c>
      <c r="J5633" s="12" t="str">
        <f>HYPERLINK("https://www.boe.es/gazeta/dias/1800/07/08/pdfs/GMD-1800-54.pdf#page=5","Abrir facsímil")</f>
        <v>Abrir facsímil</v>
      </c>
      <c r="K5633" s="15" t="s">
        <v>23</v>
      </c>
    </row>
    <row r="5634" spans="1:11" ht="42" customHeight="1">
      <c r="A5634" s="4" t="s">
        <v>12811</v>
      </c>
      <c r="B5634" s="5" t="s">
        <v>12812</v>
      </c>
      <c r="C5634" s="5" t="s">
        <v>41</v>
      </c>
      <c r="D5634" s="5" t="s">
        <v>42</v>
      </c>
      <c r="E5634" s="5" t="s">
        <v>1294</v>
      </c>
      <c r="F5634" s="9">
        <v>59</v>
      </c>
      <c r="G5634" s="9">
        <v>673</v>
      </c>
      <c r="H5634" s="5" t="s">
        <v>21</v>
      </c>
      <c r="I5634" s="5" t="s">
        <v>12815</v>
      </c>
      <c r="J5634" s="12" t="str">
        <f>HYPERLINK("https://www.boe.es/gazeta/dias/1800/07/25/pdfs/GMD-1800-59.pdf#page=5","Abrir facsímil")</f>
        <v>Abrir facsímil</v>
      </c>
      <c r="K5634" s="15" t="s">
        <v>23</v>
      </c>
    </row>
    <row r="5635" spans="1:11" ht="42" customHeight="1">
      <c r="A5635" s="4" t="s">
        <v>12816</v>
      </c>
      <c r="B5635" s="5" t="s">
        <v>12816</v>
      </c>
      <c r="C5635" s="5" t="s">
        <v>41</v>
      </c>
      <c r="D5635" s="5" t="s">
        <v>42</v>
      </c>
      <c r="E5635" s="5" t="s">
        <v>828</v>
      </c>
      <c r="F5635" s="9">
        <v>53</v>
      </c>
      <c r="G5635" s="9">
        <v>585</v>
      </c>
      <c r="H5635" s="5" t="s">
        <v>21</v>
      </c>
      <c r="I5635" s="5" t="s">
        <v>12817</v>
      </c>
      <c r="J5635" s="12" t="str">
        <f>HYPERLINK("https://www.boe.es/gazeta/dias/1800/07/04/pdfs/GMD-1800-53.pdf#page=5","Abrir facsímil")</f>
        <v>Abrir facsímil</v>
      </c>
      <c r="K5635" s="15" t="s">
        <v>23</v>
      </c>
    </row>
    <row r="5636" spans="1:11" ht="42" customHeight="1">
      <c r="A5636" s="4" t="s">
        <v>12818</v>
      </c>
      <c r="B5636" s="5" t="s">
        <v>12819</v>
      </c>
      <c r="C5636" s="5" t="s">
        <v>41</v>
      </c>
      <c r="D5636" s="5" t="s">
        <v>42</v>
      </c>
      <c r="E5636" s="5" t="s">
        <v>244</v>
      </c>
      <c r="F5636" s="9">
        <v>9</v>
      </c>
      <c r="G5636" s="9">
        <v>82</v>
      </c>
      <c r="H5636" s="5" t="s">
        <v>21</v>
      </c>
      <c r="I5636" s="5" t="s">
        <v>12820</v>
      </c>
      <c r="J5636" s="12" t="str">
        <f>HYPERLINK("https://www.boe.es/gazeta/dias/1800/01/31/pdfs/GMD-1800-9.pdf#page=6","Abrir facsímil")</f>
        <v>Abrir facsímil</v>
      </c>
      <c r="K5636" s="15" t="s">
        <v>23</v>
      </c>
    </row>
    <row r="5637" spans="1:11" ht="42" customHeight="1">
      <c r="A5637" s="4" t="s">
        <v>12821</v>
      </c>
      <c r="B5637" s="5" t="s">
        <v>12821</v>
      </c>
      <c r="C5637" s="5" t="s">
        <v>41</v>
      </c>
      <c r="D5637" s="5" t="s">
        <v>42</v>
      </c>
      <c r="E5637" s="5" t="s">
        <v>825</v>
      </c>
      <c r="F5637" s="9">
        <v>51</v>
      </c>
      <c r="G5637" s="9">
        <v>555</v>
      </c>
      <c r="H5637" s="5" t="s">
        <v>21</v>
      </c>
      <c r="I5637" s="5" t="s">
        <v>12822</v>
      </c>
      <c r="J5637" s="12" t="str">
        <f>HYPERLINK("https://www.boe.es/gazeta/dias/1800/06/27/pdfs/GMD-1800-51.pdf#page=7","Abrir facsímil")</f>
        <v>Abrir facsímil</v>
      </c>
      <c r="K5637" s="15" t="s">
        <v>23</v>
      </c>
    </row>
    <row r="5638" spans="1:11" ht="42" customHeight="1">
      <c r="A5638" s="4" t="s">
        <v>12823</v>
      </c>
      <c r="B5638" s="5" t="s">
        <v>12824</v>
      </c>
      <c r="C5638" s="5" t="s">
        <v>41</v>
      </c>
      <c r="D5638" s="5" t="s">
        <v>42</v>
      </c>
      <c r="E5638" s="5" t="s">
        <v>825</v>
      </c>
      <c r="F5638" s="9">
        <v>51</v>
      </c>
      <c r="G5638" s="9">
        <v>555</v>
      </c>
      <c r="H5638" s="5" t="s">
        <v>21</v>
      </c>
      <c r="I5638" s="5" t="s">
        <v>12825</v>
      </c>
      <c r="J5638" s="12" t="str">
        <f>HYPERLINK("https://www.boe.es/gazeta/dias/1800/06/27/pdfs/GMD-1800-51.pdf#page=7","Abrir facsímil")</f>
        <v>Abrir facsímil</v>
      </c>
      <c r="K5638" s="15" t="s">
        <v>23</v>
      </c>
    </row>
    <row r="5639" spans="1:11" ht="42" customHeight="1">
      <c r="A5639" s="4" t="s">
        <v>12826</v>
      </c>
      <c r="B5639" s="5" t="s">
        <v>12827</v>
      </c>
      <c r="C5639" s="5" t="s">
        <v>18</v>
      </c>
      <c r="D5639" s="5" t="s">
        <v>19</v>
      </c>
      <c r="E5639" s="5" t="s">
        <v>598</v>
      </c>
      <c r="F5639" s="9">
        <v>32</v>
      </c>
      <c r="G5639" s="9">
        <v>323</v>
      </c>
      <c r="H5639" s="5" t="s">
        <v>21</v>
      </c>
      <c r="I5639" s="5" t="s">
        <v>12828</v>
      </c>
      <c r="J5639" s="12" t="str">
        <f>HYPERLINK("https://www.boe.es/gazeta/dias/1800/04/22/pdfs/GMD-1800-32.pdf#page=7","Abrir facsímil")</f>
        <v>Abrir facsímil</v>
      </c>
      <c r="K5639" s="15" t="s">
        <v>23</v>
      </c>
    </row>
    <row r="5640" spans="1:11" ht="42" customHeight="1">
      <c r="A5640" s="4" t="s">
        <v>12829</v>
      </c>
      <c r="B5640" s="5" t="s">
        <v>12830</v>
      </c>
      <c r="C5640" s="5" t="s">
        <v>18</v>
      </c>
      <c r="D5640" s="5" t="s">
        <v>19</v>
      </c>
      <c r="E5640" s="5" t="s">
        <v>31</v>
      </c>
      <c r="F5640" s="9">
        <v>20</v>
      </c>
      <c r="G5640" s="9">
        <v>191</v>
      </c>
      <c r="H5640" s="5" t="s">
        <v>21</v>
      </c>
      <c r="I5640" s="5" t="s">
        <v>12831</v>
      </c>
      <c r="J5640" s="12" t="str">
        <f>HYPERLINK("https://www.boe.es/gazeta/dias/1800/03/11/pdfs/GMD-1800-20.pdf#page=7","Abrir facsímil")</f>
        <v>Abrir facsímil</v>
      </c>
      <c r="K5640" s="15" t="s">
        <v>23</v>
      </c>
    </row>
    <row r="5641" spans="1:11" ht="42" customHeight="1">
      <c r="A5641" s="4" t="s">
        <v>12832</v>
      </c>
      <c r="B5641" s="5" t="s">
        <v>12833</v>
      </c>
      <c r="C5641" s="5" t="s">
        <v>84</v>
      </c>
      <c r="D5641" s="5" t="s">
        <v>85</v>
      </c>
      <c r="E5641" s="5" t="s">
        <v>1108</v>
      </c>
      <c r="F5641" s="9">
        <v>30</v>
      </c>
      <c r="G5641" s="9">
        <v>308</v>
      </c>
      <c r="H5641" s="5" t="s">
        <v>21</v>
      </c>
      <c r="I5641" s="5" t="s">
        <v>12834</v>
      </c>
      <c r="J5641" s="12" t="str">
        <f>HYPERLINK("https://www.boe.es/gazeta/dias/1800/04/15/pdfs/GMD-1800-30.pdf#page=8","Abrir facsímil")</f>
        <v>Abrir facsímil</v>
      </c>
      <c r="K5641" s="15" t="s">
        <v>23</v>
      </c>
    </row>
    <row r="5642" spans="1:11" ht="42" customHeight="1">
      <c r="A5642" s="4" t="s">
        <v>12835</v>
      </c>
      <c r="B5642" s="5" t="s">
        <v>12836</v>
      </c>
      <c r="C5642" s="5" t="s">
        <v>207</v>
      </c>
      <c r="D5642" s="5" t="s">
        <v>55</v>
      </c>
      <c r="E5642" s="5" t="s">
        <v>111</v>
      </c>
      <c r="F5642" s="9">
        <v>98</v>
      </c>
      <c r="G5642" s="9">
        <v>1128</v>
      </c>
      <c r="H5642" s="5" t="s">
        <v>21</v>
      </c>
      <c r="I5642" s="5" t="s">
        <v>12837</v>
      </c>
      <c r="J5642" s="12" t="str">
        <f>HYPERLINK("https://www.boe.es/gazeta/dias/1800/12/05/pdfs/GMD-1800-98.pdf#page=8","Abrir facsímil")</f>
        <v>Abrir facsímil</v>
      </c>
      <c r="K5642" s="15" t="s">
        <v>23</v>
      </c>
    </row>
    <row r="5643" spans="1:11" ht="42" customHeight="1">
      <c r="A5643" s="4" t="s">
        <v>12838</v>
      </c>
      <c r="B5643" s="5" t="s">
        <v>12839</v>
      </c>
      <c r="C5643" s="5" t="s">
        <v>18</v>
      </c>
      <c r="D5643" s="5" t="s">
        <v>19</v>
      </c>
      <c r="E5643" s="5" t="s">
        <v>139</v>
      </c>
      <c r="F5643" s="9">
        <v>2</v>
      </c>
      <c r="G5643" s="9">
        <v>17</v>
      </c>
      <c r="H5643" s="5" t="s">
        <v>21</v>
      </c>
      <c r="I5643" s="5" t="s">
        <v>12840</v>
      </c>
      <c r="J5643" s="12" t="str">
        <f>HYPERLINK("https://www.boe.es/gazeta/dias/1800/01/07/pdfs/GMD-1800-2.pdf#page=9","Abrir facsímil")</f>
        <v>Abrir facsímil</v>
      </c>
      <c r="K5643" s="15" t="s">
        <v>23</v>
      </c>
    </row>
    <row r="5644" spans="1:11" ht="42" customHeight="1">
      <c r="A5644" s="4" t="s">
        <v>12841</v>
      </c>
      <c r="B5644" s="5" t="s">
        <v>12842</v>
      </c>
      <c r="C5644" s="5" t="s">
        <v>54</v>
      </c>
      <c r="D5644" s="5" t="s">
        <v>55</v>
      </c>
      <c r="E5644" s="5" t="s">
        <v>402</v>
      </c>
      <c r="F5644" s="9">
        <v>101</v>
      </c>
      <c r="G5644" s="9">
        <v>1175</v>
      </c>
      <c r="H5644" s="5" t="s">
        <v>21</v>
      </c>
      <c r="I5644" s="5" t="s">
        <v>12843</v>
      </c>
      <c r="J5644" s="12" t="str">
        <f>HYPERLINK("https://www.boe.es/gazeta/dias/1800/12/16/pdfs/GMD-1800-101.pdf#page=11","Abrir facsímil")</f>
        <v>Abrir facsímil</v>
      </c>
      <c r="K5644" s="15" t="s">
        <v>23</v>
      </c>
    </row>
    <row r="5645" spans="1:11" ht="42" customHeight="1">
      <c r="A5645" s="4" t="s">
        <v>12844</v>
      </c>
      <c r="B5645" s="5" t="s">
        <v>12845</v>
      </c>
      <c r="C5645" s="5" t="s">
        <v>54</v>
      </c>
      <c r="D5645" s="5" t="s">
        <v>55</v>
      </c>
      <c r="E5645" s="5" t="s">
        <v>131</v>
      </c>
      <c r="F5645" s="9">
        <v>8</v>
      </c>
      <c r="G5645" s="9">
        <v>76</v>
      </c>
      <c r="H5645" s="5" t="s">
        <v>21</v>
      </c>
      <c r="I5645" s="5" t="s">
        <v>12846</v>
      </c>
      <c r="J5645" s="12" t="str">
        <f>HYPERLINK("https://www.boe.es/gazeta/dias/1800/01/28/pdfs/GMD-1800-8.pdf#page=8","Abrir facsímil")</f>
        <v>Abrir facsímil</v>
      </c>
      <c r="K5645" s="15" t="s">
        <v>23</v>
      </c>
    </row>
    <row r="5646" spans="1:11" ht="42" customHeight="1">
      <c r="A5646" s="4" t="s">
        <v>12844</v>
      </c>
      <c r="B5646" s="5" t="s">
        <v>12845</v>
      </c>
      <c r="C5646" s="5" t="s">
        <v>54</v>
      </c>
      <c r="D5646" s="5" t="s">
        <v>55</v>
      </c>
      <c r="E5646" s="5" t="s">
        <v>620</v>
      </c>
      <c r="F5646" s="9">
        <v>19</v>
      </c>
      <c r="G5646" s="9">
        <v>183</v>
      </c>
      <c r="H5646" s="5" t="s">
        <v>21</v>
      </c>
      <c r="I5646" s="5" t="s">
        <v>12847</v>
      </c>
      <c r="J5646" s="12" t="str">
        <f>HYPERLINK("https://www.boe.es/gazeta/dias/1800/03/07/pdfs/GMD-1800-19.pdf#page=7","Abrir facsímil")</f>
        <v>Abrir facsímil</v>
      </c>
      <c r="K5646" s="15" t="s">
        <v>23</v>
      </c>
    </row>
    <row r="5647" spans="1:11" ht="42" customHeight="1">
      <c r="A5647" s="4" t="s">
        <v>12844</v>
      </c>
      <c r="B5647" s="5" t="s">
        <v>12845</v>
      </c>
      <c r="C5647" s="5" t="s">
        <v>25</v>
      </c>
      <c r="D5647" s="5" t="s">
        <v>26</v>
      </c>
      <c r="E5647" s="5" t="s">
        <v>35</v>
      </c>
      <c r="F5647" s="9">
        <v>21</v>
      </c>
      <c r="G5647" s="9">
        <v>207</v>
      </c>
      <c r="H5647" s="5" t="s">
        <v>21</v>
      </c>
      <c r="I5647" s="5" t="s">
        <v>12848</v>
      </c>
      <c r="J5647" s="12" t="str">
        <f>HYPERLINK("https://www.boe.es/gazeta/dias/1800/03/14/pdfs/GMD-1800-21.pdf#page=11","Abrir facsímil")</f>
        <v>Abrir facsímil</v>
      </c>
      <c r="K5647" s="15" t="s">
        <v>23</v>
      </c>
    </row>
    <row r="5648" spans="1:11" ht="42" customHeight="1">
      <c r="A5648" s="4" t="s">
        <v>12844</v>
      </c>
      <c r="B5648" s="5" t="s">
        <v>12845</v>
      </c>
      <c r="C5648" s="5" t="s">
        <v>54</v>
      </c>
      <c r="D5648" s="5" t="s">
        <v>55</v>
      </c>
      <c r="E5648" s="5" t="s">
        <v>420</v>
      </c>
      <c r="F5648" s="9">
        <v>38</v>
      </c>
      <c r="G5648" s="9">
        <v>390</v>
      </c>
      <c r="H5648" s="5" t="s">
        <v>21</v>
      </c>
      <c r="I5648" s="5" t="s">
        <v>12849</v>
      </c>
      <c r="J5648" s="12" t="str">
        <f>HYPERLINK("https://www.boe.es/gazeta/dias/1800/05/13/pdfs/GMD-1800-38.pdf#page=10","Abrir facsímil")</f>
        <v>Abrir facsímil</v>
      </c>
      <c r="K5648" s="15" t="s">
        <v>23</v>
      </c>
    </row>
    <row r="5649" spans="1:11" ht="42" customHeight="1">
      <c r="A5649" s="4" t="s">
        <v>12844</v>
      </c>
      <c r="B5649" s="5" t="s">
        <v>12845</v>
      </c>
      <c r="C5649" s="5" t="s">
        <v>54</v>
      </c>
      <c r="D5649" s="5" t="s">
        <v>55</v>
      </c>
      <c r="E5649" s="5" t="s">
        <v>190</v>
      </c>
      <c r="F5649" s="9">
        <v>93</v>
      </c>
      <c r="G5649" s="9">
        <v>1069</v>
      </c>
      <c r="H5649" s="5" t="s">
        <v>21</v>
      </c>
      <c r="I5649" s="5" t="s">
        <v>12850</v>
      </c>
      <c r="J5649" s="12" t="str">
        <f>HYPERLINK("https://www.boe.es/gazeta/dias/1800/11/18/pdfs/GMD-1800-93.pdf#page=15","Abrir facsímil")</f>
        <v>Abrir facsímil</v>
      </c>
      <c r="K5649" s="15" t="s">
        <v>23</v>
      </c>
    </row>
    <row r="5650" spans="1:11" ht="42" customHeight="1">
      <c r="A5650" s="4" t="s">
        <v>12851</v>
      </c>
      <c r="B5650" s="5" t="s">
        <v>12852</v>
      </c>
      <c r="C5650" s="5" t="s">
        <v>207</v>
      </c>
      <c r="D5650" s="5" t="s">
        <v>55</v>
      </c>
      <c r="E5650" s="5" t="s">
        <v>111</v>
      </c>
      <c r="F5650" s="9">
        <v>98</v>
      </c>
      <c r="G5650" s="9">
        <v>1128</v>
      </c>
      <c r="H5650" s="5" t="s">
        <v>21</v>
      </c>
      <c r="I5650" s="5" t="s">
        <v>12853</v>
      </c>
      <c r="J5650" s="12" t="str">
        <f>HYPERLINK("https://www.boe.es/gazeta/dias/1800/12/05/pdfs/GMD-1800-98.pdf#page=8","Abrir facsímil")</f>
        <v>Abrir facsímil</v>
      </c>
      <c r="K5650" s="15" t="s">
        <v>23</v>
      </c>
    </row>
    <row r="5651" spans="1:11" ht="42" customHeight="1">
      <c r="A5651" s="4" t="s">
        <v>12854</v>
      </c>
      <c r="B5651" s="5" t="s">
        <v>12855</v>
      </c>
      <c r="C5651" s="5" t="s">
        <v>84</v>
      </c>
      <c r="D5651" s="5" t="s">
        <v>85</v>
      </c>
      <c r="E5651" s="5" t="s">
        <v>111</v>
      </c>
      <c r="F5651" s="9">
        <v>98</v>
      </c>
      <c r="G5651" s="9">
        <v>1131</v>
      </c>
      <c r="H5651" s="5" t="s">
        <v>21</v>
      </c>
      <c r="I5651" s="5" t="s">
        <v>12856</v>
      </c>
      <c r="J5651" s="12" t="str">
        <f>HYPERLINK("https://www.boe.es/gazeta/dias/1800/12/05/pdfs/GMD-1800-98.pdf#page=11","Abrir facsímil")</f>
        <v>Abrir facsímil</v>
      </c>
      <c r="K5651" s="15" t="s">
        <v>23</v>
      </c>
    </row>
    <row r="5652" spans="1:11" ht="42" customHeight="1">
      <c r="A5652" s="4" t="s">
        <v>12857</v>
      </c>
      <c r="B5652" s="5" t="s">
        <v>12858</v>
      </c>
      <c r="C5652" s="5" t="s">
        <v>207</v>
      </c>
      <c r="D5652" s="5" t="s">
        <v>55</v>
      </c>
      <c r="E5652" s="5" t="s">
        <v>618</v>
      </c>
      <c r="F5652" s="9">
        <v>1</v>
      </c>
      <c r="G5652" s="9">
        <v>5</v>
      </c>
      <c r="H5652" s="5" t="s">
        <v>21</v>
      </c>
      <c r="I5652" s="5" t="s">
        <v>12859</v>
      </c>
      <c r="J5652" s="12" t="str">
        <f>HYPERLINK("https://www.boe.es/gazeta/dias/1800/01/03/pdfs/GMD-1800-1.pdf#page=5","Abrir facsímil")</f>
        <v>Abrir facsímil</v>
      </c>
      <c r="K5652" s="15" t="s">
        <v>23</v>
      </c>
    </row>
    <row r="5653" spans="1:11" ht="42" customHeight="1">
      <c r="A5653" s="4" t="s">
        <v>12860</v>
      </c>
      <c r="B5653" s="5" t="s">
        <v>12861</v>
      </c>
      <c r="C5653" s="5" t="s">
        <v>18</v>
      </c>
      <c r="D5653" s="5" t="s">
        <v>19</v>
      </c>
      <c r="E5653" s="5" t="s">
        <v>56</v>
      </c>
      <c r="F5653" s="9">
        <v>90</v>
      </c>
      <c r="G5653" s="9">
        <v>1055</v>
      </c>
      <c r="H5653" s="5" t="s">
        <v>21</v>
      </c>
      <c r="I5653" s="5" t="s">
        <v>12862</v>
      </c>
      <c r="J5653" s="12" t="str">
        <f>HYPERLINK("https://www.boe.es/gazeta/dias/1800/11/07/pdfs/GMD-1800-90.pdf#page=9","Abrir facsímil")</f>
        <v>Abrir facsímil</v>
      </c>
      <c r="K5653" s="15" t="s">
        <v>23</v>
      </c>
    </row>
    <row r="5654" spans="1:11" ht="42" customHeight="1">
      <c r="A5654" s="4" t="s">
        <v>12863</v>
      </c>
      <c r="B5654" s="5" t="s">
        <v>12864</v>
      </c>
      <c r="C5654" s="5" t="s">
        <v>207</v>
      </c>
      <c r="D5654" s="5" t="s">
        <v>55</v>
      </c>
      <c r="E5654" s="5" t="s">
        <v>184</v>
      </c>
      <c r="F5654" s="9">
        <v>82</v>
      </c>
      <c r="G5654" s="9">
        <v>950</v>
      </c>
      <c r="H5654" s="5" t="s">
        <v>21</v>
      </c>
      <c r="I5654" s="5" t="s">
        <v>12865</v>
      </c>
      <c r="J5654" s="12" t="str">
        <f>HYPERLINK("https://www.boe.es/gazeta/dias/1800/10/10/pdfs/GMD-1800-82.pdf#page=8","Abrir facsímil")</f>
        <v>Abrir facsímil</v>
      </c>
      <c r="K5654" s="15" t="s">
        <v>23</v>
      </c>
    </row>
    <row r="5655" spans="1:11" ht="42" customHeight="1">
      <c r="A5655" s="4" t="s">
        <v>12863</v>
      </c>
      <c r="B5655" s="5" t="s">
        <v>12864</v>
      </c>
      <c r="C5655" s="5" t="s">
        <v>54</v>
      </c>
      <c r="D5655" s="5" t="s">
        <v>55</v>
      </c>
      <c r="E5655" s="5" t="s">
        <v>329</v>
      </c>
      <c r="F5655" s="9">
        <v>99</v>
      </c>
      <c r="G5655" s="9">
        <v>1139</v>
      </c>
      <c r="H5655" s="5" t="s">
        <v>21</v>
      </c>
      <c r="I5655" s="5" t="s">
        <v>12866</v>
      </c>
      <c r="J5655" s="12" t="str">
        <f>HYPERLINK("https://www.boe.es/gazeta/dias/1800/12/09/pdfs/GMD-1800-99.pdf#page=7","Abrir facsímil")</f>
        <v>Abrir facsímil</v>
      </c>
      <c r="K5655" s="15" t="s">
        <v>23</v>
      </c>
    </row>
    <row r="5656" spans="1:11" ht="42" customHeight="1">
      <c r="A5656" s="4" t="s">
        <v>12867</v>
      </c>
      <c r="B5656" s="5" t="s">
        <v>12868</v>
      </c>
      <c r="C5656" s="5" t="s">
        <v>171</v>
      </c>
      <c r="D5656" s="5" t="s">
        <v>172</v>
      </c>
      <c r="E5656" s="5" t="s">
        <v>120</v>
      </c>
      <c r="F5656" s="9">
        <v>52</v>
      </c>
      <c r="G5656" s="9">
        <v>578</v>
      </c>
      <c r="H5656" s="5" t="s">
        <v>21</v>
      </c>
      <c r="I5656" s="5" t="s">
        <v>12869</v>
      </c>
      <c r="J5656" s="12" t="str">
        <f>HYPERLINK("https://www.boe.es/gazeta/dias/1800/07/01/pdfs/GMD-C-1800-52.pdf#page=2","Abrir facsímil")</f>
        <v>Abrir facsímil</v>
      </c>
      <c r="K5656" s="15" t="s">
        <v>23</v>
      </c>
    </row>
    <row r="5657" spans="1:11" ht="42" customHeight="1">
      <c r="A5657" s="4" t="s">
        <v>12870</v>
      </c>
      <c r="B5657" s="5" t="s">
        <v>12871</v>
      </c>
      <c r="C5657" s="5" t="s">
        <v>54</v>
      </c>
      <c r="D5657" s="5" t="s">
        <v>55</v>
      </c>
      <c r="E5657" s="5" t="s">
        <v>244</v>
      </c>
      <c r="F5657" s="9">
        <v>9</v>
      </c>
      <c r="G5657" s="9">
        <v>86</v>
      </c>
      <c r="H5657" s="5" t="s">
        <v>21</v>
      </c>
      <c r="I5657" s="5" t="s">
        <v>12872</v>
      </c>
      <c r="J5657" s="12" t="str">
        <f>HYPERLINK("https://www.boe.es/gazeta/dias/1800/01/31/pdfs/GMD-1800-9.pdf#page=10","Abrir facsímil")</f>
        <v>Abrir facsímil</v>
      </c>
      <c r="K5657" s="15" t="s">
        <v>23</v>
      </c>
    </row>
    <row r="5658" spans="1:11" ht="42" customHeight="1">
      <c r="A5658" s="4" t="s">
        <v>12870</v>
      </c>
      <c r="B5658" s="5" t="s">
        <v>12871</v>
      </c>
      <c r="C5658" s="5" t="s">
        <v>84</v>
      </c>
      <c r="D5658" s="5" t="s">
        <v>85</v>
      </c>
      <c r="E5658" s="5" t="s">
        <v>461</v>
      </c>
      <c r="F5658" s="9">
        <v>18</v>
      </c>
      <c r="G5658" s="9">
        <v>172</v>
      </c>
      <c r="H5658" s="5" t="s">
        <v>21</v>
      </c>
      <c r="I5658" s="5" t="s">
        <v>12873</v>
      </c>
      <c r="J5658" s="12" t="str">
        <f>HYPERLINK("https://www.boe.es/datos/pdfs/BOE//1800/018/C00173-00176.pdf#page=8","Abrir facsímil")</f>
        <v>Abrir facsímil</v>
      </c>
      <c r="K5658" s="15" t="s">
        <v>23</v>
      </c>
    </row>
    <row r="5659" spans="1:11" ht="42" customHeight="1">
      <c r="A5659" s="4" t="s">
        <v>12870</v>
      </c>
      <c r="B5659" s="5" t="s">
        <v>12871</v>
      </c>
      <c r="C5659" s="5" t="s">
        <v>25</v>
      </c>
      <c r="D5659" s="5" t="s">
        <v>26</v>
      </c>
      <c r="E5659" s="5" t="s">
        <v>620</v>
      </c>
      <c r="F5659" s="9">
        <v>19</v>
      </c>
      <c r="G5659" s="9">
        <v>183</v>
      </c>
      <c r="H5659" s="5" t="s">
        <v>21</v>
      </c>
      <c r="I5659" s="5" t="s">
        <v>12874</v>
      </c>
      <c r="J5659" s="12" t="str">
        <f>HYPERLINK("https://www.boe.es/gazeta/dias/1800/03/07/pdfs/GMD-1800-19.pdf#page=7","Abrir facsímil")</f>
        <v>Abrir facsímil</v>
      </c>
      <c r="K5659" s="15" t="s">
        <v>23</v>
      </c>
    </row>
    <row r="5660" spans="1:11" ht="42" customHeight="1">
      <c r="A5660" s="4" t="s">
        <v>12870</v>
      </c>
      <c r="B5660" s="5" t="s">
        <v>12871</v>
      </c>
      <c r="C5660" s="5" t="s">
        <v>25</v>
      </c>
      <c r="D5660" s="5" t="s">
        <v>26</v>
      </c>
      <c r="E5660" s="5" t="s">
        <v>356</v>
      </c>
      <c r="F5660" s="9">
        <v>31</v>
      </c>
      <c r="G5660" s="9">
        <v>315</v>
      </c>
      <c r="H5660" s="5" t="s">
        <v>21</v>
      </c>
      <c r="I5660" s="5" t="s">
        <v>12875</v>
      </c>
      <c r="J5660" s="12" t="str">
        <f>HYPERLINK("https://www.boe.es/gazeta/dias/1800/04/18/pdfs/GMD-1800-31.pdf#page=7","Abrir facsímil")</f>
        <v>Abrir facsímil</v>
      </c>
      <c r="K5660" s="15" t="s">
        <v>23</v>
      </c>
    </row>
    <row r="5661" spans="1:11" ht="42" customHeight="1">
      <c r="A5661" s="4" t="s">
        <v>12870</v>
      </c>
      <c r="B5661" s="5" t="s">
        <v>12871</v>
      </c>
      <c r="C5661" s="5" t="s">
        <v>207</v>
      </c>
      <c r="D5661" s="5" t="s">
        <v>55</v>
      </c>
      <c r="E5661" s="5" t="s">
        <v>2338</v>
      </c>
      <c r="F5661" s="9">
        <v>42</v>
      </c>
      <c r="G5661" s="9">
        <v>435</v>
      </c>
      <c r="H5661" s="5" t="s">
        <v>21</v>
      </c>
      <c r="I5661" s="5" t="s">
        <v>12876</v>
      </c>
      <c r="J5661" s="12" t="str">
        <f>HYPERLINK("https://www.boe.es/gazeta/dias/1800/05/27/pdfs/GMD-1800-42.pdf#page=7","Abrir facsímil")</f>
        <v>Abrir facsímil</v>
      </c>
      <c r="K5661" s="15" t="s">
        <v>23</v>
      </c>
    </row>
    <row r="5662" spans="1:11" ht="42" customHeight="1">
      <c r="A5662" s="4" t="s">
        <v>12870</v>
      </c>
      <c r="B5662" s="5" t="s">
        <v>12871</v>
      </c>
      <c r="C5662" s="5" t="s">
        <v>54</v>
      </c>
      <c r="D5662" s="5" t="s">
        <v>55</v>
      </c>
      <c r="E5662" s="5" t="s">
        <v>43</v>
      </c>
      <c r="F5662" s="9">
        <v>46</v>
      </c>
      <c r="G5662" s="9">
        <v>490</v>
      </c>
      <c r="H5662" s="5" t="s">
        <v>21</v>
      </c>
      <c r="I5662" s="5" t="s">
        <v>12877</v>
      </c>
      <c r="J5662" s="12" t="str">
        <f>HYPERLINK("https://www.boe.es/gazeta/dias/1800/06/10/pdfs/GMD-1800-46.pdf#page=14","Abrir facsímil")</f>
        <v>Abrir facsímil</v>
      </c>
      <c r="K5662" s="15" t="s">
        <v>23</v>
      </c>
    </row>
    <row r="5663" spans="1:11" ht="42" customHeight="1">
      <c r="A5663" s="4" t="s">
        <v>12870</v>
      </c>
      <c r="B5663" s="5" t="s">
        <v>12871</v>
      </c>
      <c r="C5663" s="5" t="s">
        <v>54</v>
      </c>
      <c r="D5663" s="5" t="s">
        <v>55</v>
      </c>
      <c r="E5663" s="5" t="s">
        <v>825</v>
      </c>
      <c r="F5663" s="9">
        <v>51</v>
      </c>
      <c r="G5663" s="9">
        <v>562</v>
      </c>
      <c r="H5663" s="5" t="s">
        <v>21</v>
      </c>
      <c r="I5663" s="5" t="s">
        <v>12878</v>
      </c>
      <c r="J5663" s="12" t="str">
        <f>HYPERLINK("https://www.boe.es/gazeta/dias/1800/06/27/pdfs/GMD-1800-51.pdf#page=14","Abrir facsímil")</f>
        <v>Abrir facsímil</v>
      </c>
      <c r="K5663" s="15" t="s">
        <v>23</v>
      </c>
    </row>
    <row r="5664" spans="1:11" ht="42" customHeight="1">
      <c r="A5664" s="4" t="s">
        <v>12870</v>
      </c>
      <c r="B5664" s="5" t="s">
        <v>12871</v>
      </c>
      <c r="C5664" s="5" t="s">
        <v>25</v>
      </c>
      <c r="D5664" s="5" t="s">
        <v>26</v>
      </c>
      <c r="E5664" s="5" t="s">
        <v>590</v>
      </c>
      <c r="F5664" s="9">
        <v>69</v>
      </c>
      <c r="G5664" s="9">
        <v>775</v>
      </c>
      <c r="H5664" s="5" t="s">
        <v>21</v>
      </c>
      <c r="I5664" s="5" t="s">
        <v>12879</v>
      </c>
      <c r="J5664" s="12" t="str">
        <f>HYPERLINK("https://www.boe.es/gazeta/dias/1800/08/29/pdfs/GMD-1800-69.pdf#page=7","Abrir facsímil")</f>
        <v>Abrir facsímil</v>
      </c>
      <c r="K5664" s="15" t="s">
        <v>23</v>
      </c>
    </row>
    <row r="5665" spans="1:11" ht="42" customHeight="1">
      <c r="A5665" s="4" t="s">
        <v>12870</v>
      </c>
      <c r="B5665" s="5" t="s">
        <v>12871</v>
      </c>
      <c r="C5665" s="5" t="s">
        <v>54</v>
      </c>
      <c r="D5665" s="5" t="s">
        <v>55</v>
      </c>
      <c r="E5665" s="5" t="s">
        <v>583</v>
      </c>
      <c r="F5665" s="9">
        <v>77</v>
      </c>
      <c r="G5665" s="9">
        <v>880</v>
      </c>
      <c r="H5665" s="5" t="s">
        <v>21</v>
      </c>
      <c r="I5665" s="5" t="s">
        <v>12880</v>
      </c>
      <c r="J5665" s="12" t="str">
        <f>HYPERLINK("https://www.boe.es/gazeta/dias/1800/09/23/pdfs/GMD-1800-77.pdf#page=10","Abrir facsímil")</f>
        <v>Abrir facsímil</v>
      </c>
      <c r="K5665" s="15" t="s">
        <v>23</v>
      </c>
    </row>
    <row r="5666" spans="1:11" ht="42" customHeight="1">
      <c r="A5666" s="4" t="s">
        <v>12870</v>
      </c>
      <c r="B5666" s="5" t="s">
        <v>12871</v>
      </c>
      <c r="C5666" s="5" t="s">
        <v>84</v>
      </c>
      <c r="D5666" s="5" t="s">
        <v>85</v>
      </c>
      <c r="E5666" s="5" t="s">
        <v>116</v>
      </c>
      <c r="F5666" s="9">
        <v>86</v>
      </c>
      <c r="G5666" s="9">
        <v>998</v>
      </c>
      <c r="H5666" s="5" t="s">
        <v>21</v>
      </c>
      <c r="I5666" s="5" t="s">
        <v>12881</v>
      </c>
      <c r="J5666" s="12" t="str">
        <f>HYPERLINK("https://www.boe.es/gazeta/dias/1800/10/24/pdfs/GMD-1800-86.pdf#page=8","Abrir facsímil")</f>
        <v>Abrir facsímil</v>
      </c>
      <c r="K5666" s="15" t="s">
        <v>23</v>
      </c>
    </row>
    <row r="5667" spans="1:11" ht="42" customHeight="1">
      <c r="A5667" s="4" t="s">
        <v>12870</v>
      </c>
      <c r="B5667" s="5" t="s">
        <v>12871</v>
      </c>
      <c r="C5667" s="5" t="s">
        <v>25</v>
      </c>
      <c r="D5667" s="5" t="s">
        <v>26</v>
      </c>
      <c r="E5667" s="5" t="s">
        <v>615</v>
      </c>
      <c r="F5667" s="9">
        <v>95</v>
      </c>
      <c r="G5667" s="9">
        <v>1089</v>
      </c>
      <c r="H5667" s="5" t="s">
        <v>21</v>
      </c>
      <c r="I5667" s="5" t="s">
        <v>12882</v>
      </c>
      <c r="J5667" s="12" t="str">
        <f>HYPERLINK("https://www.boe.es/gazeta/dias/1800/11/25/pdfs/GMD-1800-95.pdf#page=7","Abrir facsímil")</f>
        <v>Abrir facsímil</v>
      </c>
      <c r="K5667" s="15" t="s">
        <v>23</v>
      </c>
    </row>
    <row r="5668" spans="1:11" ht="42" customHeight="1">
      <c r="A5668" s="4" t="s">
        <v>12883</v>
      </c>
      <c r="B5668" s="5" t="s">
        <v>12884</v>
      </c>
      <c r="C5668" s="5" t="s">
        <v>18</v>
      </c>
      <c r="D5668" s="5" t="s">
        <v>19</v>
      </c>
      <c r="E5668" s="5" t="s">
        <v>190</v>
      </c>
      <c r="F5668" s="9">
        <v>93</v>
      </c>
      <c r="G5668" s="9">
        <v>1067</v>
      </c>
      <c r="H5668" s="5" t="s">
        <v>21</v>
      </c>
      <c r="I5668" s="5" t="s">
        <v>12885</v>
      </c>
      <c r="J5668" s="12" t="str">
        <f>HYPERLINK("https://www.boe.es/gazeta/dias/1800/11/18/pdfs/GMD-1800-93.pdf#page=13","Abrir facsímil")</f>
        <v>Abrir facsímil</v>
      </c>
      <c r="K5668" s="15" t="s">
        <v>23</v>
      </c>
    </row>
    <row r="5669" spans="1:11" ht="42" customHeight="1">
      <c r="A5669" s="4" t="s">
        <v>12886</v>
      </c>
      <c r="B5669" s="5" t="s">
        <v>12887</v>
      </c>
      <c r="C5669" s="5" t="s">
        <v>18</v>
      </c>
      <c r="D5669" s="5" t="s">
        <v>19</v>
      </c>
      <c r="E5669" s="5" t="s">
        <v>673</v>
      </c>
      <c r="F5669" s="9">
        <v>89</v>
      </c>
      <c r="G5669" s="9">
        <v>1043</v>
      </c>
      <c r="H5669" s="5" t="s">
        <v>21</v>
      </c>
      <c r="I5669" s="5" t="s">
        <v>12888</v>
      </c>
      <c r="J5669" s="12" t="str">
        <f>HYPERLINK("https://www.boe.es/gazeta/dias/1800/11/04/pdfs/GMD-1800-89.pdf#page=9","Abrir facsímil")</f>
        <v>Abrir facsímil</v>
      </c>
      <c r="K5669" s="15" t="s">
        <v>23</v>
      </c>
    </row>
    <row r="5670" spans="1:11" ht="42" customHeight="1">
      <c r="A5670" s="4" t="s">
        <v>12889</v>
      </c>
      <c r="B5670" s="5" t="s">
        <v>12890</v>
      </c>
      <c r="C5670" s="5" t="s">
        <v>54</v>
      </c>
      <c r="D5670" s="5" t="s">
        <v>55</v>
      </c>
      <c r="E5670" s="5" t="s">
        <v>111</v>
      </c>
      <c r="F5670" s="9">
        <v>98</v>
      </c>
      <c r="G5670" s="9">
        <v>1131</v>
      </c>
      <c r="H5670" s="5" t="s">
        <v>21</v>
      </c>
      <c r="I5670" s="5" t="s">
        <v>12891</v>
      </c>
      <c r="J5670" s="12" t="str">
        <f>HYPERLINK("https://www.boe.es/gazeta/dias/1800/12/05/pdfs/GMD-1800-98.pdf#page=11","Abrir facsímil")</f>
        <v>Abrir facsímil</v>
      </c>
      <c r="K5670" s="15" t="s">
        <v>23</v>
      </c>
    </row>
    <row r="5671" spans="1:11" ht="42" customHeight="1">
      <c r="A5671" s="4" t="s">
        <v>12892</v>
      </c>
      <c r="B5671" s="5" t="s">
        <v>12893</v>
      </c>
      <c r="C5671" s="5" t="s">
        <v>25</v>
      </c>
      <c r="D5671" s="5" t="s">
        <v>26</v>
      </c>
      <c r="E5671" s="5" t="s">
        <v>787</v>
      </c>
      <c r="F5671" s="9">
        <v>6</v>
      </c>
      <c r="G5671" s="9">
        <v>59</v>
      </c>
      <c r="H5671" s="5" t="s">
        <v>21</v>
      </c>
      <c r="I5671" s="5" t="s">
        <v>12894</v>
      </c>
      <c r="J5671" s="12" t="str">
        <f>HYPERLINK("https://www.boe.es/gazeta/dias/1800/01/21/pdfs/GMD-1800-6.pdf#page=11","Abrir facsímil")</f>
        <v>Abrir facsímil</v>
      </c>
      <c r="K5671" s="15" t="s">
        <v>23</v>
      </c>
    </row>
    <row r="5672" spans="1:11" ht="42" customHeight="1">
      <c r="A5672" s="4" t="s">
        <v>12895</v>
      </c>
      <c r="B5672" s="5" t="s">
        <v>12896</v>
      </c>
      <c r="C5672" s="5" t="s">
        <v>41</v>
      </c>
      <c r="D5672" s="5" t="s">
        <v>42</v>
      </c>
      <c r="E5672" s="5" t="s">
        <v>203</v>
      </c>
      <c r="F5672" s="9">
        <v>94</v>
      </c>
      <c r="G5672" s="9">
        <v>1074</v>
      </c>
      <c r="H5672" s="5" t="s">
        <v>21</v>
      </c>
      <c r="I5672" s="5" t="s">
        <v>12897</v>
      </c>
      <c r="J5672" s="12" t="str">
        <f>HYPERLINK("https://www.boe.es/gazeta/dias/1800/11/21/pdfs/GMD-1800-94.pdf#page=4","Abrir facsímil")</f>
        <v>Abrir facsímil</v>
      </c>
      <c r="K5672" s="15" t="s">
        <v>23</v>
      </c>
    </row>
    <row r="5673" spans="1:11" ht="42" customHeight="1">
      <c r="A5673" s="4" t="s">
        <v>12898</v>
      </c>
      <c r="B5673" s="5" t="s">
        <v>12898</v>
      </c>
      <c r="C5673" s="5" t="s">
        <v>18</v>
      </c>
      <c r="D5673" s="5" t="s">
        <v>19</v>
      </c>
      <c r="E5673" s="5" t="s">
        <v>43</v>
      </c>
      <c r="F5673" s="9">
        <v>46</v>
      </c>
      <c r="G5673" s="9">
        <v>483</v>
      </c>
      <c r="H5673" s="5" t="s">
        <v>21</v>
      </c>
      <c r="I5673" s="5" t="s">
        <v>12899</v>
      </c>
      <c r="J5673" s="12" t="str">
        <f>HYPERLINK("https://www.boe.es/gazeta/dias/1800/06/10/pdfs/GMD-1800-46.pdf#page=7","Abrir facsímil")</f>
        <v>Abrir facsímil</v>
      </c>
      <c r="K5673" s="15" t="s">
        <v>23</v>
      </c>
    </row>
    <row r="5674" spans="1:11" ht="42" customHeight="1">
      <c r="A5674" s="4" t="s">
        <v>12898</v>
      </c>
      <c r="B5674" s="5" t="s">
        <v>12898</v>
      </c>
      <c r="C5674" s="5" t="s">
        <v>84</v>
      </c>
      <c r="D5674" s="5" t="s">
        <v>85</v>
      </c>
      <c r="E5674" s="5" t="s">
        <v>823</v>
      </c>
      <c r="F5674" s="9">
        <v>50</v>
      </c>
      <c r="G5674" s="9">
        <v>542</v>
      </c>
      <c r="H5674" s="5" t="s">
        <v>21</v>
      </c>
      <c r="I5674" s="5" t="s">
        <v>12900</v>
      </c>
      <c r="J5674" s="12" t="str">
        <f>HYPERLINK("https://www.boe.es/gazeta/dias/1800/06/24/pdfs/GMD-1800-50.pdf#page=6","Abrir facsímil")</f>
        <v>Abrir facsímil</v>
      </c>
      <c r="K5674" s="15" t="s">
        <v>23</v>
      </c>
    </row>
    <row r="5675" spans="1:11" ht="42" customHeight="1">
      <c r="A5675" s="4" t="s">
        <v>12901</v>
      </c>
      <c r="B5675" s="5" t="s">
        <v>12902</v>
      </c>
      <c r="C5675" s="5" t="s">
        <v>41</v>
      </c>
      <c r="D5675" s="5" t="s">
        <v>42</v>
      </c>
      <c r="E5675" s="5" t="s">
        <v>101</v>
      </c>
      <c r="F5675" s="9">
        <v>37</v>
      </c>
      <c r="G5675" s="9">
        <v>376</v>
      </c>
      <c r="H5675" s="5" t="s">
        <v>21</v>
      </c>
      <c r="I5675" s="5" t="s">
        <v>12903</v>
      </c>
      <c r="J5675" s="12" t="str">
        <f>HYPERLINK("https://www.boe.es/gazeta/dias/1800/05/09/pdfs/GMD-1800-37.pdf#page=8","Abrir facsímil")</f>
        <v>Abrir facsímil</v>
      </c>
      <c r="K5675" s="15" t="s">
        <v>23</v>
      </c>
    </row>
    <row r="5676" spans="1:11" ht="42" customHeight="1">
      <c r="A5676" s="4" t="s">
        <v>12904</v>
      </c>
      <c r="B5676" s="5" t="s">
        <v>12905</v>
      </c>
      <c r="C5676" s="5" t="s">
        <v>25</v>
      </c>
      <c r="D5676" s="5" t="s">
        <v>26</v>
      </c>
      <c r="E5676" s="5" t="s">
        <v>5375</v>
      </c>
      <c r="F5676" s="9">
        <v>70</v>
      </c>
      <c r="G5676" s="9">
        <v>780</v>
      </c>
      <c r="H5676" s="5" t="s">
        <v>21</v>
      </c>
      <c r="I5676" s="5" t="s">
        <v>12906</v>
      </c>
      <c r="J5676" s="12" t="str">
        <f>HYPERLINK("https://www.boe.es/gazeta/dias/1800/08/31/pdfs/GMD-1800-70E.pdf#page=4","Abrir facsímil")</f>
        <v>Abrir facsímil</v>
      </c>
      <c r="K5676" s="15" t="s">
        <v>23</v>
      </c>
    </row>
    <row r="5677" spans="1:11" ht="42" customHeight="1">
      <c r="A5677" s="4" t="s">
        <v>12907</v>
      </c>
      <c r="B5677" s="5" t="s">
        <v>12908</v>
      </c>
      <c r="C5677" s="5" t="s">
        <v>207</v>
      </c>
      <c r="D5677" s="5" t="s">
        <v>55</v>
      </c>
      <c r="E5677" s="5" t="s">
        <v>595</v>
      </c>
      <c r="F5677" s="9">
        <v>72</v>
      </c>
      <c r="G5677" s="9">
        <v>798</v>
      </c>
      <c r="H5677" s="5" t="s">
        <v>21</v>
      </c>
      <c r="I5677" s="5" t="s">
        <v>12909</v>
      </c>
      <c r="J5677" s="12" t="str">
        <f>HYPERLINK("https://www.boe.es/gazeta/dias/1800/09/05/pdfs/GMD-1800-72.pdf#page=8","Abrir facsímil")</f>
        <v>Abrir facsímil</v>
      </c>
      <c r="K5677" s="15" t="s">
        <v>23</v>
      </c>
    </row>
    <row r="5678" spans="1:11" ht="42" customHeight="1">
      <c r="A5678" s="4" t="s">
        <v>12910</v>
      </c>
      <c r="B5678" s="5" t="s">
        <v>12911</v>
      </c>
      <c r="C5678" s="5" t="s">
        <v>41</v>
      </c>
      <c r="D5678" s="5" t="s">
        <v>42</v>
      </c>
      <c r="E5678" s="5" t="s">
        <v>218</v>
      </c>
      <c r="F5678" s="9">
        <v>5</v>
      </c>
      <c r="G5678" s="9">
        <v>43</v>
      </c>
      <c r="H5678" s="5" t="s">
        <v>21</v>
      </c>
      <c r="I5678" s="5" t="s">
        <v>12912</v>
      </c>
      <c r="J5678" s="12" t="str">
        <f>HYPERLINK("https://www.boe.es/gazeta/dias/1800/01/17/pdfs/GMD-1800-5.pdf#page=3","Abrir facsímil")</f>
        <v>Abrir facsímil</v>
      </c>
      <c r="K5678" s="15" t="s">
        <v>23</v>
      </c>
    </row>
    <row r="5679" spans="1:11" ht="42" customHeight="1">
      <c r="A5679" s="4" t="s">
        <v>12910</v>
      </c>
      <c r="B5679" s="5" t="s">
        <v>12911</v>
      </c>
      <c r="C5679" s="5" t="s">
        <v>18</v>
      </c>
      <c r="D5679" s="5" t="s">
        <v>19</v>
      </c>
      <c r="E5679" s="5" t="s">
        <v>299</v>
      </c>
      <c r="F5679" s="9">
        <v>40</v>
      </c>
      <c r="G5679" s="9">
        <v>407</v>
      </c>
      <c r="H5679" s="5" t="s">
        <v>21</v>
      </c>
      <c r="I5679" s="5" t="s">
        <v>12913</v>
      </c>
      <c r="J5679" s="12" t="str">
        <f>HYPERLINK("https://www.boe.es/gazeta/dias/1800/05/20/pdfs/GMD-1800-40.pdf#page=3","Abrir facsímil")</f>
        <v>Abrir facsímil</v>
      </c>
      <c r="K5679" s="15" t="s">
        <v>23</v>
      </c>
    </row>
    <row r="5680" spans="1:11" ht="42" customHeight="1">
      <c r="A5680" s="4" t="s">
        <v>12910</v>
      </c>
      <c r="B5680" s="5" t="s">
        <v>12911</v>
      </c>
      <c r="C5680" s="5" t="s">
        <v>18</v>
      </c>
      <c r="D5680" s="5" t="s">
        <v>19</v>
      </c>
      <c r="E5680" s="5" t="s">
        <v>275</v>
      </c>
      <c r="F5680" s="9">
        <v>60</v>
      </c>
      <c r="G5680" s="9">
        <v>687</v>
      </c>
      <c r="H5680" s="5" t="s">
        <v>21</v>
      </c>
      <c r="I5680" s="5" t="s">
        <v>12914</v>
      </c>
      <c r="J5680" s="12" t="str">
        <f>HYPERLINK("https://www.boe.es/gazeta/dias/1800/07/29/pdfs/GMD-1800-60.pdf#page=7","Abrir facsímil")</f>
        <v>Abrir facsímil</v>
      </c>
      <c r="K5680" s="15" t="s">
        <v>23</v>
      </c>
    </row>
    <row r="5681" spans="1:11" ht="42" customHeight="1">
      <c r="A5681" s="4" t="s">
        <v>12910</v>
      </c>
      <c r="B5681" s="5" t="s">
        <v>12911</v>
      </c>
      <c r="C5681" s="5" t="s">
        <v>41</v>
      </c>
      <c r="D5681" s="5" t="s">
        <v>42</v>
      </c>
      <c r="E5681" s="5" t="s">
        <v>48</v>
      </c>
      <c r="F5681" s="9">
        <v>66</v>
      </c>
      <c r="G5681" s="9">
        <v>740</v>
      </c>
      <c r="H5681" s="5" t="s">
        <v>21</v>
      </c>
      <c r="I5681" s="5" t="s">
        <v>12915</v>
      </c>
      <c r="J5681" s="12" t="str">
        <f>HYPERLINK("https://www.boe.es/gazeta/dias/1800/08/19/pdfs/GMD-1800-66.pdf#page=4","Abrir facsímil")</f>
        <v>Abrir facsímil</v>
      </c>
      <c r="K5681" s="15" t="s">
        <v>23</v>
      </c>
    </row>
    <row r="5682" spans="1:11" ht="42" customHeight="1">
      <c r="A5682" s="4" t="s">
        <v>12910</v>
      </c>
      <c r="B5682" s="5" t="s">
        <v>12911</v>
      </c>
      <c r="C5682" s="5" t="s">
        <v>41</v>
      </c>
      <c r="D5682" s="5" t="s">
        <v>42</v>
      </c>
      <c r="E5682" s="5" t="s">
        <v>48</v>
      </c>
      <c r="F5682" s="9">
        <v>66</v>
      </c>
      <c r="G5682" s="9">
        <v>745</v>
      </c>
      <c r="H5682" s="5" t="s">
        <v>21</v>
      </c>
      <c r="I5682" s="5" t="s">
        <v>12916</v>
      </c>
      <c r="J5682" s="12" t="str">
        <f>HYPERLINK("https://www.boe.es/gazeta/dias/1800/08/19/pdfs/GMD-1800-66.pdf#page=9","Abrir facsímil")</f>
        <v>Abrir facsímil</v>
      </c>
      <c r="K5682" s="15" t="s">
        <v>23</v>
      </c>
    </row>
    <row r="5683" spans="1:11" ht="42" customHeight="1">
      <c r="A5683" s="4" t="s">
        <v>12910</v>
      </c>
      <c r="B5683" s="5" t="s">
        <v>12911</v>
      </c>
      <c r="C5683" s="5" t="s">
        <v>41</v>
      </c>
      <c r="D5683" s="5" t="s">
        <v>42</v>
      </c>
      <c r="E5683" s="5" t="s">
        <v>255</v>
      </c>
      <c r="F5683" s="9">
        <v>75</v>
      </c>
      <c r="G5683" s="9">
        <v>850</v>
      </c>
      <c r="H5683" s="5" t="s">
        <v>21</v>
      </c>
      <c r="I5683" s="5" t="s">
        <v>12917</v>
      </c>
      <c r="J5683" s="12" t="str">
        <f>HYPERLINK("https://www.boe.es/gazeta/dias/1800/09/16/pdfs/GMD-1800-75.pdf#page=4","Abrir facsímil")</f>
        <v>Abrir facsímil</v>
      </c>
      <c r="K5683" s="15" t="s">
        <v>23</v>
      </c>
    </row>
    <row r="5684" spans="1:11" ht="42" customHeight="1">
      <c r="A5684" s="4" t="s">
        <v>12910</v>
      </c>
      <c r="B5684" s="5" t="s">
        <v>12911</v>
      </c>
      <c r="C5684" s="5" t="s">
        <v>18</v>
      </c>
      <c r="D5684" s="5" t="s">
        <v>19</v>
      </c>
      <c r="E5684" s="5" t="s">
        <v>615</v>
      </c>
      <c r="F5684" s="9">
        <v>95</v>
      </c>
      <c r="G5684" s="9">
        <v>1083</v>
      </c>
      <c r="H5684" s="5" t="s">
        <v>21</v>
      </c>
      <c r="I5684" s="5" t="s">
        <v>12918</v>
      </c>
      <c r="J5684" s="12" t="str">
        <f>HYPERLINK("https://www.boe.es/gazeta/dias/1800/11/25/pdfs/GMD-1800-95.pdf#page=1","Abrir facsímil")</f>
        <v>Abrir facsímil</v>
      </c>
      <c r="K5684" s="15" t="s">
        <v>23</v>
      </c>
    </row>
    <row r="5685" spans="1:11" ht="42" customHeight="1">
      <c r="A5685" s="4" t="s">
        <v>12910</v>
      </c>
      <c r="B5685" s="5" t="s">
        <v>12911</v>
      </c>
      <c r="C5685" s="5" t="s">
        <v>18</v>
      </c>
      <c r="D5685" s="5" t="s">
        <v>19</v>
      </c>
      <c r="E5685" s="5" t="s">
        <v>111</v>
      </c>
      <c r="F5685" s="9">
        <v>98</v>
      </c>
      <c r="G5685" s="9">
        <v>1121</v>
      </c>
      <c r="H5685" s="5" t="s">
        <v>21</v>
      </c>
      <c r="I5685" s="5" t="s">
        <v>12919</v>
      </c>
      <c r="J5685" s="12" t="str">
        <f>HYPERLINK("https://www.boe.es/gazeta/dias/1800/12/05/pdfs/GMD-1800-98.pdf#page=1","Abrir facsímil")</f>
        <v>Abrir facsímil</v>
      </c>
      <c r="K5685" s="15" t="s">
        <v>23</v>
      </c>
    </row>
    <row r="5686" spans="1:11" ht="42" customHeight="1">
      <c r="A5686" s="4" t="s">
        <v>12920</v>
      </c>
      <c r="B5686" s="5" t="s">
        <v>12921</v>
      </c>
      <c r="C5686" s="5" t="s">
        <v>41</v>
      </c>
      <c r="D5686" s="5" t="s">
        <v>42</v>
      </c>
      <c r="E5686" s="5" t="s">
        <v>567</v>
      </c>
      <c r="F5686" s="9">
        <v>3</v>
      </c>
      <c r="G5686" s="9">
        <v>22</v>
      </c>
      <c r="H5686" s="5" t="s">
        <v>21</v>
      </c>
      <c r="I5686" s="5" t="s">
        <v>12922</v>
      </c>
      <c r="J5686" s="12" t="str">
        <f>HYPERLINK("https://www.boe.es/gazeta/dias/1800/01/10/pdfs/GMD-1800-3.pdf#page=2","Abrir facsímil")</f>
        <v>Abrir facsímil</v>
      </c>
      <c r="K5686" s="15" t="s">
        <v>23</v>
      </c>
    </row>
    <row r="5687" spans="1:11" ht="42" customHeight="1">
      <c r="A5687" s="4" t="s">
        <v>12920</v>
      </c>
      <c r="B5687" s="5" t="s">
        <v>12921</v>
      </c>
      <c r="C5687" s="5" t="s">
        <v>41</v>
      </c>
      <c r="D5687" s="5" t="s">
        <v>42</v>
      </c>
      <c r="E5687" s="5" t="s">
        <v>88</v>
      </c>
      <c r="F5687" s="9">
        <v>23</v>
      </c>
      <c r="G5687" s="9">
        <v>228</v>
      </c>
      <c r="H5687" s="5" t="s">
        <v>21</v>
      </c>
      <c r="I5687" s="5" t="s">
        <v>12923</v>
      </c>
      <c r="J5687" s="12" t="str">
        <f>HYPERLINK("https://www.boe.es/gazeta/dias/1800/03/21/pdfs/GMD-1800-23.pdf#page=4","Abrir facsímil")</f>
        <v>Abrir facsímil</v>
      </c>
      <c r="K5687" s="15" t="s">
        <v>23</v>
      </c>
    </row>
    <row r="5688" spans="1:11" ht="42" customHeight="1">
      <c r="A5688" s="4" t="s">
        <v>12920</v>
      </c>
      <c r="B5688" s="5" t="s">
        <v>12921</v>
      </c>
      <c r="C5688" s="5" t="s">
        <v>41</v>
      </c>
      <c r="D5688" s="5" t="s">
        <v>42</v>
      </c>
      <c r="E5688" s="5" t="s">
        <v>248</v>
      </c>
      <c r="F5688" s="9">
        <v>33</v>
      </c>
      <c r="G5688" s="9">
        <v>328</v>
      </c>
      <c r="H5688" s="5" t="s">
        <v>21</v>
      </c>
      <c r="I5688" s="5" t="s">
        <v>12924</v>
      </c>
      <c r="J5688" s="12" t="str">
        <f>HYPERLINK("https://www.boe.es/gazeta/dias/1800/04/25/pdfs/GMD-1800-33.pdf#page=4","Abrir facsímil")</f>
        <v>Abrir facsímil</v>
      </c>
      <c r="K5688" s="15" t="s">
        <v>23</v>
      </c>
    </row>
    <row r="5689" spans="1:11" ht="42" customHeight="1">
      <c r="A5689" s="4" t="s">
        <v>12920</v>
      </c>
      <c r="B5689" s="5" t="s">
        <v>12921</v>
      </c>
      <c r="C5689" s="5" t="s">
        <v>41</v>
      </c>
      <c r="D5689" s="5" t="s">
        <v>42</v>
      </c>
      <c r="E5689" s="5" t="s">
        <v>465</v>
      </c>
      <c r="F5689" s="9">
        <v>49</v>
      </c>
      <c r="G5689" s="9">
        <v>527</v>
      </c>
      <c r="H5689" s="5" t="s">
        <v>21</v>
      </c>
      <c r="I5689" s="5" t="s">
        <v>12925</v>
      </c>
      <c r="J5689" s="12" t="str">
        <f>HYPERLINK("https://www.boe.es/gazeta/dias/1800/06/20/pdfs/GMD-1800-49.pdf#page=3","Abrir facsímil")</f>
        <v>Abrir facsímil</v>
      </c>
      <c r="K5689" s="15" t="s">
        <v>23</v>
      </c>
    </row>
    <row r="5690" spans="1:11" ht="42" customHeight="1">
      <c r="A5690" s="4" t="s">
        <v>12920</v>
      </c>
      <c r="B5690" s="5" t="s">
        <v>12921</v>
      </c>
      <c r="C5690" s="5" t="s">
        <v>41</v>
      </c>
      <c r="D5690" s="5" t="s">
        <v>42</v>
      </c>
      <c r="E5690" s="5" t="s">
        <v>410</v>
      </c>
      <c r="F5690" s="9">
        <v>87</v>
      </c>
      <c r="G5690" s="9">
        <v>1004</v>
      </c>
      <c r="H5690" s="5" t="s">
        <v>21</v>
      </c>
      <c r="I5690" s="5" t="s">
        <v>12926</v>
      </c>
      <c r="J5690" s="12" t="str">
        <f>HYPERLINK("https://www.boe.es/gazeta/dias/1800/10/28/pdfs/GMD-1800-87.pdf#page=2","Abrir facsímil")</f>
        <v>Abrir facsímil</v>
      </c>
      <c r="K5690" s="15" t="s">
        <v>23</v>
      </c>
    </row>
    <row r="5691" spans="1:11" ht="42" customHeight="1">
      <c r="A5691" s="4" t="s">
        <v>12920</v>
      </c>
      <c r="B5691" s="5" t="s">
        <v>12921</v>
      </c>
      <c r="C5691" s="5" t="s">
        <v>41</v>
      </c>
      <c r="D5691" s="5" t="s">
        <v>42</v>
      </c>
      <c r="E5691" s="5" t="s">
        <v>58</v>
      </c>
      <c r="F5691" s="9">
        <v>92</v>
      </c>
      <c r="G5691" s="9">
        <v>1047</v>
      </c>
      <c r="H5691" s="5" t="s">
        <v>21</v>
      </c>
      <c r="I5691" s="5" t="s">
        <v>12927</v>
      </c>
      <c r="J5691" s="12" t="str">
        <f>HYPERLINK("https://www.boe.es/gazeta/dias/1800/11/14/pdfs/GMD-1800-92.pdf#page=1","Abrir facsímil")</f>
        <v>Abrir facsímil</v>
      </c>
      <c r="K5691" s="15" t="s">
        <v>23</v>
      </c>
    </row>
    <row r="5692" spans="1:11" ht="42" customHeight="1">
      <c r="A5692" s="4" t="s">
        <v>12920</v>
      </c>
      <c r="B5692" s="5" t="s">
        <v>12921</v>
      </c>
      <c r="C5692" s="5" t="s">
        <v>18</v>
      </c>
      <c r="D5692" s="5" t="s">
        <v>19</v>
      </c>
      <c r="E5692" s="5" t="s">
        <v>279</v>
      </c>
      <c r="F5692" s="9">
        <v>103</v>
      </c>
      <c r="G5692" s="9">
        <v>1192</v>
      </c>
      <c r="H5692" s="5" t="s">
        <v>21</v>
      </c>
      <c r="I5692" s="5" t="s">
        <v>12928</v>
      </c>
      <c r="J5692" s="12" t="str">
        <f>HYPERLINK("https://www.boe.es/gazeta/dias/1800/12/23/pdfs/GMD-1800-103.pdf#page=4","Abrir facsímil")</f>
        <v>Abrir facsímil</v>
      </c>
      <c r="K5692" s="15" t="s">
        <v>23</v>
      </c>
    </row>
    <row r="5693" spans="1:11" ht="42" customHeight="1">
      <c r="A5693" s="4" t="s">
        <v>12929</v>
      </c>
      <c r="B5693" s="5" t="s">
        <v>12929</v>
      </c>
      <c r="C5693" s="5" t="s">
        <v>41</v>
      </c>
      <c r="D5693" s="5" t="s">
        <v>42</v>
      </c>
      <c r="E5693" s="5" t="s">
        <v>787</v>
      </c>
      <c r="F5693" s="9">
        <v>6</v>
      </c>
      <c r="G5693" s="9">
        <v>49</v>
      </c>
      <c r="H5693" s="5" t="s">
        <v>21</v>
      </c>
      <c r="I5693" s="5" t="s">
        <v>12930</v>
      </c>
      <c r="J5693" s="12" t="str">
        <f>HYPERLINK("https://www.boe.es/gazeta/dias/1800/01/21/pdfs/GMD-1800-6.pdf#page=1","Abrir facsímil")</f>
        <v>Abrir facsímil</v>
      </c>
      <c r="K5693" s="15" t="s">
        <v>23</v>
      </c>
    </row>
    <row r="5694" spans="1:11" ht="42" customHeight="1">
      <c r="A5694" s="4" t="s">
        <v>12931</v>
      </c>
      <c r="B5694" s="5" t="s">
        <v>12931</v>
      </c>
      <c r="C5694" s="5" t="s">
        <v>41</v>
      </c>
      <c r="D5694" s="5" t="s">
        <v>42</v>
      </c>
      <c r="E5694" s="5" t="s">
        <v>190</v>
      </c>
      <c r="F5694" s="9">
        <v>93</v>
      </c>
      <c r="G5694" s="9">
        <v>1059</v>
      </c>
      <c r="H5694" s="5" t="s">
        <v>21</v>
      </c>
      <c r="I5694" s="5" t="s">
        <v>9847</v>
      </c>
      <c r="J5694" s="12" t="str">
        <f>HYPERLINK("https://www.boe.es/gazeta/dias/1800/11/18/pdfs/GMD-1800-93.pdf#page=5","Abrir facsímil")</f>
        <v>Abrir facsímil</v>
      </c>
      <c r="K5694" s="15" t="s">
        <v>23</v>
      </c>
    </row>
    <row r="5695" spans="1:11" ht="42" customHeight="1">
      <c r="A5695" s="4" t="s">
        <v>12932</v>
      </c>
      <c r="B5695" s="5" t="s">
        <v>12933</v>
      </c>
      <c r="C5695" s="5" t="s">
        <v>18</v>
      </c>
      <c r="D5695" s="5" t="s">
        <v>19</v>
      </c>
      <c r="E5695" s="5" t="s">
        <v>180</v>
      </c>
      <c r="F5695" s="9">
        <v>102</v>
      </c>
      <c r="G5695" s="9">
        <v>1185</v>
      </c>
      <c r="H5695" s="5" t="s">
        <v>21</v>
      </c>
      <c r="I5695" s="5" t="s">
        <v>12934</v>
      </c>
      <c r="J5695" s="12" t="str">
        <f>HYPERLINK("https://www.boe.es/gazeta/dias/1800/12/19/pdfs/GMD-1800-102.pdf#page=9","Abrir facsímil")</f>
        <v>Abrir facsímil</v>
      </c>
      <c r="K5695" s="15" t="s">
        <v>23</v>
      </c>
    </row>
    <row r="5696" spans="1:11" ht="42" customHeight="1">
      <c r="A5696" s="4" t="s">
        <v>12935</v>
      </c>
      <c r="B5696" s="5" t="s">
        <v>12936</v>
      </c>
      <c r="C5696" s="5" t="s">
        <v>25</v>
      </c>
      <c r="D5696" s="5" t="s">
        <v>26</v>
      </c>
      <c r="E5696" s="5" t="s">
        <v>60</v>
      </c>
      <c r="F5696" s="9">
        <v>105</v>
      </c>
      <c r="G5696" s="9">
        <v>1226</v>
      </c>
      <c r="H5696" s="5" t="s">
        <v>21</v>
      </c>
      <c r="I5696" s="5" t="s">
        <v>12937</v>
      </c>
      <c r="J5696" s="12" t="str">
        <f>HYPERLINK("https://www.boe.es/gazeta/dias/1800/12/30/pdfs/GMD-1800-105.pdf#page=10","Abrir facsímil")</f>
        <v>Abrir facsímil</v>
      </c>
      <c r="K5696" s="15" t="s">
        <v>23</v>
      </c>
    </row>
    <row r="5697" spans="1:11" ht="42" customHeight="1">
      <c r="A5697" s="4" t="s">
        <v>12938</v>
      </c>
      <c r="B5697" s="5" t="s">
        <v>12939</v>
      </c>
      <c r="C5697" s="5" t="s">
        <v>18</v>
      </c>
      <c r="D5697" s="5" t="s">
        <v>19</v>
      </c>
      <c r="E5697" s="5" t="s">
        <v>60</v>
      </c>
      <c r="F5697" s="9">
        <v>105</v>
      </c>
      <c r="G5697" s="9">
        <v>1225</v>
      </c>
      <c r="H5697" s="5" t="s">
        <v>21</v>
      </c>
      <c r="I5697" s="5" t="s">
        <v>12940</v>
      </c>
      <c r="J5697" s="12" t="str">
        <f>HYPERLINK("https://www.boe.es/gazeta/dias/1800/12/30/pdfs/GMD-1800-105.pdf#page=9","Abrir facsímil")</f>
        <v>Abrir facsímil</v>
      </c>
      <c r="K5697" s="15" t="s">
        <v>23</v>
      </c>
    </row>
    <row r="5698" spans="1:11" ht="42" customHeight="1">
      <c r="A5698" s="4" t="s">
        <v>12941</v>
      </c>
      <c r="B5698" s="5" t="s">
        <v>12942</v>
      </c>
      <c r="C5698" s="5" t="s">
        <v>41</v>
      </c>
      <c r="D5698" s="5" t="s">
        <v>42</v>
      </c>
      <c r="E5698" s="5" t="s">
        <v>600</v>
      </c>
      <c r="F5698" s="9">
        <v>45</v>
      </c>
      <c r="G5698" s="9">
        <v>468</v>
      </c>
      <c r="H5698" s="5" t="s">
        <v>21</v>
      </c>
      <c r="I5698" s="5" t="s">
        <v>12943</v>
      </c>
      <c r="J5698" s="12" t="str">
        <f>HYPERLINK("https://www.boe.es/gazeta/dias/1800/06/06/pdfs/GMD-1800-45.pdf#page=4","Abrir facsímil")</f>
        <v>Abrir facsímil</v>
      </c>
      <c r="K5698" s="15" t="s">
        <v>23</v>
      </c>
    </row>
    <row r="5699" spans="1:11" ht="42" customHeight="1">
      <c r="A5699" s="4" t="s">
        <v>12941</v>
      </c>
      <c r="B5699" s="5" t="s">
        <v>12942</v>
      </c>
      <c r="C5699" s="5" t="s">
        <v>41</v>
      </c>
      <c r="D5699" s="5" t="s">
        <v>42</v>
      </c>
      <c r="E5699" s="5" t="s">
        <v>64</v>
      </c>
      <c r="F5699" s="9">
        <v>54</v>
      </c>
      <c r="G5699" s="9">
        <v>604</v>
      </c>
      <c r="H5699" s="5" t="s">
        <v>21</v>
      </c>
      <c r="I5699" s="5" t="s">
        <v>12944</v>
      </c>
      <c r="J5699" s="12" t="str">
        <f>HYPERLINK("https://www.boe.es/gazeta/dias/1800/07/08/pdfs/GMD-1800-54.pdf#page=8","Abrir facsímil")</f>
        <v>Abrir facsímil</v>
      </c>
      <c r="K5699" s="15" t="s">
        <v>23</v>
      </c>
    </row>
    <row r="5700" spans="1:11" ht="42" customHeight="1">
      <c r="A5700" s="4" t="s">
        <v>12941</v>
      </c>
      <c r="B5700" s="5" t="s">
        <v>12942</v>
      </c>
      <c r="C5700" s="5" t="s">
        <v>41</v>
      </c>
      <c r="D5700" s="5" t="s">
        <v>42</v>
      </c>
      <c r="E5700" s="5" t="s">
        <v>530</v>
      </c>
      <c r="F5700" s="9">
        <v>55</v>
      </c>
      <c r="G5700" s="9">
        <v>618</v>
      </c>
      <c r="H5700" s="5" t="s">
        <v>21</v>
      </c>
      <c r="I5700" s="5" t="s">
        <v>12945</v>
      </c>
      <c r="J5700" s="12" t="str">
        <f>HYPERLINK("https://www.boe.es/gazeta/dias/1800/07/11/pdfs/GMD-1800-55.pdf#page=6","Abrir facsímil")</f>
        <v>Abrir facsímil</v>
      </c>
      <c r="K5700" s="15" t="s">
        <v>23</v>
      </c>
    </row>
    <row r="5701" spans="1:11" ht="42" customHeight="1">
      <c r="A5701" s="4" t="s">
        <v>12941</v>
      </c>
      <c r="B5701" s="5" t="s">
        <v>12942</v>
      </c>
      <c r="C5701" s="5" t="s">
        <v>41</v>
      </c>
      <c r="D5701" s="5" t="s">
        <v>42</v>
      </c>
      <c r="E5701" s="5" t="s">
        <v>27</v>
      </c>
      <c r="F5701" s="9">
        <v>65</v>
      </c>
      <c r="G5701" s="9">
        <v>729</v>
      </c>
      <c r="H5701" s="5" t="s">
        <v>21</v>
      </c>
      <c r="I5701" s="5" t="s">
        <v>12946</v>
      </c>
      <c r="J5701" s="12" t="str">
        <f>HYPERLINK("https://www.boe.es/gazeta/dias/1800/08/15/pdfs/GMD-1800-65.pdf#page=5","Abrir facsímil")</f>
        <v>Abrir facsímil</v>
      </c>
      <c r="K5701" s="15" t="s">
        <v>23</v>
      </c>
    </row>
    <row r="5702" spans="1:11" ht="42" customHeight="1">
      <c r="A5702" s="4" t="s">
        <v>12941</v>
      </c>
      <c r="B5702" s="5" t="s">
        <v>12942</v>
      </c>
      <c r="C5702" s="5" t="s">
        <v>54</v>
      </c>
      <c r="D5702" s="5" t="s">
        <v>55</v>
      </c>
      <c r="E5702" s="5" t="s">
        <v>314</v>
      </c>
      <c r="F5702" s="9">
        <v>74</v>
      </c>
      <c r="G5702" s="9">
        <v>827</v>
      </c>
      <c r="H5702" s="5" t="s">
        <v>21</v>
      </c>
      <c r="I5702" s="5" t="s">
        <v>12947</v>
      </c>
      <c r="J5702" s="12" t="str">
        <f>HYPERLINK("https://www.boe.es/gazeta/dias/1800/09/12/pdfs/GMD-1800-74.pdf#page=5","Abrir facsímil")</f>
        <v>Abrir facsímil</v>
      </c>
      <c r="K5702" s="15" t="s">
        <v>23</v>
      </c>
    </row>
    <row r="5703" spans="1:11" ht="42" customHeight="1">
      <c r="A5703" s="4" t="s">
        <v>12948</v>
      </c>
      <c r="B5703" s="5" t="s">
        <v>12948</v>
      </c>
      <c r="C5703" s="5" t="s">
        <v>18</v>
      </c>
      <c r="D5703" s="5" t="s">
        <v>19</v>
      </c>
      <c r="E5703" s="5" t="s">
        <v>283</v>
      </c>
      <c r="F5703" s="9">
        <v>68</v>
      </c>
      <c r="G5703" s="9">
        <v>765</v>
      </c>
      <c r="H5703" s="5" t="s">
        <v>21</v>
      </c>
      <c r="I5703" s="5" t="s">
        <v>12949</v>
      </c>
      <c r="J5703" s="12" t="str">
        <f>HYPERLINK("https://www.boe.es/gazeta/dias/1800/08/26/pdfs/GMD-1800-68.pdf#page=9","Abrir facsímil")</f>
        <v>Abrir facsímil</v>
      </c>
      <c r="K5703" s="15" t="s">
        <v>23</v>
      </c>
    </row>
    <row r="5704" spans="1:11" ht="42" customHeight="1">
      <c r="A5704" s="4" t="s">
        <v>12950</v>
      </c>
      <c r="B5704" s="5" t="s">
        <v>12950</v>
      </c>
      <c r="C5704" s="5" t="s">
        <v>41</v>
      </c>
      <c r="D5704" s="5" t="s">
        <v>42</v>
      </c>
      <c r="E5704" s="5" t="s">
        <v>1108</v>
      </c>
      <c r="F5704" s="9">
        <v>30</v>
      </c>
      <c r="G5704" s="9">
        <v>303</v>
      </c>
      <c r="H5704" s="5" t="s">
        <v>21</v>
      </c>
      <c r="I5704" s="5" t="s">
        <v>12951</v>
      </c>
      <c r="J5704" s="12" t="str">
        <f>HYPERLINK("https://www.boe.es/gazeta/dias/1800/04/15/pdfs/GMD-1800-30.pdf#page=3","Abrir facsímil")</f>
        <v>Abrir facsímil</v>
      </c>
      <c r="K5704" s="15" t="s">
        <v>23</v>
      </c>
    </row>
    <row r="5705" spans="1:11" ht="42" customHeight="1">
      <c r="A5705" s="4" t="s">
        <v>12952</v>
      </c>
      <c r="B5705" s="5" t="s">
        <v>12952</v>
      </c>
      <c r="C5705" s="5" t="s">
        <v>41</v>
      </c>
      <c r="D5705" s="5" t="s">
        <v>42</v>
      </c>
      <c r="E5705" s="5" t="s">
        <v>1108</v>
      </c>
      <c r="F5705" s="9">
        <v>30</v>
      </c>
      <c r="G5705" s="9">
        <v>304</v>
      </c>
      <c r="H5705" s="5" t="s">
        <v>21</v>
      </c>
      <c r="I5705" s="5" t="s">
        <v>12953</v>
      </c>
      <c r="J5705" s="12" t="str">
        <f>HYPERLINK("https://www.boe.es/gazeta/dias/1800/04/15/pdfs/GMD-1800-30.pdf#page=4","Abrir facsímil")</f>
        <v>Abrir facsímil</v>
      </c>
      <c r="K5705" s="15" t="s">
        <v>23</v>
      </c>
    </row>
    <row r="5706" spans="1:11" ht="42" customHeight="1">
      <c r="A5706" s="4" t="s">
        <v>12954</v>
      </c>
      <c r="B5706" s="5" t="s">
        <v>12954</v>
      </c>
      <c r="C5706" s="5" t="s">
        <v>54</v>
      </c>
      <c r="D5706" s="5" t="s">
        <v>55</v>
      </c>
      <c r="E5706" s="5" t="s">
        <v>139</v>
      </c>
      <c r="F5706" s="9">
        <v>2</v>
      </c>
      <c r="G5706" s="9">
        <v>15</v>
      </c>
      <c r="H5706" s="5" t="s">
        <v>21</v>
      </c>
      <c r="I5706" s="5" t="s">
        <v>12955</v>
      </c>
      <c r="J5706" s="12" t="str">
        <f>HYPERLINK("https://www.boe.es/gazeta/dias/1800/01/07/pdfs/GMD-1800-2.pdf#page=7","Abrir facsímil")</f>
        <v>Abrir facsímil</v>
      </c>
      <c r="K5706" s="15" t="s">
        <v>23</v>
      </c>
    </row>
    <row r="5707" spans="1:11" ht="42" customHeight="1">
      <c r="A5707" s="4" t="s">
        <v>12956</v>
      </c>
      <c r="B5707" s="5" t="s">
        <v>12957</v>
      </c>
      <c r="C5707" s="5" t="s">
        <v>18</v>
      </c>
      <c r="D5707" s="5" t="s">
        <v>19</v>
      </c>
      <c r="E5707" s="5" t="s">
        <v>590</v>
      </c>
      <c r="F5707" s="9">
        <v>69</v>
      </c>
      <c r="G5707" s="9">
        <v>770</v>
      </c>
      <c r="H5707" s="5" t="s">
        <v>21</v>
      </c>
      <c r="I5707" s="5" t="s">
        <v>12958</v>
      </c>
      <c r="J5707" s="12" t="str">
        <f>HYPERLINK("https://www.boe.es/gazeta/dias/1800/08/29/pdfs/GMD-1800-69.pdf#page=2","Abrir facsímil")</f>
        <v>Abrir facsímil</v>
      </c>
      <c r="K5707" s="15" t="s">
        <v>23</v>
      </c>
    </row>
    <row r="5708" spans="1:11" ht="42" customHeight="1">
      <c r="A5708" s="4" t="s">
        <v>12959</v>
      </c>
      <c r="B5708" s="5" t="s">
        <v>12960</v>
      </c>
      <c r="C5708" s="5" t="s">
        <v>18</v>
      </c>
      <c r="D5708" s="5" t="s">
        <v>19</v>
      </c>
      <c r="E5708" s="5" t="s">
        <v>478</v>
      </c>
      <c r="F5708" s="9">
        <v>34</v>
      </c>
      <c r="G5708" s="9">
        <v>347</v>
      </c>
      <c r="H5708" s="5" t="s">
        <v>21</v>
      </c>
      <c r="I5708" s="5" t="s">
        <v>12961</v>
      </c>
      <c r="J5708" s="12" t="str">
        <f>HYPERLINK("https://www.boe.es/gazeta/dias/1800/04/29/pdfs/GMD-1800-34.pdf#page=11","Abrir facsímil")</f>
        <v>Abrir facsímil</v>
      </c>
      <c r="K5708" s="15" t="s">
        <v>23</v>
      </c>
    </row>
    <row r="5709" spans="1:11" ht="42" customHeight="1">
      <c r="A5709" s="4" t="s">
        <v>12962</v>
      </c>
      <c r="B5709" s="5" t="s">
        <v>12962</v>
      </c>
      <c r="C5709" s="5" t="s">
        <v>18</v>
      </c>
      <c r="D5709" s="5" t="s">
        <v>19</v>
      </c>
      <c r="E5709" s="5" t="s">
        <v>572</v>
      </c>
      <c r="F5709" s="9">
        <v>76</v>
      </c>
      <c r="G5709" s="9">
        <v>866</v>
      </c>
      <c r="H5709" s="5" t="s">
        <v>21</v>
      </c>
      <c r="I5709" s="5" t="s">
        <v>12963</v>
      </c>
      <c r="J5709" s="12" t="str">
        <f>HYPERLINK("https://www.boe.es/gazeta/dias/1800/09/19/pdfs/GMD-1800-76.pdf#page=8","Abrir facsímil")</f>
        <v>Abrir facsímil</v>
      </c>
      <c r="K5709" s="15" t="s">
        <v>23</v>
      </c>
    </row>
    <row r="5710" spans="1:11" ht="42" customHeight="1">
      <c r="A5710" s="4" t="s">
        <v>12964</v>
      </c>
      <c r="B5710" s="5" t="s">
        <v>12964</v>
      </c>
      <c r="C5710" s="5" t="s">
        <v>18</v>
      </c>
      <c r="D5710" s="5" t="s">
        <v>19</v>
      </c>
      <c r="E5710" s="5" t="s">
        <v>58</v>
      </c>
      <c r="F5710" s="9">
        <v>92</v>
      </c>
      <c r="G5710" s="9">
        <v>1052</v>
      </c>
      <c r="H5710" s="5" t="s">
        <v>21</v>
      </c>
      <c r="I5710" s="5" t="s">
        <v>12965</v>
      </c>
      <c r="J5710" s="12" t="str">
        <f>HYPERLINK("https://www.boe.es/gazeta/dias/1800/11/14/pdfs/GMD-1800-92.pdf#page=6","Abrir facsímil")</f>
        <v>Abrir facsímil</v>
      </c>
      <c r="K5710" s="15" t="s">
        <v>23</v>
      </c>
    </row>
    <row r="5711" spans="1:11" ht="42" customHeight="1">
      <c r="A5711" s="4" t="s">
        <v>12966</v>
      </c>
      <c r="B5711" s="5" t="s">
        <v>12967</v>
      </c>
      <c r="C5711" s="5" t="s">
        <v>41</v>
      </c>
      <c r="D5711" s="5" t="s">
        <v>42</v>
      </c>
      <c r="E5711" s="5" t="s">
        <v>572</v>
      </c>
      <c r="F5711" s="9">
        <v>76</v>
      </c>
      <c r="G5711" s="9">
        <v>860</v>
      </c>
      <c r="H5711" s="5" t="s">
        <v>21</v>
      </c>
      <c r="I5711" s="5" t="s">
        <v>12968</v>
      </c>
      <c r="J5711" s="12" t="str">
        <f>HYPERLINK("https://www.boe.es/gazeta/dias/1800/09/19/pdfs/GMD-1800-76.pdf#page=2","Abrir facsímil")</f>
        <v>Abrir facsímil</v>
      </c>
      <c r="K5711" s="15" t="s">
        <v>23</v>
      </c>
    </row>
    <row r="5712" spans="1:11" ht="42" customHeight="1">
      <c r="A5712" s="4" t="s">
        <v>12969</v>
      </c>
      <c r="B5712" s="5" t="s">
        <v>12970</v>
      </c>
      <c r="C5712" s="5" t="s">
        <v>18</v>
      </c>
      <c r="D5712" s="5" t="s">
        <v>19</v>
      </c>
      <c r="E5712" s="5" t="s">
        <v>45</v>
      </c>
      <c r="F5712" s="9">
        <v>47</v>
      </c>
      <c r="G5712" s="9">
        <v>501</v>
      </c>
      <c r="H5712" s="5" t="s">
        <v>21</v>
      </c>
      <c r="I5712" s="5" t="s">
        <v>12971</v>
      </c>
      <c r="J5712" s="12" t="str">
        <f>HYPERLINK("https://www.boe.es/gazeta/dias/1800/06/13/pdfs/GMD-1800-47.pdf#page=9","Abrir facsímil")</f>
        <v>Abrir facsímil</v>
      </c>
      <c r="K5712" s="15" t="s">
        <v>23</v>
      </c>
    </row>
    <row r="5713" spans="1:11" ht="42" customHeight="1">
      <c r="A5713" s="4" t="s">
        <v>12972</v>
      </c>
      <c r="B5713" s="5" t="s">
        <v>12973</v>
      </c>
      <c r="C5713" s="5" t="s">
        <v>54</v>
      </c>
      <c r="D5713" s="5" t="s">
        <v>55</v>
      </c>
      <c r="E5713" s="5" t="s">
        <v>598</v>
      </c>
      <c r="F5713" s="9">
        <v>32</v>
      </c>
      <c r="G5713" s="9">
        <v>324</v>
      </c>
      <c r="H5713" s="5" t="s">
        <v>21</v>
      </c>
      <c r="I5713" s="5" t="s">
        <v>12974</v>
      </c>
      <c r="J5713" s="12" t="str">
        <f>HYPERLINK("https://www.boe.es/gazeta/dias/1800/04/22/pdfs/GMD-1800-32.pdf#page=8","Abrir facsímil")</f>
        <v>Abrir facsímil</v>
      </c>
      <c r="K5713" s="15" t="s">
        <v>23</v>
      </c>
    </row>
    <row r="5714" spans="1:11" ht="42" customHeight="1">
      <c r="A5714" s="4" t="s">
        <v>12975</v>
      </c>
      <c r="B5714" s="5" t="s">
        <v>12976</v>
      </c>
      <c r="C5714" s="5" t="s">
        <v>18</v>
      </c>
      <c r="D5714" s="5" t="s">
        <v>19</v>
      </c>
      <c r="E5714" s="5" t="s">
        <v>244</v>
      </c>
      <c r="F5714" s="9">
        <v>9</v>
      </c>
      <c r="G5714" s="9">
        <v>85</v>
      </c>
      <c r="H5714" s="5" t="s">
        <v>21</v>
      </c>
      <c r="I5714" s="5" t="s">
        <v>12977</v>
      </c>
      <c r="J5714" s="12" t="str">
        <f>HYPERLINK("https://www.boe.es/gazeta/dias/1800/01/31/pdfs/GMD-1800-9.pdf#page=9","Abrir facsímil")</f>
        <v>Abrir facsímil</v>
      </c>
      <c r="K5714" s="15" t="s">
        <v>23</v>
      </c>
    </row>
    <row r="5715" spans="1:11" ht="42" customHeight="1">
      <c r="A5715" s="4" t="s">
        <v>12978</v>
      </c>
      <c r="B5715" s="5" t="s">
        <v>12979</v>
      </c>
      <c r="C5715" s="5" t="s">
        <v>84</v>
      </c>
      <c r="D5715" s="5" t="s">
        <v>85</v>
      </c>
      <c r="E5715" s="5" t="s">
        <v>600</v>
      </c>
      <c r="F5715" s="9">
        <v>45</v>
      </c>
      <c r="G5715" s="9">
        <v>475</v>
      </c>
      <c r="H5715" s="5" t="s">
        <v>21</v>
      </c>
      <c r="I5715" s="5" t="s">
        <v>12980</v>
      </c>
      <c r="J5715" s="12" t="str">
        <f>HYPERLINK("https://www.boe.es/gazeta/dias/1800/06/06/pdfs/GMD-1800-45.pdf#page=11","Abrir facsímil")</f>
        <v>Abrir facsímil</v>
      </c>
      <c r="K5715" s="15" t="s">
        <v>23</v>
      </c>
    </row>
    <row r="5716" spans="1:11" ht="42" customHeight="1">
      <c r="A5716" s="4" t="s">
        <v>12981</v>
      </c>
      <c r="B5716" s="5" t="s">
        <v>12982</v>
      </c>
      <c r="C5716" s="5" t="s">
        <v>25</v>
      </c>
      <c r="D5716" s="5" t="s">
        <v>26</v>
      </c>
      <c r="E5716" s="5" t="s">
        <v>154</v>
      </c>
      <c r="F5716" s="9">
        <v>61</v>
      </c>
      <c r="G5716" s="9">
        <v>696</v>
      </c>
      <c r="H5716" s="5" t="s">
        <v>21</v>
      </c>
      <c r="I5716" s="5" t="s">
        <v>12983</v>
      </c>
      <c r="J5716" s="12" t="str">
        <f>HYPERLINK("https://www.boe.es/gazeta/dias/1800/08/01/pdfs/GMD-1800-61.pdf#page=8","Abrir facsímil")</f>
        <v>Abrir facsímil</v>
      </c>
      <c r="K5716" s="15" t="s">
        <v>23</v>
      </c>
    </row>
    <row r="5717" spans="1:11" ht="42" customHeight="1">
      <c r="A5717" s="4" t="s">
        <v>12984</v>
      </c>
      <c r="B5717" s="5" t="s">
        <v>12985</v>
      </c>
      <c r="C5717" s="5" t="s">
        <v>18</v>
      </c>
      <c r="D5717" s="5" t="s">
        <v>19</v>
      </c>
      <c r="E5717" s="5" t="s">
        <v>111</v>
      </c>
      <c r="F5717" s="9">
        <v>98</v>
      </c>
      <c r="G5717" s="9">
        <v>1129</v>
      </c>
      <c r="H5717" s="5" t="s">
        <v>21</v>
      </c>
      <c r="I5717" s="5" t="s">
        <v>12986</v>
      </c>
      <c r="J5717" s="12" t="str">
        <f>HYPERLINK("https://www.boe.es/gazeta/dias/1800/12/05/pdfs/GMD-1800-98.pdf#page=9","Abrir facsímil")</f>
        <v>Abrir facsímil</v>
      </c>
      <c r="K5717" s="15" t="s">
        <v>23</v>
      </c>
    </row>
    <row r="5718" spans="1:11" ht="42" customHeight="1">
      <c r="A5718" s="4" t="s">
        <v>12987</v>
      </c>
      <c r="B5718" s="5" t="s">
        <v>12987</v>
      </c>
      <c r="C5718" s="5" t="s">
        <v>41</v>
      </c>
      <c r="D5718" s="5" t="s">
        <v>42</v>
      </c>
      <c r="E5718" s="5" t="s">
        <v>620</v>
      </c>
      <c r="F5718" s="9">
        <v>19</v>
      </c>
      <c r="G5718" s="9">
        <v>179</v>
      </c>
      <c r="H5718" s="5" t="s">
        <v>21</v>
      </c>
      <c r="I5718" s="5" t="s">
        <v>12988</v>
      </c>
      <c r="J5718" s="12" t="str">
        <f>HYPERLINK("https://www.boe.es/gazeta/dias/1800/03/07/pdfs/GMD-1800-19.pdf#page=3","Abrir facsímil")</f>
        <v>Abrir facsímil</v>
      </c>
      <c r="K5718" s="15" t="s">
        <v>23</v>
      </c>
    </row>
    <row r="5719" spans="1:11" ht="42" customHeight="1">
      <c r="A5719" s="4" t="s">
        <v>12989</v>
      </c>
      <c r="B5719" s="5" t="s">
        <v>12990</v>
      </c>
      <c r="C5719" s="5" t="s">
        <v>18</v>
      </c>
      <c r="D5719" s="5" t="s">
        <v>19</v>
      </c>
      <c r="E5719" s="5" t="s">
        <v>314</v>
      </c>
      <c r="F5719" s="9">
        <v>74</v>
      </c>
      <c r="G5719" s="9">
        <v>833</v>
      </c>
      <c r="H5719" s="5" t="s">
        <v>21</v>
      </c>
      <c r="I5719" s="5" t="s">
        <v>12991</v>
      </c>
      <c r="J5719" s="12" t="str">
        <f>HYPERLINK("https://www.boe.es/gazeta/dias/1800/09/12/pdfs/GMD-1800-74.pdf#page=11","Abrir facsímil")</f>
        <v>Abrir facsímil</v>
      </c>
      <c r="K5719" s="15" t="s">
        <v>23</v>
      </c>
    </row>
    <row r="5720" spans="1:11" ht="42" customHeight="1">
      <c r="A5720" s="4" t="s">
        <v>12992</v>
      </c>
      <c r="B5720" s="5" t="s">
        <v>12993</v>
      </c>
      <c r="C5720" s="5" t="s">
        <v>84</v>
      </c>
      <c r="D5720" s="5" t="s">
        <v>85</v>
      </c>
      <c r="E5720" s="5" t="s">
        <v>58</v>
      </c>
      <c r="F5720" s="9">
        <v>92</v>
      </c>
      <c r="G5720" s="9">
        <v>1054</v>
      </c>
      <c r="H5720" s="5" t="s">
        <v>21</v>
      </c>
      <c r="I5720" s="5" t="s">
        <v>12994</v>
      </c>
      <c r="J5720" s="12" t="str">
        <f>HYPERLINK("https://www.boe.es/gazeta/dias/1800/11/14/pdfs/GMD-1800-92.pdf#page=8","Abrir facsímil")</f>
        <v>Abrir facsímil</v>
      </c>
      <c r="K5720" s="15" t="s">
        <v>23</v>
      </c>
    </row>
    <row r="5721" spans="1:11" ht="42" customHeight="1">
      <c r="A5721" s="4" t="s">
        <v>12995</v>
      </c>
      <c r="B5721" s="5" t="s">
        <v>12995</v>
      </c>
      <c r="C5721" s="5" t="s">
        <v>54</v>
      </c>
      <c r="D5721" s="5" t="s">
        <v>55</v>
      </c>
      <c r="E5721" s="5" t="s">
        <v>101</v>
      </c>
      <c r="F5721" s="9">
        <v>37</v>
      </c>
      <c r="G5721" s="9">
        <v>378</v>
      </c>
      <c r="H5721" s="5" t="s">
        <v>21</v>
      </c>
      <c r="I5721" s="5" t="s">
        <v>12996</v>
      </c>
      <c r="J5721" s="12" t="str">
        <f>HYPERLINK("https://www.boe.es/gazeta/dias/1800/05/09/pdfs/GMD-1800-37.pdf#page=10","Abrir facsímil")</f>
        <v>Abrir facsímil</v>
      </c>
      <c r="K5721" s="15" t="s">
        <v>23</v>
      </c>
    </row>
    <row r="5722" spans="1:11" ht="42" customHeight="1">
      <c r="A5722" s="4" t="s">
        <v>12997</v>
      </c>
      <c r="B5722" s="5" t="s">
        <v>12998</v>
      </c>
      <c r="C5722" s="5" t="s">
        <v>18</v>
      </c>
      <c r="D5722" s="5" t="s">
        <v>19</v>
      </c>
      <c r="E5722" s="5" t="s">
        <v>1287</v>
      </c>
      <c r="F5722" s="9">
        <v>57</v>
      </c>
      <c r="G5722" s="9">
        <v>648</v>
      </c>
      <c r="H5722" s="5" t="s">
        <v>21</v>
      </c>
      <c r="I5722" s="5" t="s">
        <v>12999</v>
      </c>
      <c r="J5722" s="12" t="str">
        <f>HYPERLINK("https://www.boe.es/gazeta/dias/1800/07/18/pdfs/GMD-1800-57.pdf#page=12","Abrir facsímil")</f>
        <v>Abrir facsímil</v>
      </c>
      <c r="K5722" s="15" t="s">
        <v>23</v>
      </c>
    </row>
    <row r="5723" spans="1:11" ht="42" customHeight="1">
      <c r="A5723" s="4" t="s">
        <v>13000</v>
      </c>
      <c r="B5723" s="5" t="s">
        <v>13001</v>
      </c>
      <c r="C5723" s="5" t="s">
        <v>18</v>
      </c>
      <c r="D5723" s="5" t="s">
        <v>19</v>
      </c>
      <c r="E5723" s="5" t="s">
        <v>48</v>
      </c>
      <c r="F5723" s="9">
        <v>66</v>
      </c>
      <c r="G5723" s="9">
        <v>747</v>
      </c>
      <c r="H5723" s="5" t="s">
        <v>21</v>
      </c>
      <c r="I5723" s="5" t="s">
        <v>13002</v>
      </c>
      <c r="J5723" s="12" t="str">
        <f>HYPERLINK("https://www.boe.es/gazeta/dias/1800/08/19/pdfs/GMD-1800-66.pdf#page=11","Abrir facsímil")</f>
        <v>Abrir facsímil</v>
      </c>
      <c r="K5723" s="15" t="s">
        <v>23</v>
      </c>
    </row>
    <row r="5724" spans="1:11" ht="42" customHeight="1">
      <c r="A5724" s="4" t="s">
        <v>13003</v>
      </c>
      <c r="B5724" s="5" t="s">
        <v>13004</v>
      </c>
      <c r="C5724" s="5" t="s">
        <v>18</v>
      </c>
      <c r="D5724" s="5" t="s">
        <v>19</v>
      </c>
      <c r="E5724" s="5" t="s">
        <v>314</v>
      </c>
      <c r="F5724" s="9">
        <v>74</v>
      </c>
      <c r="G5724" s="9">
        <v>833</v>
      </c>
      <c r="H5724" s="5" t="s">
        <v>21</v>
      </c>
      <c r="I5724" s="5" t="s">
        <v>13005</v>
      </c>
      <c r="J5724" s="12" t="str">
        <f>HYPERLINK("https://www.boe.es/gazeta/dias/1800/09/12/pdfs/GMD-1800-74.pdf#page=11","Abrir facsímil")</f>
        <v>Abrir facsímil</v>
      </c>
      <c r="K5724" s="15" t="s">
        <v>23</v>
      </c>
    </row>
    <row r="5725" spans="1:11" ht="42" customHeight="1">
      <c r="A5725" s="4" t="s">
        <v>13006</v>
      </c>
      <c r="B5725" s="5" t="s">
        <v>13007</v>
      </c>
      <c r="C5725" s="5" t="s">
        <v>18</v>
      </c>
      <c r="D5725" s="5" t="s">
        <v>19</v>
      </c>
      <c r="E5725" s="5" t="s">
        <v>162</v>
      </c>
      <c r="F5725" s="9">
        <v>15</v>
      </c>
      <c r="G5725" s="9">
        <v>142</v>
      </c>
      <c r="H5725" s="5" t="s">
        <v>21</v>
      </c>
      <c r="I5725" s="5" t="s">
        <v>13008</v>
      </c>
      <c r="J5725" s="12" t="str">
        <f>HYPERLINK("https://www.boe.es/gazeta/dias/1800/02/21/pdfs/GMD-1800-15.pdf#page=6","Abrir facsímil")</f>
        <v>Abrir facsímil</v>
      </c>
      <c r="K5725" s="15" t="s">
        <v>23</v>
      </c>
    </row>
    <row r="5726" spans="1:11" ht="42" customHeight="1">
      <c r="A5726" s="4" t="s">
        <v>13009</v>
      </c>
      <c r="B5726" s="5" t="s">
        <v>13010</v>
      </c>
      <c r="C5726" s="5" t="s">
        <v>207</v>
      </c>
      <c r="D5726" s="5" t="s">
        <v>55</v>
      </c>
      <c r="E5726" s="5" t="s">
        <v>139</v>
      </c>
      <c r="F5726" s="9">
        <v>2</v>
      </c>
      <c r="G5726" s="9">
        <v>16</v>
      </c>
      <c r="H5726" s="5" t="s">
        <v>21</v>
      </c>
      <c r="I5726" s="5" t="s">
        <v>13011</v>
      </c>
      <c r="J5726" s="12" t="str">
        <f>HYPERLINK("https://www.boe.es/gazeta/dias/1800/01/07/pdfs/GMD-1800-2.pdf#page=8","Abrir facsímil")</f>
        <v>Abrir facsímil</v>
      </c>
      <c r="K5726" s="15" t="s">
        <v>23</v>
      </c>
    </row>
    <row r="5727" spans="1:11" ht="42" customHeight="1">
      <c r="A5727" s="4" t="s">
        <v>13009</v>
      </c>
      <c r="B5727" s="5" t="s">
        <v>13010</v>
      </c>
      <c r="C5727" s="5" t="s">
        <v>25</v>
      </c>
      <c r="D5727" s="5" t="s">
        <v>26</v>
      </c>
      <c r="E5727" s="5" t="s">
        <v>406</v>
      </c>
      <c r="F5727" s="9">
        <v>44</v>
      </c>
      <c r="G5727" s="9">
        <v>461</v>
      </c>
      <c r="H5727" s="5" t="s">
        <v>21</v>
      </c>
      <c r="I5727" s="5" t="s">
        <v>13012</v>
      </c>
      <c r="J5727" s="12" t="str">
        <f>HYPERLINK("https://www.boe.es/gazeta/dias/1800/06/03/pdfs/GMD-1800-44.pdf#page=9","Abrir facsímil")</f>
        <v>Abrir facsímil</v>
      </c>
      <c r="K5727" s="15" t="s">
        <v>23</v>
      </c>
    </row>
    <row r="5728" spans="1:11" ht="42" customHeight="1">
      <c r="A5728" s="4" t="s">
        <v>13009</v>
      </c>
      <c r="B5728" s="5" t="s">
        <v>13010</v>
      </c>
      <c r="C5728" s="5" t="s">
        <v>25</v>
      </c>
      <c r="D5728" s="5" t="s">
        <v>26</v>
      </c>
      <c r="E5728" s="5" t="s">
        <v>154</v>
      </c>
      <c r="F5728" s="9">
        <v>61</v>
      </c>
      <c r="G5728" s="9">
        <v>696</v>
      </c>
      <c r="H5728" s="5" t="s">
        <v>21</v>
      </c>
      <c r="I5728" s="5" t="s">
        <v>13013</v>
      </c>
      <c r="J5728" s="12" t="str">
        <f>HYPERLINK("https://www.boe.es/gazeta/dias/1800/08/01/pdfs/GMD-1800-61.pdf#page=8","Abrir facsímil")</f>
        <v>Abrir facsímil</v>
      </c>
      <c r="K5728" s="15" t="s">
        <v>23</v>
      </c>
    </row>
    <row r="5729" spans="1:11" ht="42" customHeight="1">
      <c r="A5729" s="4" t="s">
        <v>13014</v>
      </c>
      <c r="B5729" s="5" t="s">
        <v>13015</v>
      </c>
      <c r="C5729" s="5" t="s">
        <v>84</v>
      </c>
      <c r="D5729" s="5" t="s">
        <v>85</v>
      </c>
      <c r="E5729" s="5" t="s">
        <v>214</v>
      </c>
      <c r="F5729" s="9">
        <v>41</v>
      </c>
      <c r="G5729" s="9">
        <v>424</v>
      </c>
      <c r="H5729" s="5" t="s">
        <v>21</v>
      </c>
      <c r="I5729" s="5" t="s">
        <v>13016</v>
      </c>
      <c r="J5729" s="12" t="str">
        <f>HYPERLINK("https://www.boe.es/gazeta/dias/1800/05/23/pdfs/GMD-1800-41.pdf#page=8","Abrir facsímil")</f>
        <v>Abrir facsímil</v>
      </c>
      <c r="K5729" s="15" t="s">
        <v>23</v>
      </c>
    </row>
    <row r="5730" spans="1:11" ht="42" customHeight="1">
      <c r="A5730" s="4" t="s">
        <v>13017</v>
      </c>
      <c r="B5730" s="5" t="s">
        <v>13018</v>
      </c>
      <c r="C5730" s="5" t="s">
        <v>207</v>
      </c>
      <c r="D5730" s="5" t="s">
        <v>55</v>
      </c>
      <c r="E5730" s="5" t="s">
        <v>184</v>
      </c>
      <c r="F5730" s="9">
        <v>82</v>
      </c>
      <c r="G5730" s="9">
        <v>949</v>
      </c>
      <c r="H5730" s="5" t="s">
        <v>21</v>
      </c>
      <c r="I5730" s="5" t="s">
        <v>13019</v>
      </c>
      <c r="J5730" s="12" t="str">
        <f>HYPERLINK("https://www.boe.es/gazeta/dias/1800/10/10/pdfs/GMD-1800-82.pdf#page=7","Abrir facsímil")</f>
        <v>Abrir facsímil</v>
      </c>
      <c r="K5730" s="15" t="s">
        <v>23</v>
      </c>
    </row>
    <row r="5731" spans="1:11" ht="42" customHeight="1">
      <c r="A5731" s="4" t="s">
        <v>13020</v>
      </c>
      <c r="B5731" s="5" t="s">
        <v>13021</v>
      </c>
      <c r="C5731" s="5" t="s">
        <v>18</v>
      </c>
      <c r="D5731" s="5" t="s">
        <v>19</v>
      </c>
      <c r="E5731" s="5" t="s">
        <v>180</v>
      </c>
      <c r="F5731" s="9">
        <v>102</v>
      </c>
      <c r="G5731" s="9">
        <v>1185</v>
      </c>
      <c r="H5731" s="5" t="s">
        <v>21</v>
      </c>
      <c r="I5731" s="5" t="s">
        <v>13022</v>
      </c>
      <c r="J5731" s="12" t="str">
        <f>HYPERLINK("https://www.boe.es/gazeta/dias/1800/12/19/pdfs/GMD-1800-102.pdf#page=9","Abrir facsímil")</f>
        <v>Abrir facsímil</v>
      </c>
      <c r="K5731" s="15" t="s">
        <v>23</v>
      </c>
    </row>
    <row r="5732" spans="1:11" ht="42" customHeight="1">
      <c r="A5732" s="4" t="s">
        <v>13023</v>
      </c>
      <c r="B5732" s="5" t="s">
        <v>13024</v>
      </c>
      <c r="C5732" s="5" t="s">
        <v>18</v>
      </c>
      <c r="D5732" s="5" t="s">
        <v>19</v>
      </c>
      <c r="E5732" s="5" t="s">
        <v>618</v>
      </c>
      <c r="F5732" s="9">
        <v>1</v>
      </c>
      <c r="G5732" s="9">
        <v>5</v>
      </c>
      <c r="H5732" s="5" t="s">
        <v>21</v>
      </c>
      <c r="I5732" s="5" t="s">
        <v>13025</v>
      </c>
      <c r="J5732" s="12" t="str">
        <f>HYPERLINK("https://www.boe.es/gazeta/dias/1800/01/03/pdfs/GMD-1800-1.pdf#page=5","Abrir facsímil")</f>
        <v>Abrir facsímil</v>
      </c>
      <c r="K5732" s="15" t="s">
        <v>23</v>
      </c>
    </row>
    <row r="5733" spans="1:11" ht="42" customHeight="1">
      <c r="A5733" s="4" t="s">
        <v>13026</v>
      </c>
      <c r="B5733" s="5" t="s">
        <v>13027</v>
      </c>
      <c r="C5733" s="5" t="s">
        <v>18</v>
      </c>
      <c r="D5733" s="5" t="s">
        <v>19</v>
      </c>
      <c r="E5733" s="5" t="s">
        <v>244</v>
      </c>
      <c r="F5733" s="9">
        <v>9</v>
      </c>
      <c r="G5733" s="9">
        <v>86</v>
      </c>
      <c r="H5733" s="5" t="s">
        <v>21</v>
      </c>
      <c r="I5733" s="5" t="s">
        <v>13028</v>
      </c>
      <c r="J5733" s="12" t="str">
        <f>HYPERLINK("https://www.boe.es/gazeta/dias/1800/01/31/pdfs/GMD-1800-9.pdf#page=10","Abrir facsímil")</f>
        <v>Abrir facsímil</v>
      </c>
      <c r="K5733" s="15" t="s">
        <v>23</v>
      </c>
    </row>
    <row r="5734" spans="1:11" ht="42" customHeight="1">
      <c r="A5734" s="4" t="s">
        <v>13029</v>
      </c>
      <c r="B5734" s="5" t="s">
        <v>13029</v>
      </c>
      <c r="C5734" s="5" t="s">
        <v>41</v>
      </c>
      <c r="D5734" s="5" t="s">
        <v>42</v>
      </c>
      <c r="E5734" s="5" t="s">
        <v>240</v>
      </c>
      <c r="F5734" s="9">
        <v>26</v>
      </c>
      <c r="G5734" s="9">
        <v>263</v>
      </c>
      <c r="H5734" s="5" t="s">
        <v>21</v>
      </c>
      <c r="I5734" s="5" t="s">
        <v>13030</v>
      </c>
      <c r="J5734" s="12" t="str">
        <f>HYPERLINK("https://www.boe.es/gazeta/dias/1800/04/01/pdfs/GMD-1800-26.pdf#page=3","Abrir facsímil")</f>
        <v>Abrir facsímil</v>
      </c>
      <c r="K5734" s="15" t="s">
        <v>23</v>
      </c>
    </row>
    <row r="5735" spans="1:11" ht="42" customHeight="1">
      <c r="A5735" s="4" t="s">
        <v>13031</v>
      </c>
      <c r="B5735" s="5" t="s">
        <v>13032</v>
      </c>
      <c r="C5735" s="5" t="s">
        <v>18</v>
      </c>
      <c r="D5735" s="5" t="s">
        <v>19</v>
      </c>
      <c r="E5735" s="5" t="s">
        <v>314</v>
      </c>
      <c r="F5735" s="9">
        <v>74</v>
      </c>
      <c r="G5735" s="9">
        <v>832</v>
      </c>
      <c r="H5735" s="5" t="s">
        <v>21</v>
      </c>
      <c r="I5735" s="5" t="s">
        <v>13033</v>
      </c>
      <c r="J5735" s="12" t="str">
        <f>HYPERLINK("https://www.boe.es/gazeta/dias/1800/09/12/pdfs/GMD-1800-74.pdf#page=10","Abrir facsímil")</f>
        <v>Abrir facsímil</v>
      </c>
      <c r="K5735" s="15" t="s">
        <v>23</v>
      </c>
    </row>
    <row r="5736" spans="1:11" ht="42" customHeight="1">
      <c r="A5736" s="4" t="s">
        <v>13034</v>
      </c>
      <c r="B5736" s="5" t="s">
        <v>13034</v>
      </c>
      <c r="C5736" s="5" t="s">
        <v>41</v>
      </c>
      <c r="D5736" s="5" t="s">
        <v>42</v>
      </c>
      <c r="E5736" s="5" t="s">
        <v>825</v>
      </c>
      <c r="F5736" s="9">
        <v>51</v>
      </c>
      <c r="G5736" s="9">
        <v>560</v>
      </c>
      <c r="H5736" s="5" t="s">
        <v>21</v>
      </c>
      <c r="I5736" s="5" t="s">
        <v>13035</v>
      </c>
      <c r="J5736" s="12" t="str">
        <f>HYPERLINK("https://www.boe.es/gazeta/dias/1800/06/27/pdfs/GMD-1800-51.pdf#page=12","Abrir facsímil")</f>
        <v>Abrir facsímil</v>
      </c>
      <c r="K5736" s="15" t="s">
        <v>23</v>
      </c>
    </row>
    <row r="5737" spans="1:11" ht="42" customHeight="1">
      <c r="A5737" s="4" t="s">
        <v>13036</v>
      </c>
      <c r="B5737" s="5" t="s">
        <v>13037</v>
      </c>
      <c r="C5737" s="5" t="s">
        <v>25</v>
      </c>
      <c r="D5737" s="5" t="s">
        <v>26</v>
      </c>
      <c r="E5737" s="5" t="s">
        <v>319</v>
      </c>
      <c r="F5737" s="9">
        <v>62</v>
      </c>
      <c r="G5737" s="9">
        <v>710</v>
      </c>
      <c r="H5737" s="5" t="s">
        <v>21</v>
      </c>
      <c r="I5737" s="5" t="s">
        <v>13038</v>
      </c>
      <c r="J5737" s="12" t="str">
        <f>HYPERLINK("https://www.boe.es/gazeta/dias/1800/08/05/pdfs/GMD-1800-62.pdf#page=10","Abrir facsímil")</f>
        <v>Abrir facsímil</v>
      </c>
      <c r="K5737" s="15" t="s">
        <v>23</v>
      </c>
    </row>
    <row r="5738" spans="1:11" ht="42" customHeight="1">
      <c r="A5738" s="4" t="s">
        <v>13039</v>
      </c>
      <c r="B5738" s="5" t="s">
        <v>13040</v>
      </c>
      <c r="C5738" s="5" t="s">
        <v>18</v>
      </c>
      <c r="D5738" s="5" t="s">
        <v>19</v>
      </c>
      <c r="E5738" s="5" t="s">
        <v>135</v>
      </c>
      <c r="F5738" s="9">
        <v>73</v>
      </c>
      <c r="G5738" s="9">
        <v>815</v>
      </c>
      <c r="H5738" s="5" t="s">
        <v>21</v>
      </c>
      <c r="I5738" s="5" t="s">
        <v>13041</v>
      </c>
      <c r="J5738" s="12" t="str">
        <f>HYPERLINK("https://www.boe.es/gazeta/dias/1800/09/09/pdfs/GMD-1800-73.pdf#page=9","Abrir facsímil")</f>
        <v>Abrir facsímil</v>
      </c>
      <c r="K5738" s="15" t="s">
        <v>23</v>
      </c>
    </row>
    <row r="5739" spans="1:11" ht="42" customHeight="1">
      <c r="A5739" s="4" t="s">
        <v>13042</v>
      </c>
      <c r="B5739" s="5" t="s">
        <v>13043</v>
      </c>
      <c r="C5739" s="5" t="s">
        <v>18</v>
      </c>
      <c r="D5739" s="5" t="s">
        <v>19</v>
      </c>
      <c r="E5739" s="5" t="s">
        <v>346</v>
      </c>
      <c r="F5739" s="9">
        <v>24</v>
      </c>
      <c r="G5739" s="9">
        <v>244</v>
      </c>
      <c r="H5739" s="5" t="s">
        <v>21</v>
      </c>
      <c r="I5739" s="5" t="s">
        <v>13044</v>
      </c>
      <c r="J5739" s="12" t="str">
        <f>HYPERLINK("https://www.boe.es/gazeta/dias/1800/03/25/pdfs/GMD-1800-24.pdf#page=8","Abrir facsímil")</f>
        <v>Abrir facsímil</v>
      </c>
      <c r="K5739" s="15" t="s">
        <v>23</v>
      </c>
    </row>
    <row r="5740" spans="1:11" ht="42" customHeight="1">
      <c r="A5740" s="4" t="s">
        <v>13045</v>
      </c>
      <c r="B5740" s="5" t="s">
        <v>13046</v>
      </c>
      <c r="C5740" s="5" t="s">
        <v>25</v>
      </c>
      <c r="D5740" s="5" t="s">
        <v>26</v>
      </c>
      <c r="E5740" s="5" t="s">
        <v>530</v>
      </c>
      <c r="F5740" s="9">
        <v>55</v>
      </c>
      <c r="G5740" s="9">
        <v>622</v>
      </c>
      <c r="H5740" s="5" t="s">
        <v>21</v>
      </c>
      <c r="I5740" s="5" t="s">
        <v>13047</v>
      </c>
      <c r="J5740" s="12" t="str">
        <f>HYPERLINK("https://www.boe.es/gazeta/dias/1800/07/11/pdfs/GMD-1800-55.pdf#page=10","Abrir facsímil")</f>
        <v>Abrir facsímil</v>
      </c>
      <c r="K5740" s="15" t="s">
        <v>23</v>
      </c>
    </row>
    <row r="5741" spans="1:11" ht="42" customHeight="1">
      <c r="A5741" s="4" t="s">
        <v>13048</v>
      </c>
      <c r="B5741" s="5" t="s">
        <v>13049</v>
      </c>
      <c r="C5741" s="5" t="s">
        <v>18</v>
      </c>
      <c r="D5741" s="5" t="s">
        <v>19</v>
      </c>
      <c r="E5741" s="5" t="s">
        <v>48</v>
      </c>
      <c r="F5741" s="9">
        <v>66</v>
      </c>
      <c r="G5741" s="9">
        <v>747</v>
      </c>
      <c r="H5741" s="5" t="s">
        <v>21</v>
      </c>
      <c r="I5741" s="5" t="s">
        <v>13050</v>
      </c>
      <c r="J5741" s="12" t="str">
        <f>HYPERLINK("https://www.boe.es/gazeta/dias/1800/08/19/pdfs/GMD-1800-66.pdf#page=11","Abrir facsímil")</f>
        <v>Abrir facsímil</v>
      </c>
      <c r="K5741" s="15" t="s">
        <v>23</v>
      </c>
    </row>
    <row r="5742" spans="1:11" ht="42" customHeight="1">
      <c r="A5742" s="4" t="s">
        <v>13051</v>
      </c>
      <c r="B5742" s="5" t="s">
        <v>13052</v>
      </c>
      <c r="C5742" s="5" t="s">
        <v>41</v>
      </c>
      <c r="D5742" s="5" t="s">
        <v>42</v>
      </c>
      <c r="E5742" s="5" t="s">
        <v>131</v>
      </c>
      <c r="F5742" s="9">
        <v>8</v>
      </c>
      <c r="G5742" s="9">
        <v>70</v>
      </c>
      <c r="H5742" s="5" t="s">
        <v>21</v>
      </c>
      <c r="I5742" s="5" t="s">
        <v>13053</v>
      </c>
      <c r="J5742" s="12" t="str">
        <f>HYPERLINK("https://www.boe.es/gazeta/dias/1800/01/28/pdfs/GMD-1800-8.pdf#page=2","Abrir facsímil")</f>
        <v>Abrir facsímil</v>
      </c>
      <c r="K5742" s="15" t="s">
        <v>23</v>
      </c>
    </row>
    <row r="5743" spans="1:11" ht="42" customHeight="1">
      <c r="A5743" s="4" t="s">
        <v>13054</v>
      </c>
      <c r="B5743" s="5" t="s">
        <v>13055</v>
      </c>
      <c r="C5743" s="5" t="s">
        <v>207</v>
      </c>
      <c r="D5743" s="5" t="s">
        <v>55</v>
      </c>
      <c r="E5743" s="5" t="s">
        <v>139</v>
      </c>
      <c r="F5743" s="9">
        <v>2</v>
      </c>
      <c r="G5743" s="9">
        <v>10</v>
      </c>
      <c r="H5743" s="5" t="s">
        <v>21</v>
      </c>
      <c r="I5743" s="5" t="s">
        <v>13056</v>
      </c>
      <c r="J5743" s="12" t="str">
        <f>HYPERLINK("https://www.boe.es/gazeta/dias/1800/01/07/pdfs/GMD-1800-2.pdf#page=2","Abrir facsímil")</f>
        <v>Abrir facsímil</v>
      </c>
      <c r="K5743" s="15" t="s">
        <v>23</v>
      </c>
    </row>
    <row r="5744" spans="1:11" ht="42" customHeight="1">
      <c r="A5744" s="4" t="s">
        <v>13057</v>
      </c>
      <c r="B5744" s="5" t="s">
        <v>13058</v>
      </c>
      <c r="C5744" s="5" t="s">
        <v>84</v>
      </c>
      <c r="D5744" s="5" t="s">
        <v>85</v>
      </c>
      <c r="E5744" s="5" t="s">
        <v>75</v>
      </c>
      <c r="F5744" s="9">
        <v>64</v>
      </c>
      <c r="G5744" s="9">
        <v>736</v>
      </c>
      <c r="H5744" s="5" t="s">
        <v>21</v>
      </c>
      <c r="I5744" s="5" t="s">
        <v>13059</v>
      </c>
      <c r="J5744" s="12" t="str">
        <f>HYPERLINK("https://www.boe.es/gazeta/dias/1800/08/12/pdfs/GMD-1800-64.pdf#page=12","Abrir facsímil")</f>
        <v>Abrir facsímil</v>
      </c>
      <c r="K5744" s="15" t="s">
        <v>23</v>
      </c>
    </row>
    <row r="5745" spans="1:11" ht="42" customHeight="1">
      <c r="A5745" s="4" t="s">
        <v>13060</v>
      </c>
      <c r="B5745" s="5" t="s">
        <v>13061</v>
      </c>
      <c r="C5745" s="5" t="s">
        <v>18</v>
      </c>
      <c r="D5745" s="5" t="s">
        <v>19</v>
      </c>
      <c r="E5745" s="5" t="s">
        <v>131</v>
      </c>
      <c r="F5745" s="9">
        <v>8</v>
      </c>
      <c r="G5745" s="9">
        <v>69</v>
      </c>
      <c r="H5745" s="5" t="s">
        <v>21</v>
      </c>
      <c r="I5745" s="5" t="s">
        <v>13062</v>
      </c>
      <c r="J5745" s="12" t="str">
        <f>HYPERLINK("https://www.boe.es/gazeta/dias/1800/01/28/pdfs/GMD-1800-8.pdf#page=1","Abrir facsímil")</f>
        <v>Abrir facsímil</v>
      </c>
      <c r="K5745" s="15" t="s">
        <v>23</v>
      </c>
    </row>
    <row r="5746" spans="1:11" ht="42" customHeight="1">
      <c r="A5746" s="4" t="s">
        <v>13063</v>
      </c>
      <c r="B5746" s="5" t="s">
        <v>13064</v>
      </c>
      <c r="C5746" s="5" t="s">
        <v>41</v>
      </c>
      <c r="D5746" s="5" t="s">
        <v>42</v>
      </c>
      <c r="E5746" s="5" t="s">
        <v>422</v>
      </c>
      <c r="F5746" s="9">
        <v>85</v>
      </c>
      <c r="G5746" s="9">
        <v>980</v>
      </c>
      <c r="H5746" s="5" t="s">
        <v>21</v>
      </c>
      <c r="I5746" s="5" t="s">
        <v>13065</v>
      </c>
      <c r="J5746" s="12" t="str">
        <f>HYPERLINK("https://www.boe.es/gazeta/dias/1800/10/21/pdfs/GMD-1800-85.pdf#page=2","Abrir facsímil")</f>
        <v>Abrir facsímil</v>
      </c>
      <c r="K5746" s="15" t="s">
        <v>23</v>
      </c>
    </row>
    <row r="5747" spans="1:11" ht="42" customHeight="1">
      <c r="A5747" s="4" t="s">
        <v>13066</v>
      </c>
      <c r="B5747" s="5" t="s">
        <v>13067</v>
      </c>
      <c r="C5747" s="5" t="s">
        <v>84</v>
      </c>
      <c r="D5747" s="5" t="s">
        <v>85</v>
      </c>
      <c r="E5747" s="5" t="s">
        <v>600</v>
      </c>
      <c r="F5747" s="9">
        <v>45</v>
      </c>
      <c r="G5747" s="9">
        <v>475</v>
      </c>
      <c r="H5747" s="5" t="s">
        <v>21</v>
      </c>
      <c r="I5747" s="5" t="s">
        <v>13068</v>
      </c>
      <c r="J5747" s="12" t="str">
        <f>HYPERLINK("https://www.boe.es/gazeta/dias/1800/06/06/pdfs/GMD-1800-45.pdf#page=11","Abrir facsímil")</f>
        <v>Abrir facsímil</v>
      </c>
      <c r="K5747" s="15" t="s">
        <v>23</v>
      </c>
    </row>
    <row r="5748" spans="1:11" ht="42" customHeight="1">
      <c r="A5748" s="4" t="s">
        <v>13069</v>
      </c>
      <c r="B5748" s="5" t="s">
        <v>13070</v>
      </c>
      <c r="C5748" s="5" t="s">
        <v>18</v>
      </c>
      <c r="D5748" s="5" t="s">
        <v>19</v>
      </c>
      <c r="E5748" s="5" t="s">
        <v>139</v>
      </c>
      <c r="F5748" s="9">
        <v>2</v>
      </c>
      <c r="G5748" s="9">
        <v>17</v>
      </c>
      <c r="H5748" s="5" t="s">
        <v>21</v>
      </c>
      <c r="I5748" s="5" t="s">
        <v>13071</v>
      </c>
      <c r="J5748" s="12" t="str">
        <f>HYPERLINK("https://www.boe.es/gazeta/dias/1800/01/07/pdfs/GMD-1800-2.pdf#page=9","Abrir facsímil")</f>
        <v>Abrir facsímil</v>
      </c>
      <c r="K5748" s="15" t="s">
        <v>23</v>
      </c>
    </row>
    <row r="5749" spans="1:11" ht="42" customHeight="1">
      <c r="A5749" s="4" t="s">
        <v>13072</v>
      </c>
      <c r="B5749" s="5" t="s">
        <v>13073</v>
      </c>
      <c r="C5749" s="5" t="s">
        <v>18</v>
      </c>
      <c r="D5749" s="5" t="s">
        <v>19</v>
      </c>
      <c r="E5749" s="5" t="s">
        <v>68</v>
      </c>
      <c r="F5749" s="9">
        <v>67</v>
      </c>
      <c r="G5749" s="9">
        <v>753</v>
      </c>
      <c r="H5749" s="5" t="s">
        <v>21</v>
      </c>
      <c r="I5749" s="5" t="s">
        <v>13074</v>
      </c>
      <c r="J5749" s="12" t="str">
        <f>HYPERLINK("https://www.boe.es/gazeta/dias/1800/08/22/pdfs/GMD-1800-67.pdf#page=5","Abrir facsímil")</f>
        <v>Abrir facsímil</v>
      </c>
      <c r="K5749" s="15" t="s">
        <v>23</v>
      </c>
    </row>
    <row r="5750" spans="1:11" ht="42" customHeight="1">
      <c r="A5750" s="4" t="s">
        <v>13075</v>
      </c>
      <c r="B5750" s="5" t="s">
        <v>13075</v>
      </c>
      <c r="C5750" s="5" t="s">
        <v>18</v>
      </c>
      <c r="D5750" s="5" t="s">
        <v>19</v>
      </c>
      <c r="E5750" s="5" t="s">
        <v>135</v>
      </c>
      <c r="F5750" s="9">
        <v>73</v>
      </c>
      <c r="G5750" s="9">
        <v>815</v>
      </c>
      <c r="H5750" s="5" t="s">
        <v>21</v>
      </c>
      <c r="I5750" s="5" t="s">
        <v>13076</v>
      </c>
      <c r="J5750" s="12" t="str">
        <f>HYPERLINK("https://www.boe.es/gazeta/dias/1800/09/09/pdfs/GMD-1800-73.pdf#page=9","Abrir facsímil")</f>
        <v>Abrir facsímil</v>
      </c>
      <c r="K5750" s="15" t="s">
        <v>23</v>
      </c>
    </row>
    <row r="5751" spans="1:11" ht="42" customHeight="1">
      <c r="A5751" s="4" t="s">
        <v>13077</v>
      </c>
      <c r="B5751" s="5" t="s">
        <v>13077</v>
      </c>
      <c r="C5751" s="5" t="s">
        <v>18</v>
      </c>
      <c r="D5751" s="5" t="s">
        <v>19</v>
      </c>
      <c r="E5751" s="5" t="s">
        <v>306</v>
      </c>
      <c r="F5751" s="9">
        <v>79</v>
      </c>
      <c r="G5751" s="9">
        <v>900</v>
      </c>
      <c r="H5751" s="5" t="s">
        <v>21</v>
      </c>
      <c r="I5751" s="5" t="s">
        <v>13078</v>
      </c>
      <c r="J5751" s="12" t="str">
        <f>HYPERLINK("https://www.boe.es/gazeta/dias/1800/09/30/pdfs/GMD-1800-79.pdf#page=10","Abrir facsímil")</f>
        <v>Abrir facsímil</v>
      </c>
      <c r="K5751" s="15" t="s">
        <v>23</v>
      </c>
    </row>
    <row r="5752" spans="1:11" ht="42" customHeight="1">
      <c r="A5752" s="4" t="s">
        <v>13079</v>
      </c>
      <c r="B5752" s="5" t="s">
        <v>13080</v>
      </c>
      <c r="C5752" s="5" t="s">
        <v>18</v>
      </c>
      <c r="D5752" s="5" t="s">
        <v>19</v>
      </c>
      <c r="E5752" s="5" t="s">
        <v>314</v>
      </c>
      <c r="F5752" s="9">
        <v>74</v>
      </c>
      <c r="G5752" s="9">
        <v>832</v>
      </c>
      <c r="H5752" s="5" t="s">
        <v>21</v>
      </c>
      <c r="I5752" s="5" t="s">
        <v>13081</v>
      </c>
      <c r="J5752" s="12" t="str">
        <f>HYPERLINK("https://www.boe.es/gazeta/dias/1800/09/12/pdfs/GMD-1800-74.pdf#page=10","Abrir facsímil")</f>
        <v>Abrir facsímil</v>
      </c>
      <c r="K5752" s="15" t="s">
        <v>23</v>
      </c>
    </row>
    <row r="5753" spans="1:11" ht="42" customHeight="1">
      <c r="A5753" s="4" t="s">
        <v>13082</v>
      </c>
      <c r="B5753" s="5" t="s">
        <v>13083</v>
      </c>
      <c r="C5753" s="5" t="s">
        <v>18</v>
      </c>
      <c r="D5753" s="5" t="s">
        <v>19</v>
      </c>
      <c r="E5753" s="5" t="s">
        <v>567</v>
      </c>
      <c r="F5753" s="9">
        <v>3</v>
      </c>
      <c r="G5753" s="9">
        <v>27</v>
      </c>
      <c r="H5753" s="5" t="s">
        <v>21</v>
      </c>
      <c r="I5753" s="5" t="s">
        <v>13084</v>
      </c>
      <c r="J5753" s="12" t="str">
        <f>HYPERLINK("https://www.boe.es/gazeta/dias/1800/01/10/pdfs/GMD-1800-3.pdf#page=7","Abrir facsímil")</f>
        <v>Abrir facsímil</v>
      </c>
      <c r="K5753" s="15" t="s">
        <v>23</v>
      </c>
    </row>
    <row r="5754" spans="1:11" ht="42" customHeight="1">
      <c r="A5754" s="4" t="s">
        <v>13085</v>
      </c>
      <c r="B5754" s="5" t="s">
        <v>13085</v>
      </c>
      <c r="C5754" s="5" t="s">
        <v>18</v>
      </c>
      <c r="D5754" s="5" t="s">
        <v>19</v>
      </c>
      <c r="E5754" s="5" t="s">
        <v>139</v>
      </c>
      <c r="F5754" s="9">
        <v>2</v>
      </c>
      <c r="G5754" s="9">
        <v>13</v>
      </c>
      <c r="H5754" s="5" t="s">
        <v>21</v>
      </c>
      <c r="I5754" s="5" t="s">
        <v>13086</v>
      </c>
      <c r="J5754" s="12" t="str">
        <f>HYPERLINK("https://www.boe.es/gazeta/dias/1800/01/07/pdfs/GMD-1800-2.pdf#page=5","Abrir facsímil")</f>
        <v>Abrir facsímil</v>
      </c>
      <c r="K5754" s="15" t="s">
        <v>23</v>
      </c>
    </row>
    <row r="5755" spans="1:11" ht="42" customHeight="1">
      <c r="A5755" s="4" t="s">
        <v>13087</v>
      </c>
      <c r="B5755" s="5" t="s">
        <v>13088</v>
      </c>
      <c r="C5755" s="5" t="s">
        <v>84</v>
      </c>
      <c r="D5755" s="5" t="s">
        <v>85</v>
      </c>
      <c r="E5755" s="5" t="s">
        <v>135</v>
      </c>
      <c r="F5755" s="9">
        <v>73</v>
      </c>
      <c r="G5755" s="9">
        <v>818</v>
      </c>
      <c r="H5755" s="5" t="s">
        <v>21</v>
      </c>
      <c r="I5755" s="5" t="s">
        <v>13089</v>
      </c>
      <c r="J5755" s="12" t="str">
        <f>HYPERLINK("https://www.boe.es/gazeta/dias/1800/09/09/pdfs/GMD-1800-73.pdf#page=12","Abrir facsímil")</f>
        <v>Abrir facsímil</v>
      </c>
      <c r="K5755" s="15" t="s">
        <v>23</v>
      </c>
    </row>
    <row r="5756" spans="1:11" ht="42" customHeight="1">
      <c r="A5756" s="4" t="s">
        <v>13090</v>
      </c>
      <c r="B5756" s="5" t="s">
        <v>13091</v>
      </c>
      <c r="C5756" s="5" t="s">
        <v>114</v>
      </c>
      <c r="D5756" s="5" t="s">
        <v>115</v>
      </c>
      <c r="E5756" s="5" t="s">
        <v>116</v>
      </c>
      <c r="F5756" s="9">
        <v>86</v>
      </c>
      <c r="G5756" s="9" t="s">
        <v>725</v>
      </c>
      <c r="H5756" s="5" t="s">
        <v>21</v>
      </c>
      <c r="I5756" s="5" t="s">
        <v>13092</v>
      </c>
      <c r="J5756" s="12" t="str">
        <f>HYPERLINK("https://www.boe.es/gazeta/dias/1800/10/24/pdfs/GMD-D-1800-86.pdf#page=1","Abrir facsímil")</f>
        <v>Abrir facsímil</v>
      </c>
      <c r="K5756" s="15" t="s">
        <v>23</v>
      </c>
    </row>
    <row r="5757" spans="1:11" ht="42" customHeight="1">
      <c r="A5757" s="4" t="s">
        <v>13093</v>
      </c>
      <c r="B5757" s="5" t="s">
        <v>13094</v>
      </c>
      <c r="C5757" s="5" t="s">
        <v>41</v>
      </c>
      <c r="D5757" s="5" t="s">
        <v>42</v>
      </c>
      <c r="E5757" s="5" t="s">
        <v>196</v>
      </c>
      <c r="F5757" s="9">
        <v>97</v>
      </c>
      <c r="G5757" s="9">
        <v>1115</v>
      </c>
      <c r="H5757" s="5" t="s">
        <v>21</v>
      </c>
      <c r="I5757" s="5" t="s">
        <v>13095</v>
      </c>
      <c r="J5757" s="12" t="str">
        <f>HYPERLINK("https://www.boe.es/gazeta/dias/1800/12/02/pdfs/GMD-1800-97.pdf#page=7","Abrir facsímil")</f>
        <v>Abrir facsímil</v>
      </c>
      <c r="K5757" s="15" t="s">
        <v>23</v>
      </c>
    </row>
    <row r="5758" spans="1:11" ht="42" customHeight="1">
      <c r="A5758" s="4" t="s">
        <v>13096</v>
      </c>
      <c r="B5758" s="5" t="s">
        <v>13097</v>
      </c>
      <c r="C5758" s="5" t="s">
        <v>25</v>
      </c>
      <c r="D5758" s="5" t="s">
        <v>26</v>
      </c>
      <c r="E5758" s="5" t="s">
        <v>45</v>
      </c>
      <c r="F5758" s="9">
        <v>47</v>
      </c>
      <c r="G5758" s="9">
        <v>502</v>
      </c>
      <c r="H5758" s="5" t="s">
        <v>21</v>
      </c>
      <c r="I5758" s="5" t="s">
        <v>13098</v>
      </c>
      <c r="J5758" s="12" t="str">
        <f>HYPERLINK("https://www.boe.es/gazeta/dias/1800/06/13/pdfs/GMD-1800-47.pdf#page=10","Abrir facsímil")</f>
        <v>Abrir facsímil</v>
      </c>
      <c r="K5758" s="15" t="s">
        <v>23</v>
      </c>
    </row>
    <row r="5759" spans="1:11" ht="42" customHeight="1">
      <c r="A5759" s="4" t="s">
        <v>13099</v>
      </c>
      <c r="B5759" s="5" t="s">
        <v>13100</v>
      </c>
      <c r="C5759" s="5" t="s">
        <v>18</v>
      </c>
      <c r="D5759" s="5" t="s">
        <v>19</v>
      </c>
      <c r="E5759" s="5" t="s">
        <v>595</v>
      </c>
      <c r="F5759" s="9">
        <v>72</v>
      </c>
      <c r="G5759" s="9">
        <v>797</v>
      </c>
      <c r="H5759" s="5" t="s">
        <v>21</v>
      </c>
      <c r="I5759" s="5" t="s">
        <v>13101</v>
      </c>
      <c r="J5759" s="12" t="str">
        <f>HYPERLINK("https://www.boe.es/gazeta/dias/1800/09/05/pdfs/GMD-1800-72.pdf#page=7","Abrir facsímil")</f>
        <v>Abrir facsímil</v>
      </c>
      <c r="K5759" s="15" t="s">
        <v>23</v>
      </c>
    </row>
    <row r="5760" spans="1:11" ht="42" customHeight="1">
      <c r="A5760" s="4" t="s">
        <v>13102</v>
      </c>
      <c r="B5760" s="5" t="s">
        <v>13103</v>
      </c>
      <c r="C5760" s="5" t="s">
        <v>25</v>
      </c>
      <c r="D5760" s="5" t="s">
        <v>26</v>
      </c>
      <c r="E5760" s="5" t="s">
        <v>162</v>
      </c>
      <c r="F5760" s="9">
        <v>15</v>
      </c>
      <c r="G5760" s="9">
        <v>144</v>
      </c>
      <c r="H5760" s="5" t="s">
        <v>21</v>
      </c>
      <c r="I5760" s="5" t="s">
        <v>13104</v>
      </c>
      <c r="J5760" s="12" t="str">
        <f>HYPERLINK("https://www.boe.es/gazeta/dias/1800/02/21/pdfs/GMD-1800-15.pdf#page=8","Abrir facsímil")</f>
        <v>Abrir facsímil</v>
      </c>
      <c r="K5760" s="15" t="s">
        <v>23</v>
      </c>
    </row>
    <row r="5761" spans="1:11" ht="42" customHeight="1">
      <c r="A5761" s="4" t="s">
        <v>13105</v>
      </c>
      <c r="B5761" s="5" t="s">
        <v>13106</v>
      </c>
      <c r="C5761" s="5" t="s">
        <v>18</v>
      </c>
      <c r="D5761" s="5" t="s">
        <v>19</v>
      </c>
      <c r="E5761" s="5" t="s">
        <v>176</v>
      </c>
      <c r="F5761" s="9">
        <v>88</v>
      </c>
      <c r="G5761" s="9">
        <v>1030</v>
      </c>
      <c r="H5761" s="5" t="s">
        <v>21</v>
      </c>
      <c r="I5761" s="5" t="s">
        <v>13107</v>
      </c>
      <c r="J5761" s="12" t="str">
        <f>HYPERLINK("https://www.boe.es/gazeta/dias/1800/10/31/pdfs/GMD-1800-88.pdf#page=12","Abrir facsímil")</f>
        <v>Abrir facsímil</v>
      </c>
      <c r="K5761" s="15" t="s">
        <v>23</v>
      </c>
    </row>
    <row r="5762" spans="1:11" ht="42" customHeight="1">
      <c r="A5762" s="4" t="s">
        <v>13108</v>
      </c>
      <c r="B5762" s="5" t="s">
        <v>13109</v>
      </c>
      <c r="C5762" s="5" t="s">
        <v>18</v>
      </c>
      <c r="D5762" s="5" t="s">
        <v>19</v>
      </c>
      <c r="E5762" s="5" t="s">
        <v>56</v>
      </c>
      <c r="F5762" s="9">
        <v>90</v>
      </c>
      <c r="G5762" s="9">
        <v>1056</v>
      </c>
      <c r="H5762" s="5" t="s">
        <v>21</v>
      </c>
      <c r="I5762" s="5" t="s">
        <v>13110</v>
      </c>
      <c r="J5762" s="12" t="str">
        <f>HYPERLINK("https://www.boe.es/gazeta/dias/1800/11/07/pdfs/GMD-1800-90.pdf#page=10","Abrir facsímil")</f>
        <v>Abrir facsímil</v>
      </c>
      <c r="K5762" s="15" t="s">
        <v>23</v>
      </c>
    </row>
    <row r="5763" spans="1:11" ht="42" customHeight="1">
      <c r="A5763" s="4" t="s">
        <v>13111</v>
      </c>
      <c r="B5763" s="5" t="s">
        <v>13112</v>
      </c>
      <c r="C5763" s="5" t="s">
        <v>18</v>
      </c>
      <c r="D5763" s="5" t="s">
        <v>19</v>
      </c>
      <c r="E5763" s="5" t="s">
        <v>56</v>
      </c>
      <c r="F5763" s="9">
        <v>90</v>
      </c>
      <c r="G5763" s="9">
        <v>1055</v>
      </c>
      <c r="H5763" s="5" t="s">
        <v>21</v>
      </c>
      <c r="I5763" s="5" t="s">
        <v>13113</v>
      </c>
      <c r="J5763" s="12" t="str">
        <f>HYPERLINK("https://www.boe.es/gazeta/dias/1800/11/07/pdfs/GMD-1800-90.pdf#page=9","Abrir facsímil")</f>
        <v>Abrir facsímil</v>
      </c>
      <c r="K5763" s="15" t="s">
        <v>23</v>
      </c>
    </row>
    <row r="5764" spans="1:11" ht="42" customHeight="1">
      <c r="A5764" s="4" t="s">
        <v>13114</v>
      </c>
      <c r="B5764" s="5" t="s">
        <v>13115</v>
      </c>
      <c r="C5764" s="5" t="s">
        <v>18</v>
      </c>
      <c r="D5764" s="5" t="s">
        <v>19</v>
      </c>
      <c r="E5764" s="5" t="s">
        <v>48</v>
      </c>
      <c r="F5764" s="9">
        <v>66</v>
      </c>
      <c r="G5764" s="9">
        <v>746</v>
      </c>
      <c r="H5764" s="5" t="s">
        <v>21</v>
      </c>
      <c r="I5764" s="5" t="s">
        <v>13116</v>
      </c>
      <c r="J5764" s="12" t="str">
        <f>HYPERLINK("https://www.boe.es/gazeta/dias/1800/08/19/pdfs/GMD-1800-66.pdf#page=10","Abrir facsímil")</f>
        <v>Abrir facsímil</v>
      </c>
      <c r="K5764" s="15" t="s">
        <v>23</v>
      </c>
    </row>
    <row r="5765" spans="1:11" ht="42" customHeight="1">
      <c r="A5765" s="4" t="s">
        <v>13117</v>
      </c>
      <c r="B5765" s="5" t="s">
        <v>13118</v>
      </c>
      <c r="C5765" s="5" t="s">
        <v>18</v>
      </c>
      <c r="D5765" s="5" t="s">
        <v>19</v>
      </c>
      <c r="E5765" s="5" t="s">
        <v>135</v>
      </c>
      <c r="F5765" s="9">
        <v>73</v>
      </c>
      <c r="G5765" s="9">
        <v>815</v>
      </c>
      <c r="H5765" s="5" t="s">
        <v>21</v>
      </c>
      <c r="I5765" s="5" t="s">
        <v>13119</v>
      </c>
      <c r="J5765" s="12" t="str">
        <f>HYPERLINK("https://www.boe.es/gazeta/dias/1800/09/09/pdfs/GMD-1800-73.pdf#page=9","Abrir facsímil")</f>
        <v>Abrir facsímil</v>
      </c>
      <c r="K5765" s="15" t="s">
        <v>23</v>
      </c>
    </row>
    <row r="5766" spans="1:11" ht="42" customHeight="1">
      <c r="A5766" s="4" t="s">
        <v>13120</v>
      </c>
      <c r="B5766" s="5" t="s">
        <v>13120</v>
      </c>
      <c r="C5766" s="5" t="s">
        <v>18</v>
      </c>
      <c r="D5766" s="5" t="s">
        <v>19</v>
      </c>
      <c r="E5766" s="5" t="s">
        <v>534</v>
      </c>
      <c r="F5766" s="9">
        <v>100</v>
      </c>
      <c r="G5766" s="9">
        <v>1160</v>
      </c>
      <c r="H5766" s="5" t="s">
        <v>21</v>
      </c>
      <c r="I5766" s="5" t="s">
        <v>13121</v>
      </c>
      <c r="J5766" s="12" t="str">
        <f>HYPERLINK("https://www.boe.es/gazeta/dias/1800/12/12/pdfs/GMD-1800-100.pdf#page=12","Abrir facsímil")</f>
        <v>Abrir facsímil</v>
      </c>
      <c r="K5766" s="15" t="s">
        <v>23</v>
      </c>
    </row>
    <row r="5767" spans="1:11" ht="42" customHeight="1">
      <c r="A5767" s="4" t="s">
        <v>13122</v>
      </c>
      <c r="B5767" s="5" t="s">
        <v>13123</v>
      </c>
      <c r="C5767" s="5" t="s">
        <v>18</v>
      </c>
      <c r="D5767" s="5" t="s">
        <v>19</v>
      </c>
      <c r="E5767" s="5" t="s">
        <v>299</v>
      </c>
      <c r="F5767" s="9">
        <v>40</v>
      </c>
      <c r="G5767" s="9">
        <v>410</v>
      </c>
      <c r="H5767" s="5" t="s">
        <v>21</v>
      </c>
      <c r="I5767" s="5" t="s">
        <v>13124</v>
      </c>
      <c r="J5767" s="12" t="str">
        <f>HYPERLINK("https://www.boe.es/gazeta/dias/1800/05/20/pdfs/GMD-1800-40.pdf#page=6","Abrir facsímil")</f>
        <v>Abrir facsímil</v>
      </c>
      <c r="K5767" s="15" t="s">
        <v>23</v>
      </c>
    </row>
    <row r="5768" spans="1:11" ht="42" customHeight="1">
      <c r="A5768" s="4" t="s">
        <v>13125</v>
      </c>
      <c r="B5768" s="5" t="s">
        <v>13126</v>
      </c>
      <c r="C5768" s="5" t="s">
        <v>25</v>
      </c>
      <c r="D5768" s="5" t="s">
        <v>26</v>
      </c>
      <c r="E5768" s="5" t="s">
        <v>45</v>
      </c>
      <c r="F5768" s="9">
        <v>47</v>
      </c>
      <c r="G5768" s="9">
        <v>502</v>
      </c>
      <c r="H5768" s="5" t="s">
        <v>21</v>
      </c>
      <c r="I5768" s="5" t="s">
        <v>13127</v>
      </c>
      <c r="J5768" s="12" t="str">
        <f>HYPERLINK("https://www.boe.es/gazeta/dias/1800/06/13/pdfs/GMD-1800-47.pdf#page=10","Abrir facsímil")</f>
        <v>Abrir facsímil</v>
      </c>
      <c r="K5768" s="15" t="s">
        <v>23</v>
      </c>
    </row>
    <row r="5769" spans="1:11" ht="42" customHeight="1">
      <c r="A5769" s="4" t="s">
        <v>13128</v>
      </c>
      <c r="B5769" s="5" t="s">
        <v>13129</v>
      </c>
      <c r="C5769" s="5" t="s">
        <v>25</v>
      </c>
      <c r="D5769" s="5" t="s">
        <v>26</v>
      </c>
      <c r="E5769" s="5" t="s">
        <v>1294</v>
      </c>
      <c r="F5769" s="9">
        <v>59</v>
      </c>
      <c r="G5769" s="9">
        <v>678</v>
      </c>
      <c r="H5769" s="5" t="s">
        <v>21</v>
      </c>
      <c r="I5769" s="5" t="s">
        <v>13130</v>
      </c>
      <c r="J5769" s="12" t="str">
        <f>HYPERLINK("https://www.boe.es/gazeta/dias/1800/07/25/pdfs/GMD-1800-59.pdf#page=10","Abrir facsímil")</f>
        <v>Abrir facsímil</v>
      </c>
      <c r="K5769" s="15" t="s">
        <v>23</v>
      </c>
    </row>
    <row r="5770" spans="1:11" ht="42" customHeight="1">
      <c r="A5770" s="4" t="s">
        <v>13131</v>
      </c>
      <c r="B5770" s="5" t="s">
        <v>13132</v>
      </c>
      <c r="C5770" s="5" t="s">
        <v>18</v>
      </c>
      <c r="D5770" s="5" t="s">
        <v>19</v>
      </c>
      <c r="E5770" s="5" t="s">
        <v>56</v>
      </c>
      <c r="F5770" s="9">
        <v>90</v>
      </c>
      <c r="G5770" s="9">
        <v>1055</v>
      </c>
      <c r="H5770" s="5" t="s">
        <v>21</v>
      </c>
      <c r="I5770" s="5" t="s">
        <v>13133</v>
      </c>
      <c r="J5770" s="12" t="str">
        <f>HYPERLINK("https://www.boe.es/gazeta/dias/1800/11/07/pdfs/GMD-1800-90.pdf#page=9","Abrir facsímil")</f>
        <v>Abrir facsímil</v>
      </c>
      <c r="K5770" s="15" t="s">
        <v>23</v>
      </c>
    </row>
    <row r="5771" spans="1:11" ht="42" customHeight="1">
      <c r="A5771" s="4" t="s">
        <v>13134</v>
      </c>
      <c r="B5771" s="5" t="s">
        <v>13135</v>
      </c>
      <c r="C5771" s="5" t="s">
        <v>18</v>
      </c>
      <c r="D5771" s="5" t="s">
        <v>19</v>
      </c>
      <c r="E5771" s="5" t="s">
        <v>314</v>
      </c>
      <c r="F5771" s="9">
        <v>74</v>
      </c>
      <c r="G5771" s="9">
        <v>831</v>
      </c>
      <c r="H5771" s="5" t="s">
        <v>21</v>
      </c>
      <c r="I5771" s="5" t="s">
        <v>13136</v>
      </c>
      <c r="J5771" s="12" t="str">
        <f>HYPERLINK("https://www.boe.es/gazeta/dias/1800/09/12/pdfs/GMD-1800-74.pdf#page=9","Abrir facsímil")</f>
        <v>Abrir facsímil</v>
      </c>
      <c r="K5771" s="15" t="s">
        <v>23</v>
      </c>
    </row>
    <row r="5772" spans="1:11" ht="42" customHeight="1">
      <c r="A5772" s="4" t="s">
        <v>13137</v>
      </c>
      <c r="B5772" s="5" t="s">
        <v>13138</v>
      </c>
      <c r="C5772" s="5" t="s">
        <v>18</v>
      </c>
      <c r="D5772" s="5" t="s">
        <v>19</v>
      </c>
      <c r="E5772" s="5" t="s">
        <v>1294</v>
      </c>
      <c r="F5772" s="9">
        <v>59</v>
      </c>
      <c r="G5772" s="9">
        <v>678</v>
      </c>
      <c r="H5772" s="5" t="s">
        <v>21</v>
      </c>
      <c r="I5772" s="5" t="s">
        <v>13139</v>
      </c>
      <c r="J5772" s="12" t="str">
        <f>HYPERLINK("https://www.boe.es/gazeta/dias/1800/07/25/pdfs/GMD-1800-59.pdf#page=10","Abrir facsímil")</f>
        <v>Abrir facsímil</v>
      </c>
      <c r="K5772" s="15" t="s">
        <v>23</v>
      </c>
    </row>
    <row r="5773" spans="1:11" ht="42" customHeight="1">
      <c r="A5773" s="4" t="s">
        <v>13140</v>
      </c>
      <c r="B5773" s="5" t="s">
        <v>13141</v>
      </c>
      <c r="C5773" s="5" t="s">
        <v>18</v>
      </c>
      <c r="D5773" s="5" t="s">
        <v>19</v>
      </c>
      <c r="E5773" s="5" t="s">
        <v>310</v>
      </c>
      <c r="F5773" s="9">
        <v>56</v>
      </c>
      <c r="G5773" s="9">
        <v>631</v>
      </c>
      <c r="H5773" s="5" t="s">
        <v>21</v>
      </c>
      <c r="I5773" s="5" t="s">
        <v>13142</v>
      </c>
      <c r="J5773" s="12" t="str">
        <f>HYPERLINK("https://www.boe.es/gazeta/dias/1800/07/15/pdfs/GMD-1800-56.pdf#page=7","Abrir facsímil")</f>
        <v>Abrir facsímil</v>
      </c>
      <c r="K5773" s="15" t="s">
        <v>23</v>
      </c>
    </row>
    <row r="5774" spans="1:11" ht="42" customHeight="1">
      <c r="A5774" s="4" t="s">
        <v>13143</v>
      </c>
      <c r="B5774" s="5" t="s">
        <v>13144</v>
      </c>
      <c r="C5774" s="5" t="s">
        <v>18</v>
      </c>
      <c r="D5774" s="5" t="s">
        <v>19</v>
      </c>
      <c r="E5774" s="5" t="s">
        <v>422</v>
      </c>
      <c r="F5774" s="9">
        <v>85</v>
      </c>
      <c r="G5774" s="9">
        <v>985</v>
      </c>
      <c r="H5774" s="5" t="s">
        <v>21</v>
      </c>
      <c r="I5774" s="5" t="s">
        <v>13145</v>
      </c>
      <c r="J5774" s="12" t="str">
        <f>HYPERLINK("https://www.boe.es/gazeta/dias/1800/10/21/pdfs/GMD-1800-85.pdf#page=7","Abrir facsímil")</f>
        <v>Abrir facsímil</v>
      </c>
      <c r="K5774" s="15" t="s">
        <v>23</v>
      </c>
    </row>
    <row r="5775" spans="1:11" ht="42" customHeight="1">
      <c r="A5775" s="4" t="s">
        <v>13146</v>
      </c>
      <c r="B5775" s="5" t="s">
        <v>13146</v>
      </c>
      <c r="C5775" s="5" t="s">
        <v>18</v>
      </c>
      <c r="D5775" s="5" t="s">
        <v>19</v>
      </c>
      <c r="E5775" s="5" t="s">
        <v>176</v>
      </c>
      <c r="F5775" s="9">
        <v>88</v>
      </c>
      <c r="G5775" s="9">
        <v>1030</v>
      </c>
      <c r="H5775" s="5" t="s">
        <v>21</v>
      </c>
      <c r="I5775" s="5" t="s">
        <v>13147</v>
      </c>
      <c r="J5775" s="12" t="str">
        <f>HYPERLINK("https://www.boe.es/gazeta/dias/1800/10/31/pdfs/GMD-1800-88.pdf#page=12","Abrir facsímil")</f>
        <v>Abrir facsímil</v>
      </c>
      <c r="K5775" s="15" t="s">
        <v>23</v>
      </c>
    </row>
    <row r="5776" spans="1:11" ht="42" customHeight="1">
      <c r="A5776" s="4" t="s">
        <v>13148</v>
      </c>
      <c r="B5776" s="5" t="s">
        <v>13149</v>
      </c>
      <c r="C5776" s="5" t="s">
        <v>41</v>
      </c>
      <c r="D5776" s="5" t="s">
        <v>42</v>
      </c>
      <c r="E5776" s="5" t="s">
        <v>275</v>
      </c>
      <c r="F5776" s="9">
        <v>60</v>
      </c>
      <c r="G5776" s="9">
        <v>683</v>
      </c>
      <c r="H5776" s="5" t="s">
        <v>21</v>
      </c>
      <c r="I5776" s="5" t="s">
        <v>13150</v>
      </c>
      <c r="J5776" s="12" t="str">
        <f>HYPERLINK("https://www.boe.es/gazeta/dias/1800/07/29/pdfs/GMD-1800-60.pdf#page=3","Abrir facsímil")</f>
        <v>Abrir facsímil</v>
      </c>
      <c r="K5776" s="15" t="s">
        <v>23</v>
      </c>
    </row>
    <row r="5777" spans="1:11" ht="42" customHeight="1">
      <c r="A5777" s="4" t="s">
        <v>13151</v>
      </c>
      <c r="B5777" s="5" t="s">
        <v>13152</v>
      </c>
      <c r="C5777" s="5" t="s">
        <v>18</v>
      </c>
      <c r="D5777" s="5" t="s">
        <v>19</v>
      </c>
      <c r="E5777" s="5" t="s">
        <v>283</v>
      </c>
      <c r="F5777" s="9">
        <v>68</v>
      </c>
      <c r="G5777" s="9">
        <v>765</v>
      </c>
      <c r="H5777" s="5" t="s">
        <v>21</v>
      </c>
      <c r="I5777" s="5" t="s">
        <v>13153</v>
      </c>
      <c r="J5777" s="12" t="str">
        <f>HYPERLINK("https://www.boe.es/gazeta/dias/1800/08/26/pdfs/GMD-1800-68.pdf#page=9","Abrir facsímil")</f>
        <v>Abrir facsímil</v>
      </c>
      <c r="K5777" s="15" t="s">
        <v>23</v>
      </c>
    </row>
    <row r="5778" spans="1:11" ht="42" customHeight="1">
      <c r="A5778" s="4" t="s">
        <v>13154</v>
      </c>
      <c r="B5778" s="5" t="s">
        <v>13155</v>
      </c>
      <c r="C5778" s="5" t="s">
        <v>41</v>
      </c>
      <c r="D5778" s="5" t="s">
        <v>42</v>
      </c>
      <c r="E5778" s="5" t="s">
        <v>226</v>
      </c>
      <c r="F5778" s="9">
        <v>27</v>
      </c>
      <c r="G5778" s="9">
        <v>275</v>
      </c>
      <c r="H5778" s="5" t="s">
        <v>21</v>
      </c>
      <c r="I5778" s="5" t="s">
        <v>13156</v>
      </c>
      <c r="J5778" s="12" t="str">
        <f>HYPERLINK("https://www.boe.es/gazeta/dias/1800/04/04/pdfs/GMD-1800-27.pdf#page=3","Abrir facsímil")</f>
        <v>Abrir facsímil</v>
      </c>
      <c r="K5778" s="15" t="s">
        <v>23</v>
      </c>
    </row>
    <row r="5779" spans="1:11" ht="42" customHeight="1">
      <c r="A5779" s="4" t="s">
        <v>13157</v>
      </c>
      <c r="B5779" s="5" t="s">
        <v>13158</v>
      </c>
      <c r="C5779" s="5" t="s">
        <v>171</v>
      </c>
      <c r="D5779" s="5" t="s">
        <v>172</v>
      </c>
      <c r="E5779" s="5" t="s">
        <v>461</v>
      </c>
      <c r="F5779" s="9">
        <v>18</v>
      </c>
      <c r="G5779" s="9">
        <v>173</v>
      </c>
      <c r="H5779" s="5" t="s">
        <v>21</v>
      </c>
      <c r="I5779" s="5" t="s">
        <v>13159</v>
      </c>
      <c r="J5779" s="12" t="str">
        <f>HYPERLINK("https://www.boe.es/datos/pdfs/BOE//1800/018/C00173-00176.pdf#page=1","Abrir facsímil")</f>
        <v>Abrir facsímil</v>
      </c>
      <c r="K5779" s="15" t="s">
        <v>23</v>
      </c>
    </row>
    <row r="5780" spans="1:11" ht="42" customHeight="1">
      <c r="A5780" s="4" t="s">
        <v>13160</v>
      </c>
      <c r="B5780" s="5" t="s">
        <v>13161</v>
      </c>
      <c r="C5780" s="5" t="s">
        <v>41</v>
      </c>
      <c r="D5780" s="5" t="s">
        <v>42</v>
      </c>
      <c r="E5780" s="5" t="s">
        <v>194</v>
      </c>
      <c r="F5780" s="9">
        <v>48</v>
      </c>
      <c r="G5780" s="9">
        <v>517</v>
      </c>
      <c r="H5780" s="5" t="s">
        <v>21</v>
      </c>
      <c r="I5780" s="5" t="s">
        <v>13162</v>
      </c>
      <c r="J5780" s="12" t="str">
        <f>HYPERLINK("https://www.boe.es/gazeta/dias/1800/06/17/pdfs/GMD-1800-48.pdf#page=9","Abrir facsímil")</f>
        <v>Abrir facsímil</v>
      </c>
      <c r="K5780" s="15" t="s">
        <v>23</v>
      </c>
    </row>
    <row r="5781" spans="1:11" ht="42" customHeight="1">
      <c r="A5781" s="4" t="s">
        <v>13163</v>
      </c>
      <c r="B5781" s="5" t="s">
        <v>13164</v>
      </c>
      <c r="C5781" s="5" t="s">
        <v>18</v>
      </c>
      <c r="D5781" s="5" t="s">
        <v>19</v>
      </c>
      <c r="E5781" s="5" t="s">
        <v>56</v>
      </c>
      <c r="F5781" s="9">
        <v>90</v>
      </c>
      <c r="G5781" s="9">
        <v>1054</v>
      </c>
      <c r="H5781" s="5" t="s">
        <v>21</v>
      </c>
      <c r="I5781" s="5" t="s">
        <v>13165</v>
      </c>
      <c r="J5781" s="12" t="str">
        <f>HYPERLINK("https://www.boe.es/gazeta/dias/1800/11/07/pdfs/GMD-1800-90.pdf#page=8","Abrir facsímil")</f>
        <v>Abrir facsímil</v>
      </c>
      <c r="K5781" s="15" t="s">
        <v>23</v>
      </c>
    </row>
    <row r="5782" spans="1:11" ht="42" customHeight="1">
      <c r="A5782" s="4" t="s">
        <v>13166</v>
      </c>
      <c r="B5782" s="5" t="s">
        <v>13167</v>
      </c>
      <c r="C5782" s="5" t="s">
        <v>54</v>
      </c>
      <c r="D5782" s="5" t="s">
        <v>55</v>
      </c>
      <c r="E5782" s="5" t="s">
        <v>158</v>
      </c>
      <c r="F5782" s="9">
        <v>25</v>
      </c>
      <c r="G5782" s="9">
        <v>259</v>
      </c>
      <c r="H5782" s="5" t="s">
        <v>21</v>
      </c>
      <c r="I5782" s="5" t="s">
        <v>13168</v>
      </c>
      <c r="J5782" s="12" t="str">
        <f>HYPERLINK("https://www.boe.es/gazeta/dias/1800/03/28/pdfs/GMD-1800-25.pdf#page=11","Abrir facsímil")</f>
        <v>Abrir facsímil</v>
      </c>
      <c r="K5782" s="15" t="s">
        <v>23</v>
      </c>
    </row>
    <row r="5783" spans="1:11" ht="42" customHeight="1">
      <c r="A5783" s="4" t="s">
        <v>13169</v>
      </c>
      <c r="B5783" s="5" t="s">
        <v>13170</v>
      </c>
      <c r="C5783" s="5" t="s">
        <v>18</v>
      </c>
      <c r="D5783" s="5" t="s">
        <v>19</v>
      </c>
      <c r="E5783" s="5" t="s">
        <v>244</v>
      </c>
      <c r="F5783" s="9">
        <v>9</v>
      </c>
      <c r="G5783" s="9">
        <v>85</v>
      </c>
      <c r="H5783" s="5" t="s">
        <v>21</v>
      </c>
      <c r="I5783" s="5" t="s">
        <v>13171</v>
      </c>
      <c r="J5783" s="12" t="str">
        <f>HYPERLINK("https://www.boe.es/gazeta/dias/1800/01/31/pdfs/GMD-1800-9.pdf#page=9","Abrir facsímil")</f>
        <v>Abrir facsímil</v>
      </c>
      <c r="K5783" s="15" t="s">
        <v>23</v>
      </c>
    </row>
    <row r="5784" spans="1:11" ht="42" customHeight="1">
      <c r="A5784" s="4" t="s">
        <v>13172</v>
      </c>
      <c r="B5784" s="5" t="s">
        <v>13173</v>
      </c>
      <c r="C5784" s="5" t="s">
        <v>84</v>
      </c>
      <c r="D5784" s="5" t="s">
        <v>85</v>
      </c>
      <c r="E5784" s="5" t="s">
        <v>491</v>
      </c>
      <c r="F5784" s="9">
        <v>29</v>
      </c>
      <c r="G5784" s="9">
        <v>300</v>
      </c>
      <c r="H5784" s="5" t="s">
        <v>21</v>
      </c>
      <c r="I5784" s="5" t="s">
        <v>13174</v>
      </c>
      <c r="J5784" s="12" t="str">
        <f>HYPERLINK("https://www.boe.es/gazeta/dias/1800/04/11/pdfs/GMD-1800-29.pdf#page=8","Abrir facsímil")</f>
        <v>Abrir facsímil</v>
      </c>
      <c r="K5784" s="15" t="s">
        <v>23</v>
      </c>
    </row>
    <row r="5785" spans="1:11" ht="42" customHeight="1">
      <c r="A5785" s="4" t="s">
        <v>13175</v>
      </c>
      <c r="B5785" s="5" t="s">
        <v>13176</v>
      </c>
      <c r="C5785" s="5" t="s">
        <v>207</v>
      </c>
      <c r="D5785" s="5" t="s">
        <v>55</v>
      </c>
      <c r="E5785" s="5" t="s">
        <v>180</v>
      </c>
      <c r="F5785" s="9">
        <v>102</v>
      </c>
      <c r="G5785" s="9">
        <v>1187</v>
      </c>
      <c r="H5785" s="5" t="s">
        <v>21</v>
      </c>
      <c r="I5785" s="5" t="s">
        <v>13177</v>
      </c>
      <c r="J5785" s="12" t="str">
        <f>HYPERLINK("https://www.boe.es/gazeta/dias/1800/12/19/pdfs/GMD-1800-102.pdf#page=11","Abrir facsímil")</f>
        <v>Abrir facsímil</v>
      </c>
      <c r="K5785" s="15" t="s">
        <v>23</v>
      </c>
    </row>
    <row r="5786" spans="1:11" ht="42" customHeight="1">
      <c r="A5786" s="4" t="s">
        <v>13178</v>
      </c>
      <c r="B5786" s="5" t="s">
        <v>13179</v>
      </c>
      <c r="C5786" s="5" t="s">
        <v>18</v>
      </c>
      <c r="D5786" s="5" t="s">
        <v>19</v>
      </c>
      <c r="E5786" s="5" t="s">
        <v>567</v>
      </c>
      <c r="F5786" s="9">
        <v>3</v>
      </c>
      <c r="G5786" s="9">
        <v>27</v>
      </c>
      <c r="H5786" s="5" t="s">
        <v>21</v>
      </c>
      <c r="I5786" s="5" t="s">
        <v>13180</v>
      </c>
      <c r="J5786" s="12" t="str">
        <f>HYPERLINK("https://www.boe.es/gazeta/dias/1800/01/10/pdfs/GMD-1800-3.pdf#page=7","Abrir facsímil")</f>
        <v>Abrir facsímil</v>
      </c>
      <c r="K5786" s="15" t="s">
        <v>23</v>
      </c>
    </row>
    <row r="5787" spans="1:11" ht="42" customHeight="1">
      <c r="A5787" s="4" t="s">
        <v>13181</v>
      </c>
      <c r="B5787" s="5" t="s">
        <v>13182</v>
      </c>
      <c r="C5787" s="5" t="s">
        <v>25</v>
      </c>
      <c r="D5787" s="5" t="s">
        <v>26</v>
      </c>
      <c r="E5787" s="5" t="s">
        <v>120</v>
      </c>
      <c r="F5787" s="9">
        <v>52</v>
      </c>
      <c r="G5787" s="9">
        <v>576</v>
      </c>
      <c r="H5787" s="5" t="s">
        <v>21</v>
      </c>
      <c r="I5787" s="5" t="s">
        <v>13183</v>
      </c>
      <c r="J5787" s="12" t="str">
        <f>HYPERLINK("https://www.boe.es/gazeta/dias/1800/07/01/pdfs/GMD-1800-52.pdf#page=12","Abrir facsímil")</f>
        <v>Abrir facsímil</v>
      </c>
      <c r="K5787" s="15" t="s">
        <v>23</v>
      </c>
    </row>
    <row r="5788" spans="1:11" ht="42" customHeight="1">
      <c r="A5788" s="4" t="s">
        <v>13184</v>
      </c>
      <c r="B5788" s="5" t="s">
        <v>13185</v>
      </c>
      <c r="C5788" s="5" t="s">
        <v>18</v>
      </c>
      <c r="D5788" s="5" t="s">
        <v>19</v>
      </c>
      <c r="E5788" s="5" t="s">
        <v>491</v>
      </c>
      <c r="F5788" s="9">
        <v>29</v>
      </c>
      <c r="G5788" s="9">
        <v>300</v>
      </c>
      <c r="H5788" s="5" t="s">
        <v>21</v>
      </c>
      <c r="I5788" s="5" t="s">
        <v>13186</v>
      </c>
      <c r="J5788" s="12" t="str">
        <f>HYPERLINK("https://www.boe.es/gazeta/dias/1800/04/11/pdfs/GMD-1800-29.pdf#page=8","Abrir facsímil")</f>
        <v>Abrir facsímil</v>
      </c>
      <c r="K5788" s="15" t="s">
        <v>23</v>
      </c>
    </row>
    <row r="5789" spans="1:11" ht="42" customHeight="1">
      <c r="A5789" s="4" t="s">
        <v>13187</v>
      </c>
      <c r="B5789" s="5" t="s">
        <v>13188</v>
      </c>
      <c r="C5789" s="5" t="s">
        <v>18</v>
      </c>
      <c r="D5789" s="5" t="s">
        <v>19</v>
      </c>
      <c r="E5789" s="5" t="s">
        <v>56</v>
      </c>
      <c r="F5789" s="9">
        <v>90</v>
      </c>
      <c r="G5789" s="9">
        <v>1056</v>
      </c>
      <c r="H5789" s="5" t="s">
        <v>21</v>
      </c>
      <c r="I5789" s="5" t="s">
        <v>13189</v>
      </c>
      <c r="J5789" s="12" t="str">
        <f>HYPERLINK("https://www.boe.es/gazeta/dias/1800/11/07/pdfs/GMD-1800-90.pdf#page=10","Abrir facsímil")</f>
        <v>Abrir facsímil</v>
      </c>
      <c r="K5789" s="15" t="s">
        <v>23</v>
      </c>
    </row>
    <row r="5790" spans="1:11" ht="42" customHeight="1">
      <c r="A5790" s="4" t="s">
        <v>13190</v>
      </c>
      <c r="B5790" s="5" t="s">
        <v>13191</v>
      </c>
      <c r="C5790" s="5" t="s">
        <v>25</v>
      </c>
      <c r="D5790" s="5" t="s">
        <v>26</v>
      </c>
      <c r="E5790" s="5" t="s">
        <v>139</v>
      </c>
      <c r="F5790" s="9">
        <v>2</v>
      </c>
      <c r="G5790" s="9">
        <v>19</v>
      </c>
      <c r="H5790" s="5" t="s">
        <v>21</v>
      </c>
      <c r="I5790" s="5" t="s">
        <v>13192</v>
      </c>
      <c r="J5790" s="12" t="str">
        <f>HYPERLINK("https://www.boe.es/gazeta/dias/1800/01/07/pdfs/GMD-1800-2.pdf#page=11","Abrir facsímil")</f>
        <v>Abrir facsímil</v>
      </c>
      <c r="K5790" s="15" t="s">
        <v>23</v>
      </c>
    </row>
    <row r="5791" spans="1:11" ht="42" customHeight="1">
      <c r="A5791" s="4" t="s">
        <v>13193</v>
      </c>
      <c r="B5791" s="5" t="s">
        <v>13194</v>
      </c>
      <c r="C5791" s="5" t="s">
        <v>18</v>
      </c>
      <c r="D5791" s="5" t="s">
        <v>19</v>
      </c>
      <c r="E5791" s="5" t="s">
        <v>1433</v>
      </c>
      <c r="F5791" s="9">
        <v>12</v>
      </c>
      <c r="G5791" s="9">
        <v>115</v>
      </c>
      <c r="H5791" s="5" t="s">
        <v>21</v>
      </c>
      <c r="I5791" s="5" t="s">
        <v>13195</v>
      </c>
      <c r="J5791" s="12" t="str">
        <f>HYPERLINK("https://www.boe.es/gazeta/dias/1800/02/11/pdfs/GMD-1800-12.pdf#page=7","Abrir facsímil")</f>
        <v>Abrir facsímil</v>
      </c>
      <c r="K5791" s="15" t="s">
        <v>23</v>
      </c>
    </row>
    <row r="5792" spans="1:11" ht="42" customHeight="1">
      <c r="A5792" s="4" t="s">
        <v>13193</v>
      </c>
      <c r="B5792" s="5" t="s">
        <v>13194</v>
      </c>
      <c r="C5792" s="5" t="s">
        <v>54</v>
      </c>
      <c r="D5792" s="5" t="s">
        <v>55</v>
      </c>
      <c r="E5792" s="5" t="s">
        <v>346</v>
      </c>
      <c r="F5792" s="9">
        <v>24</v>
      </c>
      <c r="G5792" s="9">
        <v>247</v>
      </c>
      <c r="H5792" s="5" t="s">
        <v>21</v>
      </c>
      <c r="I5792" s="5" t="s">
        <v>13196</v>
      </c>
      <c r="J5792" s="12" t="str">
        <f>HYPERLINK("https://www.boe.es/gazeta/dias/1800/03/25/pdfs/GMD-1800-24.pdf#page=11","Abrir facsímil")</f>
        <v>Abrir facsímil</v>
      </c>
      <c r="K5792" s="15" t="s">
        <v>23</v>
      </c>
    </row>
    <row r="5793" spans="1:11" ht="42" customHeight="1">
      <c r="A5793" s="4" t="s">
        <v>13193</v>
      </c>
      <c r="B5793" s="5" t="s">
        <v>13194</v>
      </c>
      <c r="C5793" s="5" t="s">
        <v>18</v>
      </c>
      <c r="D5793" s="5" t="s">
        <v>19</v>
      </c>
      <c r="E5793" s="5" t="s">
        <v>48</v>
      </c>
      <c r="F5793" s="9">
        <v>66</v>
      </c>
      <c r="G5793" s="9">
        <v>747</v>
      </c>
      <c r="H5793" s="5" t="s">
        <v>21</v>
      </c>
      <c r="I5793" s="5" t="s">
        <v>13197</v>
      </c>
      <c r="J5793" s="12" t="str">
        <f>HYPERLINK("https://www.boe.es/gazeta/dias/1800/08/19/pdfs/GMD-1800-66.pdf#page=11","Abrir facsímil")</f>
        <v>Abrir facsímil</v>
      </c>
      <c r="K5793" s="15" t="s">
        <v>23</v>
      </c>
    </row>
    <row r="5794" spans="1:11" ht="42" customHeight="1">
      <c r="A5794" s="4" t="s">
        <v>13193</v>
      </c>
      <c r="B5794" s="5" t="s">
        <v>13194</v>
      </c>
      <c r="C5794" s="5" t="s">
        <v>18</v>
      </c>
      <c r="D5794" s="5" t="s">
        <v>19</v>
      </c>
      <c r="E5794" s="5" t="s">
        <v>583</v>
      </c>
      <c r="F5794" s="9">
        <v>77</v>
      </c>
      <c r="G5794" s="9">
        <v>879</v>
      </c>
      <c r="H5794" s="5" t="s">
        <v>21</v>
      </c>
      <c r="I5794" s="5" t="s">
        <v>13198</v>
      </c>
      <c r="J5794" s="12" t="str">
        <f>HYPERLINK("https://www.boe.es/gazeta/dias/1800/09/23/pdfs/GMD-1800-77.pdf#page=9","Abrir facsímil")</f>
        <v>Abrir facsímil</v>
      </c>
      <c r="K5794" s="15" t="s">
        <v>23</v>
      </c>
    </row>
    <row r="5795" spans="1:11" ht="42" customHeight="1">
      <c r="A5795" s="4" t="s">
        <v>13199</v>
      </c>
      <c r="B5795" s="5" t="s">
        <v>13200</v>
      </c>
      <c r="C5795" s="5" t="s">
        <v>18</v>
      </c>
      <c r="D5795" s="5" t="s">
        <v>19</v>
      </c>
      <c r="E5795" s="5" t="s">
        <v>787</v>
      </c>
      <c r="F5795" s="9">
        <v>6</v>
      </c>
      <c r="G5795" s="9">
        <v>60</v>
      </c>
      <c r="H5795" s="5" t="s">
        <v>21</v>
      </c>
      <c r="I5795" s="5" t="s">
        <v>13201</v>
      </c>
      <c r="J5795" s="12" t="str">
        <f>HYPERLINK("https://www.boe.es/gazeta/dias/1800/01/21/pdfs/GMD-1800-6.pdf#page=12","Abrir facsímil")</f>
        <v>Abrir facsímil</v>
      </c>
      <c r="K5795" s="15" t="s">
        <v>23</v>
      </c>
    </row>
    <row r="5796" spans="1:11" ht="42" customHeight="1">
      <c r="A5796" s="4" t="s">
        <v>13199</v>
      </c>
      <c r="B5796" s="5" t="s">
        <v>13200</v>
      </c>
      <c r="C5796" s="5" t="s">
        <v>84</v>
      </c>
      <c r="D5796" s="5" t="s">
        <v>85</v>
      </c>
      <c r="E5796" s="5" t="s">
        <v>79</v>
      </c>
      <c r="F5796" s="9">
        <v>7</v>
      </c>
      <c r="G5796" s="9">
        <v>68</v>
      </c>
      <c r="H5796" s="5" t="s">
        <v>21</v>
      </c>
      <c r="I5796" s="5" t="s">
        <v>13202</v>
      </c>
      <c r="J5796" s="12" t="str">
        <f>HYPERLINK("https://www.boe.es/gazeta/dias/1800/01/24/pdfs/GMD-1800-7.pdf#page=8","Abrir facsímil")</f>
        <v>Abrir facsímil</v>
      </c>
      <c r="K5796" s="15" t="s">
        <v>23</v>
      </c>
    </row>
    <row r="5797" spans="1:11" ht="42" customHeight="1">
      <c r="A5797" s="4" t="s">
        <v>13203</v>
      </c>
      <c r="B5797" s="5" t="s">
        <v>13204</v>
      </c>
      <c r="C5797" s="5" t="s">
        <v>18</v>
      </c>
      <c r="D5797" s="5" t="s">
        <v>19</v>
      </c>
      <c r="E5797" s="5" t="s">
        <v>79</v>
      </c>
      <c r="F5797" s="9">
        <v>7</v>
      </c>
      <c r="G5797" s="9">
        <v>66</v>
      </c>
      <c r="H5797" s="5" t="s">
        <v>21</v>
      </c>
      <c r="I5797" s="5" t="s">
        <v>13205</v>
      </c>
      <c r="J5797" s="12" t="str">
        <f>HYPERLINK("https://www.boe.es/gazeta/dias/1800/01/24/pdfs/GMD-1800-7.pdf#page=6","Abrir facsímil")</f>
        <v>Abrir facsímil</v>
      </c>
      <c r="K5797" s="15" t="s">
        <v>23</v>
      </c>
    </row>
    <row r="5798" spans="1:11" ht="42" customHeight="1">
      <c r="A5798" s="4" t="s">
        <v>13206</v>
      </c>
      <c r="B5798" s="5" t="s">
        <v>13207</v>
      </c>
      <c r="C5798" s="5" t="s">
        <v>18</v>
      </c>
      <c r="D5798" s="5" t="s">
        <v>19</v>
      </c>
      <c r="E5798" s="5" t="s">
        <v>422</v>
      </c>
      <c r="F5798" s="9">
        <v>85</v>
      </c>
      <c r="G5798" s="9">
        <v>985</v>
      </c>
      <c r="H5798" s="5" t="s">
        <v>21</v>
      </c>
      <c r="I5798" s="5" t="s">
        <v>13208</v>
      </c>
      <c r="J5798" s="12" t="str">
        <f>HYPERLINK("https://www.boe.es/gazeta/dias/1800/10/21/pdfs/GMD-1800-85.pdf#page=7","Abrir facsímil")</f>
        <v>Abrir facsímil</v>
      </c>
      <c r="K5798" s="15" t="s">
        <v>23</v>
      </c>
    </row>
    <row r="5799" spans="1:11" ht="42" customHeight="1">
      <c r="A5799" s="4" t="s">
        <v>13206</v>
      </c>
      <c r="B5799" s="5" t="s">
        <v>13207</v>
      </c>
      <c r="C5799" s="5" t="s">
        <v>18</v>
      </c>
      <c r="D5799" s="5" t="s">
        <v>19</v>
      </c>
      <c r="E5799" s="5" t="s">
        <v>176</v>
      </c>
      <c r="F5799" s="9">
        <v>88</v>
      </c>
      <c r="G5799" s="9">
        <v>1031</v>
      </c>
      <c r="H5799" s="5" t="s">
        <v>21</v>
      </c>
      <c r="I5799" s="5" t="s">
        <v>13209</v>
      </c>
      <c r="J5799" s="12" t="str">
        <f>HYPERLINK("https://www.boe.es/gazeta/dias/1800/10/31/pdfs/GMD-1800-88.pdf#page=13","Abrir facsímil")</f>
        <v>Abrir facsímil</v>
      </c>
      <c r="K5799" s="15" t="s">
        <v>23</v>
      </c>
    </row>
    <row r="5800" spans="1:11" ht="42" customHeight="1">
      <c r="A5800" s="4" t="s">
        <v>13210</v>
      </c>
      <c r="B5800" s="5" t="s">
        <v>13211</v>
      </c>
      <c r="C5800" s="5" t="s">
        <v>54</v>
      </c>
      <c r="D5800" s="5" t="s">
        <v>55</v>
      </c>
      <c r="E5800" s="5" t="s">
        <v>534</v>
      </c>
      <c r="F5800" s="9">
        <v>100</v>
      </c>
      <c r="G5800" s="9">
        <v>1162</v>
      </c>
      <c r="H5800" s="5" t="s">
        <v>21</v>
      </c>
      <c r="I5800" s="5" t="s">
        <v>13212</v>
      </c>
      <c r="J5800" s="12" t="str">
        <f>HYPERLINK("https://www.boe.es/gazeta/dias/1800/12/12/pdfs/GMD-1800-100.pdf#page=14","Abrir facsímil")</f>
        <v>Abrir facsímil</v>
      </c>
      <c r="K5800" s="15" t="s">
        <v>23</v>
      </c>
    </row>
    <row r="5801" spans="1:11" ht="42" customHeight="1">
      <c r="A5801" s="4" t="s">
        <v>13213</v>
      </c>
      <c r="B5801" s="5" t="s">
        <v>13214</v>
      </c>
      <c r="C5801" s="5" t="s">
        <v>18</v>
      </c>
      <c r="D5801" s="5" t="s">
        <v>19</v>
      </c>
      <c r="E5801" s="5" t="s">
        <v>299</v>
      </c>
      <c r="F5801" s="9">
        <v>40</v>
      </c>
      <c r="G5801" s="9">
        <v>412</v>
      </c>
      <c r="H5801" s="5" t="s">
        <v>21</v>
      </c>
      <c r="I5801" s="5" t="s">
        <v>13215</v>
      </c>
      <c r="J5801" s="12" t="str">
        <f>HYPERLINK("https://www.boe.es/gazeta/dias/1800/05/20/pdfs/GMD-1800-40.pdf#page=8","Abrir facsímil")</f>
        <v>Abrir facsímil</v>
      </c>
      <c r="K5801" s="15" t="s">
        <v>23</v>
      </c>
    </row>
    <row r="5802" spans="1:11" ht="42" customHeight="1">
      <c r="A5802" s="4" t="s">
        <v>13216</v>
      </c>
      <c r="B5802" s="5" t="s">
        <v>13217</v>
      </c>
      <c r="C5802" s="5" t="s">
        <v>18</v>
      </c>
      <c r="D5802" s="5" t="s">
        <v>19</v>
      </c>
      <c r="E5802" s="5" t="s">
        <v>135</v>
      </c>
      <c r="F5802" s="9">
        <v>73</v>
      </c>
      <c r="G5802" s="9">
        <v>816</v>
      </c>
      <c r="H5802" s="5" t="s">
        <v>21</v>
      </c>
      <c r="I5802" s="5" t="s">
        <v>13218</v>
      </c>
      <c r="J5802" s="12" t="str">
        <f>HYPERLINK("https://www.boe.es/gazeta/dias/1800/09/09/pdfs/GMD-1800-73.pdf#page=10","Abrir facsímil")</f>
        <v>Abrir facsímil</v>
      </c>
      <c r="K5802" s="15" t="s">
        <v>23</v>
      </c>
    </row>
    <row r="5803" spans="1:11" ht="42" customHeight="1">
      <c r="A5803" s="4" t="s">
        <v>13219</v>
      </c>
      <c r="B5803" s="5" t="s">
        <v>13220</v>
      </c>
      <c r="C5803" s="5" t="s">
        <v>18</v>
      </c>
      <c r="D5803" s="5" t="s">
        <v>19</v>
      </c>
      <c r="E5803" s="5" t="s">
        <v>420</v>
      </c>
      <c r="F5803" s="9">
        <v>38</v>
      </c>
      <c r="G5803" s="9">
        <v>388</v>
      </c>
      <c r="H5803" s="5" t="s">
        <v>21</v>
      </c>
      <c r="I5803" s="5" t="s">
        <v>13221</v>
      </c>
      <c r="J5803" s="12" t="str">
        <f>HYPERLINK("https://www.boe.es/gazeta/dias/1800/05/13/pdfs/GMD-1800-38.pdf#page=8","Abrir facsímil")</f>
        <v>Abrir facsímil</v>
      </c>
      <c r="K5803" s="15" t="s">
        <v>23</v>
      </c>
    </row>
    <row r="5804" spans="1:11" ht="42" customHeight="1">
      <c r="A5804" s="4" t="s">
        <v>13222</v>
      </c>
      <c r="B5804" s="5" t="s">
        <v>13223</v>
      </c>
      <c r="C5804" s="5" t="s">
        <v>41</v>
      </c>
      <c r="D5804" s="5" t="s">
        <v>42</v>
      </c>
      <c r="E5804" s="5" t="s">
        <v>143</v>
      </c>
      <c r="F5804" s="9">
        <v>22</v>
      </c>
      <c r="G5804" s="9">
        <v>219</v>
      </c>
      <c r="H5804" s="5" t="s">
        <v>21</v>
      </c>
      <c r="I5804" s="5" t="s">
        <v>13224</v>
      </c>
      <c r="J5804" s="12" t="str">
        <f>HYPERLINK("https://www.boe.es/gazeta/dias/1800/03/18/pdfs/GMD-1800-22.pdf#page=11","Abrir facsímil")</f>
        <v>Abrir facsímil</v>
      </c>
      <c r="K5804" s="15" t="s">
        <v>23</v>
      </c>
    </row>
    <row r="5805" spans="1:11" ht="42" customHeight="1">
      <c r="A5805" s="4" t="s">
        <v>13225</v>
      </c>
      <c r="B5805" s="5" t="s">
        <v>13226</v>
      </c>
      <c r="C5805" s="5" t="s">
        <v>18</v>
      </c>
      <c r="D5805" s="5" t="s">
        <v>19</v>
      </c>
      <c r="E5805" s="5" t="s">
        <v>422</v>
      </c>
      <c r="F5805" s="9">
        <v>85</v>
      </c>
      <c r="G5805" s="9">
        <v>985</v>
      </c>
      <c r="H5805" s="5" t="s">
        <v>21</v>
      </c>
      <c r="I5805" s="5" t="s">
        <v>13227</v>
      </c>
      <c r="J5805" s="12" t="str">
        <f>HYPERLINK("https://www.boe.es/gazeta/dias/1800/10/21/pdfs/GMD-1800-85.pdf#page=7","Abrir facsímil")</f>
        <v>Abrir facsímil</v>
      </c>
      <c r="K5805" s="15" t="s">
        <v>23</v>
      </c>
    </row>
    <row r="5806" spans="1:11" ht="42" customHeight="1">
      <c r="A5806" s="4" t="s">
        <v>13228</v>
      </c>
      <c r="B5806" s="5" t="s">
        <v>13229</v>
      </c>
      <c r="C5806" s="5" t="s">
        <v>18</v>
      </c>
      <c r="D5806" s="5" t="s">
        <v>19</v>
      </c>
      <c r="E5806" s="5" t="s">
        <v>828</v>
      </c>
      <c r="F5806" s="9">
        <v>53</v>
      </c>
      <c r="G5806" s="9">
        <v>589</v>
      </c>
      <c r="H5806" s="5" t="s">
        <v>21</v>
      </c>
      <c r="I5806" s="5" t="s">
        <v>13230</v>
      </c>
      <c r="J5806" s="12" t="str">
        <f>HYPERLINK("https://www.boe.es/gazeta/dias/1800/07/04/pdfs/GMD-1800-53.pdf#page=9","Abrir facsímil")</f>
        <v>Abrir facsímil</v>
      </c>
      <c r="K5806" s="15" t="s">
        <v>23</v>
      </c>
    </row>
    <row r="5807" spans="1:11" ht="42" customHeight="1">
      <c r="A5807" s="4" t="s">
        <v>13231</v>
      </c>
      <c r="B5807" s="5" t="s">
        <v>13232</v>
      </c>
      <c r="C5807" s="5" t="s">
        <v>18</v>
      </c>
      <c r="D5807" s="5" t="s">
        <v>19</v>
      </c>
      <c r="E5807" s="5" t="s">
        <v>1231</v>
      </c>
      <c r="F5807" s="9">
        <v>36</v>
      </c>
      <c r="G5807" s="9">
        <v>357</v>
      </c>
      <c r="H5807" s="5" t="s">
        <v>21</v>
      </c>
      <c r="I5807" s="5" t="s">
        <v>13233</v>
      </c>
      <c r="J5807" s="12" t="str">
        <f>HYPERLINK("https://www.boe.es/gazeta/dias/1800/05/06/pdfs/GMD-1800-36.pdf#page=1","Abrir facsímil")</f>
        <v>Abrir facsímil</v>
      </c>
      <c r="K5807" s="15" t="s">
        <v>23</v>
      </c>
    </row>
    <row r="5808" spans="1:11" ht="42" customHeight="1">
      <c r="A5808" s="4" t="s">
        <v>13234</v>
      </c>
      <c r="B5808" s="5" t="s">
        <v>13235</v>
      </c>
      <c r="C5808" s="5" t="s">
        <v>84</v>
      </c>
      <c r="D5808" s="5" t="s">
        <v>85</v>
      </c>
      <c r="E5808" s="5" t="s">
        <v>1108</v>
      </c>
      <c r="F5808" s="9">
        <v>30</v>
      </c>
      <c r="G5808" s="9">
        <v>307</v>
      </c>
      <c r="H5808" s="5" t="s">
        <v>21</v>
      </c>
      <c r="I5808" s="5" t="s">
        <v>13236</v>
      </c>
      <c r="J5808" s="12" t="str">
        <f>HYPERLINK("https://www.boe.es/gazeta/dias/1800/04/15/pdfs/GMD-1800-30.pdf#page=7","Abrir facsímil")</f>
        <v>Abrir facsímil</v>
      </c>
      <c r="K5808" s="15" t="s">
        <v>23</v>
      </c>
    </row>
    <row r="5809" spans="1:11" ht="42" customHeight="1">
      <c r="A5809" s="4" t="s">
        <v>13237</v>
      </c>
      <c r="B5809" s="5" t="s">
        <v>13238</v>
      </c>
      <c r="C5809" s="5" t="s">
        <v>41</v>
      </c>
      <c r="D5809" s="5" t="s">
        <v>42</v>
      </c>
      <c r="E5809" s="5" t="s">
        <v>194</v>
      </c>
      <c r="F5809" s="9">
        <v>48</v>
      </c>
      <c r="G5809" s="9">
        <v>512</v>
      </c>
      <c r="H5809" s="5" t="s">
        <v>21</v>
      </c>
      <c r="I5809" s="5" t="s">
        <v>13239</v>
      </c>
      <c r="J5809" s="12" t="str">
        <f>HYPERLINK("https://www.boe.es/gazeta/dias/1800/06/17/pdfs/GMD-1800-48.pdf#page=4","Abrir facsímil")</f>
        <v>Abrir facsímil</v>
      </c>
      <c r="K5809" s="15" t="s">
        <v>23</v>
      </c>
    </row>
    <row r="5810" spans="1:11" ht="42" customHeight="1">
      <c r="A5810" s="4" t="s">
        <v>13240</v>
      </c>
      <c r="B5810" s="5" t="s">
        <v>13241</v>
      </c>
      <c r="C5810" s="5" t="s">
        <v>18</v>
      </c>
      <c r="D5810" s="5" t="s">
        <v>19</v>
      </c>
      <c r="E5810" s="5" t="s">
        <v>618</v>
      </c>
      <c r="F5810" s="9">
        <v>1</v>
      </c>
      <c r="G5810" s="9">
        <v>6</v>
      </c>
      <c r="H5810" s="5" t="s">
        <v>21</v>
      </c>
      <c r="I5810" s="5" t="s">
        <v>13242</v>
      </c>
      <c r="J5810" s="12" t="str">
        <f>HYPERLINK("https://www.boe.es/gazeta/dias/1800/01/03/pdfs/GMD-1800-1.pdf#page=6","Abrir facsímil")</f>
        <v>Abrir facsímil</v>
      </c>
      <c r="K5810" s="15" t="s">
        <v>23</v>
      </c>
    </row>
    <row r="5811" spans="1:11" ht="42" customHeight="1">
      <c r="A5811" s="4" t="s">
        <v>13243</v>
      </c>
      <c r="B5811" s="5" t="s">
        <v>13244</v>
      </c>
      <c r="C5811" s="5" t="s">
        <v>18</v>
      </c>
      <c r="D5811" s="5" t="s">
        <v>19</v>
      </c>
      <c r="E5811" s="5" t="s">
        <v>139</v>
      </c>
      <c r="F5811" s="9">
        <v>2</v>
      </c>
      <c r="G5811" s="9">
        <v>17</v>
      </c>
      <c r="H5811" s="5" t="s">
        <v>21</v>
      </c>
      <c r="I5811" s="5" t="s">
        <v>13245</v>
      </c>
      <c r="J5811" s="12" t="str">
        <f>HYPERLINK("https://www.boe.es/gazeta/dias/1800/01/07/pdfs/GMD-1800-2.pdf#page=9","Abrir facsímil")</f>
        <v>Abrir facsímil</v>
      </c>
      <c r="K5811" s="15" t="s">
        <v>23</v>
      </c>
    </row>
    <row r="5812" spans="1:11" ht="42" customHeight="1">
      <c r="A5812" s="4" t="s">
        <v>13246</v>
      </c>
      <c r="B5812" s="5" t="s">
        <v>13247</v>
      </c>
      <c r="C5812" s="5" t="s">
        <v>18</v>
      </c>
      <c r="D5812" s="5" t="s">
        <v>19</v>
      </c>
      <c r="E5812" s="5" t="s">
        <v>64</v>
      </c>
      <c r="F5812" s="9">
        <v>54</v>
      </c>
      <c r="G5812" s="9">
        <v>606</v>
      </c>
      <c r="H5812" s="5" t="s">
        <v>21</v>
      </c>
      <c r="I5812" s="5" t="s">
        <v>13248</v>
      </c>
      <c r="J5812" s="12" t="str">
        <f>HYPERLINK("https://www.boe.es/gazeta/dias/1800/07/08/pdfs/GMD-1800-54.pdf#page=10","Abrir facsímil")</f>
        <v>Abrir facsímil</v>
      </c>
      <c r="K5812" s="15" t="s">
        <v>23</v>
      </c>
    </row>
    <row r="5813" spans="1:11" ht="42" customHeight="1">
      <c r="A5813" s="4" t="s">
        <v>13249</v>
      </c>
      <c r="B5813" s="5" t="s">
        <v>13249</v>
      </c>
      <c r="C5813" s="5" t="s">
        <v>114</v>
      </c>
      <c r="D5813" s="5" t="s">
        <v>115</v>
      </c>
      <c r="E5813" s="5" t="s">
        <v>116</v>
      </c>
      <c r="F5813" s="9">
        <v>86</v>
      </c>
      <c r="G5813" s="9" t="s">
        <v>725</v>
      </c>
      <c r="H5813" s="5" t="s">
        <v>21</v>
      </c>
      <c r="I5813" s="5" t="s">
        <v>13250</v>
      </c>
      <c r="J5813" s="12" t="str">
        <f>HYPERLINK("https://www.boe.es/gazeta/dias/1800/10/24/pdfs/GMD-D-1800-86.pdf#page=1","Abrir facsímil")</f>
        <v>Abrir facsímil</v>
      </c>
      <c r="K5813" s="15" t="s">
        <v>23</v>
      </c>
    </row>
    <row r="5814" spans="1:11" ht="42" customHeight="1">
      <c r="A5814" s="4" t="s">
        <v>13251</v>
      </c>
      <c r="B5814" s="5" t="s">
        <v>13251</v>
      </c>
      <c r="C5814" s="5" t="s">
        <v>41</v>
      </c>
      <c r="D5814" s="5" t="s">
        <v>42</v>
      </c>
      <c r="E5814" s="5" t="s">
        <v>1433</v>
      </c>
      <c r="F5814" s="9">
        <v>12</v>
      </c>
      <c r="G5814" s="9">
        <v>114</v>
      </c>
      <c r="H5814" s="5" t="s">
        <v>21</v>
      </c>
      <c r="I5814" s="5" t="s">
        <v>9835</v>
      </c>
      <c r="J5814" s="12" t="str">
        <f>HYPERLINK("https://www.boe.es/gazeta/dias/1800/02/11/pdfs/GMD-1800-12.pdf#page=6","Abrir facsímil")</f>
        <v>Abrir facsímil</v>
      </c>
      <c r="K5814" s="15" t="s">
        <v>23</v>
      </c>
    </row>
    <row r="5815" spans="1:11" ht="42" customHeight="1">
      <c r="A5815" s="4" t="s">
        <v>13252</v>
      </c>
      <c r="B5815" s="5" t="s">
        <v>13253</v>
      </c>
      <c r="C5815" s="5" t="s">
        <v>41</v>
      </c>
      <c r="D5815" s="5" t="s">
        <v>42</v>
      </c>
      <c r="E5815" s="5" t="s">
        <v>1213</v>
      </c>
      <c r="F5815" s="9">
        <v>4</v>
      </c>
      <c r="G5815" s="9">
        <v>34</v>
      </c>
      <c r="H5815" s="5" t="s">
        <v>21</v>
      </c>
      <c r="I5815" s="5" t="s">
        <v>13254</v>
      </c>
      <c r="J5815" s="12" t="str">
        <f>HYPERLINK("https://www.boe.es/gazeta/dias/1800/01/14/pdfs/GMD-1800-4.pdf#page=6","Abrir facsímil")</f>
        <v>Abrir facsímil</v>
      </c>
      <c r="K5815" s="15" t="s">
        <v>23</v>
      </c>
    </row>
    <row r="5816" spans="1:11" ht="42" customHeight="1">
      <c r="A5816" s="4" t="s">
        <v>13255</v>
      </c>
      <c r="B5816" s="5" t="s">
        <v>13256</v>
      </c>
      <c r="C5816" s="5" t="s">
        <v>41</v>
      </c>
      <c r="D5816" s="5" t="s">
        <v>42</v>
      </c>
      <c r="E5816" s="5" t="s">
        <v>1213</v>
      </c>
      <c r="F5816" s="9">
        <v>4</v>
      </c>
      <c r="G5816" s="9">
        <v>34</v>
      </c>
      <c r="H5816" s="5" t="s">
        <v>21</v>
      </c>
      <c r="I5816" s="5" t="s">
        <v>13257</v>
      </c>
      <c r="J5816" s="12" t="str">
        <f>HYPERLINK("https://www.boe.es/gazeta/dias/1800/01/14/pdfs/GMD-1800-4.pdf#page=6","Abrir facsímil")</f>
        <v>Abrir facsímil</v>
      </c>
      <c r="K5816" s="15" t="s">
        <v>23</v>
      </c>
    </row>
    <row r="5817" spans="1:11" ht="42" customHeight="1">
      <c r="A5817" s="4" t="s">
        <v>13255</v>
      </c>
      <c r="B5817" s="5" t="s">
        <v>13256</v>
      </c>
      <c r="C5817" s="5" t="s">
        <v>41</v>
      </c>
      <c r="D5817" s="5" t="s">
        <v>42</v>
      </c>
      <c r="E5817" s="5" t="s">
        <v>503</v>
      </c>
      <c r="F5817" s="9">
        <v>13</v>
      </c>
      <c r="G5817" s="9">
        <v>125</v>
      </c>
      <c r="H5817" s="5" t="s">
        <v>21</v>
      </c>
      <c r="I5817" s="5" t="s">
        <v>13258</v>
      </c>
      <c r="J5817" s="12" t="str">
        <f>HYPERLINK("https://www.boe.es/gazeta/dias/1800/02/14/pdfs/GMD-1800-13.pdf#page=9","Abrir facsímil")</f>
        <v>Abrir facsímil</v>
      </c>
      <c r="K5817" s="15" t="s">
        <v>23</v>
      </c>
    </row>
    <row r="5818" spans="1:11" ht="42" customHeight="1">
      <c r="A5818" s="4" t="s">
        <v>13255</v>
      </c>
      <c r="B5818" s="5" t="s">
        <v>13256</v>
      </c>
      <c r="C5818" s="5" t="s">
        <v>41</v>
      </c>
      <c r="D5818" s="5" t="s">
        <v>42</v>
      </c>
      <c r="E5818" s="5" t="s">
        <v>214</v>
      </c>
      <c r="F5818" s="9">
        <v>41</v>
      </c>
      <c r="G5818" s="9">
        <v>422</v>
      </c>
      <c r="H5818" s="5" t="s">
        <v>21</v>
      </c>
      <c r="I5818" s="5" t="s">
        <v>13259</v>
      </c>
      <c r="J5818" s="12" t="str">
        <f>HYPERLINK("https://www.boe.es/gazeta/dias/1800/05/23/pdfs/GMD-1800-41.pdf#page=6","Abrir facsímil")</f>
        <v>Abrir facsímil</v>
      </c>
      <c r="K5818" s="15" t="s">
        <v>23</v>
      </c>
    </row>
    <row r="5819" spans="1:11" ht="42" customHeight="1">
      <c r="A5819" s="4" t="s">
        <v>13255</v>
      </c>
      <c r="B5819" s="5" t="s">
        <v>13256</v>
      </c>
      <c r="C5819" s="5" t="s">
        <v>54</v>
      </c>
      <c r="D5819" s="5" t="s">
        <v>55</v>
      </c>
      <c r="E5819" s="5" t="s">
        <v>214</v>
      </c>
      <c r="F5819" s="9">
        <v>41</v>
      </c>
      <c r="G5819" s="9">
        <v>423</v>
      </c>
      <c r="H5819" s="5" t="s">
        <v>21</v>
      </c>
      <c r="I5819" s="5" t="s">
        <v>13260</v>
      </c>
      <c r="J5819" s="12" t="str">
        <f>HYPERLINK("https://www.boe.es/gazeta/dias/1800/05/23/pdfs/GMD-1800-41.pdf#page=7","Abrir facsímil")</f>
        <v>Abrir facsímil</v>
      </c>
      <c r="K5819" s="15" t="s">
        <v>23</v>
      </c>
    </row>
    <row r="5820" spans="1:11" ht="42" customHeight="1">
      <c r="A5820" s="4" t="s">
        <v>13255</v>
      </c>
      <c r="B5820" s="5" t="s">
        <v>13256</v>
      </c>
      <c r="C5820" s="5" t="s">
        <v>25</v>
      </c>
      <c r="D5820" s="5" t="s">
        <v>26</v>
      </c>
      <c r="E5820" s="5" t="s">
        <v>39</v>
      </c>
      <c r="F5820" s="9">
        <v>43</v>
      </c>
      <c r="G5820" s="9">
        <v>449</v>
      </c>
      <c r="H5820" s="5" t="s">
        <v>21</v>
      </c>
      <c r="I5820" s="5" t="s">
        <v>13261</v>
      </c>
      <c r="J5820" s="12" t="str">
        <f>HYPERLINK("https://www.boe.es/gazeta/dias/1800/05/30/pdfs/GMD-1800-43.pdf#page=9","Abrir facsímil")</f>
        <v>Abrir facsímil</v>
      </c>
      <c r="K5820" s="15" t="s">
        <v>23</v>
      </c>
    </row>
    <row r="5821" spans="1:11" ht="42" customHeight="1">
      <c r="A5821" s="4" t="s">
        <v>13255</v>
      </c>
      <c r="B5821" s="5" t="s">
        <v>13256</v>
      </c>
      <c r="C5821" s="5" t="s">
        <v>25</v>
      </c>
      <c r="D5821" s="5" t="s">
        <v>26</v>
      </c>
      <c r="E5821" s="5" t="s">
        <v>45</v>
      </c>
      <c r="F5821" s="9">
        <v>47</v>
      </c>
      <c r="G5821" s="9">
        <v>501</v>
      </c>
      <c r="H5821" s="5" t="s">
        <v>21</v>
      </c>
      <c r="I5821" s="5" t="s">
        <v>13262</v>
      </c>
      <c r="J5821" s="12" t="str">
        <f>HYPERLINK("https://www.boe.es/gazeta/dias/1800/06/13/pdfs/GMD-1800-47.pdf#page=9","Abrir facsímil")</f>
        <v>Abrir facsímil</v>
      </c>
      <c r="K5821" s="15" t="s">
        <v>23</v>
      </c>
    </row>
    <row r="5822" spans="1:11" ht="42" customHeight="1">
      <c r="A5822" s="4" t="s">
        <v>13255</v>
      </c>
      <c r="B5822" s="5" t="s">
        <v>13256</v>
      </c>
      <c r="C5822" s="5" t="s">
        <v>54</v>
      </c>
      <c r="D5822" s="5" t="s">
        <v>55</v>
      </c>
      <c r="E5822" s="5" t="s">
        <v>465</v>
      </c>
      <c r="F5822" s="9">
        <v>49</v>
      </c>
      <c r="G5822" s="9">
        <v>526</v>
      </c>
      <c r="H5822" s="5" t="s">
        <v>21</v>
      </c>
      <c r="I5822" s="5" t="s">
        <v>13263</v>
      </c>
      <c r="J5822" s="12" t="str">
        <f>HYPERLINK("https://www.boe.es/gazeta/dias/1800/06/20/pdfs/GMD-1800-49.pdf#page=2","Abrir facsímil")</f>
        <v>Abrir facsímil</v>
      </c>
      <c r="K5822" s="15" t="s">
        <v>23</v>
      </c>
    </row>
    <row r="5823" spans="1:11" ht="42" customHeight="1">
      <c r="A5823" s="4" t="s">
        <v>13255</v>
      </c>
      <c r="B5823" s="5" t="s">
        <v>13256</v>
      </c>
      <c r="C5823" s="5" t="s">
        <v>41</v>
      </c>
      <c r="D5823" s="5" t="s">
        <v>42</v>
      </c>
      <c r="E5823" s="5" t="s">
        <v>823</v>
      </c>
      <c r="F5823" s="9">
        <v>50</v>
      </c>
      <c r="G5823" s="9">
        <v>544</v>
      </c>
      <c r="H5823" s="5" t="s">
        <v>21</v>
      </c>
      <c r="I5823" s="5" t="s">
        <v>13264</v>
      </c>
      <c r="J5823" s="12" t="str">
        <f>HYPERLINK("https://www.boe.es/gazeta/dias/1800/06/24/pdfs/GMD-1800-50.pdf#page=8","Abrir facsímil")</f>
        <v>Abrir facsímil</v>
      </c>
      <c r="K5823" s="15" t="s">
        <v>23</v>
      </c>
    </row>
    <row r="5824" spans="1:11" ht="42" customHeight="1">
      <c r="A5824" s="4" t="s">
        <v>13255</v>
      </c>
      <c r="B5824" s="5" t="s">
        <v>13256</v>
      </c>
      <c r="C5824" s="5" t="s">
        <v>25</v>
      </c>
      <c r="D5824" s="5" t="s">
        <v>26</v>
      </c>
      <c r="E5824" s="5" t="s">
        <v>120</v>
      </c>
      <c r="F5824" s="9">
        <v>52</v>
      </c>
      <c r="G5824" s="9">
        <v>573</v>
      </c>
      <c r="H5824" s="5" t="s">
        <v>21</v>
      </c>
      <c r="I5824" s="5" t="s">
        <v>13265</v>
      </c>
      <c r="J5824" s="12" t="str">
        <f>HYPERLINK("https://www.boe.es/gazeta/dias/1800/07/01/pdfs/GMD-1800-52.pdf#page=9","Abrir facsímil")</f>
        <v>Abrir facsímil</v>
      </c>
      <c r="K5824" s="15" t="s">
        <v>23</v>
      </c>
    </row>
    <row r="5825" spans="1:11" ht="42" customHeight="1">
      <c r="A5825" s="4" t="s">
        <v>13255</v>
      </c>
      <c r="B5825" s="5" t="s">
        <v>13256</v>
      </c>
      <c r="C5825" s="5" t="s">
        <v>25</v>
      </c>
      <c r="D5825" s="5" t="s">
        <v>26</v>
      </c>
      <c r="E5825" s="5" t="s">
        <v>828</v>
      </c>
      <c r="F5825" s="9">
        <v>53</v>
      </c>
      <c r="G5825" s="9">
        <v>590</v>
      </c>
      <c r="H5825" s="5" t="s">
        <v>21</v>
      </c>
      <c r="I5825" s="5" t="s">
        <v>13266</v>
      </c>
      <c r="J5825" s="12" t="str">
        <f>HYPERLINK("https://www.boe.es/gazeta/dias/1800/07/04/pdfs/GMD-1800-53.pdf#page=10","Abrir facsímil")</f>
        <v>Abrir facsímil</v>
      </c>
      <c r="K5825" s="15" t="s">
        <v>23</v>
      </c>
    </row>
    <row r="5826" spans="1:11" ht="42" customHeight="1">
      <c r="A5826" s="4" t="s">
        <v>13255</v>
      </c>
      <c r="B5826" s="5" t="s">
        <v>13256</v>
      </c>
      <c r="C5826" s="5" t="s">
        <v>41</v>
      </c>
      <c r="D5826" s="5" t="s">
        <v>42</v>
      </c>
      <c r="E5826" s="5" t="s">
        <v>64</v>
      </c>
      <c r="F5826" s="9">
        <v>54</v>
      </c>
      <c r="G5826" s="9">
        <v>601</v>
      </c>
      <c r="H5826" s="5" t="s">
        <v>21</v>
      </c>
      <c r="I5826" s="5" t="s">
        <v>13267</v>
      </c>
      <c r="J5826" s="12" t="str">
        <f>HYPERLINK("https://www.boe.es/gazeta/dias/1800/07/08/pdfs/GMD-1800-54.pdf#page=5","Abrir facsímil")</f>
        <v>Abrir facsímil</v>
      </c>
      <c r="K5826" s="15" t="s">
        <v>23</v>
      </c>
    </row>
    <row r="5827" spans="1:11" ht="42" customHeight="1">
      <c r="A5827" s="4" t="s">
        <v>13255</v>
      </c>
      <c r="B5827" s="5" t="s">
        <v>13256</v>
      </c>
      <c r="C5827" s="5" t="s">
        <v>41</v>
      </c>
      <c r="D5827" s="5" t="s">
        <v>42</v>
      </c>
      <c r="E5827" s="5" t="s">
        <v>64</v>
      </c>
      <c r="F5827" s="9">
        <v>54</v>
      </c>
      <c r="G5827" s="9">
        <v>602</v>
      </c>
      <c r="H5827" s="5" t="s">
        <v>21</v>
      </c>
      <c r="I5827" s="5" t="s">
        <v>13268</v>
      </c>
      <c r="J5827" s="12" t="str">
        <f>HYPERLINK("https://www.boe.es/gazeta/dias/1800/07/08/pdfs/GMD-1800-54.pdf#page=6","Abrir facsímil")</f>
        <v>Abrir facsímil</v>
      </c>
      <c r="K5827" s="15" t="s">
        <v>23</v>
      </c>
    </row>
    <row r="5828" spans="1:11" ht="42" customHeight="1">
      <c r="A5828" s="4" t="s">
        <v>13255</v>
      </c>
      <c r="B5828" s="5" t="s">
        <v>13256</v>
      </c>
      <c r="C5828" s="5" t="s">
        <v>41</v>
      </c>
      <c r="D5828" s="5" t="s">
        <v>42</v>
      </c>
      <c r="E5828" s="5" t="s">
        <v>530</v>
      </c>
      <c r="F5828" s="9">
        <v>55</v>
      </c>
      <c r="G5828" s="9">
        <v>619</v>
      </c>
      <c r="H5828" s="5" t="s">
        <v>21</v>
      </c>
      <c r="I5828" s="5" t="s">
        <v>13269</v>
      </c>
      <c r="J5828" s="12" t="str">
        <f>HYPERLINK("https://www.boe.es/gazeta/dias/1800/07/11/pdfs/GMD-1800-55.pdf#page=7","Abrir facsímil")</f>
        <v>Abrir facsímil</v>
      </c>
      <c r="K5828" s="15" t="s">
        <v>23</v>
      </c>
    </row>
    <row r="5829" spans="1:11" ht="42" customHeight="1">
      <c r="A5829" s="4" t="s">
        <v>13255</v>
      </c>
      <c r="B5829" s="5" t="s">
        <v>13256</v>
      </c>
      <c r="C5829" s="5" t="s">
        <v>41</v>
      </c>
      <c r="D5829" s="5" t="s">
        <v>42</v>
      </c>
      <c r="E5829" s="5" t="s">
        <v>530</v>
      </c>
      <c r="F5829" s="9">
        <v>55</v>
      </c>
      <c r="G5829" s="9">
        <v>620</v>
      </c>
      <c r="H5829" s="5" t="s">
        <v>21</v>
      </c>
      <c r="I5829" s="5" t="s">
        <v>6586</v>
      </c>
      <c r="J5829" s="12" t="str">
        <f>HYPERLINK("https://www.boe.es/gazeta/dias/1800/07/11/pdfs/GMD-1800-55.pdf#page=8","Abrir facsímil")</f>
        <v>Abrir facsímil</v>
      </c>
      <c r="K5829" s="15" t="s">
        <v>23</v>
      </c>
    </row>
    <row r="5830" spans="1:11" ht="42" customHeight="1">
      <c r="A5830" s="4" t="s">
        <v>13255</v>
      </c>
      <c r="B5830" s="5" t="s">
        <v>13256</v>
      </c>
      <c r="C5830" s="5" t="s">
        <v>41</v>
      </c>
      <c r="D5830" s="5" t="s">
        <v>42</v>
      </c>
      <c r="E5830" s="5" t="s">
        <v>48</v>
      </c>
      <c r="F5830" s="9">
        <v>66</v>
      </c>
      <c r="G5830" s="9">
        <v>740</v>
      </c>
      <c r="H5830" s="5" t="s">
        <v>21</v>
      </c>
      <c r="I5830" s="5" t="s">
        <v>13270</v>
      </c>
      <c r="J5830" s="12" t="str">
        <f>HYPERLINK("https://www.boe.es/gazeta/dias/1800/08/19/pdfs/GMD-1800-66.pdf#page=4","Abrir facsímil")</f>
        <v>Abrir facsímil</v>
      </c>
      <c r="K5830" s="15" t="s">
        <v>23</v>
      </c>
    </row>
    <row r="5831" spans="1:11" ht="42" customHeight="1">
      <c r="A5831" s="4" t="s">
        <v>13255</v>
      </c>
      <c r="B5831" s="5" t="s">
        <v>13256</v>
      </c>
      <c r="C5831" s="5" t="s">
        <v>41</v>
      </c>
      <c r="D5831" s="5" t="s">
        <v>42</v>
      </c>
      <c r="E5831" s="5" t="s">
        <v>111</v>
      </c>
      <c r="F5831" s="9">
        <v>98</v>
      </c>
      <c r="G5831" s="9">
        <v>1123</v>
      </c>
      <c r="H5831" s="5" t="s">
        <v>21</v>
      </c>
      <c r="I5831" s="5" t="s">
        <v>13271</v>
      </c>
      <c r="J5831" s="12" t="str">
        <f>HYPERLINK("https://www.boe.es/gazeta/dias/1800/12/05/pdfs/GMD-1800-98.pdf#page=3","Abrir facsímil")</f>
        <v>Abrir facsímil</v>
      </c>
      <c r="K5831" s="15" t="s">
        <v>23</v>
      </c>
    </row>
    <row r="5832" spans="1:11" ht="42" customHeight="1">
      <c r="A5832" s="4" t="s">
        <v>13272</v>
      </c>
      <c r="B5832" s="5" t="s">
        <v>13272</v>
      </c>
      <c r="C5832" s="5" t="s">
        <v>41</v>
      </c>
      <c r="D5832" s="5" t="s">
        <v>42</v>
      </c>
      <c r="E5832" s="5" t="s">
        <v>530</v>
      </c>
      <c r="F5832" s="9">
        <v>55</v>
      </c>
      <c r="G5832" s="9">
        <v>616</v>
      </c>
      <c r="H5832" s="5" t="s">
        <v>21</v>
      </c>
      <c r="I5832" s="5" t="s">
        <v>13273</v>
      </c>
      <c r="J5832" s="12" t="str">
        <f>HYPERLINK("https://www.boe.es/gazeta/dias/1800/07/11/pdfs/GMD-1800-55.pdf#page=4","Abrir facsímil")</f>
        <v>Abrir facsímil</v>
      </c>
      <c r="K5832" s="15" t="s">
        <v>23</v>
      </c>
    </row>
    <row r="5833" spans="1:11" ht="42" customHeight="1">
      <c r="A5833" s="4" t="s">
        <v>13272</v>
      </c>
      <c r="B5833" s="5" t="s">
        <v>13272</v>
      </c>
      <c r="C5833" s="5" t="s">
        <v>41</v>
      </c>
      <c r="D5833" s="5" t="s">
        <v>42</v>
      </c>
      <c r="E5833" s="5" t="s">
        <v>534</v>
      </c>
      <c r="F5833" s="9">
        <v>100</v>
      </c>
      <c r="G5833" s="9">
        <v>1150</v>
      </c>
      <c r="H5833" s="5" t="s">
        <v>21</v>
      </c>
      <c r="I5833" s="5" t="s">
        <v>13274</v>
      </c>
      <c r="J5833" s="12" t="str">
        <f>HYPERLINK("https://www.boe.es/gazeta/dias/1800/12/12/pdfs/GMD-1800-100.pdf#page=2","Abrir facsímil")</f>
        <v>Abrir facsímil</v>
      </c>
      <c r="K5833" s="15" t="s">
        <v>23</v>
      </c>
    </row>
    <row r="5834" spans="1:11" ht="42" customHeight="1">
      <c r="A5834" s="4" t="s">
        <v>13275</v>
      </c>
      <c r="B5834" s="5" t="s">
        <v>13276</v>
      </c>
      <c r="C5834" s="5" t="s">
        <v>41</v>
      </c>
      <c r="D5834" s="5" t="s">
        <v>42</v>
      </c>
      <c r="E5834" s="5" t="s">
        <v>299</v>
      </c>
      <c r="F5834" s="9">
        <v>40</v>
      </c>
      <c r="G5834" s="9">
        <v>410</v>
      </c>
      <c r="H5834" s="5" t="s">
        <v>21</v>
      </c>
      <c r="I5834" s="5" t="s">
        <v>13277</v>
      </c>
      <c r="J5834" s="12" t="str">
        <f>HYPERLINK("https://www.boe.es/gazeta/dias/1800/05/20/pdfs/GMD-1800-40.pdf#page=6","Abrir facsímil")</f>
        <v>Abrir facsímil</v>
      </c>
      <c r="K5834" s="15" t="s">
        <v>23</v>
      </c>
    </row>
    <row r="5835" spans="1:11" ht="42" customHeight="1">
      <c r="A5835" s="4" t="s">
        <v>13275</v>
      </c>
      <c r="B5835" s="5" t="s">
        <v>13276</v>
      </c>
      <c r="C5835" s="5" t="s">
        <v>18</v>
      </c>
      <c r="D5835" s="5" t="s">
        <v>19</v>
      </c>
      <c r="E5835" s="5" t="s">
        <v>2338</v>
      </c>
      <c r="F5835" s="9">
        <v>42</v>
      </c>
      <c r="G5835" s="9">
        <v>434</v>
      </c>
      <c r="H5835" s="5" t="s">
        <v>21</v>
      </c>
      <c r="I5835" s="5" t="s">
        <v>13278</v>
      </c>
      <c r="J5835" s="12" t="str">
        <f>HYPERLINK("https://www.boe.es/gazeta/dias/1800/05/27/pdfs/GMD-1800-42.pdf#page=6","Abrir facsímil")</f>
        <v>Abrir facsímil</v>
      </c>
      <c r="K5835" s="15" t="s">
        <v>23</v>
      </c>
    </row>
    <row r="5836" spans="1:11" ht="42" customHeight="1">
      <c r="A5836" s="4" t="s">
        <v>13275</v>
      </c>
      <c r="B5836" s="5" t="s">
        <v>13276</v>
      </c>
      <c r="C5836" s="5" t="s">
        <v>18</v>
      </c>
      <c r="D5836" s="5" t="s">
        <v>19</v>
      </c>
      <c r="E5836" s="5" t="s">
        <v>828</v>
      </c>
      <c r="F5836" s="9">
        <v>53</v>
      </c>
      <c r="G5836" s="9">
        <v>587</v>
      </c>
      <c r="H5836" s="5" t="s">
        <v>21</v>
      </c>
      <c r="I5836" s="5" t="s">
        <v>13279</v>
      </c>
      <c r="J5836" s="12" t="str">
        <f>HYPERLINK("https://www.boe.es/gazeta/dias/1800/07/04/pdfs/GMD-1800-53.pdf#page=7","Abrir facsímil")</f>
        <v>Abrir facsímil</v>
      </c>
      <c r="K5836" s="15" t="s">
        <v>23</v>
      </c>
    </row>
    <row r="5837" spans="1:11" ht="42" customHeight="1">
      <c r="A5837" s="4" t="s">
        <v>13280</v>
      </c>
      <c r="B5837" s="5" t="s">
        <v>13281</v>
      </c>
      <c r="C5837" s="5" t="s">
        <v>41</v>
      </c>
      <c r="D5837" s="5" t="s">
        <v>42</v>
      </c>
      <c r="E5837" s="5" t="s">
        <v>828</v>
      </c>
      <c r="F5837" s="9">
        <v>53</v>
      </c>
      <c r="G5837" s="9">
        <v>587</v>
      </c>
      <c r="H5837" s="5" t="s">
        <v>21</v>
      </c>
      <c r="I5837" s="5" t="s">
        <v>13282</v>
      </c>
      <c r="J5837" s="12" t="str">
        <f>HYPERLINK("https://www.boe.es/gazeta/dias/1800/07/04/pdfs/GMD-1800-53.pdf#page=7","Abrir facsímil")</f>
        <v>Abrir facsímil</v>
      </c>
      <c r="K5837" s="15" t="s">
        <v>23</v>
      </c>
    </row>
    <row r="5838" spans="1:11" ht="42" customHeight="1">
      <c r="A5838" s="4" t="s">
        <v>13283</v>
      </c>
      <c r="B5838" s="5" t="s">
        <v>13284</v>
      </c>
      <c r="C5838" s="5" t="s">
        <v>18</v>
      </c>
      <c r="D5838" s="5" t="s">
        <v>19</v>
      </c>
      <c r="E5838" s="5" t="s">
        <v>196</v>
      </c>
      <c r="F5838" s="9">
        <v>97</v>
      </c>
      <c r="G5838" s="9">
        <v>1117</v>
      </c>
      <c r="H5838" s="5" t="s">
        <v>21</v>
      </c>
      <c r="I5838" s="5" t="s">
        <v>13285</v>
      </c>
      <c r="J5838" s="12" t="str">
        <f>HYPERLINK("https://www.boe.es/gazeta/dias/1800/12/02/pdfs/GMD-1800-97.pdf#page=9","Abrir facsímil")</f>
        <v>Abrir facsímil</v>
      </c>
      <c r="K5838" s="15" t="s">
        <v>23</v>
      </c>
    </row>
    <row r="5839" spans="1:11" ht="42" customHeight="1">
      <c r="A5839" s="4" t="s">
        <v>13286</v>
      </c>
      <c r="B5839" s="5" t="s">
        <v>13287</v>
      </c>
      <c r="C5839" s="5" t="s">
        <v>18</v>
      </c>
      <c r="D5839" s="5" t="s">
        <v>19</v>
      </c>
      <c r="E5839" s="5" t="s">
        <v>240</v>
      </c>
      <c r="F5839" s="9">
        <v>26</v>
      </c>
      <c r="G5839" s="9">
        <v>269</v>
      </c>
      <c r="H5839" s="5" t="s">
        <v>21</v>
      </c>
      <c r="I5839" s="5" t="s">
        <v>13288</v>
      </c>
      <c r="J5839" s="12" t="str">
        <f>HYPERLINK("https://www.boe.es/gazeta/dias/1800/04/01/pdfs/GMD-1800-26.pdf#page=9","Abrir facsímil")</f>
        <v>Abrir facsímil</v>
      </c>
      <c r="K5839" s="15" t="s">
        <v>23</v>
      </c>
    </row>
    <row r="5840" spans="1:11" ht="42" customHeight="1">
      <c r="A5840" s="4" t="s">
        <v>13289</v>
      </c>
      <c r="B5840" s="5" t="s">
        <v>13290</v>
      </c>
      <c r="C5840" s="5" t="s">
        <v>207</v>
      </c>
      <c r="D5840" s="5" t="s">
        <v>55</v>
      </c>
      <c r="E5840" s="5" t="s">
        <v>572</v>
      </c>
      <c r="F5840" s="9">
        <v>76</v>
      </c>
      <c r="G5840" s="9">
        <v>866</v>
      </c>
      <c r="H5840" s="5" t="s">
        <v>21</v>
      </c>
      <c r="I5840" s="5" t="s">
        <v>13291</v>
      </c>
      <c r="J5840" s="12" t="str">
        <f>HYPERLINK("https://www.boe.es/gazeta/dias/1800/09/19/pdfs/GMD-1800-76.pdf#page=8","Abrir facsímil")</f>
        <v>Abrir facsímil</v>
      </c>
      <c r="K5840" s="15" t="s">
        <v>23</v>
      </c>
    </row>
    <row r="5841" spans="1:11" ht="42" customHeight="1">
      <c r="A5841" s="4" t="s">
        <v>13292</v>
      </c>
      <c r="B5841" s="5" t="s">
        <v>13293</v>
      </c>
      <c r="C5841" s="5" t="s">
        <v>41</v>
      </c>
      <c r="D5841" s="5" t="s">
        <v>42</v>
      </c>
      <c r="E5841" s="5" t="s">
        <v>190</v>
      </c>
      <c r="F5841" s="9">
        <v>93</v>
      </c>
      <c r="G5841" s="9">
        <v>1059</v>
      </c>
      <c r="H5841" s="5" t="s">
        <v>21</v>
      </c>
      <c r="I5841" s="5" t="s">
        <v>13294</v>
      </c>
      <c r="J5841" s="12" t="str">
        <f>HYPERLINK("https://www.boe.es/gazeta/dias/1800/11/18/pdfs/GMD-1800-93.pdf#page=5","Abrir facsímil")</f>
        <v>Abrir facsímil</v>
      </c>
      <c r="K5841" s="15" t="s">
        <v>23</v>
      </c>
    </row>
    <row r="5842" spans="1:11" ht="42" customHeight="1">
      <c r="A5842" s="4" t="s">
        <v>13295</v>
      </c>
      <c r="B5842" s="5" t="s">
        <v>13296</v>
      </c>
      <c r="C5842" s="5" t="s">
        <v>18</v>
      </c>
      <c r="D5842" s="5" t="s">
        <v>19</v>
      </c>
      <c r="E5842" s="5" t="s">
        <v>478</v>
      </c>
      <c r="F5842" s="9">
        <v>34</v>
      </c>
      <c r="G5842" s="9">
        <v>346</v>
      </c>
      <c r="H5842" s="5" t="s">
        <v>21</v>
      </c>
      <c r="I5842" s="5" t="s">
        <v>13297</v>
      </c>
      <c r="J5842" s="12" t="str">
        <f>HYPERLINK("https://www.boe.es/gazeta/dias/1800/04/29/pdfs/GMD-1800-34.pdf#page=10","Abrir facsímil")</f>
        <v>Abrir facsímil</v>
      </c>
      <c r="K5842" s="15" t="s">
        <v>23</v>
      </c>
    </row>
    <row r="5843" spans="1:11" ht="42" customHeight="1">
      <c r="A5843" s="4" t="s">
        <v>13298</v>
      </c>
      <c r="B5843" s="5" t="s">
        <v>13299</v>
      </c>
      <c r="C5843" s="5" t="s">
        <v>18</v>
      </c>
      <c r="D5843" s="5" t="s">
        <v>19</v>
      </c>
      <c r="E5843" s="5" t="s">
        <v>240</v>
      </c>
      <c r="F5843" s="9">
        <v>26</v>
      </c>
      <c r="G5843" s="9">
        <v>269</v>
      </c>
      <c r="H5843" s="5" t="s">
        <v>21</v>
      </c>
      <c r="I5843" s="5" t="s">
        <v>13300</v>
      </c>
      <c r="J5843" s="12" t="str">
        <f>HYPERLINK("https://www.boe.es/gazeta/dias/1800/04/01/pdfs/GMD-1800-26.pdf#page=9","Abrir facsímil")</f>
        <v>Abrir facsímil</v>
      </c>
      <c r="K5843" s="15" t="s">
        <v>23</v>
      </c>
    </row>
    <row r="5844" spans="1:11" ht="42" customHeight="1">
      <c r="A5844" s="4" t="s">
        <v>13301</v>
      </c>
      <c r="B5844" s="5" t="s">
        <v>13302</v>
      </c>
      <c r="C5844" s="5" t="s">
        <v>18</v>
      </c>
      <c r="D5844" s="5" t="s">
        <v>19</v>
      </c>
      <c r="E5844" s="5" t="s">
        <v>139</v>
      </c>
      <c r="F5844" s="9">
        <v>2</v>
      </c>
      <c r="G5844" s="9">
        <v>17</v>
      </c>
      <c r="H5844" s="5" t="s">
        <v>21</v>
      </c>
      <c r="I5844" s="5" t="s">
        <v>13303</v>
      </c>
      <c r="J5844" s="12" t="str">
        <f>HYPERLINK("https://www.boe.es/gazeta/dias/1800/01/07/pdfs/GMD-1800-2.pdf#page=9","Abrir facsímil")</f>
        <v>Abrir facsímil</v>
      </c>
      <c r="K5844" s="15" t="s">
        <v>23</v>
      </c>
    </row>
    <row r="5845" spans="1:11" ht="42" customHeight="1">
      <c r="A5845" s="4" t="s">
        <v>13301</v>
      </c>
      <c r="B5845" s="5" t="s">
        <v>13302</v>
      </c>
      <c r="C5845" s="5" t="s">
        <v>18</v>
      </c>
      <c r="D5845" s="5" t="s">
        <v>19</v>
      </c>
      <c r="E5845" s="5" t="s">
        <v>111</v>
      </c>
      <c r="F5845" s="9">
        <v>98</v>
      </c>
      <c r="G5845" s="9">
        <v>1129</v>
      </c>
      <c r="H5845" s="5" t="s">
        <v>21</v>
      </c>
      <c r="I5845" s="5" t="s">
        <v>13304</v>
      </c>
      <c r="J5845" s="12" t="str">
        <f>HYPERLINK("https://www.boe.es/gazeta/dias/1800/12/05/pdfs/GMD-1800-98.pdf#page=9","Abrir facsímil")</f>
        <v>Abrir facsímil</v>
      </c>
      <c r="K5845" s="15" t="s">
        <v>23</v>
      </c>
    </row>
    <row r="5846" spans="1:11" ht="42" customHeight="1">
      <c r="A5846" s="4" t="s">
        <v>13305</v>
      </c>
      <c r="B5846" s="5" t="s">
        <v>13306</v>
      </c>
      <c r="C5846" s="5" t="s">
        <v>207</v>
      </c>
      <c r="D5846" s="5" t="s">
        <v>55</v>
      </c>
      <c r="E5846" s="5" t="s">
        <v>615</v>
      </c>
      <c r="F5846" s="9">
        <v>95</v>
      </c>
      <c r="G5846" s="9">
        <v>1088</v>
      </c>
      <c r="H5846" s="5" t="s">
        <v>21</v>
      </c>
      <c r="I5846" s="5" t="s">
        <v>13307</v>
      </c>
      <c r="J5846" s="12" t="str">
        <f>HYPERLINK("https://www.boe.es/gazeta/dias/1800/11/25/pdfs/GMD-1800-95.pdf#page=6","Abrir facsímil")</f>
        <v>Abrir facsímil</v>
      </c>
      <c r="K5846" s="15" t="s">
        <v>23</v>
      </c>
    </row>
    <row r="5847" spans="1:11" ht="42" customHeight="1">
      <c r="A5847" s="4" t="s">
        <v>13308</v>
      </c>
      <c r="B5847" s="5" t="s">
        <v>13309</v>
      </c>
      <c r="C5847" s="5" t="s">
        <v>18</v>
      </c>
      <c r="D5847" s="5" t="s">
        <v>19</v>
      </c>
      <c r="E5847" s="5" t="s">
        <v>154</v>
      </c>
      <c r="F5847" s="9">
        <v>61</v>
      </c>
      <c r="G5847" s="9">
        <v>697</v>
      </c>
      <c r="H5847" s="5" t="s">
        <v>21</v>
      </c>
      <c r="I5847" s="5" t="s">
        <v>13310</v>
      </c>
      <c r="J5847" s="12" t="str">
        <f>HYPERLINK("https://www.boe.es/gazeta/dias/1800/08/01/pdfs/GMD-1800-61.pdf#page=9","Abrir facsímil")</f>
        <v>Abrir facsímil</v>
      </c>
      <c r="K5847" s="15" t="s">
        <v>23</v>
      </c>
    </row>
    <row r="5848" spans="1:11" ht="42" customHeight="1">
      <c r="A5848" s="4" t="s">
        <v>13311</v>
      </c>
      <c r="B5848" s="5" t="s">
        <v>13312</v>
      </c>
      <c r="C5848" s="5" t="s">
        <v>114</v>
      </c>
      <c r="D5848" s="5" t="s">
        <v>115</v>
      </c>
      <c r="E5848" s="5" t="s">
        <v>116</v>
      </c>
      <c r="F5848" s="9">
        <v>86</v>
      </c>
      <c r="G5848" s="9" t="s">
        <v>117</v>
      </c>
      <c r="H5848" s="5" t="s">
        <v>21</v>
      </c>
      <c r="I5848" s="5" t="s">
        <v>13313</v>
      </c>
      <c r="J5848" s="12" t="str">
        <f>HYPERLINK("https://www.boe.es/gazeta/dias/1800/10/24/pdfs/GMD-D-1800-86.pdf#page=3","Abrir facsímil")</f>
        <v>Abrir facsímil</v>
      </c>
      <c r="K5848" s="15" t="s">
        <v>23</v>
      </c>
    </row>
    <row r="5849" spans="1:11" ht="42" customHeight="1">
      <c r="A5849" s="4" t="s">
        <v>13314</v>
      </c>
      <c r="B5849" s="5" t="s">
        <v>13315</v>
      </c>
      <c r="C5849" s="5" t="s">
        <v>114</v>
      </c>
      <c r="D5849" s="5" t="s">
        <v>115</v>
      </c>
      <c r="E5849" s="5" t="s">
        <v>116</v>
      </c>
      <c r="F5849" s="9">
        <v>86</v>
      </c>
      <c r="G5849" s="9" t="s">
        <v>117</v>
      </c>
      <c r="H5849" s="5" t="s">
        <v>21</v>
      </c>
      <c r="I5849" s="5" t="s">
        <v>13316</v>
      </c>
      <c r="J5849" s="12" t="str">
        <f>HYPERLINK("https://www.boe.es/gazeta/dias/1800/10/24/pdfs/GMD-D-1800-86.pdf#page=3","Abrir facsímil")</f>
        <v>Abrir facsímil</v>
      </c>
      <c r="K5849" s="15" t="s">
        <v>23</v>
      </c>
    </row>
    <row r="5850" spans="1:11" ht="42" customHeight="1">
      <c r="A5850" s="4" t="s">
        <v>13317</v>
      </c>
      <c r="B5850" s="5" t="s">
        <v>13317</v>
      </c>
      <c r="C5850" s="5" t="s">
        <v>41</v>
      </c>
      <c r="D5850" s="5" t="s">
        <v>42</v>
      </c>
      <c r="E5850" s="5" t="s">
        <v>583</v>
      </c>
      <c r="F5850" s="9">
        <v>77</v>
      </c>
      <c r="G5850" s="9">
        <v>873</v>
      </c>
      <c r="H5850" s="5" t="s">
        <v>21</v>
      </c>
      <c r="I5850" s="5" t="s">
        <v>13318</v>
      </c>
      <c r="J5850" s="12" t="str">
        <f>HYPERLINK("https://www.boe.es/gazeta/dias/1800/09/23/pdfs/GMD-1800-77.pdf#page=3","Abrir facsímil")</f>
        <v>Abrir facsímil</v>
      </c>
      <c r="K5850" s="15" t="s">
        <v>23</v>
      </c>
    </row>
    <row r="5851" spans="1:11" ht="42" customHeight="1">
      <c r="A5851" s="4" t="s">
        <v>13319</v>
      </c>
      <c r="B5851" s="5" t="s">
        <v>13320</v>
      </c>
      <c r="C5851" s="5" t="s">
        <v>25</v>
      </c>
      <c r="D5851" s="5" t="s">
        <v>26</v>
      </c>
      <c r="E5851" s="5" t="s">
        <v>45</v>
      </c>
      <c r="F5851" s="9">
        <v>47</v>
      </c>
      <c r="G5851" s="9">
        <v>502</v>
      </c>
      <c r="H5851" s="5" t="s">
        <v>21</v>
      </c>
      <c r="I5851" s="5" t="s">
        <v>13321</v>
      </c>
      <c r="J5851" s="12" t="str">
        <f>HYPERLINK("https://www.boe.es/gazeta/dias/1800/06/13/pdfs/GMD-1800-47.pdf#page=10","Abrir facsímil")</f>
        <v>Abrir facsímil</v>
      </c>
      <c r="K5851" s="15" t="s">
        <v>23</v>
      </c>
    </row>
    <row r="5852" spans="1:11" ht="42" customHeight="1">
      <c r="A5852" s="4" t="s">
        <v>13322</v>
      </c>
      <c r="B5852" s="5" t="s">
        <v>13323</v>
      </c>
      <c r="C5852" s="5" t="s">
        <v>171</v>
      </c>
      <c r="D5852" s="5" t="s">
        <v>172</v>
      </c>
      <c r="E5852" s="5" t="s">
        <v>465</v>
      </c>
      <c r="F5852" s="9">
        <v>49</v>
      </c>
      <c r="G5852" s="9">
        <v>535</v>
      </c>
      <c r="H5852" s="5" t="s">
        <v>21</v>
      </c>
      <c r="I5852" s="5" t="s">
        <v>13324</v>
      </c>
      <c r="J5852" s="12" t="str">
        <f>HYPERLINK("https://www.boe.es/gazeta/dias/1800/06/20/pdfs/GMD-C-1800-49.pdf#page=3","Abrir facsímil")</f>
        <v>Abrir facsímil</v>
      </c>
      <c r="K5852" s="15" t="s">
        <v>23</v>
      </c>
    </row>
    <row r="5853" spans="1:11" ht="42" customHeight="1">
      <c r="A5853" s="4" t="s">
        <v>13325</v>
      </c>
      <c r="B5853" s="5" t="s">
        <v>13326</v>
      </c>
      <c r="C5853" s="5" t="s">
        <v>18</v>
      </c>
      <c r="D5853" s="5" t="s">
        <v>19</v>
      </c>
      <c r="E5853" s="5" t="s">
        <v>530</v>
      </c>
      <c r="F5853" s="9">
        <v>55</v>
      </c>
      <c r="G5853" s="9">
        <v>622</v>
      </c>
      <c r="H5853" s="5" t="s">
        <v>21</v>
      </c>
      <c r="I5853" s="5" t="s">
        <v>13327</v>
      </c>
      <c r="J5853" s="12" t="str">
        <f>HYPERLINK("https://www.boe.es/gazeta/dias/1800/07/11/pdfs/GMD-1800-55.pdf#page=10","Abrir facsímil")</f>
        <v>Abrir facsímil</v>
      </c>
      <c r="K5853" s="15" t="s">
        <v>23</v>
      </c>
    </row>
    <row r="5854" spans="1:11" ht="42" customHeight="1">
      <c r="A5854" s="4" t="s">
        <v>13328</v>
      </c>
      <c r="B5854" s="5" t="s">
        <v>13329</v>
      </c>
      <c r="C5854" s="5" t="s">
        <v>18</v>
      </c>
      <c r="D5854" s="5" t="s">
        <v>19</v>
      </c>
      <c r="E5854" s="5" t="s">
        <v>45</v>
      </c>
      <c r="F5854" s="9">
        <v>47</v>
      </c>
      <c r="G5854" s="9">
        <v>502</v>
      </c>
      <c r="H5854" s="5" t="s">
        <v>21</v>
      </c>
      <c r="I5854" s="5" t="s">
        <v>13330</v>
      </c>
      <c r="J5854" s="12" t="str">
        <f>HYPERLINK("https://www.boe.es/gazeta/dias/1800/06/13/pdfs/GMD-1800-47.pdf#page=10","Abrir facsímil")</f>
        <v>Abrir facsímil</v>
      </c>
      <c r="K5854" s="15" t="s">
        <v>23</v>
      </c>
    </row>
    <row r="5855" spans="1:11" ht="42" customHeight="1">
      <c r="A5855" s="4" t="s">
        <v>13331</v>
      </c>
      <c r="B5855" s="5" t="s">
        <v>13332</v>
      </c>
      <c r="C5855" s="5" t="s">
        <v>25</v>
      </c>
      <c r="D5855" s="5" t="s">
        <v>26</v>
      </c>
      <c r="E5855" s="5" t="s">
        <v>1108</v>
      </c>
      <c r="F5855" s="9">
        <v>30</v>
      </c>
      <c r="G5855" s="9">
        <v>307</v>
      </c>
      <c r="H5855" s="5" t="s">
        <v>21</v>
      </c>
      <c r="I5855" s="5" t="s">
        <v>13333</v>
      </c>
      <c r="J5855" s="12" t="str">
        <f>HYPERLINK("https://www.boe.es/gazeta/dias/1800/04/15/pdfs/GMD-1800-30.pdf#page=7","Abrir facsímil")</f>
        <v>Abrir facsímil</v>
      </c>
      <c r="K5855" s="15" t="s">
        <v>23</v>
      </c>
    </row>
    <row r="5856" spans="1:11" ht="42" customHeight="1">
      <c r="A5856" s="4" t="s">
        <v>13334</v>
      </c>
      <c r="B5856" s="5" t="s">
        <v>13335</v>
      </c>
      <c r="C5856" s="5" t="s">
        <v>41</v>
      </c>
      <c r="D5856" s="5" t="s">
        <v>42</v>
      </c>
      <c r="E5856" s="5" t="s">
        <v>218</v>
      </c>
      <c r="F5856" s="9">
        <v>5</v>
      </c>
      <c r="G5856" s="9">
        <v>42</v>
      </c>
      <c r="H5856" s="5" t="s">
        <v>21</v>
      </c>
      <c r="I5856" s="5" t="s">
        <v>13336</v>
      </c>
      <c r="J5856" s="12" t="str">
        <f>HYPERLINK("https://www.boe.es/gazeta/dias/1800/01/17/pdfs/GMD-1800-5.pdf#page=2","Abrir facsímil")</f>
        <v>Abrir facsímil</v>
      </c>
      <c r="K5856" s="15" t="s">
        <v>23</v>
      </c>
    </row>
    <row r="5857" spans="1:11" ht="42" customHeight="1">
      <c r="A5857" s="4" t="s">
        <v>13334</v>
      </c>
      <c r="B5857" s="5" t="s">
        <v>13335</v>
      </c>
      <c r="C5857" s="5" t="s">
        <v>41</v>
      </c>
      <c r="D5857" s="5" t="s">
        <v>42</v>
      </c>
      <c r="E5857" s="5" t="s">
        <v>79</v>
      </c>
      <c r="F5857" s="9">
        <v>7</v>
      </c>
      <c r="G5857" s="9">
        <v>61</v>
      </c>
      <c r="H5857" s="5" t="s">
        <v>21</v>
      </c>
      <c r="I5857" s="5" t="s">
        <v>13337</v>
      </c>
      <c r="J5857" s="12" t="str">
        <f>HYPERLINK("https://www.boe.es/gazeta/dias/1800/01/24/pdfs/GMD-1800-7.pdf#page=1","Abrir facsímil")</f>
        <v>Abrir facsímil</v>
      </c>
      <c r="K5857" s="15" t="s">
        <v>23</v>
      </c>
    </row>
    <row r="5858" spans="1:11" ht="42" customHeight="1">
      <c r="A5858" s="4" t="s">
        <v>13334</v>
      </c>
      <c r="B5858" s="5" t="s">
        <v>13335</v>
      </c>
      <c r="C5858" s="5" t="s">
        <v>41</v>
      </c>
      <c r="D5858" s="5" t="s">
        <v>42</v>
      </c>
      <c r="E5858" s="5" t="s">
        <v>86</v>
      </c>
      <c r="F5858" s="9">
        <v>17</v>
      </c>
      <c r="G5858" s="9">
        <v>156</v>
      </c>
      <c r="H5858" s="5" t="s">
        <v>21</v>
      </c>
      <c r="I5858" s="5" t="s">
        <v>13338</v>
      </c>
      <c r="J5858" s="12" t="str">
        <f>HYPERLINK("https://www.boe.es/gazeta/dias/1800/02/28/pdfs/GMD-1800-17.pdf#page=4","Abrir facsímil")</f>
        <v>Abrir facsímil</v>
      </c>
      <c r="K5858" s="15" t="s">
        <v>23</v>
      </c>
    </row>
    <row r="5859" spans="1:11" ht="42" customHeight="1">
      <c r="A5859" s="4" t="s">
        <v>13334</v>
      </c>
      <c r="B5859" s="5" t="s">
        <v>13335</v>
      </c>
      <c r="C5859" s="5" t="s">
        <v>41</v>
      </c>
      <c r="D5859" s="5" t="s">
        <v>42</v>
      </c>
      <c r="E5859" s="5" t="s">
        <v>620</v>
      </c>
      <c r="F5859" s="9">
        <v>19</v>
      </c>
      <c r="G5859" s="9">
        <v>178</v>
      </c>
      <c r="H5859" s="5" t="s">
        <v>21</v>
      </c>
      <c r="I5859" s="5" t="s">
        <v>13339</v>
      </c>
      <c r="J5859" s="12" t="str">
        <f>HYPERLINK("https://www.boe.es/gazeta/dias/1800/03/07/pdfs/GMD-1800-19.pdf#page=2","Abrir facsímil")</f>
        <v>Abrir facsímil</v>
      </c>
      <c r="K5859" s="15" t="s">
        <v>23</v>
      </c>
    </row>
    <row r="5860" spans="1:11" ht="42" customHeight="1">
      <c r="A5860" s="4" t="s">
        <v>13334</v>
      </c>
      <c r="B5860" s="5" t="s">
        <v>13335</v>
      </c>
      <c r="C5860" s="5" t="s">
        <v>41</v>
      </c>
      <c r="D5860" s="5" t="s">
        <v>42</v>
      </c>
      <c r="E5860" s="5" t="s">
        <v>240</v>
      </c>
      <c r="F5860" s="9">
        <v>26</v>
      </c>
      <c r="G5860" s="9">
        <v>262</v>
      </c>
      <c r="H5860" s="5" t="s">
        <v>21</v>
      </c>
      <c r="I5860" s="5" t="s">
        <v>13340</v>
      </c>
      <c r="J5860" s="12" t="str">
        <f>HYPERLINK("https://www.boe.es/gazeta/dias/1800/04/01/pdfs/GMD-1800-26.pdf#page=2","Abrir facsímil")</f>
        <v>Abrir facsímil</v>
      </c>
      <c r="K5860" s="15" t="s">
        <v>23</v>
      </c>
    </row>
    <row r="5861" spans="1:11" ht="42" customHeight="1">
      <c r="A5861" s="4" t="s">
        <v>13334</v>
      </c>
      <c r="B5861" s="5" t="s">
        <v>13335</v>
      </c>
      <c r="C5861" s="5" t="s">
        <v>41</v>
      </c>
      <c r="D5861" s="5" t="s">
        <v>42</v>
      </c>
      <c r="E5861" s="5" t="s">
        <v>1294</v>
      </c>
      <c r="F5861" s="9">
        <v>59</v>
      </c>
      <c r="G5861" s="9">
        <v>671</v>
      </c>
      <c r="H5861" s="5" t="s">
        <v>21</v>
      </c>
      <c r="I5861" s="5" t="s">
        <v>13341</v>
      </c>
      <c r="J5861" s="12" t="str">
        <f>HYPERLINK("https://www.boe.es/gazeta/dias/1800/07/25/pdfs/GMD-1800-59.pdf#page=3","Abrir facsímil")</f>
        <v>Abrir facsímil</v>
      </c>
      <c r="K5861" s="15" t="s">
        <v>23</v>
      </c>
    </row>
    <row r="5862" spans="1:11" ht="42" customHeight="1">
      <c r="A5862" s="4" t="s">
        <v>13342</v>
      </c>
      <c r="B5862" s="5" t="s">
        <v>13343</v>
      </c>
      <c r="C5862" s="5" t="s">
        <v>41</v>
      </c>
      <c r="D5862" s="5" t="s">
        <v>42</v>
      </c>
      <c r="E5862" s="5" t="s">
        <v>545</v>
      </c>
      <c r="F5862" s="9">
        <v>14</v>
      </c>
      <c r="G5862" s="9">
        <v>129</v>
      </c>
      <c r="H5862" s="5" t="s">
        <v>21</v>
      </c>
      <c r="I5862" s="5" t="s">
        <v>13344</v>
      </c>
      <c r="J5862" s="12" t="str">
        <f>HYPERLINK("https://www.boe.es/gazeta/dias/1800/02/18/pdfs/GMD-1800-14.pdf#page=1","Abrir facsímil")</f>
        <v>Abrir facsímil</v>
      </c>
      <c r="K5862" s="15" t="s">
        <v>23</v>
      </c>
    </row>
    <row r="5863" spans="1:11" ht="42" customHeight="1">
      <c r="A5863" s="4" t="s">
        <v>13342</v>
      </c>
      <c r="B5863" s="5" t="s">
        <v>13343</v>
      </c>
      <c r="C5863" s="5" t="s">
        <v>41</v>
      </c>
      <c r="D5863" s="5" t="s">
        <v>42</v>
      </c>
      <c r="E5863" s="5" t="s">
        <v>162</v>
      </c>
      <c r="F5863" s="9">
        <v>15</v>
      </c>
      <c r="G5863" s="9">
        <v>138</v>
      </c>
      <c r="H5863" s="5" t="s">
        <v>21</v>
      </c>
      <c r="I5863" s="5" t="s">
        <v>13345</v>
      </c>
      <c r="J5863" s="12" t="str">
        <f>HYPERLINK("https://www.boe.es/gazeta/dias/1800/02/21/pdfs/GMD-1800-15.pdf#page=2","Abrir facsímil")</f>
        <v>Abrir facsímil</v>
      </c>
      <c r="K5863" s="15" t="s">
        <v>23</v>
      </c>
    </row>
    <row r="5864" spans="1:11" ht="42" customHeight="1">
      <c r="A5864" s="4" t="s">
        <v>13342</v>
      </c>
      <c r="B5864" s="5" t="s">
        <v>13343</v>
      </c>
      <c r="C5864" s="5" t="s">
        <v>18</v>
      </c>
      <c r="D5864" s="5" t="s">
        <v>19</v>
      </c>
      <c r="E5864" s="5" t="s">
        <v>478</v>
      </c>
      <c r="F5864" s="9">
        <v>34</v>
      </c>
      <c r="G5864" s="9">
        <v>339</v>
      </c>
      <c r="H5864" s="5" t="s">
        <v>21</v>
      </c>
      <c r="I5864" s="5" t="s">
        <v>13346</v>
      </c>
      <c r="J5864" s="12" t="str">
        <f>HYPERLINK("https://www.boe.es/gazeta/dias/1800/04/29/pdfs/GMD-1800-34.pdf#page=3","Abrir facsímil")</f>
        <v>Abrir facsímil</v>
      </c>
      <c r="K5864" s="15" t="s">
        <v>23</v>
      </c>
    </row>
    <row r="5865" spans="1:11" ht="42" customHeight="1">
      <c r="A5865" s="4" t="s">
        <v>13342</v>
      </c>
      <c r="B5865" s="5" t="s">
        <v>13343</v>
      </c>
      <c r="C5865" s="5" t="s">
        <v>41</v>
      </c>
      <c r="D5865" s="5" t="s">
        <v>42</v>
      </c>
      <c r="E5865" s="5" t="s">
        <v>116</v>
      </c>
      <c r="F5865" s="9">
        <v>86</v>
      </c>
      <c r="G5865" s="9">
        <v>993</v>
      </c>
      <c r="H5865" s="5" t="s">
        <v>21</v>
      </c>
      <c r="I5865" s="5" t="s">
        <v>13347</v>
      </c>
      <c r="J5865" s="12" t="str">
        <f>HYPERLINK("https://www.boe.es/gazeta/dias/1800/10/24/pdfs/GMD-1800-86.pdf#page=3","Abrir facsímil")</f>
        <v>Abrir facsímil</v>
      </c>
      <c r="K5865" s="15" t="s">
        <v>23</v>
      </c>
    </row>
    <row r="5866" spans="1:11" ht="42" customHeight="1">
      <c r="A5866" s="4" t="s">
        <v>13342</v>
      </c>
      <c r="B5866" s="5" t="s">
        <v>13343</v>
      </c>
      <c r="C5866" s="5" t="s">
        <v>41</v>
      </c>
      <c r="D5866" s="5" t="s">
        <v>42</v>
      </c>
      <c r="E5866" s="5" t="s">
        <v>673</v>
      </c>
      <c r="F5866" s="9">
        <v>89</v>
      </c>
      <c r="G5866" s="9">
        <v>1036</v>
      </c>
      <c r="H5866" s="5" t="s">
        <v>21</v>
      </c>
      <c r="I5866" s="5" t="s">
        <v>13348</v>
      </c>
      <c r="J5866" s="12" t="str">
        <f>HYPERLINK("https://www.boe.es/gazeta/dias/1800/11/04/pdfs/GMD-1800-89.pdf#page=2","Abrir facsímil")</f>
        <v>Abrir facsímil</v>
      </c>
      <c r="K5866" s="15" t="s">
        <v>23</v>
      </c>
    </row>
    <row r="5867" spans="1:11" ht="42" customHeight="1">
      <c r="A5867" s="4" t="s">
        <v>13342</v>
      </c>
      <c r="B5867" s="5" t="s">
        <v>13343</v>
      </c>
      <c r="C5867" s="5" t="s">
        <v>41</v>
      </c>
      <c r="D5867" s="5" t="s">
        <v>42</v>
      </c>
      <c r="E5867" s="5" t="s">
        <v>445</v>
      </c>
      <c r="F5867" s="9">
        <v>96</v>
      </c>
      <c r="G5867" s="9">
        <v>1098</v>
      </c>
      <c r="H5867" s="5" t="s">
        <v>21</v>
      </c>
      <c r="I5867" s="5" t="s">
        <v>13349</v>
      </c>
      <c r="J5867" s="12" t="str">
        <f>HYPERLINK("https://www.boe.es/gazeta/dias/1800/11/28/pdfs/GMD-1800-96.pdf#page=2","Abrir facsímil")</f>
        <v>Abrir facsímil</v>
      </c>
      <c r="K5867" s="15" t="s">
        <v>23</v>
      </c>
    </row>
    <row r="5868" spans="1:11" ht="42" customHeight="1">
      <c r="A5868" s="4" t="s">
        <v>13342</v>
      </c>
      <c r="B5868" s="5" t="s">
        <v>13343</v>
      </c>
      <c r="C5868" s="5" t="s">
        <v>41</v>
      </c>
      <c r="D5868" s="5" t="s">
        <v>42</v>
      </c>
      <c r="E5868" s="5" t="s">
        <v>196</v>
      </c>
      <c r="F5868" s="9">
        <v>97</v>
      </c>
      <c r="G5868" s="9">
        <v>1110</v>
      </c>
      <c r="H5868" s="5" t="s">
        <v>21</v>
      </c>
      <c r="I5868" s="5" t="s">
        <v>13350</v>
      </c>
      <c r="J5868" s="12" t="str">
        <f>HYPERLINK("https://www.boe.es/gazeta/dias/1800/12/02/pdfs/GMD-1800-97.pdf#page=2","Abrir facsímil")</f>
        <v>Abrir facsímil</v>
      </c>
      <c r="K5868" s="15" t="s">
        <v>23</v>
      </c>
    </row>
    <row r="5869" spans="1:11" ht="42" customHeight="1">
      <c r="A5869" s="4" t="s">
        <v>13342</v>
      </c>
      <c r="B5869" s="5" t="s">
        <v>13343</v>
      </c>
      <c r="C5869" s="5" t="s">
        <v>41</v>
      </c>
      <c r="D5869" s="5" t="s">
        <v>42</v>
      </c>
      <c r="E5869" s="5" t="s">
        <v>111</v>
      </c>
      <c r="F5869" s="9">
        <v>98</v>
      </c>
      <c r="G5869" s="9">
        <v>1122</v>
      </c>
      <c r="H5869" s="5" t="s">
        <v>21</v>
      </c>
      <c r="I5869" s="5" t="s">
        <v>13351</v>
      </c>
      <c r="J5869" s="12" t="str">
        <f>HYPERLINK("https://www.boe.es/gazeta/dias/1800/12/05/pdfs/GMD-1800-98.pdf#page=2","Abrir facsímil")</f>
        <v>Abrir facsímil</v>
      </c>
      <c r="K5869" s="15" t="s">
        <v>23</v>
      </c>
    </row>
    <row r="5870" spans="1:11" ht="42" customHeight="1">
      <c r="A5870" s="4" t="s">
        <v>13342</v>
      </c>
      <c r="B5870" s="5" t="s">
        <v>13343</v>
      </c>
      <c r="C5870" s="5" t="s">
        <v>41</v>
      </c>
      <c r="D5870" s="5" t="s">
        <v>42</v>
      </c>
      <c r="E5870" s="5" t="s">
        <v>534</v>
      </c>
      <c r="F5870" s="9">
        <v>100</v>
      </c>
      <c r="G5870" s="9">
        <v>1151</v>
      </c>
      <c r="H5870" s="5" t="s">
        <v>21</v>
      </c>
      <c r="I5870" s="5" t="s">
        <v>13352</v>
      </c>
      <c r="J5870" s="12" t="str">
        <f>HYPERLINK("https://www.boe.es/gazeta/dias/1800/12/12/pdfs/GMD-1800-100.pdf#page=3","Abrir facsímil")</f>
        <v>Abrir facsímil</v>
      </c>
      <c r="K5870" s="15" t="s">
        <v>23</v>
      </c>
    </row>
    <row r="5871" spans="1:11" ht="42" customHeight="1">
      <c r="A5871" s="4" t="s">
        <v>13353</v>
      </c>
      <c r="B5871" s="5" t="s">
        <v>13353</v>
      </c>
      <c r="C5871" s="5" t="s">
        <v>41</v>
      </c>
      <c r="D5871" s="5" t="s">
        <v>42</v>
      </c>
      <c r="E5871" s="5" t="s">
        <v>306</v>
      </c>
      <c r="F5871" s="9">
        <v>79</v>
      </c>
      <c r="G5871" s="9">
        <v>891</v>
      </c>
      <c r="H5871" s="5" t="s">
        <v>21</v>
      </c>
      <c r="I5871" s="5" t="s">
        <v>13354</v>
      </c>
      <c r="J5871" s="12" t="str">
        <f>HYPERLINK("https://www.boe.es/gazeta/dias/1800/09/30/pdfs/GMD-1800-79.pdf#page=1","Abrir facsímil")</f>
        <v>Abrir facsímil</v>
      </c>
      <c r="K5871" s="15" t="s">
        <v>23</v>
      </c>
    </row>
    <row r="5872" spans="1:11" ht="42" customHeight="1">
      <c r="A5872" s="4" t="s">
        <v>13355</v>
      </c>
      <c r="B5872" s="5" t="s">
        <v>13356</v>
      </c>
      <c r="C5872" s="5" t="s">
        <v>114</v>
      </c>
      <c r="D5872" s="5" t="s">
        <v>115</v>
      </c>
      <c r="E5872" s="5" t="s">
        <v>116</v>
      </c>
      <c r="F5872" s="9">
        <v>86</v>
      </c>
      <c r="G5872" s="9" t="s">
        <v>1501</v>
      </c>
      <c r="H5872" s="5" t="s">
        <v>21</v>
      </c>
      <c r="I5872" s="5" t="s">
        <v>13357</v>
      </c>
      <c r="J5872" s="12" t="str">
        <f>HYPERLINK("https://www.boe.es/gazeta/dias/1800/10/24/pdfs/GMD-D-1800-86.pdf#page=2","Abrir facsímil")</f>
        <v>Abrir facsímil</v>
      </c>
      <c r="K5872" s="15" t="s">
        <v>23</v>
      </c>
    </row>
    <row r="5873" spans="1:11" ht="42" customHeight="1">
      <c r="A5873" s="4" t="s">
        <v>13358</v>
      </c>
      <c r="B5873" s="5" t="s">
        <v>13359</v>
      </c>
      <c r="C5873" s="5" t="s">
        <v>25</v>
      </c>
      <c r="D5873" s="5" t="s">
        <v>26</v>
      </c>
      <c r="E5873" s="5" t="s">
        <v>1231</v>
      </c>
      <c r="F5873" s="9">
        <v>36</v>
      </c>
      <c r="G5873" s="9">
        <v>367</v>
      </c>
      <c r="H5873" s="5" t="s">
        <v>21</v>
      </c>
      <c r="I5873" s="5" t="s">
        <v>13360</v>
      </c>
      <c r="J5873" s="12" t="str">
        <f>HYPERLINK("https://www.boe.es/gazeta/dias/1800/05/06/pdfs/GMD-1800-36.pdf#page=11","Abrir facsímil")</f>
        <v>Abrir facsímil</v>
      </c>
      <c r="K5873" s="15" t="s">
        <v>23</v>
      </c>
    </row>
    <row r="5874" spans="1:11" ht="42" customHeight="1">
      <c r="A5874" s="4" t="s">
        <v>13361</v>
      </c>
      <c r="B5874" s="5" t="s">
        <v>13362</v>
      </c>
      <c r="C5874" s="5" t="s">
        <v>171</v>
      </c>
      <c r="D5874" s="5" t="s">
        <v>172</v>
      </c>
      <c r="E5874" s="5" t="s">
        <v>461</v>
      </c>
      <c r="F5874" s="9">
        <v>18</v>
      </c>
      <c r="G5874" s="9">
        <v>175</v>
      </c>
      <c r="H5874" s="5" t="s">
        <v>21</v>
      </c>
      <c r="I5874" s="5" t="s">
        <v>13363</v>
      </c>
      <c r="J5874" s="12" t="str">
        <f>HYPERLINK("https://www.boe.es/datos/pdfs/BOE//1800/018/C00173-00176.pdf#page=3","Abrir facsímil")</f>
        <v>Abrir facsímil</v>
      </c>
      <c r="K5874" s="15" t="s">
        <v>23</v>
      </c>
    </row>
    <row r="5875" spans="1:11" ht="42" customHeight="1">
      <c r="A5875" s="4" t="s">
        <v>13364</v>
      </c>
      <c r="B5875" s="5" t="s">
        <v>13365</v>
      </c>
      <c r="C5875" s="5" t="s">
        <v>18</v>
      </c>
      <c r="D5875" s="5" t="s">
        <v>19</v>
      </c>
      <c r="E5875" s="5" t="s">
        <v>176</v>
      </c>
      <c r="F5875" s="9">
        <v>88</v>
      </c>
      <c r="G5875" s="9">
        <v>1032</v>
      </c>
      <c r="H5875" s="5" t="s">
        <v>21</v>
      </c>
      <c r="I5875" s="5" t="s">
        <v>13366</v>
      </c>
      <c r="J5875" s="12" t="str">
        <f>HYPERLINK("https://www.boe.es/gazeta/dias/1800/10/31/pdfs/GMD-1800-88.pdf#page=14","Abrir facsímil")</f>
        <v>Abrir facsímil</v>
      </c>
      <c r="K5875" s="15" t="s">
        <v>23</v>
      </c>
    </row>
    <row r="5876" spans="1:11" ht="42" customHeight="1">
      <c r="A5876" s="4" t="s">
        <v>13367</v>
      </c>
      <c r="B5876" s="5" t="s">
        <v>13368</v>
      </c>
      <c r="C5876" s="5" t="s">
        <v>25</v>
      </c>
      <c r="D5876" s="5" t="s">
        <v>26</v>
      </c>
      <c r="E5876" s="5" t="s">
        <v>283</v>
      </c>
      <c r="F5876" s="9">
        <v>68</v>
      </c>
      <c r="G5876" s="9">
        <v>764</v>
      </c>
      <c r="H5876" s="5" t="s">
        <v>21</v>
      </c>
      <c r="I5876" s="5" t="s">
        <v>13369</v>
      </c>
      <c r="J5876" s="12" t="str">
        <f>HYPERLINK("https://www.boe.es/gazeta/dias/1800/08/26/pdfs/GMD-1800-68.pdf#page=8","Abrir facsímil")</f>
        <v>Abrir facsímil</v>
      </c>
      <c r="K5876" s="15" t="s">
        <v>23</v>
      </c>
    </row>
    <row r="5877" spans="1:11" ht="42" customHeight="1">
      <c r="A5877" s="4" t="s">
        <v>13370</v>
      </c>
      <c r="B5877" s="5" t="s">
        <v>13370</v>
      </c>
      <c r="C5877" s="5" t="s">
        <v>41</v>
      </c>
      <c r="D5877" s="5" t="s">
        <v>42</v>
      </c>
      <c r="E5877" s="5" t="s">
        <v>56</v>
      </c>
      <c r="F5877" s="9">
        <v>90</v>
      </c>
      <c r="G5877" s="9">
        <v>1051</v>
      </c>
      <c r="H5877" s="5" t="s">
        <v>21</v>
      </c>
      <c r="I5877" s="5" t="s">
        <v>13371</v>
      </c>
      <c r="J5877" s="12" t="str">
        <f>HYPERLINK("https://www.boe.es/gazeta/dias/1800/11/07/pdfs/GMD-1800-90.pdf#page=5","Abrir facsímil")</f>
        <v>Abrir facsímil</v>
      </c>
      <c r="K5877" s="15" t="s">
        <v>23</v>
      </c>
    </row>
    <row r="5878" spans="1:11" ht="42" customHeight="1">
      <c r="A5878" s="4" t="s">
        <v>13372</v>
      </c>
      <c r="B5878" s="5" t="s">
        <v>13372</v>
      </c>
      <c r="C5878" s="5" t="s">
        <v>41</v>
      </c>
      <c r="D5878" s="5" t="s">
        <v>42</v>
      </c>
      <c r="E5878" s="5" t="s">
        <v>402</v>
      </c>
      <c r="F5878" s="9">
        <v>101</v>
      </c>
      <c r="G5878" s="9">
        <v>1169</v>
      </c>
      <c r="H5878" s="5" t="s">
        <v>21</v>
      </c>
      <c r="I5878" s="5" t="s">
        <v>13373</v>
      </c>
      <c r="J5878" s="12" t="str">
        <f>HYPERLINK("https://www.boe.es/gazeta/dias/1800/12/16/pdfs/GMD-1800-101.pdf#page=5","Abrir facsímil")</f>
        <v>Abrir facsímil</v>
      </c>
      <c r="K5878" s="15" t="s">
        <v>23</v>
      </c>
    </row>
    <row r="5879" spans="1:11" ht="42" customHeight="1">
      <c r="A5879" s="4" t="s">
        <v>13374</v>
      </c>
      <c r="B5879" s="5" t="s">
        <v>13375</v>
      </c>
      <c r="C5879" s="5" t="s">
        <v>41</v>
      </c>
      <c r="D5879" s="5" t="s">
        <v>42</v>
      </c>
      <c r="E5879" s="5" t="s">
        <v>567</v>
      </c>
      <c r="F5879" s="9">
        <v>3</v>
      </c>
      <c r="G5879" s="9">
        <v>22</v>
      </c>
      <c r="H5879" s="5" t="s">
        <v>21</v>
      </c>
      <c r="I5879" s="5" t="s">
        <v>13376</v>
      </c>
      <c r="J5879" s="12" t="str">
        <f>HYPERLINK("https://www.boe.es/gazeta/dias/1800/01/10/pdfs/GMD-1800-3.pdf#page=2","Abrir facsímil")</f>
        <v>Abrir facsímil</v>
      </c>
      <c r="K5879" s="15" t="s">
        <v>23</v>
      </c>
    </row>
    <row r="5880" spans="1:11" ht="42" customHeight="1">
      <c r="A5880" s="4" t="s">
        <v>13377</v>
      </c>
      <c r="B5880" s="5" t="s">
        <v>13378</v>
      </c>
      <c r="C5880" s="5" t="s">
        <v>41</v>
      </c>
      <c r="D5880" s="5" t="s">
        <v>42</v>
      </c>
      <c r="E5880" s="5" t="s">
        <v>79</v>
      </c>
      <c r="F5880" s="9">
        <v>7</v>
      </c>
      <c r="G5880" s="9">
        <v>61</v>
      </c>
      <c r="H5880" s="5" t="s">
        <v>21</v>
      </c>
      <c r="I5880" s="5" t="s">
        <v>13379</v>
      </c>
      <c r="J5880" s="12" t="str">
        <f>HYPERLINK("https://www.boe.es/gazeta/dias/1800/01/24/pdfs/GMD-1800-7.pdf#page=1","Abrir facsímil")</f>
        <v>Abrir facsímil</v>
      </c>
      <c r="K5880" s="15" t="s">
        <v>23</v>
      </c>
    </row>
    <row r="5881" spans="1:11" ht="42" customHeight="1">
      <c r="A5881" s="4" t="s">
        <v>13377</v>
      </c>
      <c r="B5881" s="5" t="s">
        <v>13378</v>
      </c>
      <c r="C5881" s="5" t="s">
        <v>41</v>
      </c>
      <c r="D5881" s="5" t="s">
        <v>42</v>
      </c>
      <c r="E5881" s="5" t="s">
        <v>158</v>
      </c>
      <c r="F5881" s="9">
        <v>25</v>
      </c>
      <c r="G5881" s="9">
        <v>251</v>
      </c>
      <c r="H5881" s="5" t="s">
        <v>21</v>
      </c>
      <c r="I5881" s="5" t="s">
        <v>13380</v>
      </c>
      <c r="J5881" s="12" t="str">
        <f>HYPERLINK("https://www.boe.es/gazeta/dias/1800/03/28/pdfs/GMD-1800-25.pdf#page=3","Abrir facsímil")</f>
        <v>Abrir facsímil</v>
      </c>
      <c r="K5881" s="15" t="s">
        <v>23</v>
      </c>
    </row>
    <row r="5882" spans="1:11" ht="42" customHeight="1">
      <c r="A5882" s="4" t="s">
        <v>13377</v>
      </c>
      <c r="B5882" s="5" t="s">
        <v>13378</v>
      </c>
      <c r="C5882" s="5" t="s">
        <v>41</v>
      </c>
      <c r="D5882" s="5" t="s">
        <v>42</v>
      </c>
      <c r="E5882" s="5" t="s">
        <v>595</v>
      </c>
      <c r="F5882" s="9">
        <v>72</v>
      </c>
      <c r="G5882" s="9">
        <v>791</v>
      </c>
      <c r="H5882" s="5" t="s">
        <v>21</v>
      </c>
      <c r="I5882" s="5" t="s">
        <v>13381</v>
      </c>
      <c r="J5882" s="12" t="str">
        <f>HYPERLINK("https://www.boe.es/gazeta/dias/1800/09/05/pdfs/GMD-1800-72.pdf#page=1","Abrir facsímil")</f>
        <v>Abrir facsímil</v>
      </c>
      <c r="K5882" s="15" t="s">
        <v>23</v>
      </c>
    </row>
    <row r="5883" spans="1:11" ht="42" customHeight="1">
      <c r="A5883" s="4" t="s">
        <v>13377</v>
      </c>
      <c r="B5883" s="5" t="s">
        <v>13378</v>
      </c>
      <c r="C5883" s="5" t="s">
        <v>41</v>
      </c>
      <c r="D5883" s="5" t="s">
        <v>42</v>
      </c>
      <c r="E5883" s="5" t="s">
        <v>314</v>
      </c>
      <c r="F5883" s="9">
        <v>74</v>
      </c>
      <c r="G5883" s="9">
        <v>826</v>
      </c>
      <c r="H5883" s="5" t="s">
        <v>21</v>
      </c>
      <c r="I5883" s="5" t="s">
        <v>13382</v>
      </c>
      <c r="J5883" s="12" t="str">
        <f>HYPERLINK("https://www.boe.es/gazeta/dias/1800/09/12/pdfs/GMD-1800-74.pdf#page=4","Abrir facsímil")</f>
        <v>Abrir facsímil</v>
      </c>
      <c r="K5883" s="15" t="s">
        <v>23</v>
      </c>
    </row>
    <row r="5884" spans="1:11" ht="42" customHeight="1">
      <c r="A5884" s="4" t="s">
        <v>13383</v>
      </c>
      <c r="B5884" s="5" t="s">
        <v>13384</v>
      </c>
      <c r="C5884" s="5" t="s">
        <v>25</v>
      </c>
      <c r="D5884" s="5" t="s">
        <v>26</v>
      </c>
      <c r="E5884" s="5" t="s">
        <v>673</v>
      </c>
      <c r="F5884" s="9">
        <v>89</v>
      </c>
      <c r="G5884" s="9">
        <v>1043</v>
      </c>
      <c r="H5884" s="5" t="s">
        <v>21</v>
      </c>
      <c r="I5884" s="5" t="s">
        <v>13385</v>
      </c>
      <c r="J5884" s="12" t="str">
        <f>HYPERLINK("https://www.boe.es/gazeta/dias/1800/11/04/pdfs/GMD-1800-89.pdf#page=9","Abrir facsímil")</f>
        <v>Abrir facsímil</v>
      </c>
      <c r="K5884" s="15" t="s">
        <v>23</v>
      </c>
    </row>
    <row r="5885" spans="1:11" ht="42" customHeight="1">
      <c r="A5885" s="4" t="s">
        <v>13386</v>
      </c>
      <c r="B5885" s="5" t="s">
        <v>13387</v>
      </c>
      <c r="C5885" s="5" t="s">
        <v>54</v>
      </c>
      <c r="D5885" s="5" t="s">
        <v>55</v>
      </c>
      <c r="E5885" s="5" t="s">
        <v>503</v>
      </c>
      <c r="F5885" s="9">
        <v>13</v>
      </c>
      <c r="G5885" s="9">
        <v>126</v>
      </c>
      <c r="H5885" s="5" t="s">
        <v>21</v>
      </c>
      <c r="I5885" s="5" t="s">
        <v>13388</v>
      </c>
      <c r="J5885" s="12" t="str">
        <f>HYPERLINK("https://www.boe.es/gazeta/dias/1800/02/14/pdfs/GMD-1800-13.pdf#page=10","Abrir facsímil")</f>
        <v>Abrir facsímil</v>
      </c>
      <c r="K5885" s="15" t="s">
        <v>23</v>
      </c>
    </row>
    <row r="5886" spans="1:11" ht="42" customHeight="1">
      <c r="A5886" s="4" t="s">
        <v>13389</v>
      </c>
      <c r="B5886" s="5" t="s">
        <v>13390</v>
      </c>
      <c r="C5886" s="5" t="s">
        <v>18</v>
      </c>
      <c r="D5886" s="5" t="s">
        <v>19</v>
      </c>
      <c r="E5886" s="5" t="s">
        <v>196</v>
      </c>
      <c r="F5886" s="9">
        <v>97</v>
      </c>
      <c r="G5886" s="9">
        <v>1117</v>
      </c>
      <c r="H5886" s="5" t="s">
        <v>21</v>
      </c>
      <c r="I5886" s="5" t="s">
        <v>13391</v>
      </c>
      <c r="J5886" s="12" t="str">
        <f>HYPERLINK("https://www.boe.es/gazeta/dias/1800/12/02/pdfs/GMD-1800-97.pdf#page=9","Abrir facsímil")</f>
        <v>Abrir facsímil</v>
      </c>
      <c r="K5886" s="15" t="s">
        <v>23</v>
      </c>
    </row>
    <row r="5887" spans="1:11" ht="42" customHeight="1">
      <c r="A5887" s="4" t="s">
        <v>13392</v>
      </c>
      <c r="B5887" s="5" t="s">
        <v>13393</v>
      </c>
      <c r="C5887" s="5" t="s">
        <v>18</v>
      </c>
      <c r="D5887" s="5" t="s">
        <v>19</v>
      </c>
      <c r="E5887" s="5" t="s">
        <v>314</v>
      </c>
      <c r="F5887" s="9">
        <v>74</v>
      </c>
      <c r="G5887" s="9">
        <v>823</v>
      </c>
      <c r="H5887" s="5" t="s">
        <v>21</v>
      </c>
      <c r="I5887" s="5" t="s">
        <v>13394</v>
      </c>
      <c r="J5887" s="12" t="str">
        <f>HYPERLINK("https://www.boe.es/gazeta/dias/1800/09/12/pdfs/GMD-1800-74.pdf#page=1","Abrir facsímil")</f>
        <v>Abrir facsímil</v>
      </c>
      <c r="K5887" s="15" t="s">
        <v>23</v>
      </c>
    </row>
    <row r="5888" spans="1:11" ht="42" customHeight="1">
      <c r="A5888" s="4" t="s">
        <v>13392</v>
      </c>
      <c r="B5888" s="5" t="s">
        <v>13393</v>
      </c>
      <c r="C5888" s="5" t="s">
        <v>18</v>
      </c>
      <c r="D5888" s="5" t="s">
        <v>19</v>
      </c>
      <c r="E5888" s="5" t="s">
        <v>445</v>
      </c>
      <c r="F5888" s="9">
        <v>96</v>
      </c>
      <c r="G5888" s="9">
        <v>1097</v>
      </c>
      <c r="H5888" s="5" t="s">
        <v>21</v>
      </c>
      <c r="I5888" s="5" t="s">
        <v>13395</v>
      </c>
      <c r="J5888" s="12" t="str">
        <f>HYPERLINK("https://www.boe.es/gazeta/dias/1800/11/28/pdfs/GMD-1800-96.pdf#page=1","Abrir facsímil")</f>
        <v>Abrir facsímil</v>
      </c>
      <c r="K5888" s="15" t="s">
        <v>23</v>
      </c>
    </row>
    <row r="5889" spans="1:11" ht="42" customHeight="1">
      <c r="A5889" s="4" t="s">
        <v>13396</v>
      </c>
      <c r="B5889" s="5" t="s">
        <v>13397</v>
      </c>
      <c r="C5889" s="5" t="s">
        <v>18</v>
      </c>
      <c r="D5889" s="5" t="s">
        <v>19</v>
      </c>
      <c r="E5889" s="5" t="s">
        <v>147</v>
      </c>
      <c r="F5889" s="9">
        <v>84</v>
      </c>
      <c r="G5889" s="9">
        <v>973</v>
      </c>
      <c r="H5889" s="5" t="s">
        <v>21</v>
      </c>
      <c r="I5889" s="5" t="s">
        <v>13398</v>
      </c>
      <c r="J5889" s="12" t="str">
        <f>HYPERLINK("https://www.boe.es/gazeta/dias/1800/10/17/pdfs/GMD-1800-84.pdf#page=7","Abrir facsímil")</f>
        <v>Abrir facsímil</v>
      </c>
      <c r="K5889" s="15" t="s">
        <v>23</v>
      </c>
    </row>
    <row r="5890" spans="1:11" ht="42" customHeight="1">
      <c r="A5890" s="4" t="s">
        <v>13399</v>
      </c>
      <c r="B5890" s="5" t="s">
        <v>13400</v>
      </c>
      <c r="C5890" s="5" t="s">
        <v>25</v>
      </c>
      <c r="D5890" s="5" t="s">
        <v>26</v>
      </c>
      <c r="E5890" s="5" t="s">
        <v>1213</v>
      </c>
      <c r="F5890" s="9">
        <v>4</v>
      </c>
      <c r="G5890" s="9">
        <v>39</v>
      </c>
      <c r="H5890" s="5" t="s">
        <v>21</v>
      </c>
      <c r="I5890" s="5" t="s">
        <v>13401</v>
      </c>
      <c r="J5890" s="12" t="str">
        <f>HYPERLINK("https://www.boe.es/gazeta/dias/1800/01/14/pdfs/GMD-1800-4.pdf#page=11","Abrir facsímil")</f>
        <v>Abrir facsímil</v>
      </c>
      <c r="K5890" s="15" t="s">
        <v>23</v>
      </c>
    </row>
    <row r="5891" spans="1:11" ht="42" customHeight="1">
      <c r="A5891" s="4" t="s">
        <v>13399</v>
      </c>
      <c r="B5891" s="5" t="s">
        <v>13400</v>
      </c>
      <c r="C5891" s="5" t="s">
        <v>54</v>
      </c>
      <c r="D5891" s="5" t="s">
        <v>55</v>
      </c>
      <c r="E5891" s="5" t="s">
        <v>218</v>
      </c>
      <c r="F5891" s="9">
        <v>5</v>
      </c>
      <c r="G5891" s="9">
        <v>48</v>
      </c>
      <c r="H5891" s="5" t="s">
        <v>21</v>
      </c>
      <c r="I5891" s="5" t="s">
        <v>13402</v>
      </c>
      <c r="J5891" s="12" t="str">
        <f>HYPERLINK("https://www.boe.es/gazeta/dias/1800/01/17/pdfs/GMD-1800-5.pdf#page=8","Abrir facsímil")</f>
        <v>Abrir facsímil</v>
      </c>
      <c r="K5891" s="15" t="s">
        <v>23</v>
      </c>
    </row>
    <row r="5892" spans="1:11" ht="42" customHeight="1">
      <c r="A5892" s="4" t="s">
        <v>13399</v>
      </c>
      <c r="B5892" s="5" t="s">
        <v>13400</v>
      </c>
      <c r="C5892" s="5" t="s">
        <v>25</v>
      </c>
      <c r="D5892" s="5" t="s">
        <v>26</v>
      </c>
      <c r="E5892" s="5" t="s">
        <v>1127</v>
      </c>
      <c r="F5892" s="9">
        <v>11</v>
      </c>
      <c r="G5892" s="9">
        <v>107</v>
      </c>
      <c r="H5892" s="5" t="s">
        <v>21</v>
      </c>
      <c r="I5892" s="5" t="s">
        <v>13403</v>
      </c>
      <c r="J5892" s="12" t="str">
        <f>HYPERLINK("https://www.boe.es/gazeta/dias/1800/02/07/pdfs/GMD-1800-11.pdf#page=7","Abrir facsímil")</f>
        <v>Abrir facsímil</v>
      </c>
      <c r="K5892" s="15" t="s">
        <v>23</v>
      </c>
    </row>
    <row r="5893" spans="1:11" ht="42" customHeight="1">
      <c r="A5893" s="4" t="s">
        <v>13404</v>
      </c>
      <c r="B5893" s="5" t="s">
        <v>13405</v>
      </c>
      <c r="C5893" s="5" t="s">
        <v>18</v>
      </c>
      <c r="D5893" s="5" t="s">
        <v>19</v>
      </c>
      <c r="E5893" s="5" t="s">
        <v>194</v>
      </c>
      <c r="F5893" s="9">
        <v>48</v>
      </c>
      <c r="G5893" s="9">
        <v>518</v>
      </c>
      <c r="H5893" s="5" t="s">
        <v>21</v>
      </c>
      <c r="I5893" s="5" t="s">
        <v>13406</v>
      </c>
      <c r="J5893" s="12" t="str">
        <f>HYPERLINK("https://www.boe.es/gazeta/dias/1800/06/17/pdfs/GMD-1800-48.pdf#page=10","Abrir facsímil")</f>
        <v>Abrir facsímil</v>
      </c>
      <c r="K5893" s="15" t="s">
        <v>23</v>
      </c>
    </row>
    <row r="5894" spans="1:11" ht="42" customHeight="1">
      <c r="A5894" s="4" t="s">
        <v>13407</v>
      </c>
      <c r="B5894" s="5" t="s">
        <v>13408</v>
      </c>
      <c r="C5894" s="5" t="s">
        <v>18</v>
      </c>
      <c r="D5894" s="5" t="s">
        <v>19</v>
      </c>
      <c r="E5894" s="5" t="s">
        <v>56</v>
      </c>
      <c r="F5894" s="9">
        <v>90</v>
      </c>
      <c r="G5894" s="9">
        <v>1056</v>
      </c>
      <c r="H5894" s="5" t="s">
        <v>21</v>
      </c>
      <c r="I5894" s="5" t="s">
        <v>13409</v>
      </c>
      <c r="J5894" s="12" t="str">
        <f>HYPERLINK("https://www.boe.es/gazeta/dias/1800/11/07/pdfs/GMD-1800-90.pdf#page=10","Abrir facsímil")</f>
        <v>Abrir facsímil</v>
      </c>
      <c r="K5894" s="15" t="s">
        <v>23</v>
      </c>
    </row>
    <row r="5895" spans="1:11" ht="42" customHeight="1">
      <c r="A5895" s="4" t="s">
        <v>13410</v>
      </c>
      <c r="B5895" s="5" t="s">
        <v>13411</v>
      </c>
      <c r="C5895" s="5" t="s">
        <v>1179</v>
      </c>
      <c r="D5895" s="5" t="s">
        <v>1180</v>
      </c>
      <c r="E5895" s="5" t="s">
        <v>314</v>
      </c>
      <c r="F5895" s="9">
        <v>74</v>
      </c>
      <c r="G5895" s="9">
        <v>844</v>
      </c>
      <c r="H5895" s="5" t="s">
        <v>21</v>
      </c>
      <c r="I5895" s="5" t="s">
        <v>13412</v>
      </c>
      <c r="J5895" s="12" t="str">
        <f>HYPERLINK("https://www.boe.es/gazeta/dias/1800/09/12/pdfs/GMD-C-1800-74.pdf#page=6","Abrir facsímil")</f>
        <v>Abrir facsímil</v>
      </c>
      <c r="K5895" s="15" t="s">
        <v>23</v>
      </c>
    </row>
    <row r="5896" spans="1:11" ht="42" customHeight="1">
      <c r="A5896" s="4" t="s">
        <v>13413</v>
      </c>
      <c r="B5896" s="5" t="s">
        <v>13414</v>
      </c>
      <c r="C5896" s="5" t="s">
        <v>18</v>
      </c>
      <c r="D5896" s="5" t="s">
        <v>19</v>
      </c>
      <c r="E5896" s="5" t="s">
        <v>255</v>
      </c>
      <c r="F5896" s="9">
        <v>75</v>
      </c>
      <c r="G5896" s="9">
        <v>856</v>
      </c>
      <c r="H5896" s="5" t="s">
        <v>21</v>
      </c>
      <c r="I5896" s="5" t="s">
        <v>13415</v>
      </c>
      <c r="J5896" s="12" t="str">
        <f>HYPERLINK("https://www.boe.es/gazeta/dias/1800/09/16/pdfs/GMD-1800-75.pdf#page=10","Abrir facsímil")</f>
        <v>Abrir facsímil</v>
      </c>
      <c r="K5896" s="15" t="s">
        <v>23</v>
      </c>
    </row>
    <row r="5897" spans="1:11" ht="42" customHeight="1">
      <c r="A5897" s="4" t="s">
        <v>13416</v>
      </c>
      <c r="B5897" s="5" t="s">
        <v>13417</v>
      </c>
      <c r="C5897" s="5" t="s">
        <v>25</v>
      </c>
      <c r="D5897" s="5" t="s">
        <v>26</v>
      </c>
      <c r="E5897" s="5" t="s">
        <v>45</v>
      </c>
      <c r="F5897" s="9">
        <v>47</v>
      </c>
      <c r="G5897" s="9">
        <v>503</v>
      </c>
      <c r="H5897" s="5" t="s">
        <v>21</v>
      </c>
      <c r="I5897" s="5" t="s">
        <v>13418</v>
      </c>
      <c r="J5897" s="12" t="str">
        <f>HYPERLINK("https://www.boe.es/gazeta/dias/1800/06/13/pdfs/GMD-1800-47.pdf#page=11","Abrir facsímil")</f>
        <v>Abrir facsímil</v>
      </c>
      <c r="K5897" s="15" t="s">
        <v>23</v>
      </c>
    </row>
    <row r="5898" spans="1:11" ht="42" customHeight="1">
      <c r="A5898" s="4" t="s">
        <v>13419</v>
      </c>
      <c r="B5898" s="5" t="s">
        <v>13420</v>
      </c>
      <c r="C5898" s="5" t="s">
        <v>25</v>
      </c>
      <c r="D5898" s="5" t="s">
        <v>26</v>
      </c>
      <c r="E5898" s="5" t="s">
        <v>45</v>
      </c>
      <c r="F5898" s="9">
        <v>47</v>
      </c>
      <c r="G5898" s="9">
        <v>503</v>
      </c>
      <c r="H5898" s="5" t="s">
        <v>21</v>
      </c>
      <c r="I5898" s="5" t="s">
        <v>13421</v>
      </c>
      <c r="J5898" s="12" t="str">
        <f>HYPERLINK("https://www.boe.es/gazeta/dias/1800/06/13/pdfs/GMD-1800-47.pdf#page=11","Abrir facsímil")</f>
        <v>Abrir facsímil</v>
      </c>
      <c r="K5898" s="15" t="s">
        <v>23</v>
      </c>
    </row>
    <row r="5899" spans="1:11" ht="42" customHeight="1">
      <c r="A5899" s="4" t="s">
        <v>13422</v>
      </c>
      <c r="B5899" s="5" t="s">
        <v>13423</v>
      </c>
      <c r="C5899" s="5" t="s">
        <v>18</v>
      </c>
      <c r="D5899" s="5" t="s">
        <v>19</v>
      </c>
      <c r="E5899" s="5" t="s">
        <v>618</v>
      </c>
      <c r="F5899" s="9">
        <v>1</v>
      </c>
      <c r="G5899" s="9">
        <v>7</v>
      </c>
      <c r="H5899" s="5" t="s">
        <v>21</v>
      </c>
      <c r="I5899" s="5" t="s">
        <v>13424</v>
      </c>
      <c r="J5899" s="12" t="str">
        <f>HYPERLINK("https://www.boe.es/gazeta/dias/1800/01/03/pdfs/GMD-1800-1.pdf#page=7","Abrir facsímil")</f>
        <v>Abrir facsímil</v>
      </c>
      <c r="K5899" s="15" t="s">
        <v>23</v>
      </c>
    </row>
    <row r="5900" spans="1:11" ht="42" customHeight="1">
      <c r="A5900" s="4" t="s">
        <v>13425</v>
      </c>
      <c r="B5900" s="5" t="s">
        <v>13425</v>
      </c>
      <c r="C5900" s="5" t="s">
        <v>41</v>
      </c>
      <c r="D5900" s="5" t="s">
        <v>42</v>
      </c>
      <c r="E5900" s="5" t="s">
        <v>465</v>
      </c>
      <c r="F5900" s="9">
        <v>49</v>
      </c>
      <c r="G5900" s="9">
        <v>527</v>
      </c>
      <c r="H5900" s="5" t="s">
        <v>21</v>
      </c>
      <c r="I5900" s="5" t="s">
        <v>13426</v>
      </c>
      <c r="J5900" s="12" t="str">
        <f>HYPERLINK("https://www.boe.es/gazeta/dias/1800/06/20/pdfs/GMD-1800-49.pdf#page=3","Abrir facsímil")</f>
        <v>Abrir facsímil</v>
      </c>
      <c r="K5900" s="15" t="s">
        <v>23</v>
      </c>
    </row>
    <row r="5901" spans="1:11" ht="42" customHeight="1">
      <c r="A5901" s="4" t="s">
        <v>13427</v>
      </c>
      <c r="B5901" s="5" t="s">
        <v>13428</v>
      </c>
      <c r="C5901" s="5" t="s">
        <v>41</v>
      </c>
      <c r="D5901" s="5" t="s">
        <v>42</v>
      </c>
      <c r="E5901" s="5" t="s">
        <v>598</v>
      </c>
      <c r="F5901" s="9">
        <v>32</v>
      </c>
      <c r="G5901" s="9">
        <v>319</v>
      </c>
      <c r="H5901" s="5" t="s">
        <v>21</v>
      </c>
      <c r="I5901" s="5" t="s">
        <v>13429</v>
      </c>
      <c r="J5901" s="12" t="str">
        <f>HYPERLINK("https://www.boe.es/gazeta/dias/1800/04/22/pdfs/GMD-1800-32.pdf#page=3","Abrir facsímil")</f>
        <v>Abrir facsímil</v>
      </c>
      <c r="K5901" s="15" t="s">
        <v>23</v>
      </c>
    </row>
    <row r="5902" spans="1:11" ht="42" customHeight="1">
      <c r="A5902" s="4" t="s">
        <v>13430</v>
      </c>
      <c r="B5902" s="5" t="s">
        <v>13431</v>
      </c>
      <c r="C5902" s="5" t="s">
        <v>18</v>
      </c>
      <c r="D5902" s="5" t="s">
        <v>19</v>
      </c>
      <c r="E5902" s="5" t="s">
        <v>1127</v>
      </c>
      <c r="F5902" s="9">
        <v>11</v>
      </c>
      <c r="G5902" s="9">
        <v>107</v>
      </c>
      <c r="H5902" s="5" t="s">
        <v>21</v>
      </c>
      <c r="I5902" s="5" t="s">
        <v>13432</v>
      </c>
      <c r="J5902" s="12" t="str">
        <f>HYPERLINK("https://www.boe.es/gazeta/dias/1800/02/07/pdfs/GMD-1800-11.pdf#page=7","Abrir facsímil")</f>
        <v>Abrir facsímil</v>
      </c>
      <c r="K5902" s="15" t="s">
        <v>23</v>
      </c>
    </row>
    <row r="5903" spans="1:11" ht="42" customHeight="1">
      <c r="A5903" s="4" t="s">
        <v>13433</v>
      </c>
      <c r="B5903" s="5" t="s">
        <v>13434</v>
      </c>
      <c r="C5903" s="5" t="s">
        <v>18</v>
      </c>
      <c r="D5903" s="5" t="s">
        <v>19</v>
      </c>
      <c r="E5903" s="5" t="s">
        <v>836</v>
      </c>
      <c r="F5903" s="9">
        <v>71</v>
      </c>
      <c r="G5903" s="9">
        <v>789</v>
      </c>
      <c r="H5903" s="5" t="s">
        <v>21</v>
      </c>
      <c r="I5903" s="5" t="s">
        <v>13435</v>
      </c>
      <c r="J5903" s="12" t="str">
        <f>HYPERLINK("https://www.boe.es/gazeta/dias/1800/09/02/pdfs/GMD-1800-71.pdf#page=7","Abrir facsímil")</f>
        <v>Abrir facsímil</v>
      </c>
      <c r="K5903" s="15" t="s">
        <v>23</v>
      </c>
    </row>
    <row r="5904" spans="1:11" ht="42" customHeight="1">
      <c r="A5904" s="4" t="s">
        <v>13436</v>
      </c>
      <c r="B5904" s="5" t="s">
        <v>13437</v>
      </c>
      <c r="C5904" s="5" t="s">
        <v>18</v>
      </c>
      <c r="D5904" s="5" t="s">
        <v>19</v>
      </c>
      <c r="E5904" s="5" t="s">
        <v>75</v>
      </c>
      <c r="F5904" s="9">
        <v>64</v>
      </c>
      <c r="G5904" s="9">
        <v>733</v>
      </c>
      <c r="H5904" s="5" t="s">
        <v>21</v>
      </c>
      <c r="I5904" s="5" t="s">
        <v>13438</v>
      </c>
      <c r="J5904" s="12" t="str">
        <f>HYPERLINK("https://www.boe.es/gazeta/dias/1800/08/12/pdfs/GMD-1800-64.pdf#page=9","Abrir facsímil")</f>
        <v>Abrir facsímil</v>
      </c>
      <c r="K5904" s="15" t="s">
        <v>23</v>
      </c>
    </row>
    <row r="5905" spans="1:11" ht="42" customHeight="1">
      <c r="A5905" s="4" t="s">
        <v>13439</v>
      </c>
      <c r="B5905" s="5" t="s">
        <v>13439</v>
      </c>
      <c r="C5905" s="5" t="s">
        <v>54</v>
      </c>
      <c r="D5905" s="5" t="s">
        <v>55</v>
      </c>
      <c r="E5905" s="5" t="s">
        <v>478</v>
      </c>
      <c r="F5905" s="9">
        <v>34</v>
      </c>
      <c r="G5905" s="9">
        <v>340</v>
      </c>
      <c r="H5905" s="5" t="s">
        <v>21</v>
      </c>
      <c r="I5905" s="5" t="s">
        <v>13440</v>
      </c>
      <c r="J5905" s="12" t="str">
        <f>HYPERLINK("https://www.boe.es/gazeta/dias/1800/04/29/pdfs/GMD-1800-34.pdf#page=4","Abrir facsímil")</f>
        <v>Abrir facsímil</v>
      </c>
      <c r="K5905" s="15" t="s">
        <v>23</v>
      </c>
    </row>
    <row r="5906" spans="1:11" ht="42" customHeight="1">
      <c r="A5906" s="4" t="s">
        <v>13441</v>
      </c>
      <c r="B5906" s="5" t="s">
        <v>13442</v>
      </c>
      <c r="C5906" s="5" t="s">
        <v>25</v>
      </c>
      <c r="D5906" s="5" t="s">
        <v>26</v>
      </c>
      <c r="E5906" s="5" t="s">
        <v>45</v>
      </c>
      <c r="F5906" s="9">
        <v>47</v>
      </c>
      <c r="G5906" s="9">
        <v>502</v>
      </c>
      <c r="H5906" s="5" t="s">
        <v>21</v>
      </c>
      <c r="I5906" s="5" t="s">
        <v>13443</v>
      </c>
      <c r="J5906" s="12" t="str">
        <f>HYPERLINK("https://www.boe.es/gazeta/dias/1800/06/13/pdfs/GMD-1800-47.pdf#page=10","Abrir facsímil")</f>
        <v>Abrir facsímil</v>
      </c>
      <c r="K5906" s="15" t="s">
        <v>23</v>
      </c>
    </row>
    <row r="5907" spans="1:11" ht="42" customHeight="1">
      <c r="A5907" s="4" t="s">
        <v>13444</v>
      </c>
      <c r="B5907" s="5" t="s">
        <v>13445</v>
      </c>
      <c r="C5907" s="5" t="s">
        <v>18</v>
      </c>
      <c r="D5907" s="5" t="s">
        <v>19</v>
      </c>
      <c r="E5907" s="5" t="s">
        <v>184</v>
      </c>
      <c r="F5907" s="9">
        <v>82</v>
      </c>
      <c r="G5907" s="9">
        <v>950</v>
      </c>
      <c r="H5907" s="5" t="s">
        <v>21</v>
      </c>
      <c r="I5907" s="5" t="s">
        <v>13446</v>
      </c>
      <c r="J5907" s="12" t="str">
        <f>HYPERLINK("https://www.boe.es/gazeta/dias/1800/10/10/pdfs/GMD-1800-82.pdf#page=8","Abrir facsímil")</f>
        <v>Abrir facsímil</v>
      </c>
      <c r="K5907" s="15" t="s">
        <v>23</v>
      </c>
    </row>
    <row r="5908" spans="1:11" ht="42" customHeight="1">
      <c r="A5908" s="4" t="s">
        <v>13447</v>
      </c>
      <c r="B5908" s="5" t="s">
        <v>13448</v>
      </c>
      <c r="C5908" s="5" t="s">
        <v>207</v>
      </c>
      <c r="D5908" s="5" t="s">
        <v>55</v>
      </c>
      <c r="E5908" s="5" t="s">
        <v>52</v>
      </c>
      <c r="F5908" s="9">
        <v>83</v>
      </c>
      <c r="G5908" s="9">
        <v>962</v>
      </c>
      <c r="H5908" s="5" t="s">
        <v>21</v>
      </c>
      <c r="I5908" s="5" t="s">
        <v>13449</v>
      </c>
      <c r="J5908" s="12" t="str">
        <f>HYPERLINK("https://www.boe.es/gazeta/dias/1800/10/14/pdfs/GMD-1800-83.pdf#page=8","Abrir facsímil")</f>
        <v>Abrir facsímil</v>
      </c>
      <c r="K5908" s="15" t="s">
        <v>23</v>
      </c>
    </row>
    <row r="5909" spans="1:11" ht="42" customHeight="1">
      <c r="A5909" s="4" t="s">
        <v>13450</v>
      </c>
      <c r="B5909" s="5" t="s">
        <v>13450</v>
      </c>
      <c r="C5909" s="5" t="s">
        <v>18</v>
      </c>
      <c r="D5909" s="5" t="s">
        <v>19</v>
      </c>
      <c r="E5909" s="5" t="s">
        <v>135</v>
      </c>
      <c r="F5909" s="9">
        <v>73</v>
      </c>
      <c r="G5909" s="9">
        <v>815</v>
      </c>
      <c r="H5909" s="5" t="s">
        <v>21</v>
      </c>
      <c r="I5909" s="5" t="s">
        <v>13451</v>
      </c>
      <c r="J5909" s="12" t="str">
        <f>HYPERLINK("https://www.boe.es/gazeta/dias/1800/09/09/pdfs/GMD-1800-73.pdf#page=9","Abrir facsímil")</f>
        <v>Abrir facsímil</v>
      </c>
      <c r="K5909" s="15" t="s">
        <v>23</v>
      </c>
    </row>
    <row r="5910" spans="1:11" ht="42" customHeight="1">
      <c r="A5910" s="4" t="s">
        <v>13452</v>
      </c>
      <c r="B5910" s="5" t="s">
        <v>13453</v>
      </c>
      <c r="C5910" s="5" t="s">
        <v>18</v>
      </c>
      <c r="D5910" s="5" t="s">
        <v>19</v>
      </c>
      <c r="E5910" s="5" t="s">
        <v>56</v>
      </c>
      <c r="F5910" s="9">
        <v>90</v>
      </c>
      <c r="G5910" s="9">
        <v>1056</v>
      </c>
      <c r="H5910" s="5" t="s">
        <v>21</v>
      </c>
      <c r="I5910" s="5" t="s">
        <v>13454</v>
      </c>
      <c r="J5910" s="12" t="str">
        <f>HYPERLINK("https://www.boe.es/gazeta/dias/1800/11/07/pdfs/GMD-1800-90.pdf#page=10","Abrir facsímil")</f>
        <v>Abrir facsímil</v>
      </c>
      <c r="K5910" s="15" t="s">
        <v>23</v>
      </c>
    </row>
    <row r="5911" spans="1:11" ht="42" customHeight="1">
      <c r="A5911" s="4" t="s">
        <v>13455</v>
      </c>
      <c r="B5911" s="5" t="s">
        <v>13455</v>
      </c>
      <c r="C5911" s="5" t="s">
        <v>18</v>
      </c>
      <c r="D5911" s="5" t="s">
        <v>19</v>
      </c>
      <c r="E5911" s="5" t="s">
        <v>240</v>
      </c>
      <c r="F5911" s="9">
        <v>26</v>
      </c>
      <c r="G5911" s="9">
        <v>268</v>
      </c>
      <c r="H5911" s="5" t="s">
        <v>21</v>
      </c>
      <c r="I5911" s="5" t="s">
        <v>13456</v>
      </c>
      <c r="J5911" s="12" t="str">
        <f>HYPERLINK("https://www.boe.es/gazeta/dias/1800/04/01/pdfs/GMD-1800-26.pdf#page=8","Abrir facsímil")</f>
        <v>Abrir facsímil</v>
      </c>
      <c r="K5911" s="15" t="s">
        <v>23</v>
      </c>
    </row>
    <row r="5912" spans="1:11" ht="42" customHeight="1">
      <c r="A5912" s="4" t="s">
        <v>13457</v>
      </c>
      <c r="B5912" s="5" t="s">
        <v>13457</v>
      </c>
      <c r="C5912" s="5" t="s">
        <v>25</v>
      </c>
      <c r="D5912" s="5" t="s">
        <v>26</v>
      </c>
      <c r="E5912" s="5" t="s">
        <v>45</v>
      </c>
      <c r="F5912" s="9">
        <v>47</v>
      </c>
      <c r="G5912" s="9">
        <v>503</v>
      </c>
      <c r="H5912" s="5" t="s">
        <v>21</v>
      </c>
      <c r="I5912" s="5" t="s">
        <v>13458</v>
      </c>
      <c r="J5912" s="12" t="str">
        <f>HYPERLINK("https://www.boe.es/gazeta/dias/1800/06/13/pdfs/GMD-1800-47.pdf#page=11","Abrir facsímil")</f>
        <v>Abrir facsímil</v>
      </c>
      <c r="K5912" s="15" t="s">
        <v>23</v>
      </c>
    </row>
    <row r="5913" spans="1:11" ht="42" customHeight="1">
      <c r="A5913" s="4" t="s">
        <v>13459</v>
      </c>
      <c r="B5913" s="5" t="s">
        <v>13459</v>
      </c>
      <c r="C5913" s="5" t="s">
        <v>207</v>
      </c>
      <c r="D5913" s="5" t="s">
        <v>55</v>
      </c>
      <c r="E5913" s="5" t="s">
        <v>465</v>
      </c>
      <c r="F5913" s="9">
        <v>49</v>
      </c>
      <c r="G5913" s="9">
        <v>532</v>
      </c>
      <c r="H5913" s="5" t="s">
        <v>21</v>
      </c>
      <c r="I5913" s="5" t="s">
        <v>13460</v>
      </c>
      <c r="J5913" s="12" t="str">
        <f>HYPERLINK("https://www.boe.es/gazeta/dias/1800/06/20/pdfs/GMD-1800-49.pdf#page=8","Abrir facsímil")</f>
        <v>Abrir facsímil</v>
      </c>
      <c r="K5913" s="15" t="s">
        <v>23</v>
      </c>
    </row>
    <row r="5914" spans="1:11" ht="42" customHeight="1">
      <c r="A5914" s="4" t="s">
        <v>13461</v>
      </c>
      <c r="B5914" s="5" t="s">
        <v>13461</v>
      </c>
      <c r="C5914" s="5" t="s">
        <v>84</v>
      </c>
      <c r="D5914" s="5" t="s">
        <v>85</v>
      </c>
      <c r="E5914" s="5" t="s">
        <v>503</v>
      </c>
      <c r="F5914" s="9">
        <v>13</v>
      </c>
      <c r="G5914" s="9">
        <v>128</v>
      </c>
      <c r="H5914" s="5" t="s">
        <v>21</v>
      </c>
      <c r="I5914" s="5" t="s">
        <v>13462</v>
      </c>
      <c r="J5914" s="12" t="str">
        <f>HYPERLINK("https://www.boe.es/gazeta/dias/1800/02/14/pdfs/GMD-1800-13.pdf#page=12","Abrir facsímil")</f>
        <v>Abrir facsímil</v>
      </c>
      <c r="K5914" s="15" t="s">
        <v>23</v>
      </c>
    </row>
    <row r="5915" spans="1:11" ht="42" customHeight="1">
      <c r="A5915" s="4" t="s">
        <v>13463</v>
      </c>
      <c r="B5915" s="5" t="s">
        <v>13463</v>
      </c>
      <c r="C5915" s="5" t="s">
        <v>18</v>
      </c>
      <c r="D5915" s="5" t="s">
        <v>19</v>
      </c>
      <c r="E5915" s="5" t="s">
        <v>306</v>
      </c>
      <c r="F5915" s="9">
        <v>79</v>
      </c>
      <c r="G5915" s="9">
        <v>900</v>
      </c>
      <c r="H5915" s="5" t="s">
        <v>21</v>
      </c>
      <c r="I5915" s="5" t="s">
        <v>13464</v>
      </c>
      <c r="J5915" s="12" t="str">
        <f>HYPERLINK("https://www.boe.es/gazeta/dias/1800/09/30/pdfs/GMD-1800-79.pdf#page=10","Abrir facsímil")</f>
        <v>Abrir facsímil</v>
      </c>
      <c r="K5915" s="15" t="s">
        <v>23</v>
      </c>
    </row>
    <row r="5916" spans="1:11" ht="42" customHeight="1">
      <c r="A5916" s="4" t="s">
        <v>13465</v>
      </c>
      <c r="B5916" s="5" t="s">
        <v>13466</v>
      </c>
      <c r="C5916" s="5" t="s">
        <v>18</v>
      </c>
      <c r="D5916" s="5" t="s">
        <v>19</v>
      </c>
      <c r="E5916" s="5" t="s">
        <v>82</v>
      </c>
      <c r="F5916" s="9">
        <v>10</v>
      </c>
      <c r="G5916" s="9">
        <v>97</v>
      </c>
      <c r="H5916" s="5" t="s">
        <v>21</v>
      </c>
      <c r="I5916" s="5" t="s">
        <v>13467</v>
      </c>
      <c r="J5916" s="12" t="str">
        <f>HYPERLINK("https://www.boe.es/gazeta/dias/1800/02/04/pdfs/GMD-1800-10.pdf#page=9","Abrir facsímil")</f>
        <v>Abrir facsímil</v>
      </c>
      <c r="K5916" s="15" t="s">
        <v>23</v>
      </c>
    </row>
    <row r="5917" spans="1:11" ht="42" customHeight="1">
      <c r="A5917" s="4" t="s">
        <v>13468</v>
      </c>
      <c r="B5917" s="5" t="s">
        <v>13469</v>
      </c>
      <c r="C5917" s="5" t="s">
        <v>25</v>
      </c>
      <c r="D5917" s="5" t="s">
        <v>26</v>
      </c>
      <c r="E5917" s="5" t="s">
        <v>147</v>
      </c>
      <c r="F5917" s="9">
        <v>84</v>
      </c>
      <c r="G5917" s="9">
        <v>973</v>
      </c>
      <c r="H5917" s="5" t="s">
        <v>21</v>
      </c>
      <c r="I5917" s="5" t="s">
        <v>13470</v>
      </c>
      <c r="J5917" s="12" t="str">
        <f>HYPERLINK("https://www.boe.es/gazeta/dias/1800/10/17/pdfs/GMD-1800-84.pdf#page=7","Abrir facsímil")</f>
        <v>Abrir facsímil</v>
      </c>
      <c r="K5917" s="15" t="s">
        <v>23</v>
      </c>
    </row>
    <row r="5918" spans="1:11" ht="42" customHeight="1">
      <c r="A5918" s="4" t="s">
        <v>13471</v>
      </c>
      <c r="B5918" s="5" t="s">
        <v>13471</v>
      </c>
      <c r="C5918" s="5" t="s">
        <v>18</v>
      </c>
      <c r="D5918" s="5" t="s">
        <v>19</v>
      </c>
      <c r="E5918" s="5" t="s">
        <v>314</v>
      </c>
      <c r="F5918" s="9">
        <v>74</v>
      </c>
      <c r="G5918" s="9">
        <v>830</v>
      </c>
      <c r="H5918" s="5" t="s">
        <v>21</v>
      </c>
      <c r="I5918" s="5" t="s">
        <v>13472</v>
      </c>
      <c r="J5918" s="12" t="str">
        <f>HYPERLINK("https://www.boe.es/gazeta/dias/1800/09/12/pdfs/GMD-1800-74.pdf#page=8","Abrir facsímil")</f>
        <v>Abrir facsímil</v>
      </c>
      <c r="K5918" s="15" t="s">
        <v>23</v>
      </c>
    </row>
    <row r="5919" spans="1:11" ht="42" customHeight="1">
      <c r="A5919" s="4" t="s">
        <v>13473</v>
      </c>
      <c r="B5919" s="5" t="s">
        <v>13473</v>
      </c>
      <c r="C5919" s="5" t="s">
        <v>25</v>
      </c>
      <c r="D5919" s="5" t="s">
        <v>26</v>
      </c>
      <c r="E5919" s="5" t="s">
        <v>184</v>
      </c>
      <c r="F5919" s="9">
        <v>82</v>
      </c>
      <c r="G5919" s="9">
        <v>949</v>
      </c>
      <c r="H5919" s="5" t="s">
        <v>21</v>
      </c>
      <c r="I5919" s="5" t="s">
        <v>13474</v>
      </c>
      <c r="J5919" s="12" t="str">
        <f>HYPERLINK("https://www.boe.es/gazeta/dias/1800/10/10/pdfs/GMD-1800-82.pdf#page=7","Abrir facsímil")</f>
        <v>Abrir facsímil</v>
      </c>
      <c r="K5919" s="15" t="s">
        <v>23</v>
      </c>
    </row>
    <row r="5920" spans="1:11" ht="42" customHeight="1">
      <c r="A5920" s="4" t="s">
        <v>13475</v>
      </c>
      <c r="B5920" s="5" t="s">
        <v>13476</v>
      </c>
      <c r="C5920" s="5" t="s">
        <v>171</v>
      </c>
      <c r="D5920" s="5" t="s">
        <v>172</v>
      </c>
      <c r="E5920" s="5" t="s">
        <v>147</v>
      </c>
      <c r="F5920" s="9">
        <v>84</v>
      </c>
      <c r="G5920" s="9">
        <v>975</v>
      </c>
      <c r="H5920" s="5" t="s">
        <v>21</v>
      </c>
      <c r="I5920" s="5" t="s">
        <v>13477</v>
      </c>
      <c r="J5920" s="12" t="str">
        <f>HYPERLINK("https://www.boe.es/gazeta/dias/1800/10/17/pdfs/GMD-C-1800-84.pdf#page=1","Abrir facsímil")</f>
        <v>Abrir facsímil</v>
      </c>
      <c r="K5920" s="15" t="s">
        <v>23</v>
      </c>
    </row>
    <row r="5921" spans="1:11" ht="42" customHeight="1">
      <c r="A5921" s="4" t="s">
        <v>13478</v>
      </c>
      <c r="B5921" s="5" t="s">
        <v>13478</v>
      </c>
      <c r="C5921" s="5" t="s">
        <v>18</v>
      </c>
      <c r="D5921" s="5" t="s">
        <v>19</v>
      </c>
      <c r="E5921" s="5" t="s">
        <v>135</v>
      </c>
      <c r="F5921" s="9">
        <v>73</v>
      </c>
      <c r="G5921" s="9">
        <v>815</v>
      </c>
      <c r="H5921" s="5" t="s">
        <v>21</v>
      </c>
      <c r="I5921" s="5" t="s">
        <v>13479</v>
      </c>
      <c r="J5921" s="12" t="str">
        <f>HYPERLINK("https://www.boe.es/gazeta/dias/1800/09/09/pdfs/GMD-1800-73.pdf#page=9","Abrir facsímil")</f>
        <v>Abrir facsímil</v>
      </c>
      <c r="K5921" s="15" t="s">
        <v>23</v>
      </c>
    </row>
    <row r="5922" spans="1:11" ht="42" customHeight="1">
      <c r="A5922" s="4" t="s">
        <v>13480</v>
      </c>
      <c r="B5922" s="5" t="s">
        <v>13481</v>
      </c>
      <c r="C5922" s="5" t="s">
        <v>18</v>
      </c>
      <c r="D5922" s="5" t="s">
        <v>19</v>
      </c>
      <c r="E5922" s="5" t="s">
        <v>478</v>
      </c>
      <c r="F5922" s="9">
        <v>34</v>
      </c>
      <c r="G5922" s="9">
        <v>347</v>
      </c>
      <c r="H5922" s="5" t="s">
        <v>21</v>
      </c>
      <c r="I5922" s="5" t="s">
        <v>13482</v>
      </c>
      <c r="J5922" s="12" t="str">
        <f>HYPERLINK("https://www.boe.es/gazeta/dias/1800/04/29/pdfs/GMD-1800-34.pdf#page=11","Abrir facsímil")</f>
        <v>Abrir facsímil</v>
      </c>
      <c r="K5922" s="15" t="s">
        <v>23</v>
      </c>
    </row>
    <row r="5923" spans="1:11" ht="42" customHeight="1">
      <c r="A5923" s="4" t="s">
        <v>13483</v>
      </c>
      <c r="B5923" s="5" t="s">
        <v>13484</v>
      </c>
      <c r="C5923" s="5" t="s">
        <v>207</v>
      </c>
      <c r="D5923" s="5" t="s">
        <v>55</v>
      </c>
      <c r="E5923" s="5" t="s">
        <v>845</v>
      </c>
      <c r="F5923" s="9">
        <v>80</v>
      </c>
      <c r="G5923" s="9">
        <v>910</v>
      </c>
      <c r="H5923" s="5" t="s">
        <v>21</v>
      </c>
      <c r="I5923" s="5" t="s">
        <v>13485</v>
      </c>
      <c r="J5923" s="12" t="str">
        <f>HYPERLINK("https://www.boe.es/gazeta/dias/1800/10/03/pdfs/GMD-1800-80.pdf#page=8","Abrir facsímil")</f>
        <v>Abrir facsímil</v>
      </c>
      <c r="K5923" s="15" t="s">
        <v>23</v>
      </c>
    </row>
    <row r="5924" spans="1:11" ht="42" customHeight="1">
      <c r="A5924" s="4" t="s">
        <v>13486</v>
      </c>
      <c r="B5924" s="5" t="s">
        <v>13487</v>
      </c>
      <c r="C5924" s="5" t="s">
        <v>18</v>
      </c>
      <c r="D5924" s="5" t="s">
        <v>19</v>
      </c>
      <c r="E5924" s="5" t="s">
        <v>534</v>
      </c>
      <c r="F5924" s="9">
        <v>100</v>
      </c>
      <c r="G5924" s="9">
        <v>1159</v>
      </c>
      <c r="H5924" s="5" t="s">
        <v>21</v>
      </c>
      <c r="I5924" s="5" t="s">
        <v>13488</v>
      </c>
      <c r="J5924" s="12" t="str">
        <f>HYPERLINK("https://www.boe.es/gazeta/dias/1800/12/12/pdfs/GMD-1800-100.pdf#page=11","Abrir facsímil")</f>
        <v>Abrir facsímil</v>
      </c>
      <c r="K5924" s="15" t="s">
        <v>23</v>
      </c>
    </row>
    <row r="5925" spans="1:11" ht="42" customHeight="1">
      <c r="A5925" s="4" t="s">
        <v>13489</v>
      </c>
      <c r="B5925" s="5" t="s">
        <v>13490</v>
      </c>
      <c r="C5925" s="5" t="s">
        <v>18</v>
      </c>
      <c r="D5925" s="5" t="s">
        <v>19</v>
      </c>
      <c r="E5925" s="5" t="s">
        <v>176</v>
      </c>
      <c r="F5925" s="9">
        <v>88</v>
      </c>
      <c r="G5925" s="9">
        <v>1031</v>
      </c>
      <c r="H5925" s="5" t="s">
        <v>21</v>
      </c>
      <c r="I5925" s="5" t="s">
        <v>13491</v>
      </c>
      <c r="J5925" s="12" t="str">
        <f>HYPERLINK("https://www.boe.es/gazeta/dias/1800/10/31/pdfs/GMD-1800-88.pdf#page=13","Abrir facsímil")</f>
        <v>Abrir facsímil</v>
      </c>
      <c r="K5925" s="15" t="s">
        <v>23</v>
      </c>
    </row>
    <row r="5926" spans="1:11" ht="42" customHeight="1">
      <c r="A5926" s="4" t="s">
        <v>13492</v>
      </c>
      <c r="B5926" s="5" t="s">
        <v>13492</v>
      </c>
      <c r="C5926" s="5" t="s">
        <v>18</v>
      </c>
      <c r="D5926" s="5" t="s">
        <v>19</v>
      </c>
      <c r="E5926" s="5" t="s">
        <v>190</v>
      </c>
      <c r="F5926" s="9">
        <v>93</v>
      </c>
      <c r="G5926" s="9">
        <v>1066</v>
      </c>
      <c r="H5926" s="5" t="s">
        <v>21</v>
      </c>
      <c r="I5926" s="5" t="s">
        <v>13493</v>
      </c>
      <c r="J5926" s="12" t="str">
        <f>HYPERLINK("https://www.boe.es/gazeta/dias/1800/11/18/pdfs/GMD-1800-93.pdf#page=12","Abrir facsímil")</f>
        <v>Abrir facsímil</v>
      </c>
      <c r="K5926" s="15" t="s">
        <v>23</v>
      </c>
    </row>
    <row r="5927" spans="1:11" ht="42" customHeight="1">
      <c r="A5927" s="4" t="s">
        <v>13494</v>
      </c>
      <c r="B5927" s="5" t="s">
        <v>13495</v>
      </c>
      <c r="C5927" s="5" t="s">
        <v>18</v>
      </c>
      <c r="D5927" s="5" t="s">
        <v>19</v>
      </c>
      <c r="E5927" s="5" t="s">
        <v>194</v>
      </c>
      <c r="F5927" s="9">
        <v>48</v>
      </c>
      <c r="G5927" s="9">
        <v>518</v>
      </c>
      <c r="H5927" s="5" t="s">
        <v>21</v>
      </c>
      <c r="I5927" s="5" t="s">
        <v>13496</v>
      </c>
      <c r="J5927" s="12" t="str">
        <f>HYPERLINK("https://www.boe.es/gazeta/dias/1800/06/17/pdfs/GMD-1800-48.pdf#page=10","Abrir facsímil")</f>
        <v>Abrir facsímil</v>
      </c>
      <c r="K5927" s="15" t="s">
        <v>23</v>
      </c>
    </row>
    <row r="5928" spans="1:11" ht="42" customHeight="1">
      <c r="A5928" s="4" t="s">
        <v>13497</v>
      </c>
      <c r="B5928" s="5" t="s">
        <v>13498</v>
      </c>
      <c r="C5928" s="5" t="s">
        <v>18</v>
      </c>
      <c r="D5928" s="5" t="s">
        <v>19</v>
      </c>
      <c r="E5928" s="5" t="s">
        <v>180</v>
      </c>
      <c r="F5928" s="9">
        <v>102</v>
      </c>
      <c r="G5928" s="9">
        <v>1185</v>
      </c>
      <c r="H5928" s="5" t="s">
        <v>21</v>
      </c>
      <c r="I5928" s="5" t="s">
        <v>13499</v>
      </c>
      <c r="J5928" s="12" t="str">
        <f>HYPERLINK("https://www.boe.es/gazeta/dias/1800/12/19/pdfs/GMD-1800-102.pdf#page=9","Abrir facsímil")</f>
        <v>Abrir facsímil</v>
      </c>
      <c r="K5928" s="15" t="s">
        <v>23</v>
      </c>
    </row>
    <row r="5929" spans="1:11" ht="42" customHeight="1">
      <c r="A5929" s="4" t="s">
        <v>13500</v>
      </c>
      <c r="B5929" s="5" t="s">
        <v>13501</v>
      </c>
      <c r="C5929" s="5" t="s">
        <v>114</v>
      </c>
      <c r="D5929" s="5" t="s">
        <v>115</v>
      </c>
      <c r="E5929" s="5" t="s">
        <v>116</v>
      </c>
      <c r="F5929" s="9">
        <v>86</v>
      </c>
      <c r="G5929" s="9" t="s">
        <v>725</v>
      </c>
      <c r="H5929" s="5" t="s">
        <v>21</v>
      </c>
      <c r="I5929" s="5" t="s">
        <v>13502</v>
      </c>
      <c r="J5929" s="12" t="str">
        <f>HYPERLINK("https://www.boe.es/gazeta/dias/1800/10/24/pdfs/GMD-D-1800-86.pdf#page=1","Abrir facsímil")</f>
        <v>Abrir facsímil</v>
      </c>
      <c r="K5929" s="15" t="s">
        <v>23</v>
      </c>
    </row>
    <row r="5930" spans="1:11" ht="42" customHeight="1">
      <c r="A5930" s="4" t="s">
        <v>13503</v>
      </c>
      <c r="B5930" s="5" t="s">
        <v>13504</v>
      </c>
      <c r="C5930" s="5" t="s">
        <v>25</v>
      </c>
      <c r="D5930" s="5" t="s">
        <v>26</v>
      </c>
      <c r="E5930" s="5" t="s">
        <v>45</v>
      </c>
      <c r="F5930" s="9">
        <v>47</v>
      </c>
      <c r="G5930" s="9">
        <v>502</v>
      </c>
      <c r="H5930" s="5" t="s">
        <v>21</v>
      </c>
      <c r="I5930" s="5" t="s">
        <v>13505</v>
      </c>
      <c r="J5930" s="12" t="str">
        <f>HYPERLINK("https://www.boe.es/gazeta/dias/1800/06/13/pdfs/GMD-1800-47.pdf#page=10","Abrir facsímil")</f>
        <v>Abrir facsímil</v>
      </c>
      <c r="K5930" s="15" t="s">
        <v>23</v>
      </c>
    </row>
    <row r="5931" spans="1:11" ht="42" customHeight="1">
      <c r="A5931" s="4" t="s">
        <v>13506</v>
      </c>
      <c r="B5931" s="5" t="s">
        <v>13507</v>
      </c>
      <c r="C5931" s="5" t="s">
        <v>25</v>
      </c>
      <c r="D5931" s="5" t="s">
        <v>26</v>
      </c>
      <c r="E5931" s="5" t="s">
        <v>248</v>
      </c>
      <c r="F5931" s="9">
        <v>33</v>
      </c>
      <c r="G5931" s="9">
        <v>333</v>
      </c>
      <c r="H5931" s="5" t="s">
        <v>21</v>
      </c>
      <c r="I5931" s="5" t="s">
        <v>13508</v>
      </c>
      <c r="J5931" s="12" t="str">
        <f>HYPERLINK("https://www.boe.es/gazeta/dias/1800/04/25/pdfs/GMD-1800-33.pdf#page=9","Abrir facsímil")</f>
        <v>Abrir facsímil</v>
      </c>
      <c r="K5931" s="15" t="s">
        <v>23</v>
      </c>
    </row>
    <row r="5932" spans="1:11" ht="42" customHeight="1">
      <c r="A5932" s="4" t="s">
        <v>13506</v>
      </c>
      <c r="B5932" s="5" t="s">
        <v>13507</v>
      </c>
      <c r="C5932" s="5" t="s">
        <v>25</v>
      </c>
      <c r="D5932" s="5" t="s">
        <v>26</v>
      </c>
      <c r="E5932" s="5" t="s">
        <v>68</v>
      </c>
      <c r="F5932" s="9">
        <v>67</v>
      </c>
      <c r="G5932" s="9">
        <v>755</v>
      </c>
      <c r="H5932" s="5" t="s">
        <v>21</v>
      </c>
      <c r="I5932" s="5" t="s">
        <v>13509</v>
      </c>
      <c r="J5932" s="12" t="str">
        <f>HYPERLINK("https://www.boe.es/gazeta/dias/1800/08/22/pdfs/GMD-1800-67.pdf#page=7","Abrir facsímil")</f>
        <v>Abrir facsímil</v>
      </c>
      <c r="K5932" s="15" t="s">
        <v>23</v>
      </c>
    </row>
    <row r="5933" spans="1:11" ht="42" customHeight="1">
      <c r="A5933" s="4" t="s">
        <v>13510</v>
      </c>
      <c r="B5933" s="5" t="s">
        <v>13510</v>
      </c>
      <c r="C5933" s="5" t="s">
        <v>25</v>
      </c>
      <c r="D5933" s="5" t="s">
        <v>26</v>
      </c>
      <c r="E5933" s="5" t="s">
        <v>101</v>
      </c>
      <c r="F5933" s="9">
        <v>37</v>
      </c>
      <c r="G5933" s="9">
        <v>378</v>
      </c>
      <c r="H5933" s="5" t="s">
        <v>21</v>
      </c>
      <c r="I5933" s="5" t="s">
        <v>13511</v>
      </c>
      <c r="J5933" s="12" t="str">
        <f>HYPERLINK("https://www.boe.es/gazeta/dias/1800/05/09/pdfs/GMD-1800-37.pdf#page=10","Abrir facsímil")</f>
        <v>Abrir facsímil</v>
      </c>
      <c r="K5933" s="15" t="s">
        <v>23</v>
      </c>
    </row>
    <row r="5934" spans="1:11" ht="42" customHeight="1">
      <c r="A5934" s="4" t="s">
        <v>13512</v>
      </c>
      <c r="B5934" s="5" t="s">
        <v>13513</v>
      </c>
      <c r="C5934" s="5" t="s">
        <v>18</v>
      </c>
      <c r="D5934" s="5" t="s">
        <v>19</v>
      </c>
      <c r="E5934" s="5" t="s">
        <v>184</v>
      </c>
      <c r="F5934" s="9">
        <v>82</v>
      </c>
      <c r="G5934" s="9">
        <v>951</v>
      </c>
      <c r="H5934" s="5" t="s">
        <v>21</v>
      </c>
      <c r="I5934" s="5" t="s">
        <v>13514</v>
      </c>
      <c r="J5934" s="12" t="str">
        <f>HYPERLINK("https://www.boe.es/gazeta/dias/1800/10/10/pdfs/GMD-1800-82.pdf#page=9","Abrir facsímil")</f>
        <v>Abrir facsímil</v>
      </c>
      <c r="K5934" s="15" t="s">
        <v>23</v>
      </c>
    </row>
    <row r="5935" spans="1:11" ht="42" customHeight="1">
      <c r="A5935" s="4" t="s">
        <v>13515</v>
      </c>
      <c r="B5935" s="5" t="s">
        <v>13515</v>
      </c>
      <c r="C5935" s="5" t="s">
        <v>18</v>
      </c>
      <c r="D5935" s="5" t="s">
        <v>19</v>
      </c>
      <c r="E5935" s="5" t="s">
        <v>56</v>
      </c>
      <c r="F5935" s="9">
        <v>90</v>
      </c>
      <c r="G5935" s="9">
        <v>1056</v>
      </c>
      <c r="H5935" s="5" t="s">
        <v>21</v>
      </c>
      <c r="I5935" s="5" t="s">
        <v>13516</v>
      </c>
      <c r="J5935" s="12" t="str">
        <f>HYPERLINK("https://www.boe.es/gazeta/dias/1800/11/07/pdfs/GMD-1800-90.pdf#page=10","Abrir facsímil")</f>
        <v>Abrir facsímil</v>
      </c>
      <c r="K5935" s="15" t="s">
        <v>23</v>
      </c>
    </row>
    <row r="5936" spans="1:11" ht="42" customHeight="1">
      <c r="A5936" s="4" t="s">
        <v>13517</v>
      </c>
      <c r="B5936" s="5" t="s">
        <v>13517</v>
      </c>
      <c r="C5936" s="5" t="s">
        <v>84</v>
      </c>
      <c r="D5936" s="5" t="s">
        <v>85</v>
      </c>
      <c r="E5936" s="5" t="s">
        <v>262</v>
      </c>
      <c r="F5936" s="9">
        <v>39</v>
      </c>
      <c r="G5936" s="9">
        <v>404</v>
      </c>
      <c r="H5936" s="5" t="s">
        <v>21</v>
      </c>
      <c r="I5936" s="5" t="s">
        <v>13518</v>
      </c>
      <c r="J5936" s="12" t="str">
        <f>HYPERLINK("https://www.boe.es/gazeta/dias/1800/05/16/pdfs/GMD-1800-39.pdf#page=12","Abrir facsímil")</f>
        <v>Abrir facsímil</v>
      </c>
      <c r="K5936" s="15" t="s">
        <v>23</v>
      </c>
    </row>
    <row r="5937" spans="1:11" ht="42" customHeight="1">
      <c r="A5937" s="4" t="s">
        <v>13519</v>
      </c>
      <c r="B5937" s="5" t="s">
        <v>13519</v>
      </c>
      <c r="C5937" s="5" t="s">
        <v>25</v>
      </c>
      <c r="D5937" s="5" t="s">
        <v>26</v>
      </c>
      <c r="E5937" s="5" t="s">
        <v>120</v>
      </c>
      <c r="F5937" s="9">
        <v>52</v>
      </c>
      <c r="G5937" s="9">
        <v>576</v>
      </c>
      <c r="H5937" s="5" t="s">
        <v>21</v>
      </c>
      <c r="I5937" s="5" t="s">
        <v>13520</v>
      </c>
      <c r="J5937" s="12" t="str">
        <f>HYPERLINK("https://www.boe.es/gazeta/dias/1800/07/01/pdfs/GMD-1800-52.pdf#page=12","Abrir facsímil")</f>
        <v>Abrir facsímil</v>
      </c>
      <c r="K5937" s="15" t="s">
        <v>23</v>
      </c>
    </row>
    <row r="5938" spans="1:11" ht="42" customHeight="1">
      <c r="A5938" s="4" t="s">
        <v>13521</v>
      </c>
      <c r="B5938" s="5" t="s">
        <v>13522</v>
      </c>
      <c r="C5938" s="5" t="s">
        <v>18</v>
      </c>
      <c r="D5938" s="5" t="s">
        <v>19</v>
      </c>
      <c r="E5938" s="5" t="s">
        <v>176</v>
      </c>
      <c r="F5938" s="9">
        <v>88</v>
      </c>
      <c r="G5938" s="9">
        <v>1031</v>
      </c>
      <c r="H5938" s="5" t="s">
        <v>21</v>
      </c>
      <c r="I5938" s="5" t="s">
        <v>13523</v>
      </c>
      <c r="J5938" s="12" t="str">
        <f>HYPERLINK("https://www.boe.es/gazeta/dias/1800/10/31/pdfs/GMD-1800-88.pdf#page=13","Abrir facsímil")</f>
        <v>Abrir facsímil</v>
      </c>
      <c r="K5938" s="15" t="s">
        <v>23</v>
      </c>
    </row>
    <row r="5939" spans="1:11" ht="42" customHeight="1">
      <c r="A5939" s="4" t="s">
        <v>13524</v>
      </c>
      <c r="B5939" s="5" t="s">
        <v>13525</v>
      </c>
      <c r="C5939" s="5" t="s">
        <v>207</v>
      </c>
      <c r="D5939" s="5" t="s">
        <v>55</v>
      </c>
      <c r="E5939" s="5" t="s">
        <v>445</v>
      </c>
      <c r="F5939" s="9">
        <v>96</v>
      </c>
      <c r="G5939" s="9">
        <v>1105</v>
      </c>
      <c r="H5939" s="5" t="s">
        <v>21</v>
      </c>
      <c r="I5939" s="5" t="s">
        <v>13526</v>
      </c>
      <c r="J5939" s="12" t="str">
        <f>HYPERLINK("https://www.boe.es/gazeta/dias/1800/11/28/pdfs/GMD-1800-96.pdf#page=9","Abrir facsímil")</f>
        <v>Abrir facsímil</v>
      </c>
      <c r="K5939" s="15" t="s">
        <v>23</v>
      </c>
    </row>
    <row r="5940" spans="1:11" ht="42" customHeight="1">
      <c r="A5940" s="4" t="s">
        <v>13527</v>
      </c>
      <c r="B5940" s="5" t="s">
        <v>13528</v>
      </c>
      <c r="C5940" s="5" t="s">
        <v>18</v>
      </c>
      <c r="D5940" s="5" t="s">
        <v>19</v>
      </c>
      <c r="E5940" s="5" t="s">
        <v>196</v>
      </c>
      <c r="F5940" s="9">
        <v>97</v>
      </c>
      <c r="G5940" s="9">
        <v>1117</v>
      </c>
      <c r="H5940" s="5" t="s">
        <v>21</v>
      </c>
      <c r="I5940" s="5" t="s">
        <v>13529</v>
      </c>
      <c r="J5940" s="12" t="str">
        <f>HYPERLINK("https://www.boe.es/gazeta/dias/1800/12/02/pdfs/GMD-1800-97.pdf#page=9","Abrir facsímil")</f>
        <v>Abrir facsímil</v>
      </c>
      <c r="K5940" s="15" t="s">
        <v>23</v>
      </c>
    </row>
    <row r="5941" spans="1:11" ht="42" customHeight="1">
      <c r="A5941" s="4" t="s">
        <v>13530</v>
      </c>
      <c r="B5941" s="5" t="s">
        <v>13531</v>
      </c>
      <c r="C5941" s="5" t="s">
        <v>18</v>
      </c>
      <c r="D5941" s="5" t="s">
        <v>19</v>
      </c>
      <c r="E5941" s="5" t="s">
        <v>60</v>
      </c>
      <c r="F5941" s="9">
        <v>105</v>
      </c>
      <c r="G5941" s="9">
        <v>1226</v>
      </c>
      <c r="H5941" s="5" t="s">
        <v>21</v>
      </c>
      <c r="I5941" s="5" t="s">
        <v>13532</v>
      </c>
      <c r="J5941" s="12" t="str">
        <f>HYPERLINK("https://www.boe.es/gazeta/dias/1800/12/30/pdfs/GMD-1800-105.pdf#page=10","Abrir facsímil")</f>
        <v>Abrir facsímil</v>
      </c>
      <c r="K5941" s="15" t="s">
        <v>23</v>
      </c>
    </row>
    <row r="5942" spans="1:11" ht="42" customHeight="1">
      <c r="A5942" s="4" t="s">
        <v>13533</v>
      </c>
      <c r="B5942" s="5" t="s">
        <v>13533</v>
      </c>
      <c r="C5942" s="5" t="s">
        <v>207</v>
      </c>
      <c r="D5942" s="5" t="s">
        <v>55</v>
      </c>
      <c r="E5942" s="5" t="s">
        <v>478</v>
      </c>
      <c r="F5942" s="9">
        <v>34</v>
      </c>
      <c r="G5942" s="9">
        <v>346</v>
      </c>
      <c r="H5942" s="5" t="s">
        <v>21</v>
      </c>
      <c r="I5942" s="5" t="s">
        <v>13534</v>
      </c>
      <c r="J5942" s="12" t="str">
        <f>HYPERLINK("https://www.boe.es/gazeta/dias/1800/04/29/pdfs/GMD-1800-34.pdf#page=10","Abrir facsímil")</f>
        <v>Abrir facsímil</v>
      </c>
      <c r="K5942" s="15" t="s">
        <v>23</v>
      </c>
    </row>
    <row r="5943" spans="1:11" ht="42" customHeight="1">
      <c r="A5943" s="4" t="s">
        <v>13535</v>
      </c>
      <c r="B5943" s="5" t="s">
        <v>13535</v>
      </c>
      <c r="C5943" s="5" t="s">
        <v>18</v>
      </c>
      <c r="D5943" s="5" t="s">
        <v>19</v>
      </c>
      <c r="E5943" s="5" t="s">
        <v>116</v>
      </c>
      <c r="F5943" s="9">
        <v>86</v>
      </c>
      <c r="G5943" s="9">
        <v>996</v>
      </c>
      <c r="H5943" s="5" t="s">
        <v>21</v>
      </c>
      <c r="I5943" s="5" t="s">
        <v>13536</v>
      </c>
      <c r="J5943" s="12" t="str">
        <f>HYPERLINK("https://www.boe.es/gazeta/dias/1800/10/24/pdfs/GMD-1800-86.pdf#page=6","Abrir facsímil")</f>
        <v>Abrir facsímil</v>
      </c>
      <c r="K5943" s="15" t="s">
        <v>23</v>
      </c>
    </row>
    <row r="5944" spans="1:11" ht="42" customHeight="1">
      <c r="A5944" s="4" t="s">
        <v>13537</v>
      </c>
      <c r="B5944" s="5" t="s">
        <v>13537</v>
      </c>
      <c r="C5944" s="5" t="s">
        <v>25</v>
      </c>
      <c r="D5944" s="5" t="s">
        <v>26</v>
      </c>
      <c r="E5944" s="5" t="s">
        <v>1108</v>
      </c>
      <c r="F5944" s="9">
        <v>30</v>
      </c>
      <c r="G5944" s="9">
        <v>307</v>
      </c>
      <c r="H5944" s="5" t="s">
        <v>21</v>
      </c>
      <c r="I5944" s="5" t="s">
        <v>13538</v>
      </c>
      <c r="J5944" s="12" t="str">
        <f>HYPERLINK("https://www.boe.es/gazeta/dias/1800/04/15/pdfs/GMD-1800-30.pdf#page=7","Abrir facsímil")</f>
        <v>Abrir facsímil</v>
      </c>
      <c r="K5944" s="15" t="s">
        <v>23</v>
      </c>
    </row>
    <row r="5945" spans="1:11" ht="42" customHeight="1">
      <c r="A5945" s="4" t="s">
        <v>13539</v>
      </c>
      <c r="B5945" s="5" t="s">
        <v>13540</v>
      </c>
      <c r="C5945" s="5" t="s">
        <v>41</v>
      </c>
      <c r="D5945" s="5" t="s">
        <v>42</v>
      </c>
      <c r="E5945" s="5" t="s">
        <v>79</v>
      </c>
      <c r="F5945" s="9">
        <v>7</v>
      </c>
      <c r="G5945" s="9">
        <v>61</v>
      </c>
      <c r="H5945" s="5" t="s">
        <v>21</v>
      </c>
      <c r="I5945" s="5" t="s">
        <v>13541</v>
      </c>
      <c r="J5945" s="12" t="str">
        <f>HYPERLINK("https://www.boe.es/gazeta/dias/1800/01/24/pdfs/GMD-1800-7.pdf#page=1","Abrir facsímil")</f>
        <v>Abrir facsímil</v>
      </c>
      <c r="K5945" s="15" t="s">
        <v>23</v>
      </c>
    </row>
    <row r="5946" spans="1:11" ht="42" customHeight="1">
      <c r="A5946" s="4" t="s">
        <v>13542</v>
      </c>
      <c r="B5946" s="5" t="s">
        <v>13543</v>
      </c>
      <c r="C5946" s="5" t="s">
        <v>207</v>
      </c>
      <c r="D5946" s="5" t="s">
        <v>55</v>
      </c>
      <c r="E5946" s="5" t="s">
        <v>68</v>
      </c>
      <c r="F5946" s="9">
        <v>67</v>
      </c>
      <c r="G5946" s="9">
        <v>755</v>
      </c>
      <c r="H5946" s="5" t="s">
        <v>21</v>
      </c>
      <c r="I5946" s="5" t="s">
        <v>13544</v>
      </c>
      <c r="J5946" s="12" t="str">
        <f>HYPERLINK("https://www.boe.es/gazeta/dias/1800/08/22/pdfs/GMD-1800-67.pdf#page=7","Abrir facsímil")</f>
        <v>Abrir facsímil</v>
      </c>
      <c r="K5946" s="15" t="s">
        <v>23</v>
      </c>
    </row>
    <row r="5947" spans="1:11" ht="42" customHeight="1">
      <c r="A5947" s="4" t="s">
        <v>13545</v>
      </c>
      <c r="B5947" s="5" t="s">
        <v>13546</v>
      </c>
      <c r="C5947" s="5" t="s">
        <v>207</v>
      </c>
      <c r="D5947" s="5" t="s">
        <v>55</v>
      </c>
      <c r="E5947" s="5" t="s">
        <v>31</v>
      </c>
      <c r="F5947" s="9">
        <v>20</v>
      </c>
      <c r="G5947" s="9">
        <v>191</v>
      </c>
      <c r="H5947" s="5" t="s">
        <v>21</v>
      </c>
      <c r="I5947" s="5" t="s">
        <v>13547</v>
      </c>
      <c r="J5947" s="12" t="str">
        <f>HYPERLINK("https://www.boe.es/gazeta/dias/1800/03/11/pdfs/GMD-1800-20.pdf#page=7","Abrir facsímil")</f>
        <v>Abrir facsímil</v>
      </c>
      <c r="K5947" s="15" t="s">
        <v>23</v>
      </c>
    </row>
    <row r="5948" spans="1:11" ht="42" customHeight="1">
      <c r="A5948" s="4" t="s">
        <v>13548</v>
      </c>
      <c r="B5948" s="5" t="s">
        <v>13549</v>
      </c>
      <c r="C5948" s="5" t="s">
        <v>18</v>
      </c>
      <c r="D5948" s="5" t="s">
        <v>19</v>
      </c>
      <c r="E5948" s="5" t="s">
        <v>111</v>
      </c>
      <c r="F5948" s="9">
        <v>98</v>
      </c>
      <c r="G5948" s="9">
        <v>1129</v>
      </c>
      <c r="H5948" s="5" t="s">
        <v>21</v>
      </c>
      <c r="I5948" s="5" t="s">
        <v>13550</v>
      </c>
      <c r="J5948" s="12" t="str">
        <f>HYPERLINK("https://www.boe.es/gazeta/dias/1800/12/05/pdfs/GMD-1800-98.pdf#page=9","Abrir facsímil")</f>
        <v>Abrir facsímil</v>
      </c>
      <c r="K5948" s="15" t="s">
        <v>23</v>
      </c>
    </row>
    <row r="5949" spans="1:11" ht="42" customHeight="1">
      <c r="A5949" s="4" t="s">
        <v>13551</v>
      </c>
      <c r="B5949" s="5" t="s">
        <v>13552</v>
      </c>
      <c r="C5949" s="5" t="s">
        <v>18</v>
      </c>
      <c r="D5949" s="5" t="s">
        <v>19</v>
      </c>
      <c r="E5949" s="5" t="s">
        <v>299</v>
      </c>
      <c r="F5949" s="9">
        <v>40</v>
      </c>
      <c r="G5949" s="9">
        <v>412</v>
      </c>
      <c r="H5949" s="5" t="s">
        <v>21</v>
      </c>
      <c r="I5949" s="5" t="s">
        <v>13553</v>
      </c>
      <c r="J5949" s="12" t="str">
        <f>HYPERLINK("https://www.boe.es/gazeta/dias/1800/05/20/pdfs/GMD-1800-40.pdf#page=8","Abrir facsímil")</f>
        <v>Abrir facsímil</v>
      </c>
      <c r="K5949" s="15" t="s">
        <v>23</v>
      </c>
    </row>
    <row r="5950" spans="1:11" ht="42" customHeight="1">
      <c r="A5950" s="4" t="s">
        <v>13554</v>
      </c>
      <c r="B5950" s="5" t="s">
        <v>13555</v>
      </c>
      <c r="C5950" s="5" t="s">
        <v>18</v>
      </c>
      <c r="D5950" s="5" t="s">
        <v>19</v>
      </c>
      <c r="E5950" s="5" t="s">
        <v>184</v>
      </c>
      <c r="F5950" s="9">
        <v>82</v>
      </c>
      <c r="G5950" s="9">
        <v>950</v>
      </c>
      <c r="H5950" s="5" t="s">
        <v>21</v>
      </c>
      <c r="I5950" s="5" t="s">
        <v>13556</v>
      </c>
      <c r="J5950" s="12" t="str">
        <f>HYPERLINK("https://www.boe.es/gazeta/dias/1800/10/10/pdfs/GMD-1800-82.pdf#page=8","Abrir facsímil")</f>
        <v>Abrir facsímil</v>
      </c>
      <c r="K5950" s="15" t="s">
        <v>23</v>
      </c>
    </row>
    <row r="5951" spans="1:11" ht="42" customHeight="1">
      <c r="A5951" s="4" t="s">
        <v>13557</v>
      </c>
      <c r="B5951" s="5" t="s">
        <v>13557</v>
      </c>
      <c r="C5951" s="5" t="s">
        <v>18</v>
      </c>
      <c r="D5951" s="5" t="s">
        <v>19</v>
      </c>
      <c r="E5951" s="5" t="s">
        <v>135</v>
      </c>
      <c r="F5951" s="9">
        <v>73</v>
      </c>
      <c r="G5951" s="9">
        <v>815</v>
      </c>
      <c r="H5951" s="5" t="s">
        <v>21</v>
      </c>
      <c r="I5951" s="5" t="s">
        <v>13558</v>
      </c>
      <c r="J5951" s="12" t="str">
        <f>HYPERLINK("https://www.boe.es/gazeta/dias/1800/09/09/pdfs/GMD-1800-73.pdf#page=9","Abrir facsímil")</f>
        <v>Abrir facsímil</v>
      </c>
      <c r="K5951" s="15" t="s">
        <v>23</v>
      </c>
    </row>
    <row r="5952" spans="1:11" ht="42" customHeight="1">
      <c r="A5952" s="4" t="s">
        <v>13559</v>
      </c>
      <c r="B5952" s="5" t="s">
        <v>13559</v>
      </c>
      <c r="C5952" s="5" t="s">
        <v>41</v>
      </c>
      <c r="D5952" s="5" t="s">
        <v>42</v>
      </c>
      <c r="E5952" s="5" t="s">
        <v>194</v>
      </c>
      <c r="F5952" s="9">
        <v>48</v>
      </c>
      <c r="G5952" s="9">
        <v>517</v>
      </c>
      <c r="H5952" s="5" t="s">
        <v>21</v>
      </c>
      <c r="I5952" s="5" t="s">
        <v>13560</v>
      </c>
      <c r="J5952" s="12" t="str">
        <f>HYPERLINK("https://www.boe.es/gazeta/dias/1800/06/17/pdfs/GMD-1800-48.pdf#page=9","Abrir facsímil")</f>
        <v>Abrir facsímil</v>
      </c>
      <c r="K5952" s="15" t="s">
        <v>23</v>
      </c>
    </row>
    <row r="5953" spans="1:11" ht="42" customHeight="1">
      <c r="A5953" s="4" t="s">
        <v>13561</v>
      </c>
      <c r="B5953" s="5" t="s">
        <v>13561</v>
      </c>
      <c r="C5953" s="5" t="s">
        <v>25</v>
      </c>
      <c r="D5953" s="5" t="s">
        <v>26</v>
      </c>
      <c r="E5953" s="5" t="s">
        <v>275</v>
      </c>
      <c r="F5953" s="9">
        <v>60</v>
      </c>
      <c r="G5953" s="9">
        <v>687</v>
      </c>
      <c r="H5953" s="5" t="s">
        <v>21</v>
      </c>
      <c r="I5953" s="5" t="s">
        <v>13562</v>
      </c>
      <c r="J5953" s="12" t="str">
        <f>HYPERLINK("https://www.boe.es/gazeta/dias/1800/07/29/pdfs/GMD-1800-60.pdf#page=7","Abrir facsímil")</f>
        <v>Abrir facsímil</v>
      </c>
      <c r="K5953" s="15" t="s">
        <v>23</v>
      </c>
    </row>
    <row r="5954" spans="1:11" ht="42" customHeight="1">
      <c r="A5954" s="4" t="s">
        <v>13563</v>
      </c>
      <c r="B5954" s="5" t="s">
        <v>13563</v>
      </c>
      <c r="C5954" s="5" t="s">
        <v>171</v>
      </c>
      <c r="D5954" s="5" t="s">
        <v>172</v>
      </c>
      <c r="E5954" s="5" t="s">
        <v>595</v>
      </c>
      <c r="F5954" s="9">
        <v>72</v>
      </c>
      <c r="G5954" s="9">
        <v>799</v>
      </c>
      <c r="H5954" s="5" t="s">
        <v>21</v>
      </c>
      <c r="I5954" s="5" t="s">
        <v>13564</v>
      </c>
      <c r="J5954" s="12" t="str">
        <f>HYPERLINK("https://www.boe.es/gazeta/dias/1800/09/05/pdfs/GMD-C-1800-72.pdf#page=1","Abrir facsímil")</f>
        <v>Abrir facsímil</v>
      </c>
      <c r="K5954" s="15" t="s">
        <v>23</v>
      </c>
    </row>
    <row r="5955" spans="1:11" ht="42" customHeight="1">
      <c r="A5955" s="4" t="s">
        <v>13565</v>
      </c>
      <c r="B5955" s="5" t="s">
        <v>13566</v>
      </c>
      <c r="C5955" s="5" t="s">
        <v>84</v>
      </c>
      <c r="D5955" s="5" t="s">
        <v>85</v>
      </c>
      <c r="E5955" s="5" t="s">
        <v>90</v>
      </c>
      <c r="F5955" s="9">
        <v>58</v>
      </c>
      <c r="G5955" s="9">
        <v>663</v>
      </c>
      <c r="H5955" s="5" t="s">
        <v>21</v>
      </c>
      <c r="I5955" s="5" t="s">
        <v>13567</v>
      </c>
      <c r="J5955" s="12" t="str">
        <f>HYPERLINK("https://www.boe.es/gazeta/dias/1800/07/22/pdfs/GMD-1800-58.pdf#page=11","Abrir facsímil")</f>
        <v>Abrir facsímil</v>
      </c>
      <c r="K5955" s="15" t="s">
        <v>23</v>
      </c>
    </row>
    <row r="5956" spans="1:11" ht="42" customHeight="1">
      <c r="A5956" s="4" t="s">
        <v>13568</v>
      </c>
      <c r="B5956" s="5" t="s">
        <v>13569</v>
      </c>
      <c r="C5956" s="5" t="s">
        <v>18</v>
      </c>
      <c r="D5956" s="5" t="s">
        <v>19</v>
      </c>
      <c r="E5956" s="5" t="s">
        <v>135</v>
      </c>
      <c r="F5956" s="9">
        <v>73</v>
      </c>
      <c r="G5956" s="9">
        <v>815</v>
      </c>
      <c r="H5956" s="5" t="s">
        <v>21</v>
      </c>
      <c r="I5956" s="5" t="s">
        <v>13570</v>
      </c>
      <c r="J5956" s="12" t="str">
        <f>HYPERLINK("https://www.boe.es/gazeta/dias/1800/09/09/pdfs/GMD-1800-73.pdf#page=9","Abrir facsímil")</f>
        <v>Abrir facsímil</v>
      </c>
      <c r="K5956" s="15" t="s">
        <v>23</v>
      </c>
    </row>
    <row r="5957" spans="1:11" ht="42" customHeight="1">
      <c r="A5957" s="4" t="s">
        <v>13571</v>
      </c>
      <c r="B5957" s="5" t="s">
        <v>13572</v>
      </c>
      <c r="C5957" s="5" t="s">
        <v>18</v>
      </c>
      <c r="D5957" s="5" t="s">
        <v>19</v>
      </c>
      <c r="E5957" s="5" t="s">
        <v>420</v>
      </c>
      <c r="F5957" s="9">
        <v>38</v>
      </c>
      <c r="G5957" s="9">
        <v>388</v>
      </c>
      <c r="H5957" s="5" t="s">
        <v>21</v>
      </c>
      <c r="I5957" s="5" t="s">
        <v>13573</v>
      </c>
      <c r="J5957" s="12" t="str">
        <f>HYPERLINK("https://www.boe.es/gazeta/dias/1800/05/13/pdfs/GMD-1800-38.pdf#page=8","Abrir facsímil")</f>
        <v>Abrir facsímil</v>
      </c>
      <c r="K5957" s="15" t="s">
        <v>23</v>
      </c>
    </row>
    <row r="5958" spans="1:11" ht="42" customHeight="1">
      <c r="A5958" s="4" t="s">
        <v>13574</v>
      </c>
      <c r="B5958" s="5" t="s">
        <v>13575</v>
      </c>
      <c r="C5958" s="5" t="s">
        <v>18</v>
      </c>
      <c r="D5958" s="5" t="s">
        <v>19</v>
      </c>
      <c r="E5958" s="5" t="s">
        <v>82</v>
      </c>
      <c r="F5958" s="9">
        <v>10</v>
      </c>
      <c r="G5958" s="9">
        <v>97</v>
      </c>
      <c r="H5958" s="5" t="s">
        <v>21</v>
      </c>
      <c r="I5958" s="5" t="s">
        <v>13576</v>
      </c>
      <c r="J5958" s="12" t="str">
        <f>HYPERLINK("https://www.boe.es/gazeta/dias/1800/02/04/pdfs/GMD-1800-10.pdf#page=9","Abrir facsímil")</f>
        <v>Abrir facsímil</v>
      </c>
      <c r="K5958" s="15" t="s">
        <v>23</v>
      </c>
    </row>
    <row r="5959" spans="1:11" ht="42" customHeight="1">
      <c r="A5959" s="4" t="s">
        <v>13577</v>
      </c>
      <c r="B5959" s="5" t="s">
        <v>13577</v>
      </c>
      <c r="C5959" s="5" t="s">
        <v>25</v>
      </c>
      <c r="D5959" s="5" t="s">
        <v>26</v>
      </c>
      <c r="E5959" s="5" t="s">
        <v>194</v>
      </c>
      <c r="F5959" s="9">
        <v>48</v>
      </c>
      <c r="G5959" s="9">
        <v>520</v>
      </c>
      <c r="H5959" s="5" t="s">
        <v>21</v>
      </c>
      <c r="I5959" s="5" t="s">
        <v>13578</v>
      </c>
      <c r="J5959" s="12" t="str">
        <f>HYPERLINK("https://www.boe.es/gazeta/dias/1800/06/17/pdfs/GMD-1800-48.pdf#page=12","Abrir facsímil")</f>
        <v>Abrir facsímil</v>
      </c>
      <c r="K5959" s="15" t="s">
        <v>23</v>
      </c>
    </row>
    <row r="5960" spans="1:11" ht="42" customHeight="1">
      <c r="A5960" s="4" t="s">
        <v>13579</v>
      </c>
      <c r="B5960" s="5" t="s">
        <v>13580</v>
      </c>
      <c r="C5960" s="5" t="s">
        <v>18</v>
      </c>
      <c r="D5960" s="5" t="s">
        <v>19</v>
      </c>
      <c r="E5960" s="5" t="s">
        <v>319</v>
      </c>
      <c r="F5960" s="9">
        <v>62</v>
      </c>
      <c r="G5960" s="9">
        <v>710</v>
      </c>
      <c r="H5960" s="5" t="s">
        <v>21</v>
      </c>
      <c r="I5960" s="5" t="s">
        <v>13581</v>
      </c>
      <c r="J5960" s="12" t="str">
        <f>HYPERLINK("https://www.boe.es/gazeta/dias/1800/08/05/pdfs/GMD-1800-62.pdf#page=10","Abrir facsímil")</f>
        <v>Abrir facsímil</v>
      </c>
      <c r="K5960" s="15" t="s">
        <v>23</v>
      </c>
    </row>
    <row r="5961" spans="1:11" ht="42" customHeight="1">
      <c r="A5961" s="4" t="s">
        <v>13582</v>
      </c>
      <c r="B5961" s="5" t="s">
        <v>13583</v>
      </c>
      <c r="C5961" s="5" t="s">
        <v>84</v>
      </c>
      <c r="D5961" s="5" t="s">
        <v>85</v>
      </c>
      <c r="E5961" s="5" t="s">
        <v>598</v>
      </c>
      <c r="F5961" s="9">
        <v>32</v>
      </c>
      <c r="G5961" s="9">
        <v>324</v>
      </c>
      <c r="H5961" s="5" t="s">
        <v>21</v>
      </c>
      <c r="I5961" s="5" t="s">
        <v>13584</v>
      </c>
      <c r="J5961" s="12" t="str">
        <f>HYPERLINK("https://www.boe.es/gazeta/dias/1800/04/22/pdfs/GMD-1800-32.pdf#page=8","Abrir facsímil")</f>
        <v>Abrir facsímil</v>
      </c>
      <c r="K5961" s="15" t="s">
        <v>23</v>
      </c>
    </row>
    <row r="5962" spans="1:11" ht="42" customHeight="1">
      <c r="A5962" s="4" t="s">
        <v>13582</v>
      </c>
      <c r="B5962" s="5" t="s">
        <v>13583</v>
      </c>
      <c r="C5962" s="5" t="s">
        <v>84</v>
      </c>
      <c r="D5962" s="5" t="s">
        <v>85</v>
      </c>
      <c r="E5962" s="5" t="s">
        <v>68</v>
      </c>
      <c r="F5962" s="9">
        <v>67</v>
      </c>
      <c r="G5962" s="9">
        <v>756</v>
      </c>
      <c r="H5962" s="5" t="s">
        <v>21</v>
      </c>
      <c r="I5962" s="5" t="s">
        <v>13585</v>
      </c>
      <c r="J5962" s="12" t="str">
        <f>HYPERLINK("https://www.boe.es/gazeta/dias/1800/08/22/pdfs/GMD-1800-67.pdf#page=8","Abrir facsímil")</f>
        <v>Abrir facsímil</v>
      </c>
      <c r="K5962" s="15" t="s">
        <v>23</v>
      </c>
    </row>
    <row r="5963" spans="1:11" ht="42" customHeight="1">
      <c r="A5963" s="4" t="s">
        <v>13582</v>
      </c>
      <c r="B5963" s="5" t="s">
        <v>13583</v>
      </c>
      <c r="C5963" s="5" t="s">
        <v>84</v>
      </c>
      <c r="D5963" s="5" t="s">
        <v>85</v>
      </c>
      <c r="E5963" s="5" t="s">
        <v>203</v>
      </c>
      <c r="F5963" s="9">
        <v>94</v>
      </c>
      <c r="G5963" s="9">
        <v>1082</v>
      </c>
      <c r="H5963" s="5" t="s">
        <v>21</v>
      </c>
      <c r="I5963" s="5" t="s">
        <v>13586</v>
      </c>
      <c r="J5963" s="12" t="str">
        <f>HYPERLINK("https://www.boe.es/gazeta/dias/1800/11/21/pdfs/GMD-1800-94.pdf#page=12","Abrir facsímil")</f>
        <v>Abrir facsímil</v>
      </c>
      <c r="K5963" s="15" t="s">
        <v>23</v>
      </c>
    </row>
    <row r="5964" spans="1:11" ht="42" customHeight="1">
      <c r="A5964" s="4" t="s">
        <v>13587</v>
      </c>
      <c r="B5964" s="5" t="s">
        <v>13588</v>
      </c>
      <c r="C5964" s="5" t="s">
        <v>18</v>
      </c>
      <c r="D5964" s="5" t="s">
        <v>19</v>
      </c>
      <c r="E5964" s="5" t="s">
        <v>240</v>
      </c>
      <c r="F5964" s="9">
        <v>26</v>
      </c>
      <c r="G5964" s="9">
        <v>268</v>
      </c>
      <c r="H5964" s="5" t="s">
        <v>21</v>
      </c>
      <c r="I5964" s="5" t="s">
        <v>13589</v>
      </c>
      <c r="J5964" s="12" t="str">
        <f>HYPERLINK("https://www.boe.es/gazeta/dias/1800/04/01/pdfs/GMD-1800-26.pdf#page=8","Abrir facsímil")</f>
        <v>Abrir facsímil</v>
      </c>
      <c r="K5964" s="15" t="s">
        <v>23</v>
      </c>
    </row>
    <row r="5965" spans="1:11" ht="42" customHeight="1">
      <c r="A5965" s="4" t="s">
        <v>13590</v>
      </c>
      <c r="B5965" s="5" t="s">
        <v>13591</v>
      </c>
      <c r="C5965" s="5" t="s">
        <v>18</v>
      </c>
      <c r="D5965" s="5" t="s">
        <v>19</v>
      </c>
      <c r="E5965" s="5" t="s">
        <v>255</v>
      </c>
      <c r="F5965" s="9">
        <v>75</v>
      </c>
      <c r="G5965" s="9">
        <v>855</v>
      </c>
      <c r="H5965" s="5" t="s">
        <v>21</v>
      </c>
      <c r="I5965" s="5" t="s">
        <v>13592</v>
      </c>
      <c r="J5965" s="12" t="str">
        <f>HYPERLINK("https://www.boe.es/gazeta/dias/1800/09/16/pdfs/GMD-1800-75.pdf#page=9","Abrir facsímil")</f>
        <v>Abrir facsímil</v>
      </c>
      <c r="K5965" s="15" t="s">
        <v>23</v>
      </c>
    </row>
    <row r="5966" spans="1:11" ht="42" customHeight="1">
      <c r="A5966" s="4" t="s">
        <v>13593</v>
      </c>
      <c r="B5966" s="5" t="s">
        <v>13594</v>
      </c>
      <c r="C5966" s="5" t="s">
        <v>18</v>
      </c>
      <c r="D5966" s="5" t="s">
        <v>19</v>
      </c>
      <c r="E5966" s="5" t="s">
        <v>196</v>
      </c>
      <c r="F5966" s="9">
        <v>97</v>
      </c>
      <c r="G5966" s="9">
        <v>1117</v>
      </c>
      <c r="H5966" s="5" t="s">
        <v>21</v>
      </c>
      <c r="I5966" s="5" t="s">
        <v>13595</v>
      </c>
      <c r="J5966" s="12" t="str">
        <f>HYPERLINK("https://www.boe.es/gazeta/dias/1800/12/02/pdfs/GMD-1800-97.pdf#page=9","Abrir facsímil")</f>
        <v>Abrir facsímil</v>
      </c>
      <c r="K5966" s="15" t="s">
        <v>23</v>
      </c>
    </row>
    <row r="5967" spans="1:11" ht="42" customHeight="1">
      <c r="A5967" s="4" t="s">
        <v>13596</v>
      </c>
      <c r="B5967" s="5" t="s">
        <v>13597</v>
      </c>
      <c r="C5967" s="5" t="s">
        <v>207</v>
      </c>
      <c r="D5967" s="5" t="s">
        <v>55</v>
      </c>
      <c r="E5967" s="5" t="s">
        <v>176</v>
      </c>
      <c r="F5967" s="9">
        <v>88</v>
      </c>
      <c r="G5967" s="9">
        <v>1032</v>
      </c>
      <c r="H5967" s="5" t="s">
        <v>21</v>
      </c>
      <c r="I5967" s="5" t="s">
        <v>13598</v>
      </c>
      <c r="J5967" s="12" t="str">
        <f>HYPERLINK("https://www.boe.es/gazeta/dias/1800/10/31/pdfs/GMD-1800-88.pdf#page=14","Abrir facsímil")</f>
        <v>Abrir facsímil</v>
      </c>
      <c r="K5967" s="15" t="s">
        <v>23</v>
      </c>
    </row>
    <row r="5968" spans="1:11" ht="42" customHeight="1">
      <c r="A5968" s="4" t="s">
        <v>13599</v>
      </c>
      <c r="B5968" s="5" t="s">
        <v>13600</v>
      </c>
      <c r="C5968" s="5" t="s">
        <v>18</v>
      </c>
      <c r="D5968" s="5" t="s">
        <v>19</v>
      </c>
      <c r="E5968" s="5" t="s">
        <v>310</v>
      </c>
      <c r="F5968" s="9">
        <v>56</v>
      </c>
      <c r="G5968" s="9">
        <v>633</v>
      </c>
      <c r="H5968" s="5" t="s">
        <v>21</v>
      </c>
      <c r="I5968" s="5" t="s">
        <v>13601</v>
      </c>
      <c r="J5968" s="12" t="str">
        <f>HYPERLINK("https://www.boe.es/gazeta/dias/1800/07/15/pdfs/GMD-1800-56.pdf#page=9","Abrir facsímil")</f>
        <v>Abrir facsímil</v>
      </c>
      <c r="K5968" s="15" t="s">
        <v>23</v>
      </c>
    </row>
    <row r="5969" spans="1:11" ht="42" customHeight="1">
      <c r="A5969" s="4" t="s">
        <v>13602</v>
      </c>
      <c r="B5969" s="5" t="s">
        <v>13603</v>
      </c>
      <c r="C5969" s="5" t="s">
        <v>114</v>
      </c>
      <c r="D5969" s="5" t="s">
        <v>115</v>
      </c>
      <c r="E5969" s="5" t="s">
        <v>116</v>
      </c>
      <c r="F5969" s="9">
        <v>86</v>
      </c>
      <c r="G5969" s="9" t="s">
        <v>1501</v>
      </c>
      <c r="H5969" s="5" t="s">
        <v>21</v>
      </c>
      <c r="I5969" s="5" t="s">
        <v>13604</v>
      </c>
      <c r="J5969" s="12" t="str">
        <f>HYPERLINK("https://www.boe.es/gazeta/dias/1800/10/24/pdfs/GMD-D-1800-86.pdf#page=2","Abrir facsímil")</f>
        <v>Abrir facsímil</v>
      </c>
      <c r="K5969" s="15" t="s">
        <v>23</v>
      </c>
    </row>
    <row r="5970" spans="1:11" ht="42" customHeight="1">
      <c r="A5970" s="4" t="s">
        <v>13605</v>
      </c>
      <c r="B5970" s="5" t="s">
        <v>13606</v>
      </c>
      <c r="C5970" s="5" t="s">
        <v>18</v>
      </c>
      <c r="D5970" s="5" t="s">
        <v>19</v>
      </c>
      <c r="E5970" s="5" t="s">
        <v>314</v>
      </c>
      <c r="F5970" s="9">
        <v>74</v>
      </c>
      <c r="G5970" s="9">
        <v>832</v>
      </c>
      <c r="H5970" s="5" t="s">
        <v>21</v>
      </c>
      <c r="I5970" s="5" t="s">
        <v>13607</v>
      </c>
      <c r="J5970" s="12" t="str">
        <f>HYPERLINK("https://www.boe.es/gazeta/dias/1800/09/12/pdfs/GMD-1800-74.pdf#page=10","Abrir facsímil")</f>
        <v>Abrir facsímil</v>
      </c>
      <c r="K5970" s="15" t="s">
        <v>23</v>
      </c>
    </row>
    <row r="5971" spans="1:11" ht="42" customHeight="1">
      <c r="A5971" s="4" t="s">
        <v>13608</v>
      </c>
      <c r="B5971" s="5" t="s">
        <v>13609</v>
      </c>
      <c r="C5971" s="5" t="s">
        <v>18</v>
      </c>
      <c r="D5971" s="5" t="s">
        <v>19</v>
      </c>
      <c r="E5971" s="5" t="s">
        <v>356</v>
      </c>
      <c r="F5971" s="9">
        <v>31</v>
      </c>
      <c r="G5971" s="9">
        <v>314</v>
      </c>
      <c r="H5971" s="5" t="s">
        <v>21</v>
      </c>
      <c r="I5971" s="5" t="s">
        <v>13610</v>
      </c>
      <c r="J5971" s="12" t="str">
        <f>HYPERLINK("https://www.boe.es/gazeta/dias/1800/04/18/pdfs/GMD-1800-31.pdf#page=6","Abrir facsímil")</f>
        <v>Abrir facsímil</v>
      </c>
      <c r="K5971" s="15" t="s">
        <v>23</v>
      </c>
    </row>
    <row r="5972" spans="1:11" ht="42" customHeight="1">
      <c r="A5972" s="4" t="s">
        <v>13611</v>
      </c>
      <c r="B5972" s="5" t="s">
        <v>13612</v>
      </c>
      <c r="C5972" s="5" t="s">
        <v>18</v>
      </c>
      <c r="D5972" s="5" t="s">
        <v>19</v>
      </c>
      <c r="E5972" s="5" t="s">
        <v>194</v>
      </c>
      <c r="F5972" s="9">
        <v>48</v>
      </c>
      <c r="G5972" s="9">
        <v>519</v>
      </c>
      <c r="H5972" s="5" t="s">
        <v>21</v>
      </c>
      <c r="I5972" s="5" t="s">
        <v>13613</v>
      </c>
      <c r="J5972" s="12" t="str">
        <f>HYPERLINK("https://www.boe.es/gazeta/dias/1800/06/17/pdfs/GMD-1800-48.pdf#page=11","Abrir facsímil")</f>
        <v>Abrir facsímil</v>
      </c>
      <c r="K5972" s="15" t="s">
        <v>23</v>
      </c>
    </row>
    <row r="5973" spans="1:11" ht="42" customHeight="1">
      <c r="A5973" s="4" t="s">
        <v>13614</v>
      </c>
      <c r="B5973" s="5" t="s">
        <v>13615</v>
      </c>
      <c r="C5973" s="5" t="s">
        <v>25</v>
      </c>
      <c r="D5973" s="5" t="s">
        <v>26</v>
      </c>
      <c r="E5973" s="5" t="s">
        <v>1294</v>
      </c>
      <c r="F5973" s="9">
        <v>59</v>
      </c>
      <c r="G5973" s="9">
        <v>680</v>
      </c>
      <c r="H5973" s="5" t="s">
        <v>21</v>
      </c>
      <c r="I5973" s="5" t="s">
        <v>13616</v>
      </c>
      <c r="J5973" s="12" t="str">
        <f>HYPERLINK("https://www.boe.es/gazeta/dias/1800/07/25/pdfs/GMD-1800-59.pdf#page=12","Abrir facsímil")</f>
        <v>Abrir facsímil</v>
      </c>
      <c r="K5973" s="15" t="s">
        <v>23</v>
      </c>
    </row>
    <row r="5974" spans="1:11" ht="42" customHeight="1">
      <c r="A5974" s="4" t="s">
        <v>13617</v>
      </c>
      <c r="B5974" s="5" t="s">
        <v>13618</v>
      </c>
      <c r="C5974" s="5" t="s">
        <v>18</v>
      </c>
      <c r="D5974" s="5" t="s">
        <v>19</v>
      </c>
      <c r="E5974" s="5" t="s">
        <v>58</v>
      </c>
      <c r="F5974" s="9">
        <v>92</v>
      </c>
      <c r="G5974" s="9">
        <v>1052</v>
      </c>
      <c r="H5974" s="5" t="s">
        <v>21</v>
      </c>
      <c r="I5974" s="5" t="s">
        <v>13619</v>
      </c>
      <c r="J5974" s="12" t="str">
        <f>HYPERLINK("https://www.boe.es/gazeta/dias/1800/11/14/pdfs/GMD-1800-92.pdf#page=6","Abrir facsímil")</f>
        <v>Abrir facsímil</v>
      </c>
      <c r="K5974" s="15" t="s">
        <v>23</v>
      </c>
    </row>
    <row r="5975" spans="1:11" ht="42" customHeight="1">
      <c r="A5975" s="4" t="s">
        <v>13620</v>
      </c>
      <c r="B5975" s="5" t="s">
        <v>13621</v>
      </c>
      <c r="C5975" s="5" t="s">
        <v>25</v>
      </c>
      <c r="D5975" s="5" t="s">
        <v>26</v>
      </c>
      <c r="E5975" s="5" t="s">
        <v>45</v>
      </c>
      <c r="F5975" s="9">
        <v>47</v>
      </c>
      <c r="G5975" s="9">
        <v>502</v>
      </c>
      <c r="H5975" s="5" t="s">
        <v>21</v>
      </c>
      <c r="I5975" s="5" t="s">
        <v>13622</v>
      </c>
      <c r="J5975" s="12" t="str">
        <f>HYPERLINK("https://www.boe.es/gazeta/dias/1800/06/13/pdfs/GMD-1800-47.pdf#page=10","Abrir facsímil")</f>
        <v>Abrir facsímil</v>
      </c>
      <c r="K5975" s="15" t="s">
        <v>23</v>
      </c>
    </row>
    <row r="5976" spans="1:11" ht="42" customHeight="1">
      <c r="A5976" s="4" t="s">
        <v>13623</v>
      </c>
      <c r="B5976" s="5" t="s">
        <v>13623</v>
      </c>
      <c r="C5976" s="5" t="s">
        <v>54</v>
      </c>
      <c r="D5976" s="5" t="s">
        <v>55</v>
      </c>
      <c r="E5976" s="5" t="s">
        <v>176</v>
      </c>
      <c r="F5976" s="9">
        <v>88</v>
      </c>
      <c r="G5976" s="9">
        <v>1032</v>
      </c>
      <c r="H5976" s="5" t="s">
        <v>21</v>
      </c>
      <c r="I5976" s="5" t="s">
        <v>13624</v>
      </c>
      <c r="J5976" s="12" t="str">
        <f>HYPERLINK("https://www.boe.es/gazeta/dias/1800/10/31/pdfs/GMD-1800-88.pdf#page=14","Abrir facsímil")</f>
        <v>Abrir facsímil</v>
      </c>
      <c r="K5976" s="15" t="s">
        <v>23</v>
      </c>
    </row>
    <row r="5977" spans="1:11" ht="42" customHeight="1">
      <c r="A5977" s="4" t="s">
        <v>13625</v>
      </c>
      <c r="B5977" s="5" t="s">
        <v>13626</v>
      </c>
      <c r="C5977" s="5" t="s">
        <v>84</v>
      </c>
      <c r="D5977" s="5" t="s">
        <v>85</v>
      </c>
      <c r="E5977" s="5" t="s">
        <v>68</v>
      </c>
      <c r="F5977" s="9">
        <v>67</v>
      </c>
      <c r="G5977" s="9">
        <v>756</v>
      </c>
      <c r="H5977" s="5" t="s">
        <v>21</v>
      </c>
      <c r="I5977" s="5" t="s">
        <v>13627</v>
      </c>
      <c r="J5977" s="12" t="str">
        <f>HYPERLINK("https://www.boe.es/gazeta/dias/1800/08/22/pdfs/GMD-1800-67.pdf#page=8","Abrir facsímil")</f>
        <v>Abrir facsímil</v>
      </c>
      <c r="K5977" s="15" t="s">
        <v>23</v>
      </c>
    </row>
    <row r="5978" spans="1:11" ht="42" customHeight="1">
      <c r="A5978" s="4" t="s">
        <v>13628</v>
      </c>
      <c r="B5978" s="5" t="s">
        <v>13629</v>
      </c>
      <c r="C5978" s="5" t="s">
        <v>18</v>
      </c>
      <c r="D5978" s="5" t="s">
        <v>19</v>
      </c>
      <c r="E5978" s="5" t="s">
        <v>135</v>
      </c>
      <c r="F5978" s="9">
        <v>73</v>
      </c>
      <c r="G5978" s="9">
        <v>816</v>
      </c>
      <c r="H5978" s="5" t="s">
        <v>21</v>
      </c>
      <c r="I5978" s="5" t="s">
        <v>13630</v>
      </c>
      <c r="J5978" s="12" t="str">
        <f>HYPERLINK("https://www.boe.es/gazeta/dias/1800/09/09/pdfs/GMD-1800-73.pdf#page=10","Abrir facsímil")</f>
        <v>Abrir facsímil</v>
      </c>
      <c r="K5978" s="15" t="s">
        <v>23</v>
      </c>
    </row>
    <row r="5979" spans="1:11" ht="42" customHeight="1">
      <c r="A5979" s="4" t="s">
        <v>13631</v>
      </c>
      <c r="B5979" s="5" t="s">
        <v>13632</v>
      </c>
      <c r="C5979" s="5" t="s">
        <v>18</v>
      </c>
      <c r="D5979" s="5" t="s">
        <v>19</v>
      </c>
      <c r="E5979" s="5" t="s">
        <v>56</v>
      </c>
      <c r="F5979" s="9">
        <v>90</v>
      </c>
      <c r="G5979" s="9">
        <v>1054</v>
      </c>
      <c r="H5979" s="5" t="s">
        <v>21</v>
      </c>
      <c r="I5979" s="5" t="s">
        <v>13633</v>
      </c>
      <c r="J5979" s="12" t="str">
        <f>HYPERLINK("https://www.boe.es/gazeta/dias/1800/11/07/pdfs/GMD-1800-90.pdf#page=8","Abrir facsímil")</f>
        <v>Abrir facsímil</v>
      </c>
      <c r="K5979" s="15" t="s">
        <v>23</v>
      </c>
    </row>
    <row r="5980" spans="1:11" ht="42" customHeight="1">
      <c r="A5980" s="4" t="s">
        <v>13634</v>
      </c>
      <c r="B5980" s="5" t="s">
        <v>13635</v>
      </c>
      <c r="C5980" s="5" t="s">
        <v>18</v>
      </c>
      <c r="D5980" s="5" t="s">
        <v>19</v>
      </c>
      <c r="E5980" s="5" t="s">
        <v>576</v>
      </c>
      <c r="F5980" s="9">
        <v>91</v>
      </c>
      <c r="G5980" s="9">
        <v>1069</v>
      </c>
      <c r="H5980" s="5" t="s">
        <v>21</v>
      </c>
      <c r="I5980" s="5" t="s">
        <v>13636</v>
      </c>
      <c r="J5980" s="12" t="str">
        <f>HYPERLINK("https://www.boe.es/gazeta/dias/1800/11/11/pdfs/GMD-1800-91.pdf#page=11","Abrir facsímil")</f>
        <v>Abrir facsímil</v>
      </c>
      <c r="K5980" s="15" t="s">
        <v>23</v>
      </c>
    </row>
    <row r="5981" spans="1:11" ht="42" customHeight="1">
      <c r="A5981" s="4" t="s">
        <v>13637</v>
      </c>
      <c r="B5981" s="5" t="s">
        <v>13638</v>
      </c>
      <c r="C5981" s="5" t="s">
        <v>18</v>
      </c>
      <c r="D5981" s="5" t="s">
        <v>19</v>
      </c>
      <c r="E5981" s="5" t="s">
        <v>52</v>
      </c>
      <c r="F5981" s="9">
        <v>83</v>
      </c>
      <c r="G5981" s="9">
        <v>964</v>
      </c>
      <c r="H5981" s="5" t="s">
        <v>21</v>
      </c>
      <c r="I5981" s="5" t="s">
        <v>13639</v>
      </c>
      <c r="J5981" s="12" t="str">
        <f>HYPERLINK("https://www.boe.es/gazeta/dias/1800/10/14/pdfs/GMD-1800-83.pdf#page=10","Abrir facsímil")</f>
        <v>Abrir facsímil</v>
      </c>
      <c r="K5981" s="15" t="s">
        <v>23</v>
      </c>
    </row>
    <row r="5982" spans="1:11" ht="42" customHeight="1">
      <c r="A5982" s="4" t="s">
        <v>13640</v>
      </c>
      <c r="B5982" s="5" t="s">
        <v>13641</v>
      </c>
      <c r="C5982" s="5" t="s">
        <v>84</v>
      </c>
      <c r="D5982" s="5" t="s">
        <v>85</v>
      </c>
      <c r="E5982" s="5" t="s">
        <v>105</v>
      </c>
      <c r="F5982" s="9">
        <v>28</v>
      </c>
      <c r="G5982" s="9">
        <v>292</v>
      </c>
      <c r="H5982" s="5" t="s">
        <v>21</v>
      </c>
      <c r="I5982" s="5" t="s">
        <v>13642</v>
      </c>
      <c r="J5982" s="12" t="str">
        <f>HYPERLINK("https://www.boe.es/gazeta/dias/1800/04/08/pdfs/GMD-1800-28.pdf#page=8","Abrir facsímil")</f>
        <v>Abrir facsímil</v>
      </c>
      <c r="K5982" s="15" t="s">
        <v>23</v>
      </c>
    </row>
    <row r="5983" spans="1:11" ht="42" customHeight="1">
      <c r="A5983" s="4" t="s">
        <v>13643</v>
      </c>
      <c r="B5983" s="5" t="s">
        <v>13644</v>
      </c>
      <c r="C5983" s="5" t="s">
        <v>54</v>
      </c>
      <c r="D5983" s="5" t="s">
        <v>55</v>
      </c>
      <c r="E5983" s="5" t="s">
        <v>45</v>
      </c>
      <c r="F5983" s="9">
        <v>47</v>
      </c>
      <c r="G5983" s="9">
        <v>502</v>
      </c>
      <c r="H5983" s="5" t="s">
        <v>21</v>
      </c>
      <c r="I5983" s="5" t="s">
        <v>13645</v>
      </c>
      <c r="J5983" s="12" t="str">
        <f>HYPERLINK("https://www.boe.es/gazeta/dias/1800/06/13/pdfs/GMD-1800-47.pdf#page=10","Abrir facsímil")</f>
        <v>Abrir facsímil</v>
      </c>
      <c r="K5983" s="15" t="s">
        <v>23</v>
      </c>
    </row>
    <row r="5984" spans="1:11" ht="42" customHeight="1">
      <c r="A5984" s="4" t="s">
        <v>13646</v>
      </c>
      <c r="B5984" s="5" t="s">
        <v>13647</v>
      </c>
      <c r="C5984" s="5" t="s">
        <v>171</v>
      </c>
      <c r="D5984" s="5" t="s">
        <v>172</v>
      </c>
      <c r="E5984" s="5" t="s">
        <v>135</v>
      </c>
      <c r="F5984" s="9">
        <v>73</v>
      </c>
      <c r="G5984" s="9">
        <v>819</v>
      </c>
      <c r="H5984" s="5" t="s">
        <v>21</v>
      </c>
      <c r="I5984" s="5" t="s">
        <v>13648</v>
      </c>
      <c r="J5984" s="12" t="str">
        <f>HYPERLINK("https://www.boe.es/gazeta/dias/1800/09/09/pdfs/GMD-C-1800-73.pdf#page=1","Abrir facsímil")</f>
        <v>Abrir facsímil</v>
      </c>
      <c r="K5984" s="15" t="s">
        <v>23</v>
      </c>
    </row>
    <row r="5985" spans="1:11" ht="42" customHeight="1">
      <c r="A5985" s="4" t="s">
        <v>13649</v>
      </c>
      <c r="B5985" s="5" t="s">
        <v>13650</v>
      </c>
      <c r="C5985" s="5" t="s">
        <v>25</v>
      </c>
      <c r="D5985" s="5" t="s">
        <v>26</v>
      </c>
      <c r="E5985" s="5" t="s">
        <v>58</v>
      </c>
      <c r="F5985" s="9">
        <v>92</v>
      </c>
      <c r="G5985" s="9">
        <v>1052</v>
      </c>
      <c r="H5985" s="5" t="s">
        <v>21</v>
      </c>
      <c r="I5985" s="5" t="s">
        <v>13651</v>
      </c>
      <c r="J5985" s="12" t="str">
        <f>HYPERLINK("https://www.boe.es/gazeta/dias/1800/11/14/pdfs/GMD-1800-92.pdf#page=6","Abrir facsímil")</f>
        <v>Abrir facsímil</v>
      </c>
      <c r="K5985" s="15" t="s">
        <v>23</v>
      </c>
    </row>
    <row r="5986" spans="1:11" ht="42" customHeight="1">
      <c r="A5986" s="4" t="s">
        <v>13652</v>
      </c>
      <c r="B5986" s="5" t="s">
        <v>13653</v>
      </c>
      <c r="C5986" s="5" t="s">
        <v>84</v>
      </c>
      <c r="D5986" s="5" t="s">
        <v>85</v>
      </c>
      <c r="E5986" s="5" t="s">
        <v>180</v>
      </c>
      <c r="F5986" s="9">
        <v>102</v>
      </c>
      <c r="G5986" s="9">
        <v>1186</v>
      </c>
      <c r="H5986" s="5" t="s">
        <v>21</v>
      </c>
      <c r="I5986" s="5" t="s">
        <v>13654</v>
      </c>
      <c r="J5986" s="12" t="str">
        <f>HYPERLINK("https://www.boe.es/gazeta/dias/1800/12/19/pdfs/GMD-1800-102.pdf#page=10","Abrir facsímil")</f>
        <v>Abrir facsímil</v>
      </c>
      <c r="K5986" s="15" t="s">
        <v>23</v>
      </c>
    </row>
    <row r="5987" spans="1:11" ht="42" customHeight="1">
      <c r="A5987" s="4" t="s">
        <v>13655</v>
      </c>
      <c r="B5987" s="5" t="s">
        <v>13656</v>
      </c>
      <c r="C5987" s="5" t="s">
        <v>171</v>
      </c>
      <c r="D5987" s="5" t="s">
        <v>172</v>
      </c>
      <c r="E5987" s="5" t="s">
        <v>90</v>
      </c>
      <c r="F5987" s="9">
        <v>58</v>
      </c>
      <c r="G5987" s="9">
        <v>665</v>
      </c>
      <c r="H5987" s="5" t="s">
        <v>21</v>
      </c>
      <c r="I5987" s="5" t="s">
        <v>13657</v>
      </c>
      <c r="J5987" s="12" t="str">
        <f>HYPERLINK("https://www.boe.es/gazeta/dias/1800/07/22/pdfs/GMD-C-1800-58.pdf#page=1","Abrir facsímil")</f>
        <v>Abrir facsímil</v>
      </c>
      <c r="K5987" s="15" t="s">
        <v>23</v>
      </c>
    </row>
    <row r="5988" spans="1:11" ht="42" customHeight="1">
      <c r="A5988" s="4" t="s">
        <v>13655</v>
      </c>
      <c r="B5988" s="5" t="s">
        <v>13656</v>
      </c>
      <c r="C5988" s="5" t="s">
        <v>54</v>
      </c>
      <c r="D5988" s="5" t="s">
        <v>55</v>
      </c>
      <c r="E5988" s="5" t="s">
        <v>572</v>
      </c>
      <c r="F5988" s="9">
        <v>76</v>
      </c>
      <c r="G5988" s="9">
        <v>868</v>
      </c>
      <c r="H5988" s="5" t="s">
        <v>21</v>
      </c>
      <c r="I5988" s="5" t="s">
        <v>13658</v>
      </c>
      <c r="J5988" s="12" t="str">
        <f>HYPERLINK("https://www.boe.es/gazeta/dias/1800/09/19/pdfs/GMD-1800-76.pdf#page=10","Abrir facsímil")</f>
        <v>Abrir facsímil</v>
      </c>
      <c r="K5988" s="15" t="s">
        <v>23</v>
      </c>
    </row>
    <row r="5989" spans="1:11" ht="42" customHeight="1">
      <c r="A5989" s="4" t="s">
        <v>13655</v>
      </c>
      <c r="B5989" s="5" t="s">
        <v>13656</v>
      </c>
      <c r="C5989" s="5" t="s">
        <v>54</v>
      </c>
      <c r="D5989" s="5" t="s">
        <v>55</v>
      </c>
      <c r="E5989" s="5" t="s">
        <v>410</v>
      </c>
      <c r="F5989" s="9">
        <v>87</v>
      </c>
      <c r="G5989" s="9">
        <v>1010</v>
      </c>
      <c r="H5989" s="5" t="s">
        <v>21</v>
      </c>
      <c r="I5989" s="5" t="s">
        <v>13659</v>
      </c>
      <c r="J5989" s="12" t="str">
        <f>HYPERLINK("https://www.boe.es/gazeta/dias/1800/10/28/pdfs/GMD-1800-87.pdf#page=8","Abrir facsímil")</f>
        <v>Abrir facsímil</v>
      </c>
      <c r="K5989" s="15" t="s">
        <v>23</v>
      </c>
    </row>
    <row r="5990" spans="1:11" ht="42" customHeight="1">
      <c r="A5990" s="4" t="s">
        <v>13660</v>
      </c>
      <c r="B5990" s="5" t="s">
        <v>13661</v>
      </c>
      <c r="C5990" s="5" t="s">
        <v>18</v>
      </c>
      <c r="D5990" s="5" t="s">
        <v>19</v>
      </c>
      <c r="E5990" s="5" t="s">
        <v>131</v>
      </c>
      <c r="F5990" s="9">
        <v>8</v>
      </c>
      <c r="G5990" s="9">
        <v>75</v>
      </c>
      <c r="H5990" s="5" t="s">
        <v>21</v>
      </c>
      <c r="I5990" s="5" t="s">
        <v>13662</v>
      </c>
      <c r="J5990" s="12" t="str">
        <f>HYPERLINK("https://www.boe.es/gazeta/dias/1800/01/28/pdfs/GMD-1800-8.pdf#page=7","Abrir facsímil")</f>
        <v>Abrir facsímil</v>
      </c>
      <c r="K5990" s="15" t="s">
        <v>23</v>
      </c>
    </row>
    <row r="5991" spans="1:11" ht="42" customHeight="1">
      <c r="A5991" s="4" t="s">
        <v>13663</v>
      </c>
      <c r="B5991" s="5" t="s">
        <v>13664</v>
      </c>
      <c r="C5991" s="5" t="s">
        <v>207</v>
      </c>
      <c r="D5991" s="5" t="s">
        <v>55</v>
      </c>
      <c r="E5991" s="5" t="s">
        <v>124</v>
      </c>
      <c r="F5991" s="9">
        <v>16</v>
      </c>
      <c r="G5991" s="9">
        <v>151</v>
      </c>
      <c r="H5991" s="5" t="s">
        <v>21</v>
      </c>
      <c r="I5991" s="5" t="s">
        <v>13665</v>
      </c>
      <c r="J5991" s="12" t="str">
        <f>HYPERLINK("https://www.boe.es/gazeta/dias/1800/02/25/pdfs/GMD-1800-16.pdf#page=7","Abrir facsímil")</f>
        <v>Abrir facsímil</v>
      </c>
      <c r="K5991" s="15" t="s">
        <v>23</v>
      </c>
    </row>
    <row r="5992" spans="1:11" ht="42" customHeight="1">
      <c r="A5992" s="4" t="s">
        <v>13666</v>
      </c>
      <c r="B5992" s="5" t="s">
        <v>13667</v>
      </c>
      <c r="C5992" s="5" t="s">
        <v>54</v>
      </c>
      <c r="D5992" s="5" t="s">
        <v>55</v>
      </c>
      <c r="E5992" s="5" t="s">
        <v>190</v>
      </c>
      <c r="F5992" s="9">
        <v>93</v>
      </c>
      <c r="G5992" s="9">
        <v>1068</v>
      </c>
      <c r="H5992" s="5" t="s">
        <v>21</v>
      </c>
      <c r="I5992" s="5" t="s">
        <v>13668</v>
      </c>
      <c r="J5992" s="12" t="str">
        <f>HYPERLINK("https://www.boe.es/gazeta/dias/1800/11/18/pdfs/GMD-1800-93.pdf#page=14","Abrir facsímil")</f>
        <v>Abrir facsímil</v>
      </c>
      <c r="K5992" s="15" t="s">
        <v>23</v>
      </c>
    </row>
    <row r="5993" spans="1:11" ht="42" customHeight="1">
      <c r="A5993" s="4" t="s">
        <v>13666</v>
      </c>
      <c r="B5993" s="5" t="s">
        <v>13667</v>
      </c>
      <c r="C5993" s="5" t="s">
        <v>54</v>
      </c>
      <c r="D5993" s="5" t="s">
        <v>55</v>
      </c>
      <c r="E5993" s="5" t="s">
        <v>203</v>
      </c>
      <c r="F5993" s="9">
        <v>94</v>
      </c>
      <c r="G5993" s="9">
        <v>1080</v>
      </c>
      <c r="H5993" s="5" t="s">
        <v>21</v>
      </c>
      <c r="I5993" s="5" t="s">
        <v>13669</v>
      </c>
      <c r="J5993" s="12" t="str">
        <f>HYPERLINK("https://www.boe.es/gazeta/dias/1800/11/21/pdfs/GMD-1800-94.pdf#page=10","Abrir facsímil")</f>
        <v>Abrir facsímil</v>
      </c>
      <c r="K5993" s="15" t="s">
        <v>23</v>
      </c>
    </row>
    <row r="5994" spans="1:11" ht="42" customHeight="1">
      <c r="A5994" s="4" t="s">
        <v>13670</v>
      </c>
      <c r="B5994" s="5" t="s">
        <v>13671</v>
      </c>
      <c r="C5994" s="5" t="s">
        <v>171</v>
      </c>
      <c r="D5994" s="5" t="s">
        <v>172</v>
      </c>
      <c r="E5994" s="5" t="s">
        <v>214</v>
      </c>
      <c r="F5994" s="9">
        <v>41</v>
      </c>
      <c r="G5994" s="9">
        <v>426</v>
      </c>
      <c r="H5994" s="5" t="s">
        <v>21</v>
      </c>
      <c r="I5994" s="5" t="s">
        <v>13672</v>
      </c>
      <c r="J5994" s="12" t="str">
        <f>HYPERLINK("https://www.boe.es/gazeta/dias/1800/05/23/pdfs/GMD-C-1800-41.pdf#page=2","Abrir facsímil")</f>
        <v>Abrir facsímil</v>
      </c>
      <c r="K5994" s="15" t="s">
        <v>23</v>
      </c>
    </row>
    <row r="5995" spans="1:11" ht="42" customHeight="1">
      <c r="A5995" s="4" t="s">
        <v>13673</v>
      </c>
      <c r="B5995" s="5" t="s">
        <v>13674</v>
      </c>
      <c r="C5995" s="5" t="s">
        <v>18</v>
      </c>
      <c r="D5995" s="5" t="s">
        <v>19</v>
      </c>
      <c r="E5995" s="5" t="s">
        <v>226</v>
      </c>
      <c r="F5995" s="9">
        <v>27</v>
      </c>
      <c r="G5995" s="9">
        <v>283</v>
      </c>
      <c r="H5995" s="5" t="s">
        <v>21</v>
      </c>
      <c r="I5995" s="5" t="s">
        <v>13675</v>
      </c>
      <c r="J5995" s="12" t="str">
        <f>HYPERLINK("https://www.boe.es/gazeta/dias/1800/04/04/pdfs/GMD-1800-27.pdf#page=11","Abrir facsímil")</f>
        <v>Abrir facsímil</v>
      </c>
      <c r="K5995" s="15" t="s">
        <v>23</v>
      </c>
    </row>
    <row r="5996" spans="1:11" ht="42" customHeight="1">
      <c r="A5996" s="4" t="s">
        <v>13676</v>
      </c>
      <c r="B5996" s="5" t="s">
        <v>13677</v>
      </c>
      <c r="C5996" s="5" t="s">
        <v>18</v>
      </c>
      <c r="D5996" s="5" t="s">
        <v>19</v>
      </c>
      <c r="E5996" s="5" t="s">
        <v>314</v>
      </c>
      <c r="F5996" s="9">
        <v>74</v>
      </c>
      <c r="G5996" s="9">
        <v>830</v>
      </c>
      <c r="H5996" s="5" t="s">
        <v>21</v>
      </c>
      <c r="I5996" s="5" t="s">
        <v>13678</v>
      </c>
      <c r="J5996" s="12" t="str">
        <f>HYPERLINK("https://www.boe.es/gazeta/dias/1800/09/12/pdfs/GMD-1800-74.pdf#page=8","Abrir facsímil")</f>
        <v>Abrir facsímil</v>
      </c>
      <c r="K5996" s="15" t="s">
        <v>23</v>
      </c>
    </row>
    <row r="5997" spans="1:11" ht="42" customHeight="1">
      <c r="A5997" s="4" t="s">
        <v>13679</v>
      </c>
      <c r="B5997" s="5" t="s">
        <v>13680</v>
      </c>
      <c r="C5997" s="5" t="s">
        <v>18</v>
      </c>
      <c r="D5997" s="5" t="s">
        <v>19</v>
      </c>
      <c r="E5997" s="5" t="s">
        <v>75</v>
      </c>
      <c r="F5997" s="9">
        <v>64</v>
      </c>
      <c r="G5997" s="9">
        <v>733</v>
      </c>
      <c r="H5997" s="5" t="s">
        <v>21</v>
      </c>
      <c r="I5997" s="5" t="s">
        <v>13681</v>
      </c>
      <c r="J5997" s="12" t="str">
        <f>HYPERLINK("https://www.boe.es/gazeta/dias/1800/08/12/pdfs/GMD-1800-64.pdf#page=9","Abrir facsímil")</f>
        <v>Abrir facsímil</v>
      </c>
      <c r="K5997" s="15" t="s">
        <v>23</v>
      </c>
    </row>
    <row r="5998" spans="1:11" ht="42" customHeight="1">
      <c r="A5998" s="4" t="s">
        <v>13682</v>
      </c>
      <c r="B5998" s="5" t="s">
        <v>13683</v>
      </c>
      <c r="C5998" s="5" t="s">
        <v>41</v>
      </c>
      <c r="D5998" s="5" t="s">
        <v>42</v>
      </c>
      <c r="E5998" s="5" t="s">
        <v>139</v>
      </c>
      <c r="F5998" s="9">
        <v>2</v>
      </c>
      <c r="G5998" s="9">
        <v>15</v>
      </c>
      <c r="H5998" s="5" t="s">
        <v>21</v>
      </c>
      <c r="I5998" s="5" t="s">
        <v>13684</v>
      </c>
      <c r="J5998" s="12" t="str">
        <f>HYPERLINK("https://www.boe.es/gazeta/dias/1800/01/07/pdfs/GMD-1800-2.pdf#page=7","Abrir facsímil")</f>
        <v>Abrir facsímil</v>
      </c>
      <c r="K5998" s="15" t="s">
        <v>23</v>
      </c>
    </row>
    <row r="5999" spans="1:11" ht="42" customHeight="1">
      <c r="A5999" s="4" t="s">
        <v>13685</v>
      </c>
      <c r="B5999" s="5" t="s">
        <v>13686</v>
      </c>
      <c r="C5999" s="5" t="s">
        <v>207</v>
      </c>
      <c r="D5999" s="5" t="s">
        <v>55</v>
      </c>
      <c r="E5999" s="5" t="s">
        <v>90</v>
      </c>
      <c r="F5999" s="9">
        <v>58</v>
      </c>
      <c r="G5999" s="9">
        <v>663</v>
      </c>
      <c r="H5999" s="5" t="s">
        <v>21</v>
      </c>
      <c r="I5999" s="5" t="s">
        <v>13687</v>
      </c>
      <c r="J5999" s="12" t="str">
        <f>HYPERLINK("https://www.boe.es/gazeta/dias/1800/07/22/pdfs/GMD-1800-58.pdf#page=11","Abrir facsímil")</f>
        <v>Abrir facsímil</v>
      </c>
      <c r="K5999" s="15" t="s">
        <v>23</v>
      </c>
    </row>
    <row r="6000" spans="1:11" ht="42" customHeight="1">
      <c r="A6000" s="4" t="s">
        <v>13688</v>
      </c>
      <c r="B6000" s="5" t="s">
        <v>13689</v>
      </c>
      <c r="C6000" s="5" t="s">
        <v>18</v>
      </c>
      <c r="D6000" s="5" t="s">
        <v>19</v>
      </c>
      <c r="E6000" s="5" t="s">
        <v>262</v>
      </c>
      <c r="F6000" s="9">
        <v>39</v>
      </c>
      <c r="G6000" s="9">
        <v>400</v>
      </c>
      <c r="H6000" s="5" t="s">
        <v>21</v>
      </c>
      <c r="I6000" s="5" t="s">
        <v>13690</v>
      </c>
      <c r="J6000" s="12" t="str">
        <f>HYPERLINK("https://www.boe.es/gazeta/dias/1800/05/16/pdfs/GMD-1800-39.pdf#page=8","Abrir facsímil")</f>
        <v>Abrir facsímil</v>
      </c>
      <c r="K6000" s="15" t="s">
        <v>23</v>
      </c>
    </row>
    <row r="6001" spans="1:11" ht="42" customHeight="1">
      <c r="A6001" s="4" t="s">
        <v>13691</v>
      </c>
      <c r="B6001" s="5" t="s">
        <v>13692</v>
      </c>
      <c r="C6001" s="5" t="s">
        <v>18</v>
      </c>
      <c r="D6001" s="5" t="s">
        <v>19</v>
      </c>
      <c r="E6001" s="5" t="s">
        <v>567</v>
      </c>
      <c r="F6001" s="9">
        <v>3</v>
      </c>
      <c r="G6001" s="9">
        <v>27</v>
      </c>
      <c r="H6001" s="5" t="s">
        <v>21</v>
      </c>
      <c r="I6001" s="5" t="s">
        <v>13693</v>
      </c>
      <c r="J6001" s="12" t="str">
        <f>HYPERLINK("https://www.boe.es/gazeta/dias/1800/01/10/pdfs/GMD-1800-3.pdf#page=7","Abrir facsímil")</f>
        <v>Abrir facsímil</v>
      </c>
      <c r="K6001" s="15" t="s">
        <v>23</v>
      </c>
    </row>
    <row r="6002" spans="1:11" ht="42" customHeight="1">
      <c r="A6002" s="4" t="s">
        <v>13694</v>
      </c>
      <c r="B6002" s="5" t="s">
        <v>13695</v>
      </c>
      <c r="C6002" s="5" t="s">
        <v>207</v>
      </c>
      <c r="D6002" s="5" t="s">
        <v>55</v>
      </c>
      <c r="E6002" s="5" t="s">
        <v>116</v>
      </c>
      <c r="F6002" s="9">
        <v>86</v>
      </c>
      <c r="G6002" s="9">
        <v>998</v>
      </c>
      <c r="H6002" s="5" t="s">
        <v>21</v>
      </c>
      <c r="I6002" s="5" t="s">
        <v>13696</v>
      </c>
      <c r="J6002" s="12" t="str">
        <f>HYPERLINK("https://www.boe.es/gazeta/dias/1800/10/24/pdfs/GMD-1800-86.pdf#page=8","Abrir facsímil")</f>
        <v>Abrir facsímil</v>
      </c>
      <c r="K6002" s="15" t="s">
        <v>23</v>
      </c>
    </row>
    <row r="6003" spans="1:11" ht="42" customHeight="1">
      <c r="A6003" s="4" t="s">
        <v>13697</v>
      </c>
      <c r="B6003" s="5" t="s">
        <v>13698</v>
      </c>
      <c r="C6003" s="5" t="s">
        <v>207</v>
      </c>
      <c r="D6003" s="5" t="s">
        <v>55</v>
      </c>
      <c r="E6003" s="5" t="s">
        <v>299</v>
      </c>
      <c r="F6003" s="9">
        <v>40</v>
      </c>
      <c r="G6003" s="9">
        <v>413</v>
      </c>
      <c r="H6003" s="5" t="s">
        <v>21</v>
      </c>
      <c r="I6003" s="5" t="s">
        <v>13699</v>
      </c>
      <c r="J6003" s="12" t="str">
        <f>HYPERLINK("https://www.boe.es/gazeta/dias/1800/05/20/pdfs/GMD-1800-40.pdf#page=9","Abrir facsímil")</f>
        <v>Abrir facsímil</v>
      </c>
      <c r="K6003" s="15" t="s">
        <v>23</v>
      </c>
    </row>
    <row r="6004" spans="1:11" ht="42" customHeight="1">
      <c r="A6004" s="4" t="s">
        <v>13700</v>
      </c>
      <c r="B6004" s="5" t="s">
        <v>13701</v>
      </c>
      <c r="C6004" s="5" t="s">
        <v>207</v>
      </c>
      <c r="D6004" s="5" t="s">
        <v>55</v>
      </c>
      <c r="E6004" s="5" t="s">
        <v>244</v>
      </c>
      <c r="F6004" s="9">
        <v>9</v>
      </c>
      <c r="G6004" s="9">
        <v>85</v>
      </c>
      <c r="H6004" s="5" t="s">
        <v>21</v>
      </c>
      <c r="I6004" s="5" t="s">
        <v>13702</v>
      </c>
      <c r="J6004" s="12" t="str">
        <f>HYPERLINK("https://www.boe.es/gazeta/dias/1800/01/31/pdfs/GMD-1800-9.pdf#page=9","Abrir facsímil")</f>
        <v>Abrir facsímil</v>
      </c>
      <c r="K6004" s="15" t="s">
        <v>23</v>
      </c>
    </row>
    <row r="6005" spans="1:11" ht="42" customHeight="1">
      <c r="A6005" s="4" t="s">
        <v>13703</v>
      </c>
      <c r="B6005" s="5" t="s">
        <v>13704</v>
      </c>
      <c r="C6005" s="5" t="s">
        <v>25</v>
      </c>
      <c r="D6005" s="5" t="s">
        <v>26</v>
      </c>
      <c r="E6005" s="5" t="s">
        <v>478</v>
      </c>
      <c r="F6005" s="9">
        <v>34</v>
      </c>
      <c r="G6005" s="9">
        <v>346</v>
      </c>
      <c r="H6005" s="5" t="s">
        <v>21</v>
      </c>
      <c r="I6005" s="5" t="s">
        <v>13705</v>
      </c>
      <c r="J6005" s="12" t="str">
        <f>HYPERLINK("https://www.boe.es/gazeta/dias/1800/04/29/pdfs/GMD-1800-34.pdf#page=10","Abrir facsímil")</f>
        <v>Abrir facsímil</v>
      </c>
      <c r="K6005" s="15" t="s">
        <v>23</v>
      </c>
    </row>
    <row r="6006" spans="1:11" ht="42" customHeight="1">
      <c r="A6006" s="4" t="s">
        <v>13703</v>
      </c>
      <c r="B6006" s="5" t="s">
        <v>13704</v>
      </c>
      <c r="C6006" s="5" t="s">
        <v>18</v>
      </c>
      <c r="D6006" s="5" t="s">
        <v>19</v>
      </c>
      <c r="E6006" s="5" t="s">
        <v>64</v>
      </c>
      <c r="F6006" s="9">
        <v>54</v>
      </c>
      <c r="G6006" s="9">
        <v>606</v>
      </c>
      <c r="H6006" s="5" t="s">
        <v>21</v>
      </c>
      <c r="I6006" s="5" t="s">
        <v>13706</v>
      </c>
      <c r="J6006" s="12" t="str">
        <f>HYPERLINK("https://www.boe.es/gazeta/dias/1800/07/08/pdfs/GMD-1800-54.pdf#page=10","Abrir facsímil")</f>
        <v>Abrir facsímil</v>
      </c>
      <c r="K6006" s="15" t="s">
        <v>23</v>
      </c>
    </row>
    <row r="6007" spans="1:11" ht="42" customHeight="1">
      <c r="A6007" s="4" t="s">
        <v>13707</v>
      </c>
      <c r="B6007" s="5" t="s">
        <v>13708</v>
      </c>
      <c r="C6007" s="5" t="s">
        <v>18</v>
      </c>
      <c r="D6007" s="5" t="s">
        <v>19</v>
      </c>
      <c r="E6007" s="5" t="s">
        <v>673</v>
      </c>
      <c r="F6007" s="9">
        <v>89</v>
      </c>
      <c r="G6007" s="9">
        <v>1043</v>
      </c>
      <c r="H6007" s="5" t="s">
        <v>21</v>
      </c>
      <c r="I6007" s="5" t="s">
        <v>13709</v>
      </c>
      <c r="J6007" s="12" t="str">
        <f>HYPERLINK("https://www.boe.es/gazeta/dias/1800/11/04/pdfs/GMD-1800-89.pdf#page=9","Abrir facsímil")</f>
        <v>Abrir facsímil</v>
      </c>
      <c r="K6007" s="15" t="s">
        <v>23</v>
      </c>
    </row>
    <row r="6008" spans="1:11" ht="42" customHeight="1">
      <c r="A6008" s="4" t="s">
        <v>13710</v>
      </c>
      <c r="B6008" s="5" t="s">
        <v>13711</v>
      </c>
      <c r="C6008" s="5" t="s">
        <v>171</v>
      </c>
      <c r="D6008" s="5" t="s">
        <v>172</v>
      </c>
      <c r="E6008" s="5" t="s">
        <v>90</v>
      </c>
      <c r="F6008" s="9">
        <v>58</v>
      </c>
      <c r="G6008" s="9">
        <v>668</v>
      </c>
      <c r="H6008" s="5" t="s">
        <v>21</v>
      </c>
      <c r="I6008" s="5" t="s">
        <v>13712</v>
      </c>
      <c r="J6008" s="12" t="str">
        <f>HYPERLINK("https://www.boe.es/gazeta/dias/1800/07/22/pdfs/GMD-C-1800-58.pdf#page=4","Abrir facsímil")</f>
        <v>Abrir facsímil</v>
      </c>
      <c r="K6008" s="15" t="s">
        <v>23</v>
      </c>
    </row>
    <row r="6009" spans="1:11" ht="42" customHeight="1">
      <c r="A6009" s="4" t="s">
        <v>13713</v>
      </c>
      <c r="B6009" s="5" t="s">
        <v>13714</v>
      </c>
      <c r="C6009" s="5" t="s">
        <v>54</v>
      </c>
      <c r="D6009" s="5" t="s">
        <v>55</v>
      </c>
      <c r="E6009" s="5" t="s">
        <v>82</v>
      </c>
      <c r="F6009" s="9">
        <v>10</v>
      </c>
      <c r="G6009" s="9">
        <v>97</v>
      </c>
      <c r="H6009" s="5" t="s">
        <v>21</v>
      </c>
      <c r="I6009" s="5" t="s">
        <v>13715</v>
      </c>
      <c r="J6009" s="12" t="str">
        <f>HYPERLINK("https://www.boe.es/gazeta/dias/1800/02/04/pdfs/GMD-1800-10.pdf#page=9","Abrir facsímil")</f>
        <v>Abrir facsímil</v>
      </c>
      <c r="K6009" s="15" t="s">
        <v>23</v>
      </c>
    </row>
    <row r="6010" spans="1:11" ht="42" customHeight="1">
      <c r="A6010" s="4" t="s">
        <v>13716</v>
      </c>
      <c r="B6010" s="5" t="s">
        <v>13717</v>
      </c>
      <c r="C6010" s="5" t="s">
        <v>171</v>
      </c>
      <c r="D6010" s="5" t="s">
        <v>172</v>
      </c>
      <c r="E6010" s="5" t="s">
        <v>135</v>
      </c>
      <c r="F6010" s="9">
        <v>73</v>
      </c>
      <c r="G6010" s="9">
        <v>822</v>
      </c>
      <c r="H6010" s="5" t="s">
        <v>21</v>
      </c>
      <c r="I6010" s="5" t="s">
        <v>13718</v>
      </c>
      <c r="J6010" s="12" t="str">
        <f>HYPERLINK("https://www.boe.es/gazeta/dias/1800/09/09/pdfs/GMD-C-1800-73.pdf#page=4","Abrir facsímil")</f>
        <v>Abrir facsímil</v>
      </c>
      <c r="K6010" s="15" t="s">
        <v>23</v>
      </c>
    </row>
    <row r="6011" spans="1:11" ht="42" customHeight="1">
      <c r="A6011" s="4" t="s">
        <v>13719</v>
      </c>
      <c r="B6011" s="5" t="s">
        <v>13720</v>
      </c>
      <c r="C6011" s="5" t="s">
        <v>171</v>
      </c>
      <c r="D6011" s="5" t="s">
        <v>172</v>
      </c>
      <c r="E6011" s="5" t="s">
        <v>45</v>
      </c>
      <c r="F6011" s="9">
        <v>47</v>
      </c>
      <c r="G6011" s="9">
        <v>505</v>
      </c>
      <c r="H6011" s="5" t="s">
        <v>21</v>
      </c>
      <c r="I6011" s="5" t="s">
        <v>13721</v>
      </c>
      <c r="J6011" s="12" t="str">
        <f>HYPERLINK("https://www.boe.es/gazeta/dias/1800/06/13/pdfs/GMD-C-1800-47.pdf#page=1","Abrir facsímil")</f>
        <v>Abrir facsímil</v>
      </c>
      <c r="K6011" s="15" t="s">
        <v>23</v>
      </c>
    </row>
    <row r="6012" spans="1:11" ht="42" customHeight="1">
      <c r="A6012" s="4" t="s">
        <v>13719</v>
      </c>
      <c r="B6012" s="5" t="s">
        <v>13720</v>
      </c>
      <c r="C6012" s="5" t="s">
        <v>171</v>
      </c>
      <c r="D6012" s="5" t="s">
        <v>172</v>
      </c>
      <c r="E6012" s="5" t="s">
        <v>45</v>
      </c>
      <c r="F6012" s="9">
        <v>47</v>
      </c>
      <c r="G6012" s="9">
        <v>508</v>
      </c>
      <c r="H6012" s="5" t="s">
        <v>21</v>
      </c>
      <c r="I6012" s="5" t="s">
        <v>13722</v>
      </c>
      <c r="J6012" s="12" t="str">
        <f>HYPERLINK("https://www.boe.es/gazeta/dias/1800/06/13/pdfs/GMD-C-1800-47.pdf#page=4","Abrir facsímil")</f>
        <v>Abrir facsímil</v>
      </c>
      <c r="K6012" s="15" t="s">
        <v>23</v>
      </c>
    </row>
    <row r="6013" spans="1:11" ht="42" customHeight="1">
      <c r="A6013" s="4" t="s">
        <v>13719</v>
      </c>
      <c r="B6013" s="5" t="s">
        <v>13720</v>
      </c>
      <c r="C6013" s="5" t="s">
        <v>171</v>
      </c>
      <c r="D6013" s="5" t="s">
        <v>172</v>
      </c>
      <c r="E6013" s="5" t="s">
        <v>120</v>
      </c>
      <c r="F6013" s="9">
        <v>52</v>
      </c>
      <c r="G6013" s="9">
        <v>580</v>
      </c>
      <c r="H6013" s="5" t="s">
        <v>21</v>
      </c>
      <c r="I6013" s="5" t="s">
        <v>13723</v>
      </c>
      <c r="J6013" s="12" t="str">
        <f>HYPERLINK("https://www.boe.es/gazeta/dias/1800/07/01/pdfs/GMD-C-1800-52.pdf#page=4","Abrir facsímil")</f>
        <v>Abrir facsímil</v>
      </c>
      <c r="K6013" s="15" t="s">
        <v>23</v>
      </c>
    </row>
    <row r="6014" spans="1:11" ht="42" customHeight="1">
      <c r="A6014" s="4" t="s">
        <v>13719</v>
      </c>
      <c r="B6014" s="5" t="s">
        <v>13720</v>
      </c>
      <c r="C6014" s="5" t="s">
        <v>171</v>
      </c>
      <c r="D6014" s="5" t="s">
        <v>172</v>
      </c>
      <c r="E6014" s="5" t="s">
        <v>135</v>
      </c>
      <c r="F6014" s="9">
        <v>73</v>
      </c>
      <c r="G6014" s="9">
        <v>820</v>
      </c>
      <c r="H6014" s="5" t="s">
        <v>21</v>
      </c>
      <c r="I6014" s="5" t="s">
        <v>13724</v>
      </c>
      <c r="J6014" s="12" t="str">
        <f>HYPERLINK("https://www.boe.es/gazeta/dias/1800/09/09/pdfs/GMD-C-1800-73.pdf#page=2","Abrir facsímil")</f>
        <v>Abrir facsímil</v>
      </c>
      <c r="K6014" s="15" t="s">
        <v>23</v>
      </c>
    </row>
    <row r="6015" spans="1:11" ht="42" customHeight="1">
      <c r="A6015" s="4" t="s">
        <v>13725</v>
      </c>
      <c r="B6015" s="5" t="s">
        <v>13726</v>
      </c>
      <c r="C6015" s="5" t="s">
        <v>171</v>
      </c>
      <c r="D6015" s="5" t="s">
        <v>172</v>
      </c>
      <c r="E6015" s="5" t="s">
        <v>147</v>
      </c>
      <c r="F6015" s="9">
        <v>84</v>
      </c>
      <c r="G6015" s="9">
        <v>978</v>
      </c>
      <c r="H6015" s="5" t="s">
        <v>21</v>
      </c>
      <c r="I6015" s="5" t="s">
        <v>13727</v>
      </c>
      <c r="J6015" s="12" t="str">
        <f>HYPERLINK("https://www.boe.es/gazeta/dias/1800/10/17/pdfs/GMD-C-1800-84.pdf#page=4","Abrir facsímil")</f>
        <v>Abrir facsímil</v>
      </c>
      <c r="K6015" s="15" t="s">
        <v>23</v>
      </c>
    </row>
    <row r="6016" spans="1:11" ht="42" customHeight="1">
      <c r="A6016" s="4" t="s">
        <v>13728</v>
      </c>
      <c r="B6016" s="5" t="s">
        <v>13729</v>
      </c>
      <c r="C6016" s="5" t="s">
        <v>84</v>
      </c>
      <c r="D6016" s="5" t="s">
        <v>85</v>
      </c>
      <c r="E6016" s="5" t="s">
        <v>45</v>
      </c>
      <c r="F6016" s="9">
        <v>47</v>
      </c>
      <c r="G6016" s="9">
        <v>504</v>
      </c>
      <c r="H6016" s="5" t="s">
        <v>21</v>
      </c>
      <c r="I6016" s="5" t="s">
        <v>13730</v>
      </c>
      <c r="J6016" s="12" t="str">
        <f>HYPERLINK("https://www.boe.es/gazeta/dias/1800/06/13/pdfs/GMD-1800-47.pdf#page=12","Abrir facsímil")</f>
        <v>Abrir facsímil</v>
      </c>
      <c r="K6016" s="15" t="s">
        <v>23</v>
      </c>
    </row>
    <row r="6017" spans="1:11" ht="42" customHeight="1">
      <c r="A6017" s="4" t="s">
        <v>13731</v>
      </c>
      <c r="B6017" s="5" t="s">
        <v>13732</v>
      </c>
      <c r="C6017" s="5" t="s">
        <v>25</v>
      </c>
      <c r="D6017" s="5" t="s">
        <v>26</v>
      </c>
      <c r="E6017" s="5" t="s">
        <v>283</v>
      </c>
      <c r="F6017" s="9">
        <v>68</v>
      </c>
      <c r="G6017" s="9">
        <v>764</v>
      </c>
      <c r="H6017" s="5" t="s">
        <v>21</v>
      </c>
      <c r="I6017" s="5" t="s">
        <v>13733</v>
      </c>
      <c r="J6017" s="12" t="str">
        <f>HYPERLINK("https://www.boe.es/gazeta/dias/1800/08/26/pdfs/GMD-1800-68.pdf#page=8","Abrir facsímil")</f>
        <v>Abrir facsímil</v>
      </c>
      <c r="K6017" s="15" t="s">
        <v>23</v>
      </c>
    </row>
    <row r="6018" spans="1:11" ht="42" customHeight="1">
      <c r="A6018" s="4" t="s">
        <v>13734</v>
      </c>
      <c r="B6018" s="5" t="s">
        <v>13735</v>
      </c>
      <c r="C6018" s="5" t="s">
        <v>18</v>
      </c>
      <c r="D6018" s="5" t="s">
        <v>19</v>
      </c>
      <c r="E6018" s="5" t="s">
        <v>454</v>
      </c>
      <c r="F6018" s="9">
        <v>63</v>
      </c>
      <c r="G6018" s="9">
        <v>720</v>
      </c>
      <c r="H6018" s="5" t="s">
        <v>21</v>
      </c>
      <c r="I6018" s="5" t="s">
        <v>13736</v>
      </c>
      <c r="J6018" s="12" t="str">
        <f>HYPERLINK("https://www.boe.es/gazeta/dias/1800/08/08/pdfs/GMD-1800-63.pdf#page=8","Abrir facsímil")</f>
        <v>Abrir facsímil</v>
      </c>
      <c r="K6018" s="15" t="s">
        <v>23</v>
      </c>
    </row>
    <row r="6019" spans="1:11" ht="42" customHeight="1">
      <c r="A6019" s="4" t="s">
        <v>13737</v>
      </c>
      <c r="B6019" s="5" t="s">
        <v>13738</v>
      </c>
      <c r="C6019" s="5" t="s">
        <v>18</v>
      </c>
      <c r="D6019" s="5" t="s">
        <v>19</v>
      </c>
      <c r="E6019" s="5" t="s">
        <v>190</v>
      </c>
      <c r="F6019" s="9">
        <v>93</v>
      </c>
      <c r="G6019" s="9">
        <v>1067</v>
      </c>
      <c r="H6019" s="5" t="s">
        <v>21</v>
      </c>
      <c r="I6019" s="5" t="s">
        <v>13739</v>
      </c>
      <c r="J6019" s="12" t="str">
        <f>HYPERLINK("https://www.boe.es/gazeta/dias/1800/11/18/pdfs/GMD-1800-93.pdf#page=13","Abrir facsímil")</f>
        <v>Abrir facsímil</v>
      </c>
      <c r="K6019" s="15" t="s">
        <v>23</v>
      </c>
    </row>
    <row r="6020" spans="1:11" ht="42" customHeight="1">
      <c r="A6020" s="4" t="s">
        <v>13740</v>
      </c>
      <c r="B6020" s="5" t="s">
        <v>13741</v>
      </c>
      <c r="C6020" s="5" t="s">
        <v>18</v>
      </c>
      <c r="D6020" s="5" t="s">
        <v>19</v>
      </c>
      <c r="E6020" s="5" t="s">
        <v>420</v>
      </c>
      <c r="F6020" s="9">
        <v>38</v>
      </c>
      <c r="G6020" s="9">
        <v>388</v>
      </c>
      <c r="H6020" s="5" t="s">
        <v>21</v>
      </c>
      <c r="I6020" s="5" t="s">
        <v>13742</v>
      </c>
      <c r="J6020" s="12" t="str">
        <f>HYPERLINK("https://www.boe.es/gazeta/dias/1800/05/13/pdfs/GMD-1800-38.pdf#page=8","Abrir facsímil")</f>
        <v>Abrir facsímil</v>
      </c>
      <c r="K6020" s="15" t="s">
        <v>23</v>
      </c>
    </row>
    <row r="6021" spans="1:11" ht="42" customHeight="1">
      <c r="A6021" s="4" t="s">
        <v>13743</v>
      </c>
      <c r="B6021" s="5" t="s">
        <v>13744</v>
      </c>
      <c r="C6021" s="5" t="s">
        <v>18</v>
      </c>
      <c r="D6021" s="5" t="s">
        <v>19</v>
      </c>
      <c r="E6021" s="5" t="s">
        <v>420</v>
      </c>
      <c r="F6021" s="9">
        <v>38</v>
      </c>
      <c r="G6021" s="9">
        <v>388</v>
      </c>
      <c r="H6021" s="5" t="s">
        <v>21</v>
      </c>
      <c r="I6021" s="5" t="s">
        <v>13745</v>
      </c>
      <c r="J6021" s="12" t="str">
        <f>HYPERLINK("https://www.boe.es/gazeta/dias/1800/05/13/pdfs/GMD-1800-38.pdf#page=8","Abrir facsímil")</f>
        <v>Abrir facsímil</v>
      </c>
      <c r="K6021" s="15" t="s">
        <v>23</v>
      </c>
    </row>
    <row r="6022" spans="1:11" ht="42" customHeight="1">
      <c r="A6022" s="4" t="s">
        <v>13746</v>
      </c>
      <c r="B6022" s="5" t="s">
        <v>13747</v>
      </c>
      <c r="C6022" s="5" t="s">
        <v>18</v>
      </c>
      <c r="D6022" s="5" t="s">
        <v>19</v>
      </c>
      <c r="E6022" s="5" t="s">
        <v>618</v>
      </c>
      <c r="F6022" s="9">
        <v>1</v>
      </c>
      <c r="G6022" s="9">
        <v>6</v>
      </c>
      <c r="H6022" s="5" t="s">
        <v>21</v>
      </c>
      <c r="I6022" s="5" t="s">
        <v>13748</v>
      </c>
      <c r="J6022" s="12" t="str">
        <f>HYPERLINK("https://www.boe.es/gazeta/dias/1800/01/03/pdfs/GMD-1800-1.pdf#page=6","Abrir facsímil")</f>
        <v>Abrir facsímil</v>
      </c>
      <c r="K6022" s="15" t="s">
        <v>23</v>
      </c>
    </row>
    <row r="6023" spans="1:11" ht="42" customHeight="1">
      <c r="A6023" s="4" t="s">
        <v>13746</v>
      </c>
      <c r="B6023" s="5" t="s">
        <v>13747</v>
      </c>
      <c r="C6023" s="5" t="s">
        <v>41</v>
      </c>
      <c r="D6023" s="5" t="s">
        <v>42</v>
      </c>
      <c r="E6023" s="5" t="s">
        <v>143</v>
      </c>
      <c r="F6023" s="9">
        <v>22</v>
      </c>
      <c r="G6023" s="9">
        <v>219</v>
      </c>
      <c r="H6023" s="5" t="s">
        <v>21</v>
      </c>
      <c r="I6023" s="5" t="s">
        <v>13749</v>
      </c>
      <c r="J6023" s="12" t="str">
        <f>HYPERLINK("https://www.boe.es/gazeta/dias/1800/03/18/pdfs/GMD-1800-22.pdf#page=11","Abrir facsímil")</f>
        <v>Abrir facsímil</v>
      </c>
      <c r="K6023" s="15" t="s">
        <v>23</v>
      </c>
    </row>
    <row r="6024" spans="1:11" ht="42" customHeight="1">
      <c r="A6024" s="4" t="s">
        <v>13750</v>
      </c>
      <c r="B6024" s="5" t="s">
        <v>13751</v>
      </c>
      <c r="C6024" s="5" t="s">
        <v>84</v>
      </c>
      <c r="D6024" s="5" t="s">
        <v>85</v>
      </c>
      <c r="E6024" s="5" t="s">
        <v>530</v>
      </c>
      <c r="F6024" s="9">
        <v>55</v>
      </c>
      <c r="G6024" s="9">
        <v>623</v>
      </c>
      <c r="H6024" s="5" t="s">
        <v>21</v>
      </c>
      <c r="I6024" s="5" t="s">
        <v>13752</v>
      </c>
      <c r="J6024" s="12" t="str">
        <f>HYPERLINK("https://www.boe.es/gazeta/dias/1800/07/11/pdfs/GMD-1800-55.pdf#page=11","Abrir facsímil")</f>
        <v>Abrir facsímil</v>
      </c>
      <c r="K6024" s="15" t="s">
        <v>23</v>
      </c>
    </row>
    <row r="6025" spans="1:11" ht="42" customHeight="1">
      <c r="A6025" s="4" t="s">
        <v>13753</v>
      </c>
      <c r="B6025" s="5" t="s">
        <v>13754</v>
      </c>
      <c r="C6025" s="5" t="s">
        <v>207</v>
      </c>
      <c r="D6025" s="5" t="s">
        <v>55</v>
      </c>
      <c r="E6025" s="5" t="s">
        <v>306</v>
      </c>
      <c r="F6025" s="9">
        <v>79</v>
      </c>
      <c r="G6025" s="9">
        <v>899</v>
      </c>
      <c r="H6025" s="5" t="s">
        <v>21</v>
      </c>
      <c r="I6025" s="5" t="s">
        <v>13755</v>
      </c>
      <c r="J6025" s="12" t="str">
        <f>HYPERLINK("https://www.boe.es/gazeta/dias/1800/09/30/pdfs/GMD-1800-79.pdf#page=9","Abrir facsímil")</f>
        <v>Abrir facsímil</v>
      </c>
      <c r="K6025" s="15" t="s">
        <v>23</v>
      </c>
    </row>
    <row r="6026" spans="1:11" ht="42" customHeight="1">
      <c r="A6026" s="4" t="s">
        <v>13756</v>
      </c>
      <c r="B6026" s="5" t="s">
        <v>13757</v>
      </c>
      <c r="C6026" s="5" t="s">
        <v>18</v>
      </c>
      <c r="D6026" s="5" t="s">
        <v>19</v>
      </c>
      <c r="E6026" s="5" t="s">
        <v>56</v>
      </c>
      <c r="F6026" s="9">
        <v>90</v>
      </c>
      <c r="G6026" s="9">
        <v>1055</v>
      </c>
      <c r="H6026" s="5" t="s">
        <v>21</v>
      </c>
      <c r="I6026" s="5" t="s">
        <v>13758</v>
      </c>
      <c r="J6026" s="12" t="str">
        <f>HYPERLINK("https://www.boe.es/gazeta/dias/1800/11/07/pdfs/GMD-1800-90.pdf#page=9","Abrir facsímil")</f>
        <v>Abrir facsímil</v>
      </c>
      <c r="K6026" s="15" t="s">
        <v>23</v>
      </c>
    </row>
    <row r="6027" spans="1:11" ht="42" customHeight="1">
      <c r="A6027" s="4" t="s">
        <v>13759</v>
      </c>
      <c r="B6027" s="5" t="s">
        <v>13760</v>
      </c>
      <c r="C6027" s="5" t="s">
        <v>18</v>
      </c>
      <c r="D6027" s="5" t="s">
        <v>19</v>
      </c>
      <c r="E6027" s="5" t="s">
        <v>583</v>
      </c>
      <c r="F6027" s="9">
        <v>77</v>
      </c>
      <c r="G6027" s="9">
        <v>878</v>
      </c>
      <c r="H6027" s="5" t="s">
        <v>21</v>
      </c>
      <c r="I6027" s="5" t="s">
        <v>13761</v>
      </c>
      <c r="J6027" s="12" t="str">
        <f>HYPERLINK("https://www.boe.es/gazeta/dias/1800/09/23/pdfs/GMD-1800-77.pdf#page=8","Abrir facsímil")</f>
        <v>Abrir facsímil</v>
      </c>
      <c r="K6027" s="15" t="s">
        <v>23</v>
      </c>
    </row>
    <row r="6028" spans="1:11" ht="42" customHeight="1">
      <c r="A6028" s="4" t="s">
        <v>13762</v>
      </c>
      <c r="B6028" s="5" t="s">
        <v>13763</v>
      </c>
      <c r="C6028" s="5" t="s">
        <v>18</v>
      </c>
      <c r="D6028" s="5" t="s">
        <v>19</v>
      </c>
      <c r="E6028" s="5" t="s">
        <v>314</v>
      </c>
      <c r="F6028" s="9">
        <v>74</v>
      </c>
      <c r="G6028" s="9">
        <v>831</v>
      </c>
      <c r="H6028" s="5" t="s">
        <v>21</v>
      </c>
      <c r="I6028" s="5" t="s">
        <v>13764</v>
      </c>
      <c r="J6028" s="12" t="str">
        <f>HYPERLINK("https://www.boe.es/gazeta/dias/1800/09/12/pdfs/GMD-1800-74.pdf#page=9","Abrir facsímil")</f>
        <v>Abrir facsímil</v>
      </c>
      <c r="K6028" s="15" t="s">
        <v>23</v>
      </c>
    </row>
    <row r="6029" spans="1:11" ht="42" customHeight="1">
      <c r="A6029" s="4" t="s">
        <v>13765</v>
      </c>
      <c r="B6029" s="5" t="s">
        <v>13766</v>
      </c>
      <c r="C6029" s="5" t="s">
        <v>18</v>
      </c>
      <c r="D6029" s="5" t="s">
        <v>19</v>
      </c>
      <c r="E6029" s="5" t="s">
        <v>314</v>
      </c>
      <c r="F6029" s="9">
        <v>74</v>
      </c>
      <c r="G6029" s="9">
        <v>833</v>
      </c>
      <c r="H6029" s="5" t="s">
        <v>21</v>
      </c>
      <c r="I6029" s="5" t="s">
        <v>13767</v>
      </c>
      <c r="J6029" s="12" t="str">
        <f>HYPERLINK("https://www.boe.es/gazeta/dias/1800/09/12/pdfs/GMD-1800-74.pdf#page=11","Abrir facsímil")</f>
        <v>Abrir facsímil</v>
      </c>
      <c r="K6029" s="15" t="s">
        <v>23</v>
      </c>
    </row>
    <row r="6030" spans="1:11" ht="42" customHeight="1">
      <c r="A6030" s="4" t="s">
        <v>13765</v>
      </c>
      <c r="B6030" s="5" t="s">
        <v>13766</v>
      </c>
      <c r="C6030" s="5" t="s">
        <v>18</v>
      </c>
      <c r="D6030" s="5" t="s">
        <v>19</v>
      </c>
      <c r="E6030" s="5" t="s">
        <v>56</v>
      </c>
      <c r="F6030" s="9">
        <v>90</v>
      </c>
      <c r="G6030" s="9">
        <v>1055</v>
      </c>
      <c r="H6030" s="5" t="s">
        <v>21</v>
      </c>
      <c r="I6030" s="5" t="s">
        <v>13768</v>
      </c>
      <c r="J6030" s="12" t="str">
        <f>HYPERLINK("https://www.boe.es/gazeta/dias/1800/11/07/pdfs/GMD-1800-90.pdf#page=9","Abrir facsímil")</f>
        <v>Abrir facsímil</v>
      </c>
      <c r="K6030" s="15" t="s">
        <v>23</v>
      </c>
    </row>
    <row r="6031" spans="1:11" ht="42" customHeight="1">
      <c r="A6031" s="4" t="s">
        <v>13769</v>
      </c>
      <c r="B6031" s="5" t="s">
        <v>13770</v>
      </c>
      <c r="C6031" s="5" t="s">
        <v>25</v>
      </c>
      <c r="D6031" s="5" t="s">
        <v>26</v>
      </c>
      <c r="E6031" s="5" t="s">
        <v>406</v>
      </c>
      <c r="F6031" s="9">
        <v>44</v>
      </c>
      <c r="G6031" s="9">
        <v>464</v>
      </c>
      <c r="H6031" s="5" t="s">
        <v>21</v>
      </c>
      <c r="I6031" s="5" t="s">
        <v>13771</v>
      </c>
      <c r="J6031" s="12" t="str">
        <f>HYPERLINK("https://www.boe.es/gazeta/dias/1800/06/03/pdfs/GMD-1800-44.pdf#page=12","Abrir facsímil")</f>
        <v>Abrir facsímil</v>
      </c>
      <c r="K6031" s="15" t="s">
        <v>23</v>
      </c>
    </row>
    <row r="6032" spans="1:11" ht="42" customHeight="1">
      <c r="A6032" s="4" t="s">
        <v>13769</v>
      </c>
      <c r="B6032" s="5" t="s">
        <v>13770</v>
      </c>
      <c r="C6032" s="5" t="s">
        <v>18</v>
      </c>
      <c r="D6032" s="5" t="s">
        <v>19</v>
      </c>
      <c r="E6032" s="5" t="s">
        <v>56</v>
      </c>
      <c r="F6032" s="9">
        <v>90</v>
      </c>
      <c r="G6032" s="9">
        <v>1055</v>
      </c>
      <c r="H6032" s="5" t="s">
        <v>21</v>
      </c>
      <c r="I6032" s="5" t="s">
        <v>13772</v>
      </c>
      <c r="J6032" s="12" t="str">
        <f>HYPERLINK("https://www.boe.es/gazeta/dias/1800/11/07/pdfs/GMD-1800-90.pdf#page=9","Abrir facsímil")</f>
        <v>Abrir facsímil</v>
      </c>
      <c r="K6032" s="15" t="s">
        <v>23</v>
      </c>
    </row>
    <row r="6033" spans="1:11" ht="42" customHeight="1">
      <c r="A6033" s="4" t="s">
        <v>13773</v>
      </c>
      <c r="B6033" s="5" t="s">
        <v>13774</v>
      </c>
      <c r="C6033" s="5" t="s">
        <v>18</v>
      </c>
      <c r="D6033" s="5" t="s">
        <v>19</v>
      </c>
      <c r="E6033" s="5" t="s">
        <v>194</v>
      </c>
      <c r="F6033" s="9">
        <v>48</v>
      </c>
      <c r="G6033" s="9">
        <v>519</v>
      </c>
      <c r="H6033" s="5" t="s">
        <v>21</v>
      </c>
      <c r="I6033" s="5" t="s">
        <v>13775</v>
      </c>
      <c r="J6033" s="12" t="str">
        <f>HYPERLINK("https://www.boe.es/gazeta/dias/1800/06/17/pdfs/GMD-1800-48.pdf#page=11","Abrir facsímil")</f>
        <v>Abrir facsímil</v>
      </c>
      <c r="K6033" s="15" t="s">
        <v>23</v>
      </c>
    </row>
    <row r="6034" spans="1:11" ht="42" customHeight="1">
      <c r="A6034" s="4" t="s">
        <v>13776</v>
      </c>
      <c r="B6034" s="5" t="s">
        <v>13777</v>
      </c>
      <c r="C6034" s="5" t="s">
        <v>18</v>
      </c>
      <c r="D6034" s="5" t="s">
        <v>19</v>
      </c>
      <c r="E6034" s="5" t="s">
        <v>314</v>
      </c>
      <c r="F6034" s="9">
        <v>74</v>
      </c>
      <c r="G6034" s="9">
        <v>831</v>
      </c>
      <c r="H6034" s="5" t="s">
        <v>21</v>
      </c>
      <c r="I6034" s="5" t="s">
        <v>13778</v>
      </c>
      <c r="J6034" s="12" t="str">
        <f>HYPERLINK("https://www.boe.es/gazeta/dias/1800/09/12/pdfs/GMD-1800-74.pdf#page=9","Abrir facsímil")</f>
        <v>Abrir facsímil</v>
      </c>
      <c r="K6034" s="15" t="s">
        <v>23</v>
      </c>
    </row>
    <row r="6035" spans="1:11" ht="42" customHeight="1">
      <c r="A6035" s="4" t="s">
        <v>13779</v>
      </c>
      <c r="B6035" s="5" t="s">
        <v>13780</v>
      </c>
      <c r="C6035" s="5" t="s">
        <v>207</v>
      </c>
      <c r="D6035" s="5" t="s">
        <v>55</v>
      </c>
      <c r="E6035" s="5" t="s">
        <v>275</v>
      </c>
      <c r="F6035" s="9">
        <v>60</v>
      </c>
      <c r="G6035" s="9">
        <v>687</v>
      </c>
      <c r="H6035" s="5" t="s">
        <v>21</v>
      </c>
      <c r="I6035" s="5" t="s">
        <v>13781</v>
      </c>
      <c r="J6035" s="12" t="str">
        <f>HYPERLINK("https://www.boe.es/gazeta/dias/1800/07/29/pdfs/GMD-1800-60.pdf#page=7","Abrir facsímil")</f>
        <v>Abrir facsímil</v>
      </c>
      <c r="K6035" s="15" t="s">
        <v>23</v>
      </c>
    </row>
    <row r="6036" spans="1:11" ht="42" customHeight="1">
      <c r="A6036" s="4" t="s">
        <v>13782</v>
      </c>
      <c r="B6036" s="5" t="s">
        <v>13782</v>
      </c>
      <c r="C6036" s="5" t="s">
        <v>84</v>
      </c>
      <c r="D6036" s="5" t="s">
        <v>85</v>
      </c>
      <c r="E6036" s="5" t="s">
        <v>262</v>
      </c>
      <c r="F6036" s="9">
        <v>39</v>
      </c>
      <c r="G6036" s="9">
        <v>398</v>
      </c>
      <c r="H6036" s="5" t="s">
        <v>21</v>
      </c>
      <c r="I6036" s="5" t="s">
        <v>8597</v>
      </c>
      <c r="J6036" s="12" t="str">
        <f>HYPERLINK("https://www.boe.es/gazeta/dias/1800/05/16/pdfs/GMD-1800-39.pdf#page=6","Abrir facsímil")</f>
        <v>Abrir facsímil</v>
      </c>
      <c r="K6036" s="15" t="s">
        <v>23</v>
      </c>
    </row>
    <row r="6037" spans="1:11" ht="42" customHeight="1">
      <c r="A6037" s="4" t="s">
        <v>13783</v>
      </c>
      <c r="B6037" s="5" t="s">
        <v>13784</v>
      </c>
      <c r="C6037" s="5" t="s">
        <v>18</v>
      </c>
      <c r="D6037" s="5" t="s">
        <v>19</v>
      </c>
      <c r="E6037" s="5" t="s">
        <v>158</v>
      </c>
      <c r="F6037" s="9">
        <v>25</v>
      </c>
      <c r="G6037" s="9">
        <v>256</v>
      </c>
      <c r="H6037" s="5" t="s">
        <v>21</v>
      </c>
      <c r="I6037" s="5" t="s">
        <v>13785</v>
      </c>
      <c r="J6037" s="12" t="str">
        <f>HYPERLINK("https://www.boe.es/gazeta/dias/1800/03/28/pdfs/GMD-1800-25.pdf#page=8","Abrir facsímil")</f>
        <v>Abrir facsímil</v>
      </c>
      <c r="K6037" s="15" t="s">
        <v>23</v>
      </c>
    </row>
    <row r="6038" spans="1:11" ht="42" customHeight="1">
      <c r="A6038" s="4" t="s">
        <v>13786</v>
      </c>
      <c r="B6038" s="5" t="s">
        <v>13787</v>
      </c>
      <c r="C6038" s="5" t="s">
        <v>18</v>
      </c>
      <c r="D6038" s="5" t="s">
        <v>19</v>
      </c>
      <c r="E6038" s="5" t="s">
        <v>35</v>
      </c>
      <c r="F6038" s="9">
        <v>21</v>
      </c>
      <c r="G6038" s="9">
        <v>206</v>
      </c>
      <c r="H6038" s="5" t="s">
        <v>21</v>
      </c>
      <c r="I6038" s="5" t="s">
        <v>13788</v>
      </c>
      <c r="J6038" s="12" t="str">
        <f>HYPERLINK("https://www.boe.es/gazeta/dias/1800/03/14/pdfs/GMD-1800-21.pdf#page=10","Abrir facsímil")</f>
        <v>Abrir facsímil</v>
      </c>
      <c r="K6038" s="15" t="s">
        <v>23</v>
      </c>
    </row>
    <row r="6039" spans="1:11" ht="42" customHeight="1">
      <c r="A6039" s="4" t="s">
        <v>13789</v>
      </c>
      <c r="B6039" s="5" t="s">
        <v>13790</v>
      </c>
      <c r="C6039" s="5" t="s">
        <v>18</v>
      </c>
      <c r="D6039" s="5" t="s">
        <v>19</v>
      </c>
      <c r="E6039" s="5" t="s">
        <v>1231</v>
      </c>
      <c r="F6039" s="9">
        <v>36</v>
      </c>
      <c r="G6039" s="9">
        <v>366</v>
      </c>
      <c r="H6039" s="5" t="s">
        <v>21</v>
      </c>
      <c r="I6039" s="5" t="s">
        <v>13791</v>
      </c>
      <c r="J6039" s="12" t="str">
        <f>HYPERLINK("https://www.boe.es/gazeta/dias/1800/05/06/pdfs/GMD-1800-36.pdf#page=10","Abrir facsímil")</f>
        <v>Abrir facsímil</v>
      </c>
      <c r="K6039" s="15" t="s">
        <v>23</v>
      </c>
    </row>
    <row r="6040" spans="1:11" ht="42" customHeight="1">
      <c r="A6040" s="4" t="s">
        <v>13792</v>
      </c>
      <c r="B6040" s="5" t="s">
        <v>13793</v>
      </c>
      <c r="C6040" s="5" t="s">
        <v>18</v>
      </c>
      <c r="D6040" s="5" t="s">
        <v>19</v>
      </c>
      <c r="E6040" s="5" t="s">
        <v>90</v>
      </c>
      <c r="F6040" s="9">
        <v>58</v>
      </c>
      <c r="G6040" s="9">
        <v>663</v>
      </c>
      <c r="H6040" s="5" t="s">
        <v>21</v>
      </c>
      <c r="I6040" s="5" t="s">
        <v>13794</v>
      </c>
      <c r="J6040" s="12" t="str">
        <f>HYPERLINK("https://www.boe.es/gazeta/dias/1800/07/22/pdfs/GMD-1800-58.pdf#page=11","Abrir facsímil")</f>
        <v>Abrir facsímil</v>
      </c>
      <c r="K6040" s="15" t="s">
        <v>23</v>
      </c>
    </row>
    <row r="6041" spans="1:11" ht="42" customHeight="1">
      <c r="A6041" s="4" t="s">
        <v>13795</v>
      </c>
      <c r="B6041" s="5" t="s">
        <v>13796</v>
      </c>
      <c r="C6041" s="5" t="s">
        <v>41</v>
      </c>
      <c r="D6041" s="5" t="s">
        <v>42</v>
      </c>
      <c r="E6041" s="5" t="s">
        <v>503</v>
      </c>
      <c r="F6041" s="9">
        <v>13</v>
      </c>
      <c r="G6041" s="9">
        <v>123</v>
      </c>
      <c r="H6041" s="5" t="s">
        <v>21</v>
      </c>
      <c r="I6041" s="5" t="s">
        <v>13797</v>
      </c>
      <c r="J6041" s="12" t="str">
        <f>HYPERLINK("https://www.boe.es/gazeta/dias/1800/02/14/pdfs/GMD-1800-13.pdf#page=7","Abrir facsímil")</f>
        <v>Abrir facsímil</v>
      </c>
      <c r="K6041" s="15" t="s">
        <v>23</v>
      </c>
    </row>
    <row r="6042" spans="1:11" ht="42" customHeight="1">
      <c r="A6042" s="4" t="s">
        <v>13798</v>
      </c>
      <c r="B6042" s="5" t="s">
        <v>13799</v>
      </c>
      <c r="C6042" s="5" t="s">
        <v>54</v>
      </c>
      <c r="D6042" s="5" t="s">
        <v>55</v>
      </c>
      <c r="E6042" s="5" t="s">
        <v>86</v>
      </c>
      <c r="F6042" s="9">
        <v>17</v>
      </c>
      <c r="G6042" s="9">
        <v>162</v>
      </c>
      <c r="H6042" s="5" t="s">
        <v>21</v>
      </c>
      <c r="I6042" s="5" t="s">
        <v>13800</v>
      </c>
      <c r="J6042" s="12" t="str">
        <f>HYPERLINK("https://www.boe.es/gazeta/dias/1800/02/28/pdfs/GMD-1800-17.pdf#page=10","Abrir facsímil")</f>
        <v>Abrir facsímil</v>
      </c>
      <c r="K6042" s="15" t="s">
        <v>23</v>
      </c>
    </row>
    <row r="6043" spans="1:11" ht="42" customHeight="1">
      <c r="A6043" s="4" t="s">
        <v>13801</v>
      </c>
      <c r="B6043" s="5" t="s">
        <v>13802</v>
      </c>
      <c r="C6043" s="5" t="s">
        <v>1035</v>
      </c>
      <c r="D6043" s="5" t="s">
        <v>1036</v>
      </c>
      <c r="E6043" s="5" t="s">
        <v>50</v>
      </c>
      <c r="F6043" s="9">
        <v>81</v>
      </c>
      <c r="G6043" s="9">
        <v>942</v>
      </c>
      <c r="H6043" s="5" t="s">
        <v>21</v>
      </c>
      <c r="I6043" s="5" t="s">
        <v>13803</v>
      </c>
      <c r="J6043" s="12" t="str">
        <f>HYPERLINK("https://www.boe.es/gazeta/dias/1800/10/07/pdfs/GMD-C-1800-81.pdf#page=24","Abrir facsímil")</f>
        <v>Abrir facsímil</v>
      </c>
      <c r="K6043" s="15" t="s">
        <v>23</v>
      </c>
    </row>
    <row r="6044" spans="1:11" ht="42" customHeight="1">
      <c r="A6044" s="4" t="s">
        <v>13804</v>
      </c>
      <c r="B6044" s="5" t="s">
        <v>13805</v>
      </c>
      <c r="C6044" s="5" t="s">
        <v>18</v>
      </c>
      <c r="D6044" s="5" t="s">
        <v>19</v>
      </c>
      <c r="E6044" s="5" t="s">
        <v>39</v>
      </c>
      <c r="F6044" s="9">
        <v>43</v>
      </c>
      <c r="G6044" s="9">
        <v>448</v>
      </c>
      <c r="H6044" s="5" t="s">
        <v>21</v>
      </c>
      <c r="I6044" s="5" t="s">
        <v>13806</v>
      </c>
      <c r="J6044" s="12" t="str">
        <f>HYPERLINK("https://www.boe.es/gazeta/dias/1800/05/30/pdfs/GMD-1800-43.pdf#page=8","Abrir facsímil")</f>
        <v>Abrir facsímil</v>
      </c>
      <c r="K6044" s="15" t="s">
        <v>23</v>
      </c>
    </row>
    <row r="6045" spans="1:11" ht="42" customHeight="1">
      <c r="A6045" s="4" t="s">
        <v>13804</v>
      </c>
      <c r="B6045" s="5" t="s">
        <v>13805</v>
      </c>
      <c r="C6045" s="5" t="s">
        <v>18</v>
      </c>
      <c r="D6045" s="5" t="s">
        <v>19</v>
      </c>
      <c r="E6045" s="5" t="s">
        <v>530</v>
      </c>
      <c r="F6045" s="9">
        <v>55</v>
      </c>
      <c r="G6045" s="9">
        <v>619</v>
      </c>
      <c r="H6045" s="5" t="s">
        <v>21</v>
      </c>
      <c r="I6045" s="5" t="s">
        <v>13807</v>
      </c>
      <c r="J6045" s="12" t="str">
        <f>HYPERLINK("https://www.boe.es/gazeta/dias/1800/07/11/pdfs/GMD-1800-55.pdf#page=7","Abrir facsímil")</f>
        <v>Abrir facsímil</v>
      </c>
      <c r="K6045" s="15" t="s">
        <v>23</v>
      </c>
    </row>
    <row r="6046" spans="1:11" ht="42" customHeight="1">
      <c r="A6046" s="4" t="s">
        <v>13808</v>
      </c>
      <c r="B6046" s="5" t="s">
        <v>13808</v>
      </c>
      <c r="C6046" s="5" t="s">
        <v>18</v>
      </c>
      <c r="D6046" s="5" t="s">
        <v>19</v>
      </c>
      <c r="E6046" s="5" t="s">
        <v>279</v>
      </c>
      <c r="F6046" s="9">
        <v>103</v>
      </c>
      <c r="G6046" s="9">
        <v>1194</v>
      </c>
      <c r="H6046" s="5" t="s">
        <v>21</v>
      </c>
      <c r="I6046" s="5" t="s">
        <v>13809</v>
      </c>
      <c r="J6046" s="12" t="str">
        <f>HYPERLINK("https://www.boe.es/gazeta/dias/1800/12/23/pdfs/GMD-1800-103.pdf#page=6","Abrir facsímil")</f>
        <v>Abrir facsímil</v>
      </c>
      <c r="K6046" s="15" t="s">
        <v>23</v>
      </c>
    </row>
    <row r="6047" spans="1:11" ht="42" customHeight="1">
      <c r="A6047" s="4" t="s">
        <v>13808</v>
      </c>
      <c r="B6047" s="5" t="s">
        <v>13808</v>
      </c>
      <c r="C6047" s="5" t="s">
        <v>41</v>
      </c>
      <c r="D6047" s="5" t="s">
        <v>42</v>
      </c>
      <c r="E6047" s="5" t="s">
        <v>20</v>
      </c>
      <c r="F6047" s="9">
        <v>104</v>
      </c>
      <c r="G6047" s="9">
        <v>1206</v>
      </c>
      <c r="H6047" s="5" t="s">
        <v>21</v>
      </c>
      <c r="I6047" s="5" t="s">
        <v>13810</v>
      </c>
      <c r="J6047" s="12" t="str">
        <f>HYPERLINK("https://www.boe.es/gazeta/dias/1800/12/26/pdfs/GMD-1800-104.pdf#page=6","Abrir facsímil")</f>
        <v>Abrir facsímil</v>
      </c>
      <c r="K6047" s="15" t="s">
        <v>23</v>
      </c>
    </row>
    <row r="6048" spans="1:11" ht="42" customHeight="1">
      <c r="A6048" s="4" t="s">
        <v>13811</v>
      </c>
      <c r="B6048" s="5" t="s">
        <v>13812</v>
      </c>
      <c r="C6048" s="5" t="s">
        <v>18</v>
      </c>
      <c r="D6048" s="5" t="s">
        <v>19</v>
      </c>
      <c r="E6048" s="5" t="s">
        <v>31</v>
      </c>
      <c r="F6048" s="9">
        <v>20</v>
      </c>
      <c r="G6048" s="9">
        <v>192</v>
      </c>
      <c r="H6048" s="5" t="s">
        <v>21</v>
      </c>
      <c r="I6048" s="5" t="s">
        <v>13813</v>
      </c>
      <c r="J6048" s="12" t="str">
        <f>HYPERLINK("https://www.boe.es/gazeta/dias/1800/03/11/pdfs/GMD-1800-20.pdf#page=8","Abrir facsímil")</f>
        <v>Abrir facsímil</v>
      </c>
      <c r="K6048" s="15" t="s">
        <v>23</v>
      </c>
    </row>
    <row r="6049" spans="1:11" ht="42" customHeight="1">
      <c r="A6049" s="4" t="s">
        <v>13814</v>
      </c>
      <c r="B6049" s="5" t="s">
        <v>13815</v>
      </c>
      <c r="C6049" s="5" t="s">
        <v>18</v>
      </c>
      <c r="D6049" s="5" t="s">
        <v>19</v>
      </c>
      <c r="E6049" s="5" t="s">
        <v>618</v>
      </c>
      <c r="F6049" s="9">
        <v>1</v>
      </c>
      <c r="G6049" s="9">
        <v>4</v>
      </c>
      <c r="H6049" s="5" t="s">
        <v>21</v>
      </c>
      <c r="I6049" s="5" t="s">
        <v>13816</v>
      </c>
      <c r="J6049" s="12" t="str">
        <f>HYPERLINK("https://www.boe.es/gazeta/dias/1800/01/03/pdfs/GMD-1800-1.pdf#page=4","Abrir facsímil")</f>
        <v>Abrir facsímil</v>
      </c>
      <c r="K6049" s="15" t="s">
        <v>23</v>
      </c>
    </row>
    <row r="6050" spans="1:11" ht="42" customHeight="1">
      <c r="A6050" s="4" t="s">
        <v>13817</v>
      </c>
      <c r="B6050" s="5" t="s">
        <v>13818</v>
      </c>
      <c r="C6050" s="5" t="s">
        <v>41</v>
      </c>
      <c r="D6050" s="5" t="s">
        <v>42</v>
      </c>
      <c r="E6050" s="5" t="s">
        <v>158</v>
      </c>
      <c r="F6050" s="9">
        <v>25</v>
      </c>
      <c r="G6050" s="9">
        <v>251</v>
      </c>
      <c r="H6050" s="5" t="s">
        <v>21</v>
      </c>
      <c r="I6050" s="5" t="s">
        <v>13819</v>
      </c>
      <c r="J6050" s="12" t="str">
        <f>HYPERLINK("https://www.boe.es/gazeta/dias/1800/03/28/pdfs/GMD-1800-25.pdf#page=3","Abrir facsímil")</f>
        <v>Abrir facsímil</v>
      </c>
      <c r="K6050" s="15" t="s">
        <v>23</v>
      </c>
    </row>
    <row r="6051" spans="1:11" ht="42" customHeight="1">
      <c r="A6051" s="4" t="s">
        <v>13820</v>
      </c>
      <c r="B6051" s="5" t="s">
        <v>13821</v>
      </c>
      <c r="C6051" s="5" t="s">
        <v>54</v>
      </c>
      <c r="D6051" s="5" t="s">
        <v>55</v>
      </c>
      <c r="E6051" s="5" t="s">
        <v>139</v>
      </c>
      <c r="F6051" s="9">
        <v>2</v>
      </c>
      <c r="G6051" s="9">
        <v>15</v>
      </c>
      <c r="H6051" s="5" t="s">
        <v>21</v>
      </c>
      <c r="I6051" s="5" t="s">
        <v>13822</v>
      </c>
      <c r="J6051" s="12" t="str">
        <f>HYPERLINK("https://www.boe.es/gazeta/dias/1800/01/07/pdfs/GMD-1800-2.pdf#page=7","Abrir facsímil")</f>
        <v>Abrir facsímil</v>
      </c>
      <c r="K6051" s="15" t="s">
        <v>23</v>
      </c>
    </row>
    <row r="6052" spans="1:11" ht="42" customHeight="1">
      <c r="A6052" s="4" t="s">
        <v>13823</v>
      </c>
      <c r="B6052" s="5" t="s">
        <v>13824</v>
      </c>
      <c r="C6052" s="5" t="s">
        <v>18</v>
      </c>
      <c r="D6052" s="5" t="s">
        <v>19</v>
      </c>
      <c r="E6052" s="5" t="s">
        <v>461</v>
      </c>
      <c r="F6052" s="9">
        <v>18</v>
      </c>
      <c r="G6052" s="9">
        <v>170</v>
      </c>
      <c r="H6052" s="5" t="s">
        <v>21</v>
      </c>
      <c r="I6052" s="5" t="s">
        <v>13825</v>
      </c>
      <c r="J6052" s="12" t="str">
        <f>HYPERLINK("https://www.boe.es/datos/pdfs/BOE//1800/018/C00173-00176.pdf#page=6","Abrir facsímil")</f>
        <v>Abrir facsímil</v>
      </c>
      <c r="K6052" s="15" t="s">
        <v>23</v>
      </c>
    </row>
    <row r="6053" spans="1:11" ht="42" customHeight="1">
      <c r="A6053" s="4" t="s">
        <v>13823</v>
      </c>
      <c r="B6053" s="5" t="s">
        <v>13824</v>
      </c>
      <c r="C6053" s="5" t="s">
        <v>54</v>
      </c>
      <c r="D6053" s="5" t="s">
        <v>55</v>
      </c>
      <c r="E6053" s="5" t="s">
        <v>190</v>
      </c>
      <c r="F6053" s="9">
        <v>93</v>
      </c>
      <c r="G6053" s="9">
        <v>1068</v>
      </c>
      <c r="H6053" s="5" t="s">
        <v>21</v>
      </c>
      <c r="I6053" s="5" t="s">
        <v>13826</v>
      </c>
      <c r="J6053" s="12" t="str">
        <f>HYPERLINK("https://www.boe.es/gazeta/dias/1800/11/18/pdfs/GMD-1800-93.pdf#page=14","Abrir facsímil")</f>
        <v>Abrir facsímil</v>
      </c>
      <c r="K6053" s="15" t="s">
        <v>23</v>
      </c>
    </row>
    <row r="6054" spans="1:11" ht="42" customHeight="1">
      <c r="A6054" s="4" t="s">
        <v>13823</v>
      </c>
      <c r="B6054" s="5" t="s">
        <v>13824</v>
      </c>
      <c r="C6054" s="5" t="s">
        <v>54</v>
      </c>
      <c r="D6054" s="5" t="s">
        <v>55</v>
      </c>
      <c r="E6054" s="5" t="s">
        <v>203</v>
      </c>
      <c r="F6054" s="9">
        <v>94</v>
      </c>
      <c r="G6054" s="9">
        <v>1080</v>
      </c>
      <c r="H6054" s="5" t="s">
        <v>21</v>
      </c>
      <c r="I6054" s="5" t="s">
        <v>13827</v>
      </c>
      <c r="J6054" s="12" t="str">
        <f>HYPERLINK("https://www.boe.es/gazeta/dias/1800/11/21/pdfs/GMD-1800-94.pdf#page=10","Abrir facsímil")</f>
        <v>Abrir facsímil</v>
      </c>
      <c r="K6054" s="15" t="s">
        <v>23</v>
      </c>
    </row>
    <row r="6055" spans="1:11" ht="42" customHeight="1">
      <c r="A6055" s="4" t="s">
        <v>13828</v>
      </c>
      <c r="B6055" s="5" t="s">
        <v>13828</v>
      </c>
      <c r="C6055" s="5" t="s">
        <v>41</v>
      </c>
      <c r="D6055" s="5" t="s">
        <v>42</v>
      </c>
      <c r="E6055" s="5" t="s">
        <v>583</v>
      </c>
      <c r="F6055" s="9">
        <v>77</v>
      </c>
      <c r="G6055" s="9">
        <v>873</v>
      </c>
      <c r="H6055" s="5" t="s">
        <v>21</v>
      </c>
      <c r="I6055" s="5" t="s">
        <v>13829</v>
      </c>
      <c r="J6055" s="12" t="str">
        <f>HYPERLINK("https://www.boe.es/gazeta/dias/1800/09/23/pdfs/GMD-1800-77.pdf#page=3","Abrir facsímil")</f>
        <v>Abrir facsímil</v>
      </c>
      <c r="K6055" s="15" t="s">
        <v>23</v>
      </c>
    </row>
    <row r="6056" spans="1:11" ht="42" customHeight="1">
      <c r="A6056" s="4" t="s">
        <v>13830</v>
      </c>
      <c r="B6056" s="5" t="s">
        <v>13831</v>
      </c>
      <c r="C6056" s="5" t="s">
        <v>18</v>
      </c>
      <c r="D6056" s="5" t="s">
        <v>19</v>
      </c>
      <c r="E6056" s="5" t="s">
        <v>135</v>
      </c>
      <c r="F6056" s="9">
        <v>73</v>
      </c>
      <c r="G6056" s="9">
        <v>815</v>
      </c>
      <c r="H6056" s="5" t="s">
        <v>21</v>
      </c>
      <c r="I6056" s="5" t="s">
        <v>13832</v>
      </c>
      <c r="J6056" s="12" t="str">
        <f>HYPERLINK("https://www.boe.es/gazeta/dias/1800/09/09/pdfs/GMD-1800-73.pdf#page=9","Abrir facsímil")</f>
        <v>Abrir facsímil</v>
      </c>
      <c r="K6056" s="15" t="s">
        <v>23</v>
      </c>
    </row>
    <row r="6057" spans="1:11" ht="42" customHeight="1">
      <c r="A6057" s="4" t="s">
        <v>13833</v>
      </c>
      <c r="B6057" s="5" t="s">
        <v>13834</v>
      </c>
      <c r="C6057" s="5" t="s">
        <v>25</v>
      </c>
      <c r="D6057" s="5" t="s">
        <v>26</v>
      </c>
      <c r="E6057" s="5" t="s">
        <v>154</v>
      </c>
      <c r="F6057" s="9">
        <v>61</v>
      </c>
      <c r="G6057" s="9">
        <v>697</v>
      </c>
      <c r="H6057" s="5" t="s">
        <v>21</v>
      </c>
      <c r="I6057" s="5" t="s">
        <v>13835</v>
      </c>
      <c r="J6057" s="12" t="str">
        <f>HYPERLINK("https://www.boe.es/gazeta/dias/1800/08/01/pdfs/GMD-1800-61.pdf#page=9","Abrir facsímil")</f>
        <v>Abrir facsímil</v>
      </c>
      <c r="K6057" s="15" t="s">
        <v>23</v>
      </c>
    </row>
    <row r="6058" spans="1:11" ht="42" customHeight="1">
      <c r="A6058" s="4" t="s">
        <v>13836</v>
      </c>
      <c r="B6058" s="5" t="s">
        <v>13837</v>
      </c>
      <c r="C6058" s="5" t="s">
        <v>41</v>
      </c>
      <c r="D6058" s="5" t="s">
        <v>42</v>
      </c>
      <c r="E6058" s="5" t="s">
        <v>48</v>
      </c>
      <c r="F6058" s="9">
        <v>66</v>
      </c>
      <c r="G6058" s="9">
        <v>741</v>
      </c>
      <c r="H6058" s="5" t="s">
        <v>21</v>
      </c>
      <c r="I6058" s="5" t="s">
        <v>13838</v>
      </c>
      <c r="J6058" s="12" t="str">
        <f>HYPERLINK("https://www.boe.es/gazeta/dias/1800/08/19/pdfs/GMD-1800-66.pdf#page=5","Abrir facsímil")</f>
        <v>Abrir facsímil</v>
      </c>
      <c r="K6058" s="15" t="s">
        <v>23</v>
      </c>
    </row>
    <row r="6059" spans="1:11" ht="42" customHeight="1">
      <c r="A6059" s="4" t="s">
        <v>13839</v>
      </c>
      <c r="B6059" s="5" t="s">
        <v>13839</v>
      </c>
      <c r="C6059" s="5" t="s">
        <v>41</v>
      </c>
      <c r="D6059" s="5" t="s">
        <v>42</v>
      </c>
      <c r="E6059" s="5" t="s">
        <v>346</v>
      </c>
      <c r="F6059" s="9">
        <v>24</v>
      </c>
      <c r="G6059" s="9">
        <v>241</v>
      </c>
      <c r="H6059" s="5" t="s">
        <v>21</v>
      </c>
      <c r="I6059" s="5" t="s">
        <v>13840</v>
      </c>
      <c r="J6059" s="12" t="str">
        <f>HYPERLINK("https://www.boe.es/gazeta/dias/1800/03/25/pdfs/GMD-1800-24.pdf#page=5","Abrir facsímil")</f>
        <v>Abrir facsímil</v>
      </c>
      <c r="K6059" s="15" t="s">
        <v>23</v>
      </c>
    </row>
    <row r="6060" spans="1:11" ht="42" customHeight="1">
      <c r="A6060" s="4" t="s">
        <v>13839</v>
      </c>
      <c r="B6060" s="5" t="s">
        <v>13839</v>
      </c>
      <c r="C6060" s="5" t="s">
        <v>18</v>
      </c>
      <c r="D6060" s="5" t="s">
        <v>19</v>
      </c>
      <c r="E6060" s="5" t="s">
        <v>203</v>
      </c>
      <c r="F6060" s="9">
        <v>94</v>
      </c>
      <c r="G6060" s="9">
        <v>1076</v>
      </c>
      <c r="H6060" s="5" t="s">
        <v>21</v>
      </c>
      <c r="I6060" s="5" t="s">
        <v>13841</v>
      </c>
      <c r="J6060" s="12" t="str">
        <f>HYPERLINK("https://www.boe.es/gazeta/dias/1800/11/21/pdfs/GMD-1800-94.pdf#page=6","Abrir facsímil")</f>
        <v>Abrir facsímil</v>
      </c>
      <c r="K6060" s="15" t="s">
        <v>23</v>
      </c>
    </row>
    <row r="6061" spans="1:11" ht="42" customHeight="1">
      <c r="A6061" s="4" t="s">
        <v>13842</v>
      </c>
      <c r="B6061" s="5" t="s">
        <v>13842</v>
      </c>
      <c r="C6061" s="5" t="s">
        <v>41</v>
      </c>
      <c r="D6061" s="5" t="s">
        <v>42</v>
      </c>
      <c r="E6061" s="5" t="s">
        <v>154</v>
      </c>
      <c r="F6061" s="9">
        <v>61</v>
      </c>
      <c r="G6061" s="9">
        <v>691</v>
      </c>
      <c r="H6061" s="5" t="s">
        <v>21</v>
      </c>
      <c r="I6061" s="5" t="s">
        <v>13843</v>
      </c>
      <c r="J6061" s="12" t="str">
        <f>HYPERLINK("https://www.boe.es/gazeta/dias/1800/08/01/pdfs/GMD-1800-61.pdf#page=3","Abrir facsímil")</f>
        <v>Abrir facsímil</v>
      </c>
      <c r="K6061" s="15" t="s">
        <v>23</v>
      </c>
    </row>
    <row r="6062" spans="1:11" ht="42" customHeight="1">
      <c r="A6062" s="4" t="s">
        <v>13844</v>
      </c>
      <c r="B6062" s="5" t="s">
        <v>13844</v>
      </c>
      <c r="C6062" s="5" t="s">
        <v>18</v>
      </c>
      <c r="D6062" s="5" t="s">
        <v>19</v>
      </c>
      <c r="E6062" s="5" t="s">
        <v>275</v>
      </c>
      <c r="F6062" s="9">
        <v>60</v>
      </c>
      <c r="G6062" s="9">
        <v>682</v>
      </c>
      <c r="H6062" s="5" t="s">
        <v>21</v>
      </c>
      <c r="I6062" s="5" t="s">
        <v>13845</v>
      </c>
      <c r="J6062" s="12" t="str">
        <f>HYPERLINK("https://www.boe.es/gazeta/dias/1800/07/29/pdfs/GMD-1800-60.pdf#page=2","Abrir facsímil")</f>
        <v>Abrir facsímil</v>
      </c>
      <c r="K6062" s="15" t="s">
        <v>23</v>
      </c>
    </row>
    <row r="6063" spans="1:11" ht="42" customHeight="1">
      <c r="A6063" s="4" t="s">
        <v>13846</v>
      </c>
      <c r="B6063" s="5" t="s">
        <v>13847</v>
      </c>
      <c r="C6063" s="5" t="s">
        <v>1035</v>
      </c>
      <c r="D6063" s="5" t="s">
        <v>1036</v>
      </c>
      <c r="E6063" s="5" t="s">
        <v>50</v>
      </c>
      <c r="F6063" s="9">
        <v>81</v>
      </c>
      <c r="G6063" s="9">
        <v>942</v>
      </c>
      <c r="H6063" s="5" t="s">
        <v>21</v>
      </c>
      <c r="I6063" s="5" t="s">
        <v>13848</v>
      </c>
      <c r="J6063" s="12" t="str">
        <f>HYPERLINK("https://www.boe.es/gazeta/dias/1800/10/07/pdfs/GMD-C-1800-81.pdf#page=24","Abrir facsímil")</f>
        <v>Abrir facsímil</v>
      </c>
      <c r="K6063" s="15" t="s">
        <v>23</v>
      </c>
    </row>
    <row r="6064" spans="1:11" ht="42" customHeight="1">
      <c r="A6064" s="4" t="s">
        <v>13846</v>
      </c>
      <c r="B6064" s="5" t="s">
        <v>13847</v>
      </c>
      <c r="C6064" s="5" t="s">
        <v>2123</v>
      </c>
      <c r="D6064" s="5" t="s">
        <v>2124</v>
      </c>
      <c r="E6064" s="5" t="s">
        <v>58</v>
      </c>
      <c r="F6064" s="9">
        <v>92</v>
      </c>
      <c r="G6064" s="9">
        <v>1055</v>
      </c>
      <c r="H6064" s="5" t="s">
        <v>21</v>
      </c>
      <c r="I6064" s="5" t="s">
        <v>13849</v>
      </c>
      <c r="J6064" s="12" t="str">
        <f>HYPERLINK("https://www.boe.es/gazeta/dias/1800/11/14/pdfs/GMD-C-1800-92.pdf#page=1","Abrir facsímil")</f>
        <v>Abrir facsímil</v>
      </c>
      <c r="K6064" s="15" t="s">
        <v>23</v>
      </c>
    </row>
    <row r="6065" spans="1:11" ht="42" customHeight="1">
      <c r="A6065" s="4" t="s">
        <v>13846</v>
      </c>
      <c r="B6065" s="5" t="s">
        <v>13847</v>
      </c>
      <c r="C6065" s="5" t="s">
        <v>25</v>
      </c>
      <c r="D6065" s="5" t="s">
        <v>26</v>
      </c>
      <c r="E6065" s="5" t="s">
        <v>190</v>
      </c>
      <c r="F6065" s="9">
        <v>93</v>
      </c>
      <c r="G6065" s="9">
        <v>1068</v>
      </c>
      <c r="H6065" s="5" t="s">
        <v>21</v>
      </c>
      <c r="I6065" s="5" t="s">
        <v>13850</v>
      </c>
      <c r="J6065" s="12" t="str">
        <f>HYPERLINK("https://www.boe.es/gazeta/dias/1800/11/18/pdfs/GMD-1800-93.pdf#page=14","Abrir facsímil")</f>
        <v>Abrir facsímil</v>
      </c>
      <c r="K6065" s="15" t="s">
        <v>23</v>
      </c>
    </row>
    <row r="6066" spans="1:11" ht="42" customHeight="1">
      <c r="A6066" s="4" t="s">
        <v>13846</v>
      </c>
      <c r="B6066" s="5" t="s">
        <v>13847</v>
      </c>
      <c r="C6066" s="5" t="s">
        <v>25</v>
      </c>
      <c r="D6066" s="5" t="s">
        <v>26</v>
      </c>
      <c r="E6066" s="5" t="s">
        <v>203</v>
      </c>
      <c r="F6066" s="9">
        <v>94</v>
      </c>
      <c r="G6066" s="9">
        <v>1079</v>
      </c>
      <c r="H6066" s="5" t="s">
        <v>21</v>
      </c>
      <c r="I6066" s="5" t="s">
        <v>13851</v>
      </c>
      <c r="J6066" s="12" t="str">
        <f>HYPERLINK("https://www.boe.es/gazeta/dias/1800/11/21/pdfs/GMD-1800-94.pdf#page=9","Abrir facsímil")</f>
        <v>Abrir facsímil</v>
      </c>
      <c r="K6066" s="15" t="s">
        <v>23</v>
      </c>
    </row>
    <row r="6067" spans="1:11" ht="42" customHeight="1">
      <c r="A6067" s="4" t="s">
        <v>13852</v>
      </c>
      <c r="B6067" s="5" t="s">
        <v>13852</v>
      </c>
      <c r="C6067" s="5" t="s">
        <v>41</v>
      </c>
      <c r="D6067" s="5" t="s">
        <v>42</v>
      </c>
      <c r="E6067" s="5" t="s">
        <v>135</v>
      </c>
      <c r="F6067" s="9">
        <v>73</v>
      </c>
      <c r="G6067" s="9">
        <v>812</v>
      </c>
      <c r="H6067" s="5" t="s">
        <v>21</v>
      </c>
      <c r="I6067" s="5" t="s">
        <v>13853</v>
      </c>
      <c r="J6067" s="12" t="str">
        <f>HYPERLINK("https://www.boe.es/gazeta/dias/1800/09/09/pdfs/GMD-1800-73.pdf#page=6","Abrir facsímil")</f>
        <v>Abrir facsímil</v>
      </c>
      <c r="K6067" s="15" t="s">
        <v>23</v>
      </c>
    </row>
    <row r="6068" spans="1:11" ht="42" customHeight="1">
      <c r="A6068" s="4" t="s">
        <v>13854</v>
      </c>
      <c r="B6068" s="5" t="s">
        <v>13855</v>
      </c>
      <c r="C6068" s="5" t="s">
        <v>171</v>
      </c>
      <c r="D6068" s="5" t="s">
        <v>172</v>
      </c>
      <c r="E6068" s="5" t="s">
        <v>214</v>
      </c>
      <c r="F6068" s="9">
        <v>41</v>
      </c>
      <c r="G6068" s="9">
        <v>425</v>
      </c>
      <c r="H6068" s="5" t="s">
        <v>21</v>
      </c>
      <c r="I6068" s="5" t="s">
        <v>13856</v>
      </c>
      <c r="J6068" s="12" t="str">
        <f>HYPERLINK("https://www.boe.es/gazeta/dias/1800/05/23/pdfs/GMD-C-1800-41.pdf#page=1","Abrir facsímil")</f>
        <v>Abrir facsímil</v>
      </c>
      <c r="K6068" s="15" t="s">
        <v>23</v>
      </c>
    </row>
    <row r="6069" spans="1:11" ht="42" customHeight="1">
      <c r="A6069" s="4" t="s">
        <v>13857</v>
      </c>
      <c r="B6069" s="5" t="s">
        <v>13858</v>
      </c>
      <c r="C6069" s="5" t="s">
        <v>18</v>
      </c>
      <c r="D6069" s="5" t="s">
        <v>19</v>
      </c>
      <c r="E6069" s="5" t="s">
        <v>356</v>
      </c>
      <c r="F6069" s="9">
        <v>31</v>
      </c>
      <c r="G6069" s="9">
        <v>315</v>
      </c>
      <c r="H6069" s="5" t="s">
        <v>21</v>
      </c>
      <c r="I6069" s="5" t="s">
        <v>13859</v>
      </c>
      <c r="J6069" s="12" t="str">
        <f>HYPERLINK("https://www.boe.es/gazeta/dias/1800/04/18/pdfs/GMD-1800-31.pdf#page=7","Abrir facsímil")</f>
        <v>Abrir facsímil</v>
      </c>
      <c r="K6069" s="15" t="s">
        <v>23</v>
      </c>
    </row>
    <row r="6070" spans="1:11" ht="42" customHeight="1">
      <c r="A6070" s="4" t="s">
        <v>13860</v>
      </c>
      <c r="B6070" s="5" t="s">
        <v>13861</v>
      </c>
      <c r="C6070" s="5" t="s">
        <v>18</v>
      </c>
      <c r="D6070" s="5" t="s">
        <v>19</v>
      </c>
      <c r="E6070" s="5" t="s">
        <v>60</v>
      </c>
      <c r="F6070" s="9">
        <v>105</v>
      </c>
      <c r="G6070" s="9">
        <v>1226</v>
      </c>
      <c r="H6070" s="5" t="s">
        <v>21</v>
      </c>
      <c r="I6070" s="5" t="s">
        <v>13862</v>
      </c>
      <c r="J6070" s="12" t="str">
        <f>HYPERLINK("https://www.boe.es/gazeta/dias/1800/12/30/pdfs/GMD-1800-105.pdf#page=10","Abrir facsímil")</f>
        <v>Abrir facsímil</v>
      </c>
      <c r="K6070" s="15" t="s">
        <v>23</v>
      </c>
    </row>
    <row r="6071" spans="1:11" ht="42" customHeight="1">
      <c r="A6071" s="4" t="s">
        <v>13863</v>
      </c>
      <c r="B6071" s="5" t="s">
        <v>13864</v>
      </c>
      <c r="C6071" s="5" t="s">
        <v>207</v>
      </c>
      <c r="D6071" s="5" t="s">
        <v>55</v>
      </c>
      <c r="E6071" s="5" t="s">
        <v>545</v>
      </c>
      <c r="F6071" s="9">
        <v>14</v>
      </c>
      <c r="G6071" s="9">
        <v>136</v>
      </c>
      <c r="H6071" s="5" t="s">
        <v>21</v>
      </c>
      <c r="I6071" s="5" t="s">
        <v>13865</v>
      </c>
      <c r="J6071" s="12" t="str">
        <f>HYPERLINK("https://www.boe.es/gazeta/dias/1800/02/18/pdfs/GMD-1800-14.pdf#page=8","Abrir facsímil")</f>
        <v>Abrir facsímil</v>
      </c>
      <c r="K6071" s="15" t="s">
        <v>23</v>
      </c>
    </row>
    <row r="6072" spans="1:11" ht="42" customHeight="1">
      <c r="A6072" s="4" t="s">
        <v>13866</v>
      </c>
      <c r="B6072" s="5" t="s">
        <v>13867</v>
      </c>
      <c r="C6072" s="5" t="s">
        <v>18</v>
      </c>
      <c r="D6072" s="5" t="s">
        <v>19</v>
      </c>
      <c r="E6072" s="5" t="s">
        <v>56</v>
      </c>
      <c r="F6072" s="9">
        <v>90</v>
      </c>
      <c r="G6072" s="9">
        <v>1056</v>
      </c>
      <c r="H6072" s="5" t="s">
        <v>21</v>
      </c>
      <c r="I6072" s="5" t="s">
        <v>13868</v>
      </c>
      <c r="J6072" s="12" t="str">
        <f>HYPERLINK("https://www.boe.es/gazeta/dias/1800/11/07/pdfs/GMD-1800-90.pdf#page=10","Abrir facsímil")</f>
        <v>Abrir facsímil</v>
      </c>
      <c r="K6072" s="15" t="s">
        <v>23</v>
      </c>
    </row>
    <row r="6073" spans="1:11" ht="42" customHeight="1">
      <c r="A6073" s="4" t="s">
        <v>13869</v>
      </c>
      <c r="B6073" s="5" t="s">
        <v>13870</v>
      </c>
      <c r="C6073" s="5" t="s">
        <v>207</v>
      </c>
      <c r="D6073" s="5" t="s">
        <v>55</v>
      </c>
      <c r="E6073" s="5" t="s">
        <v>90</v>
      </c>
      <c r="F6073" s="9">
        <v>58</v>
      </c>
      <c r="G6073" s="9">
        <v>656</v>
      </c>
      <c r="H6073" s="5" t="s">
        <v>21</v>
      </c>
      <c r="I6073" s="5" t="s">
        <v>13871</v>
      </c>
      <c r="J6073" s="12" t="str">
        <f>HYPERLINK("https://www.boe.es/gazeta/dias/1800/07/22/pdfs/GMD-1800-58.pdf#page=4","Abrir facsímil")</f>
        <v>Abrir facsímil</v>
      </c>
      <c r="K6073" s="15" t="s">
        <v>23</v>
      </c>
    </row>
    <row r="6074" spans="1:11" ht="42" customHeight="1">
      <c r="A6074" s="4" t="s">
        <v>13872</v>
      </c>
      <c r="B6074" s="5" t="s">
        <v>13873</v>
      </c>
      <c r="C6074" s="5" t="s">
        <v>18</v>
      </c>
      <c r="D6074" s="5" t="s">
        <v>19</v>
      </c>
      <c r="E6074" s="5" t="s">
        <v>310</v>
      </c>
      <c r="F6074" s="9">
        <v>56</v>
      </c>
      <c r="G6074" s="9">
        <v>633</v>
      </c>
      <c r="H6074" s="5" t="s">
        <v>21</v>
      </c>
      <c r="I6074" s="5" t="s">
        <v>13874</v>
      </c>
      <c r="J6074" s="12" t="str">
        <f>HYPERLINK("https://www.boe.es/gazeta/dias/1800/07/15/pdfs/GMD-1800-56.pdf#page=9","Abrir facsímil")</f>
        <v>Abrir facsímil</v>
      </c>
      <c r="K6074" s="15" t="s">
        <v>23</v>
      </c>
    </row>
    <row r="6075" spans="1:11" ht="42" customHeight="1">
      <c r="A6075" s="4" t="s">
        <v>13875</v>
      </c>
      <c r="B6075" s="5" t="s">
        <v>13876</v>
      </c>
      <c r="C6075" s="5" t="s">
        <v>25</v>
      </c>
      <c r="D6075" s="5" t="s">
        <v>26</v>
      </c>
      <c r="E6075" s="5" t="s">
        <v>5375</v>
      </c>
      <c r="F6075" s="9">
        <v>70</v>
      </c>
      <c r="G6075" s="9">
        <v>779</v>
      </c>
      <c r="H6075" s="5" t="s">
        <v>21</v>
      </c>
      <c r="I6075" s="5" t="s">
        <v>13877</v>
      </c>
      <c r="J6075" s="12" t="str">
        <f>HYPERLINK("https://www.boe.es/gazeta/dias/1800/08/31/pdfs/GMD-1800-70E.pdf#page=3","Abrir facsímil")</f>
        <v>Abrir facsímil</v>
      </c>
      <c r="K6075" s="15" t="s">
        <v>23</v>
      </c>
    </row>
    <row r="6076" spans="1:11" ht="42" customHeight="1">
      <c r="A6076" s="4" t="s">
        <v>13878</v>
      </c>
      <c r="B6076" s="5" t="s">
        <v>13879</v>
      </c>
      <c r="C6076" s="5" t="s">
        <v>18</v>
      </c>
      <c r="D6076" s="5" t="s">
        <v>19</v>
      </c>
      <c r="E6076" s="5" t="s">
        <v>583</v>
      </c>
      <c r="F6076" s="9">
        <v>77</v>
      </c>
      <c r="G6076" s="9">
        <v>879</v>
      </c>
      <c r="H6076" s="5" t="s">
        <v>21</v>
      </c>
      <c r="I6076" s="5" t="s">
        <v>13880</v>
      </c>
      <c r="J6076" s="12" t="str">
        <f>HYPERLINK("https://www.boe.es/gazeta/dias/1800/09/23/pdfs/GMD-1800-77.pdf#page=9","Abrir facsímil")</f>
        <v>Abrir facsímil</v>
      </c>
      <c r="K6076" s="15" t="s">
        <v>23</v>
      </c>
    </row>
    <row r="6077" spans="1:11" ht="42" customHeight="1">
      <c r="A6077" s="4" t="s">
        <v>13881</v>
      </c>
      <c r="B6077" s="5" t="s">
        <v>13882</v>
      </c>
      <c r="C6077" s="5" t="s">
        <v>18</v>
      </c>
      <c r="D6077" s="5" t="s">
        <v>19</v>
      </c>
      <c r="E6077" s="5" t="s">
        <v>1294</v>
      </c>
      <c r="F6077" s="9">
        <v>59</v>
      </c>
      <c r="G6077" s="9">
        <v>678</v>
      </c>
      <c r="H6077" s="5" t="s">
        <v>21</v>
      </c>
      <c r="I6077" s="5" t="s">
        <v>13883</v>
      </c>
      <c r="J6077" s="12" t="str">
        <f>HYPERLINK("https://www.boe.es/gazeta/dias/1800/07/25/pdfs/GMD-1800-59.pdf#page=10","Abrir facsímil")</f>
        <v>Abrir facsímil</v>
      </c>
      <c r="K6077" s="15" t="s">
        <v>23</v>
      </c>
    </row>
    <row r="6078" spans="1:11" ht="42" customHeight="1">
      <c r="A6078" s="4" t="s">
        <v>13884</v>
      </c>
      <c r="B6078" s="5" t="s">
        <v>13885</v>
      </c>
      <c r="C6078" s="5" t="s">
        <v>207</v>
      </c>
      <c r="D6078" s="5" t="s">
        <v>55</v>
      </c>
      <c r="E6078" s="5" t="s">
        <v>184</v>
      </c>
      <c r="F6078" s="9">
        <v>82</v>
      </c>
      <c r="G6078" s="9">
        <v>950</v>
      </c>
      <c r="H6078" s="5" t="s">
        <v>21</v>
      </c>
      <c r="I6078" s="5" t="s">
        <v>13886</v>
      </c>
      <c r="J6078" s="12" t="str">
        <f>HYPERLINK("https://www.boe.es/gazeta/dias/1800/10/10/pdfs/GMD-1800-82.pdf#page=8","Abrir facsímil")</f>
        <v>Abrir facsímil</v>
      </c>
      <c r="K6078" s="15" t="s">
        <v>23</v>
      </c>
    </row>
    <row r="6079" spans="1:11" ht="42" customHeight="1">
      <c r="A6079" s="4" t="s">
        <v>13887</v>
      </c>
      <c r="B6079" s="5" t="s">
        <v>13888</v>
      </c>
      <c r="C6079" s="5" t="s">
        <v>25</v>
      </c>
      <c r="D6079" s="5" t="s">
        <v>26</v>
      </c>
      <c r="E6079" s="5" t="s">
        <v>45</v>
      </c>
      <c r="F6079" s="9">
        <v>47</v>
      </c>
      <c r="G6079" s="9">
        <v>502</v>
      </c>
      <c r="H6079" s="5" t="s">
        <v>21</v>
      </c>
      <c r="I6079" s="5" t="s">
        <v>13889</v>
      </c>
      <c r="J6079" s="12" t="str">
        <f>HYPERLINK("https://www.boe.es/gazeta/dias/1800/06/13/pdfs/GMD-1800-47.pdf#page=10","Abrir facsímil")</f>
        <v>Abrir facsímil</v>
      </c>
      <c r="K6079" s="15" t="s">
        <v>23</v>
      </c>
    </row>
    <row r="6080" spans="1:11" ht="42" customHeight="1">
      <c r="A6080" s="4" t="s">
        <v>13890</v>
      </c>
      <c r="B6080" s="5" t="s">
        <v>13890</v>
      </c>
      <c r="C6080" s="5" t="s">
        <v>25</v>
      </c>
      <c r="D6080" s="5" t="s">
        <v>26</v>
      </c>
      <c r="E6080" s="5" t="s">
        <v>43</v>
      </c>
      <c r="F6080" s="9">
        <v>46</v>
      </c>
      <c r="G6080" s="9">
        <v>491</v>
      </c>
      <c r="H6080" s="5" t="s">
        <v>21</v>
      </c>
      <c r="I6080" s="5" t="s">
        <v>13891</v>
      </c>
      <c r="J6080" s="12" t="str">
        <f>HYPERLINK("https://www.boe.es/gazeta/dias/1800/06/10/pdfs/GMD-1800-46.pdf#page=15","Abrir facsímil")</f>
        <v>Abrir facsímil</v>
      </c>
      <c r="K6080" s="15" t="s">
        <v>23</v>
      </c>
    </row>
    <row r="6081" spans="1:11" ht="42" customHeight="1">
      <c r="A6081" s="4" t="s">
        <v>13892</v>
      </c>
      <c r="B6081" s="5" t="s">
        <v>13893</v>
      </c>
      <c r="C6081" s="5" t="s">
        <v>171</v>
      </c>
      <c r="D6081" s="5" t="s">
        <v>172</v>
      </c>
      <c r="E6081" s="5" t="s">
        <v>214</v>
      </c>
      <c r="F6081" s="9">
        <v>41</v>
      </c>
      <c r="G6081" s="9">
        <v>427</v>
      </c>
      <c r="H6081" s="5" t="s">
        <v>21</v>
      </c>
      <c r="I6081" s="5" t="s">
        <v>13894</v>
      </c>
      <c r="J6081" s="12" t="str">
        <f>HYPERLINK("https://www.boe.es/gazeta/dias/1800/05/23/pdfs/GMD-C-1800-41.pdf#page=3","Abrir facsímil")</f>
        <v>Abrir facsímil</v>
      </c>
      <c r="K6081" s="15" t="s">
        <v>23</v>
      </c>
    </row>
    <row r="6082" spans="1:11" ht="42" customHeight="1">
      <c r="A6082" s="4" t="s">
        <v>13895</v>
      </c>
      <c r="B6082" s="5" t="s">
        <v>13896</v>
      </c>
      <c r="C6082" s="5" t="s">
        <v>41</v>
      </c>
      <c r="D6082" s="5" t="s">
        <v>42</v>
      </c>
      <c r="E6082" s="5" t="s">
        <v>673</v>
      </c>
      <c r="F6082" s="9">
        <v>89</v>
      </c>
      <c r="G6082" s="9">
        <v>1039</v>
      </c>
      <c r="H6082" s="5" t="s">
        <v>21</v>
      </c>
      <c r="I6082" s="5" t="s">
        <v>13897</v>
      </c>
      <c r="J6082" s="12" t="str">
        <f>HYPERLINK("https://www.boe.es/gazeta/dias/1800/11/04/pdfs/GMD-1800-89.pdf#page=5","Abrir facsímil")</f>
        <v>Abrir facsímil</v>
      </c>
      <c r="K6082" s="15" t="s">
        <v>23</v>
      </c>
    </row>
    <row r="6083" spans="1:11" ht="42" customHeight="1">
      <c r="A6083" s="4" t="s">
        <v>13895</v>
      </c>
      <c r="B6083" s="5" t="s">
        <v>13896</v>
      </c>
      <c r="C6083" s="5" t="s">
        <v>18</v>
      </c>
      <c r="D6083" s="5" t="s">
        <v>19</v>
      </c>
      <c r="E6083" s="5" t="s">
        <v>576</v>
      </c>
      <c r="F6083" s="9">
        <v>91</v>
      </c>
      <c r="G6083" s="9">
        <v>1065</v>
      </c>
      <c r="H6083" s="5" t="s">
        <v>21</v>
      </c>
      <c r="I6083" s="5" t="s">
        <v>13898</v>
      </c>
      <c r="J6083" s="12" t="str">
        <f>HYPERLINK("https://www.boe.es/gazeta/dias/1800/11/11/pdfs/GMD-1800-91.pdf#page=7","Abrir facsímil")</f>
        <v>Abrir facsímil</v>
      </c>
      <c r="K6083" s="15" t="s">
        <v>23</v>
      </c>
    </row>
    <row r="6084" spans="1:11" ht="42" customHeight="1">
      <c r="A6084" s="4" t="s">
        <v>13895</v>
      </c>
      <c r="B6084" s="5" t="s">
        <v>13896</v>
      </c>
      <c r="C6084" s="5" t="s">
        <v>41</v>
      </c>
      <c r="D6084" s="5" t="s">
        <v>42</v>
      </c>
      <c r="E6084" s="5" t="s">
        <v>190</v>
      </c>
      <c r="F6084" s="9">
        <v>93</v>
      </c>
      <c r="G6084" s="9">
        <v>1064</v>
      </c>
      <c r="H6084" s="5" t="s">
        <v>21</v>
      </c>
      <c r="I6084" s="5" t="s">
        <v>13899</v>
      </c>
      <c r="J6084" s="12" t="str">
        <f>HYPERLINK("https://www.boe.es/gazeta/dias/1800/11/18/pdfs/GMD-1800-93.pdf#page=10","Abrir facsímil")</f>
        <v>Abrir facsímil</v>
      </c>
      <c r="K6084" s="15" t="s">
        <v>23</v>
      </c>
    </row>
    <row r="6085" spans="1:11" ht="42" customHeight="1">
      <c r="A6085" s="4" t="s">
        <v>13895</v>
      </c>
      <c r="B6085" s="5" t="s">
        <v>13896</v>
      </c>
      <c r="C6085" s="5" t="s">
        <v>41</v>
      </c>
      <c r="D6085" s="5" t="s">
        <v>42</v>
      </c>
      <c r="E6085" s="5" t="s">
        <v>534</v>
      </c>
      <c r="F6085" s="9">
        <v>100</v>
      </c>
      <c r="G6085" s="9">
        <v>1155</v>
      </c>
      <c r="H6085" s="5" t="s">
        <v>21</v>
      </c>
      <c r="I6085" s="5" t="s">
        <v>13900</v>
      </c>
      <c r="J6085" s="12" t="str">
        <f>HYPERLINK("https://www.boe.es/gazeta/dias/1800/12/12/pdfs/GMD-1800-100.pdf#page=7","Abrir facsímil")</f>
        <v>Abrir facsímil</v>
      </c>
      <c r="K6085" s="15" t="s">
        <v>23</v>
      </c>
    </row>
    <row r="6086" spans="1:11" ht="42" customHeight="1">
      <c r="A6086" s="4" t="s">
        <v>13895</v>
      </c>
      <c r="B6086" s="5" t="s">
        <v>13896</v>
      </c>
      <c r="C6086" s="5" t="s">
        <v>41</v>
      </c>
      <c r="D6086" s="5" t="s">
        <v>42</v>
      </c>
      <c r="E6086" s="5" t="s">
        <v>402</v>
      </c>
      <c r="F6086" s="9">
        <v>101</v>
      </c>
      <c r="G6086" s="9">
        <v>1171</v>
      </c>
      <c r="H6086" s="5" t="s">
        <v>21</v>
      </c>
      <c r="I6086" s="5" t="s">
        <v>13901</v>
      </c>
      <c r="J6086" s="12" t="str">
        <f>HYPERLINK("https://www.boe.es/gazeta/dias/1800/12/16/pdfs/GMD-1800-101.pdf#page=7","Abrir facsímil")</f>
        <v>Abrir facsímil</v>
      </c>
      <c r="K6086" s="15" t="s">
        <v>23</v>
      </c>
    </row>
    <row r="6087" spans="1:11" ht="42" customHeight="1">
      <c r="A6087" s="4" t="s">
        <v>13902</v>
      </c>
      <c r="B6087" s="5" t="s">
        <v>13903</v>
      </c>
      <c r="C6087" s="5" t="s">
        <v>207</v>
      </c>
      <c r="D6087" s="5" t="s">
        <v>55</v>
      </c>
      <c r="E6087" s="5" t="s">
        <v>131</v>
      </c>
      <c r="F6087" s="9">
        <v>8</v>
      </c>
      <c r="G6087" s="9">
        <v>75</v>
      </c>
      <c r="H6087" s="5" t="s">
        <v>21</v>
      </c>
      <c r="I6087" s="5" t="s">
        <v>13904</v>
      </c>
      <c r="J6087" s="12" t="str">
        <f>HYPERLINK("https://www.boe.es/gazeta/dias/1800/01/28/pdfs/GMD-1800-8.pdf#page=7","Abrir facsímil")</f>
        <v>Abrir facsímil</v>
      </c>
      <c r="K6087" s="15" t="s">
        <v>23</v>
      </c>
    </row>
    <row r="6088" spans="1:11" ht="42" customHeight="1">
      <c r="A6088" s="4" t="s">
        <v>13905</v>
      </c>
      <c r="B6088" s="5" t="s">
        <v>13906</v>
      </c>
      <c r="C6088" s="5" t="s">
        <v>18</v>
      </c>
      <c r="D6088" s="5" t="s">
        <v>19</v>
      </c>
      <c r="E6088" s="5" t="s">
        <v>39</v>
      </c>
      <c r="F6088" s="9">
        <v>43</v>
      </c>
      <c r="G6088" s="9">
        <v>449</v>
      </c>
      <c r="H6088" s="5" t="s">
        <v>21</v>
      </c>
      <c r="I6088" s="5" t="s">
        <v>13907</v>
      </c>
      <c r="J6088" s="12" t="str">
        <f>HYPERLINK("https://www.boe.es/gazeta/dias/1800/05/30/pdfs/GMD-1800-43.pdf#page=9","Abrir facsímil")</f>
        <v>Abrir facsímil</v>
      </c>
      <c r="K6088" s="15" t="s">
        <v>23</v>
      </c>
    </row>
    <row r="6089" spans="1:11" ht="42" customHeight="1">
      <c r="A6089" s="4" t="s">
        <v>13908</v>
      </c>
      <c r="B6089" s="5" t="s">
        <v>13909</v>
      </c>
      <c r="C6089" s="5" t="s">
        <v>171</v>
      </c>
      <c r="D6089" s="5" t="s">
        <v>172</v>
      </c>
      <c r="E6089" s="5" t="s">
        <v>90</v>
      </c>
      <c r="F6089" s="9">
        <v>58</v>
      </c>
      <c r="G6089" s="9">
        <v>666</v>
      </c>
      <c r="H6089" s="5" t="s">
        <v>21</v>
      </c>
      <c r="I6089" s="5" t="s">
        <v>13910</v>
      </c>
      <c r="J6089" s="12" t="str">
        <f>HYPERLINK("https://www.boe.es/gazeta/dias/1800/07/22/pdfs/GMD-C-1800-58.pdf#page=2","Abrir facsímil")</f>
        <v>Abrir facsímil</v>
      </c>
      <c r="K6089" s="15" t="s">
        <v>23</v>
      </c>
    </row>
    <row r="6090" spans="1:11" ht="42" customHeight="1">
      <c r="A6090" s="4" t="s">
        <v>13911</v>
      </c>
      <c r="B6090" s="5" t="s">
        <v>13912</v>
      </c>
      <c r="C6090" s="5" t="s">
        <v>25</v>
      </c>
      <c r="D6090" s="5" t="s">
        <v>26</v>
      </c>
      <c r="E6090" s="5" t="s">
        <v>58</v>
      </c>
      <c r="F6090" s="9">
        <v>92</v>
      </c>
      <c r="G6090" s="9">
        <v>1052</v>
      </c>
      <c r="H6090" s="5" t="s">
        <v>21</v>
      </c>
      <c r="I6090" s="5" t="s">
        <v>13913</v>
      </c>
      <c r="J6090" s="12" t="str">
        <f>HYPERLINK("https://www.boe.es/gazeta/dias/1800/11/14/pdfs/GMD-1800-92.pdf#page=6","Abrir facsímil")</f>
        <v>Abrir facsímil</v>
      </c>
      <c r="K6090" s="15" t="s">
        <v>23</v>
      </c>
    </row>
    <row r="6091" spans="1:11" ht="42" customHeight="1">
      <c r="A6091" s="4" t="s">
        <v>13914</v>
      </c>
      <c r="B6091" s="5" t="s">
        <v>13915</v>
      </c>
      <c r="C6091" s="5" t="s">
        <v>18</v>
      </c>
      <c r="D6091" s="5" t="s">
        <v>19</v>
      </c>
      <c r="E6091" s="5" t="s">
        <v>283</v>
      </c>
      <c r="F6091" s="9">
        <v>68</v>
      </c>
      <c r="G6091" s="9">
        <v>765</v>
      </c>
      <c r="H6091" s="5" t="s">
        <v>21</v>
      </c>
      <c r="I6091" s="5" t="s">
        <v>13916</v>
      </c>
      <c r="J6091" s="12" t="str">
        <f>HYPERLINK("https://www.boe.es/gazeta/dias/1800/08/26/pdfs/GMD-1800-68.pdf#page=9","Abrir facsímil")</f>
        <v>Abrir facsímil</v>
      </c>
      <c r="K6091" s="15" t="s">
        <v>23</v>
      </c>
    </row>
    <row r="6092" spans="1:11" ht="42" customHeight="1">
      <c r="A6092" s="4" t="s">
        <v>13917</v>
      </c>
      <c r="B6092" s="5" t="s">
        <v>13917</v>
      </c>
      <c r="C6092" s="5" t="s">
        <v>207</v>
      </c>
      <c r="D6092" s="5" t="s">
        <v>55</v>
      </c>
      <c r="E6092" s="5" t="s">
        <v>478</v>
      </c>
      <c r="F6092" s="9">
        <v>34</v>
      </c>
      <c r="G6092" s="9">
        <v>346</v>
      </c>
      <c r="H6092" s="5" t="s">
        <v>21</v>
      </c>
      <c r="I6092" s="5" t="s">
        <v>13918</v>
      </c>
      <c r="J6092" s="12" t="str">
        <f>HYPERLINK("https://www.boe.es/gazeta/dias/1800/04/29/pdfs/GMD-1800-34.pdf#page=10","Abrir facsímil")</f>
        <v>Abrir facsímil</v>
      </c>
      <c r="K6092" s="15" t="s">
        <v>23</v>
      </c>
    </row>
    <row r="6093" spans="1:11" ht="42" customHeight="1">
      <c r="A6093" s="4" t="s">
        <v>13919</v>
      </c>
      <c r="B6093" s="5" t="s">
        <v>13920</v>
      </c>
      <c r="C6093" s="5" t="s">
        <v>207</v>
      </c>
      <c r="D6093" s="5" t="s">
        <v>55</v>
      </c>
      <c r="E6093" s="5" t="s">
        <v>214</v>
      </c>
      <c r="F6093" s="9">
        <v>41</v>
      </c>
      <c r="G6093" s="9">
        <v>423</v>
      </c>
      <c r="H6093" s="5" t="s">
        <v>21</v>
      </c>
      <c r="I6093" s="5" t="s">
        <v>13921</v>
      </c>
      <c r="J6093" s="12" t="str">
        <f>HYPERLINK("https://www.boe.es/gazeta/dias/1800/05/23/pdfs/GMD-1800-41.pdf#page=7","Abrir facsímil")</f>
        <v>Abrir facsímil</v>
      </c>
      <c r="K6093" s="15" t="s">
        <v>23</v>
      </c>
    </row>
    <row r="6094" spans="1:11" ht="42" customHeight="1">
      <c r="A6094" s="4" t="s">
        <v>13922</v>
      </c>
      <c r="B6094" s="5" t="s">
        <v>13923</v>
      </c>
      <c r="C6094" s="5" t="s">
        <v>25</v>
      </c>
      <c r="D6094" s="5" t="s">
        <v>26</v>
      </c>
      <c r="E6094" s="5" t="s">
        <v>131</v>
      </c>
      <c r="F6094" s="9">
        <v>8</v>
      </c>
      <c r="G6094" s="9">
        <v>75</v>
      </c>
      <c r="H6094" s="5" t="s">
        <v>21</v>
      </c>
      <c r="I6094" s="5" t="s">
        <v>13924</v>
      </c>
      <c r="J6094" s="12" t="str">
        <f>HYPERLINK("https://www.boe.es/gazeta/dias/1800/01/28/pdfs/GMD-1800-8.pdf#page=7","Abrir facsímil")</f>
        <v>Abrir facsímil</v>
      </c>
      <c r="K6094" s="15" t="s">
        <v>23</v>
      </c>
    </row>
    <row r="6095" spans="1:11" ht="42" customHeight="1">
      <c r="A6095" s="4" t="s">
        <v>13925</v>
      </c>
      <c r="B6095" s="5" t="s">
        <v>13925</v>
      </c>
      <c r="C6095" s="5" t="s">
        <v>18</v>
      </c>
      <c r="D6095" s="5" t="s">
        <v>19</v>
      </c>
      <c r="E6095" s="5" t="s">
        <v>111</v>
      </c>
      <c r="F6095" s="9">
        <v>98</v>
      </c>
      <c r="G6095" s="9">
        <v>1129</v>
      </c>
      <c r="H6095" s="5" t="s">
        <v>21</v>
      </c>
      <c r="I6095" s="5" t="s">
        <v>13926</v>
      </c>
      <c r="J6095" s="12" t="str">
        <f>HYPERLINK("https://www.boe.es/gazeta/dias/1800/12/05/pdfs/GMD-1800-98.pdf#page=9","Abrir facsímil")</f>
        <v>Abrir facsímil</v>
      </c>
      <c r="K6095" s="15" t="s">
        <v>23</v>
      </c>
    </row>
    <row r="6096" spans="1:11" ht="42" customHeight="1">
      <c r="A6096" s="4" t="s">
        <v>13927</v>
      </c>
      <c r="B6096" s="5" t="s">
        <v>13927</v>
      </c>
      <c r="C6096" s="5" t="s">
        <v>54</v>
      </c>
      <c r="D6096" s="5" t="s">
        <v>55</v>
      </c>
      <c r="E6096" s="5" t="s">
        <v>787</v>
      </c>
      <c r="F6096" s="9">
        <v>6</v>
      </c>
      <c r="G6096" s="9">
        <v>53</v>
      </c>
      <c r="H6096" s="5" t="s">
        <v>21</v>
      </c>
      <c r="I6096" s="5" t="s">
        <v>13928</v>
      </c>
      <c r="J6096" s="12" t="str">
        <f>HYPERLINK("https://www.boe.es/gazeta/dias/1800/01/21/pdfs/GMD-1800-6.pdf#page=5","Abrir facsímil")</f>
        <v>Abrir facsímil</v>
      </c>
      <c r="K6096" s="15" t="s">
        <v>1346</v>
      </c>
    </row>
    <row r="6097" spans="1:11" ht="42" customHeight="1">
      <c r="A6097" s="4" t="s">
        <v>13927</v>
      </c>
      <c r="B6097" s="5" t="s">
        <v>13927</v>
      </c>
      <c r="C6097" s="5" t="s">
        <v>41</v>
      </c>
      <c r="D6097" s="5" t="s">
        <v>42</v>
      </c>
      <c r="E6097" s="5" t="s">
        <v>162</v>
      </c>
      <c r="F6097" s="9">
        <v>15</v>
      </c>
      <c r="G6097" s="9">
        <v>141</v>
      </c>
      <c r="H6097" s="5" t="s">
        <v>21</v>
      </c>
      <c r="I6097" s="5" t="s">
        <v>13929</v>
      </c>
      <c r="J6097" s="12" t="str">
        <f>HYPERLINK("https://www.boe.es/gazeta/dias/1800/02/21/pdfs/GMD-1800-15.pdf#page=5","Abrir facsímil")</f>
        <v>Abrir facsímil</v>
      </c>
      <c r="K6097" s="15" t="s">
        <v>1346</v>
      </c>
    </row>
    <row r="6098" spans="1:11" ht="42" customHeight="1">
      <c r="A6098" s="4" t="s">
        <v>13930</v>
      </c>
      <c r="B6098" s="5" t="s">
        <v>13931</v>
      </c>
      <c r="C6098" s="5" t="s">
        <v>207</v>
      </c>
      <c r="D6098" s="5" t="s">
        <v>55</v>
      </c>
      <c r="E6098" s="5" t="s">
        <v>139</v>
      </c>
      <c r="F6098" s="9">
        <v>2</v>
      </c>
      <c r="G6098" s="9">
        <v>12</v>
      </c>
      <c r="H6098" s="5" t="s">
        <v>21</v>
      </c>
      <c r="I6098" s="5" t="s">
        <v>13932</v>
      </c>
      <c r="J6098" s="12" t="str">
        <f>HYPERLINK("https://www.boe.es/gazeta/dias/1800/01/07/pdfs/GMD-1800-2.pdf#page=4","Abrir facsímil")</f>
        <v>Abrir facsímil</v>
      </c>
      <c r="K6098" s="15" t="s">
        <v>23</v>
      </c>
    </row>
    <row r="6099" spans="1:11" ht="42" customHeight="1">
      <c r="A6099" s="4" t="s">
        <v>13933</v>
      </c>
      <c r="B6099" s="5" t="s">
        <v>13933</v>
      </c>
      <c r="C6099" s="5" t="s">
        <v>41</v>
      </c>
      <c r="D6099" s="5" t="s">
        <v>42</v>
      </c>
      <c r="E6099" s="5" t="s">
        <v>45</v>
      </c>
      <c r="F6099" s="9">
        <v>47</v>
      </c>
      <c r="G6099" s="9">
        <v>494</v>
      </c>
      <c r="H6099" s="5" t="s">
        <v>21</v>
      </c>
      <c r="I6099" s="5" t="s">
        <v>13934</v>
      </c>
      <c r="J6099" s="12" t="str">
        <f>HYPERLINK("https://www.boe.es/gazeta/dias/1800/06/13/pdfs/GMD-1800-47.pdf#page=2","Abrir facsímil")</f>
        <v>Abrir facsímil</v>
      </c>
      <c r="K6099" s="15" t="s">
        <v>1346</v>
      </c>
    </row>
    <row r="6100" spans="1:11" ht="42" customHeight="1">
      <c r="A6100" s="4" t="s">
        <v>13933</v>
      </c>
      <c r="B6100" s="5" t="s">
        <v>13933</v>
      </c>
      <c r="C6100" s="5" t="s">
        <v>25</v>
      </c>
      <c r="D6100" s="5" t="s">
        <v>26</v>
      </c>
      <c r="E6100" s="5" t="s">
        <v>1287</v>
      </c>
      <c r="F6100" s="9">
        <v>57</v>
      </c>
      <c r="G6100" s="9">
        <v>652</v>
      </c>
      <c r="H6100" s="5" t="s">
        <v>21</v>
      </c>
      <c r="I6100" s="5" t="s">
        <v>13935</v>
      </c>
      <c r="J6100" s="12" t="str">
        <f>HYPERLINK("https://www.boe.es/gazeta/dias/1800/07/18/pdfs/GMD-1800-57.pdf#page=16","Abrir facsímil")</f>
        <v>Abrir facsímil</v>
      </c>
      <c r="K6100" s="15" t="s">
        <v>1346</v>
      </c>
    </row>
    <row r="6101" spans="1:11" ht="42" customHeight="1">
      <c r="A6101" s="4" t="s">
        <v>13936</v>
      </c>
      <c r="B6101" s="5" t="s">
        <v>13937</v>
      </c>
      <c r="C6101" s="5" t="s">
        <v>41</v>
      </c>
      <c r="D6101" s="5" t="s">
        <v>42</v>
      </c>
      <c r="E6101" s="5" t="s">
        <v>402</v>
      </c>
      <c r="F6101" s="9">
        <v>101</v>
      </c>
      <c r="G6101" s="9">
        <v>1169</v>
      </c>
      <c r="H6101" s="5" t="s">
        <v>21</v>
      </c>
      <c r="I6101" s="5" t="s">
        <v>13938</v>
      </c>
      <c r="J6101" s="12" t="str">
        <f>HYPERLINK("https://www.boe.es/gazeta/dias/1800/12/16/pdfs/GMD-1800-101.pdf#page=5","Abrir facsímil")</f>
        <v>Abrir facsímil</v>
      </c>
      <c r="K6101" s="15" t="s">
        <v>23</v>
      </c>
    </row>
    <row r="6102" spans="1:11" ht="42" customHeight="1">
      <c r="A6102" s="4" t="s">
        <v>13939</v>
      </c>
      <c r="B6102" s="5" t="s">
        <v>13940</v>
      </c>
      <c r="C6102" s="5" t="s">
        <v>25</v>
      </c>
      <c r="D6102" s="5" t="s">
        <v>26</v>
      </c>
      <c r="E6102" s="5" t="s">
        <v>184</v>
      </c>
      <c r="F6102" s="9">
        <v>82</v>
      </c>
      <c r="G6102" s="9">
        <v>954</v>
      </c>
      <c r="H6102" s="5" t="s">
        <v>21</v>
      </c>
      <c r="I6102" s="5" t="s">
        <v>13941</v>
      </c>
      <c r="J6102" s="12" t="str">
        <f>HYPERLINK("https://www.boe.es/gazeta/dias/1800/10/10/pdfs/GMD-1800-82.pdf#page=12","Abrir facsímil")</f>
        <v>Abrir facsímil</v>
      </c>
      <c r="K6102" s="15" t="s">
        <v>23</v>
      </c>
    </row>
    <row r="6103" spans="1:11" ht="42" customHeight="1">
      <c r="A6103" s="4" t="s">
        <v>13939</v>
      </c>
      <c r="B6103" s="5" t="s">
        <v>13940</v>
      </c>
      <c r="C6103" s="5" t="s">
        <v>84</v>
      </c>
      <c r="D6103" s="5" t="s">
        <v>85</v>
      </c>
      <c r="E6103" s="5" t="s">
        <v>56</v>
      </c>
      <c r="F6103" s="9">
        <v>90</v>
      </c>
      <c r="G6103" s="9">
        <v>1058</v>
      </c>
      <c r="H6103" s="5" t="s">
        <v>21</v>
      </c>
      <c r="I6103" s="5" t="s">
        <v>13942</v>
      </c>
      <c r="J6103" s="12" t="str">
        <f>HYPERLINK("https://www.boe.es/gazeta/dias/1800/11/07/pdfs/GMD-1800-90.pdf#page=12","Abrir facsímil")</f>
        <v>Abrir facsímil</v>
      </c>
      <c r="K6103" s="15" t="s">
        <v>23</v>
      </c>
    </row>
    <row r="6104" spans="1:11" ht="42" customHeight="1">
      <c r="A6104" s="4" t="s">
        <v>13943</v>
      </c>
      <c r="B6104" s="5" t="s">
        <v>13944</v>
      </c>
      <c r="C6104" s="5" t="s">
        <v>84</v>
      </c>
      <c r="D6104" s="5" t="s">
        <v>85</v>
      </c>
      <c r="E6104" s="5" t="s">
        <v>255</v>
      </c>
      <c r="F6104" s="9">
        <v>75</v>
      </c>
      <c r="G6104" s="9">
        <v>857</v>
      </c>
      <c r="H6104" s="5" t="s">
        <v>21</v>
      </c>
      <c r="I6104" s="5" t="s">
        <v>13945</v>
      </c>
      <c r="J6104" s="12" t="str">
        <f>HYPERLINK("https://www.boe.es/gazeta/dias/1800/09/16/pdfs/GMD-1800-75.pdf#page=11","Abrir facsímil")</f>
        <v>Abrir facsímil</v>
      </c>
      <c r="K6104" s="15" t="s">
        <v>23</v>
      </c>
    </row>
    <row r="6105" spans="1:11" ht="42" customHeight="1">
      <c r="A6105" s="4" t="s">
        <v>13946</v>
      </c>
      <c r="B6105" s="5" t="s">
        <v>13947</v>
      </c>
      <c r="C6105" s="5" t="s">
        <v>18</v>
      </c>
      <c r="D6105" s="5" t="s">
        <v>19</v>
      </c>
      <c r="E6105" s="5" t="s">
        <v>111</v>
      </c>
      <c r="F6105" s="9">
        <v>98</v>
      </c>
      <c r="G6105" s="9">
        <v>1129</v>
      </c>
      <c r="H6105" s="5" t="s">
        <v>21</v>
      </c>
      <c r="I6105" s="5" t="s">
        <v>13948</v>
      </c>
      <c r="J6105" s="12" t="str">
        <f>HYPERLINK("https://www.boe.es/gazeta/dias/1800/12/05/pdfs/GMD-1800-98.pdf#page=9","Abrir facsímil")</f>
        <v>Abrir facsímil</v>
      </c>
      <c r="K6105" s="15" t="s">
        <v>23</v>
      </c>
    </row>
    <row r="6106" spans="1:11" ht="42" customHeight="1">
      <c r="A6106" s="4" t="s">
        <v>13949</v>
      </c>
      <c r="B6106" s="5" t="s">
        <v>13950</v>
      </c>
      <c r="C6106" s="5" t="s">
        <v>18</v>
      </c>
      <c r="D6106" s="5" t="s">
        <v>19</v>
      </c>
      <c r="E6106" s="5" t="s">
        <v>184</v>
      </c>
      <c r="F6106" s="9">
        <v>82</v>
      </c>
      <c r="G6106" s="9">
        <v>950</v>
      </c>
      <c r="H6106" s="5" t="s">
        <v>21</v>
      </c>
      <c r="I6106" s="5" t="s">
        <v>13951</v>
      </c>
      <c r="J6106" s="12" t="str">
        <f>HYPERLINK("https://www.boe.es/gazeta/dias/1800/10/10/pdfs/GMD-1800-82.pdf#page=8","Abrir facsímil")</f>
        <v>Abrir facsímil</v>
      </c>
      <c r="K6106" s="15" t="s">
        <v>23</v>
      </c>
    </row>
    <row r="6107" spans="1:11" ht="42" customHeight="1">
      <c r="A6107" s="4" t="s">
        <v>13952</v>
      </c>
      <c r="B6107" s="5" t="s">
        <v>13953</v>
      </c>
      <c r="C6107" s="5" t="s">
        <v>18</v>
      </c>
      <c r="D6107" s="5" t="s">
        <v>19</v>
      </c>
      <c r="E6107" s="5" t="s">
        <v>116</v>
      </c>
      <c r="F6107" s="9">
        <v>86</v>
      </c>
      <c r="G6107" s="9">
        <v>997</v>
      </c>
      <c r="H6107" s="5" t="s">
        <v>21</v>
      </c>
      <c r="I6107" s="5" t="s">
        <v>13954</v>
      </c>
      <c r="J6107" s="12" t="str">
        <f>HYPERLINK("https://www.boe.es/gazeta/dias/1800/10/24/pdfs/GMD-1800-86.pdf#page=7","Abrir facsímil")</f>
        <v>Abrir facsímil</v>
      </c>
      <c r="K6107" s="15" t="s">
        <v>23</v>
      </c>
    </row>
    <row r="6108" spans="1:11" ht="42" customHeight="1">
      <c r="A6108" s="4" t="s">
        <v>13955</v>
      </c>
      <c r="B6108" s="5" t="s">
        <v>13956</v>
      </c>
      <c r="C6108" s="5" t="s">
        <v>171</v>
      </c>
      <c r="D6108" s="5" t="s">
        <v>172</v>
      </c>
      <c r="E6108" s="5" t="s">
        <v>90</v>
      </c>
      <c r="F6108" s="9">
        <v>58</v>
      </c>
      <c r="G6108" s="9">
        <v>666</v>
      </c>
      <c r="H6108" s="5" t="s">
        <v>21</v>
      </c>
      <c r="I6108" s="5" t="s">
        <v>13957</v>
      </c>
      <c r="J6108" s="12" t="str">
        <f>HYPERLINK("https://www.boe.es/gazeta/dias/1800/07/22/pdfs/GMD-C-1800-58.pdf#page=2","Abrir facsímil")</f>
        <v>Abrir facsímil</v>
      </c>
      <c r="K6108" s="15" t="s">
        <v>23</v>
      </c>
    </row>
    <row r="6109" spans="1:11" ht="42" customHeight="1">
      <c r="A6109" s="4" t="s">
        <v>13958</v>
      </c>
      <c r="B6109" s="5" t="s">
        <v>13958</v>
      </c>
      <c r="C6109" s="5" t="s">
        <v>41</v>
      </c>
      <c r="D6109" s="5" t="s">
        <v>42</v>
      </c>
      <c r="E6109" s="5" t="s">
        <v>319</v>
      </c>
      <c r="F6109" s="9">
        <v>62</v>
      </c>
      <c r="G6109" s="9">
        <v>704</v>
      </c>
      <c r="H6109" s="5" t="s">
        <v>21</v>
      </c>
      <c r="I6109" s="5" t="s">
        <v>13959</v>
      </c>
      <c r="J6109" s="12" t="str">
        <f>HYPERLINK("https://www.boe.es/gazeta/dias/1800/08/05/pdfs/GMD-1800-62.pdf#page=4","Abrir facsímil")</f>
        <v>Abrir facsímil</v>
      </c>
      <c r="K6109" s="15" t="s">
        <v>23</v>
      </c>
    </row>
    <row r="6110" spans="1:11" ht="42" customHeight="1">
      <c r="A6110" s="4" t="s">
        <v>13960</v>
      </c>
      <c r="B6110" s="5" t="s">
        <v>13960</v>
      </c>
      <c r="C6110" s="5" t="s">
        <v>41</v>
      </c>
      <c r="D6110" s="5" t="s">
        <v>42</v>
      </c>
      <c r="E6110" s="5" t="s">
        <v>1213</v>
      </c>
      <c r="F6110" s="9">
        <v>4</v>
      </c>
      <c r="G6110" s="9">
        <v>31</v>
      </c>
      <c r="H6110" s="5" t="s">
        <v>21</v>
      </c>
      <c r="I6110" s="5" t="s">
        <v>13961</v>
      </c>
      <c r="J6110" s="12" t="str">
        <f>HYPERLINK("https://www.boe.es/gazeta/dias/1800/01/14/pdfs/GMD-1800-4.pdf#page=3","Abrir facsímil")</f>
        <v>Abrir facsímil</v>
      </c>
      <c r="K6110" s="15" t="s">
        <v>23</v>
      </c>
    </row>
    <row r="6111" spans="1:11" ht="42" customHeight="1">
      <c r="A6111" s="4" t="s">
        <v>13960</v>
      </c>
      <c r="B6111" s="5" t="s">
        <v>13960</v>
      </c>
      <c r="C6111" s="5" t="s">
        <v>41</v>
      </c>
      <c r="D6111" s="5" t="s">
        <v>42</v>
      </c>
      <c r="E6111" s="5" t="s">
        <v>131</v>
      </c>
      <c r="F6111" s="9">
        <v>8</v>
      </c>
      <c r="G6111" s="9">
        <v>71</v>
      </c>
      <c r="H6111" s="5" t="s">
        <v>21</v>
      </c>
      <c r="I6111" s="5" t="s">
        <v>13962</v>
      </c>
      <c r="J6111" s="12" t="str">
        <f>HYPERLINK("https://www.boe.es/gazeta/dias/1800/01/28/pdfs/GMD-1800-8.pdf#page=3","Abrir facsímil")</f>
        <v>Abrir facsímil</v>
      </c>
      <c r="K6111" s="15" t="s">
        <v>23</v>
      </c>
    </row>
    <row r="6112" spans="1:11" ht="42" customHeight="1">
      <c r="A6112" s="4" t="s">
        <v>13963</v>
      </c>
      <c r="B6112" s="5" t="s">
        <v>13963</v>
      </c>
      <c r="C6112" s="5" t="s">
        <v>18</v>
      </c>
      <c r="D6112" s="5" t="s">
        <v>19</v>
      </c>
      <c r="E6112" s="5" t="s">
        <v>82</v>
      </c>
      <c r="F6112" s="9">
        <v>10</v>
      </c>
      <c r="G6112" s="9">
        <v>92</v>
      </c>
      <c r="H6112" s="5" t="s">
        <v>21</v>
      </c>
      <c r="I6112" s="5" t="s">
        <v>13964</v>
      </c>
      <c r="J6112" s="12" t="str">
        <f>HYPERLINK("https://www.boe.es/gazeta/dias/1800/02/04/pdfs/GMD-1800-10.pdf#page=4","Abrir facsímil")</f>
        <v>Abrir facsímil</v>
      </c>
      <c r="K6112" s="15" t="s">
        <v>23</v>
      </c>
    </row>
    <row r="6113" spans="1:11" ht="42" customHeight="1">
      <c r="A6113" s="4" t="s">
        <v>13960</v>
      </c>
      <c r="B6113" s="5" t="s">
        <v>13960</v>
      </c>
      <c r="C6113" s="5" t="s">
        <v>41</v>
      </c>
      <c r="D6113" s="5" t="s">
        <v>42</v>
      </c>
      <c r="E6113" s="5" t="s">
        <v>86</v>
      </c>
      <c r="F6113" s="9">
        <v>17</v>
      </c>
      <c r="G6113" s="9">
        <v>156</v>
      </c>
      <c r="H6113" s="5" t="s">
        <v>21</v>
      </c>
      <c r="I6113" s="5" t="s">
        <v>13965</v>
      </c>
      <c r="J6113" s="12" t="str">
        <f>HYPERLINK("https://www.boe.es/gazeta/dias/1800/02/28/pdfs/GMD-1800-17.pdf#page=4","Abrir facsímil")</f>
        <v>Abrir facsímil</v>
      </c>
      <c r="K6113" s="15" t="s">
        <v>23</v>
      </c>
    </row>
    <row r="6114" spans="1:11" ht="42" customHeight="1">
      <c r="A6114" s="4" t="s">
        <v>13960</v>
      </c>
      <c r="B6114" s="5" t="s">
        <v>13960</v>
      </c>
      <c r="C6114" s="5" t="s">
        <v>207</v>
      </c>
      <c r="D6114" s="5" t="s">
        <v>55</v>
      </c>
      <c r="E6114" s="5" t="s">
        <v>461</v>
      </c>
      <c r="F6114" s="9">
        <v>18</v>
      </c>
      <c r="G6114" s="9">
        <v>167</v>
      </c>
      <c r="H6114" s="5" t="s">
        <v>21</v>
      </c>
      <c r="I6114" s="5" t="s">
        <v>13966</v>
      </c>
      <c r="J6114" s="12" t="str">
        <f>HYPERLINK("https://www.boe.es/datos/pdfs/BOE//1800/018/C00173-00176.pdf#page=3","Abrir facsímil")</f>
        <v>Abrir facsímil</v>
      </c>
      <c r="K6114" s="15" t="s">
        <v>23</v>
      </c>
    </row>
    <row r="6115" spans="1:11" ht="42" customHeight="1">
      <c r="A6115" s="4" t="s">
        <v>13960</v>
      </c>
      <c r="B6115" s="5" t="s">
        <v>13960</v>
      </c>
      <c r="C6115" s="5" t="s">
        <v>41</v>
      </c>
      <c r="D6115" s="5" t="s">
        <v>42</v>
      </c>
      <c r="E6115" s="5" t="s">
        <v>620</v>
      </c>
      <c r="F6115" s="9">
        <v>19</v>
      </c>
      <c r="G6115" s="9">
        <v>179</v>
      </c>
      <c r="H6115" s="5" t="s">
        <v>21</v>
      </c>
      <c r="I6115" s="5" t="s">
        <v>13967</v>
      </c>
      <c r="J6115" s="12" t="str">
        <f>HYPERLINK("https://www.boe.es/gazeta/dias/1800/03/07/pdfs/GMD-1800-19.pdf#page=3","Abrir facsímil")</f>
        <v>Abrir facsímil</v>
      </c>
      <c r="K6115" s="15" t="s">
        <v>23</v>
      </c>
    </row>
    <row r="6116" spans="1:11" ht="42" customHeight="1">
      <c r="A6116" s="4" t="s">
        <v>13960</v>
      </c>
      <c r="B6116" s="5" t="s">
        <v>13960</v>
      </c>
      <c r="C6116" s="5" t="s">
        <v>41</v>
      </c>
      <c r="D6116" s="5" t="s">
        <v>42</v>
      </c>
      <c r="E6116" s="5" t="s">
        <v>620</v>
      </c>
      <c r="F6116" s="9">
        <v>19</v>
      </c>
      <c r="G6116" s="9">
        <v>180</v>
      </c>
      <c r="H6116" s="5" t="s">
        <v>21</v>
      </c>
      <c r="I6116" s="5" t="s">
        <v>13968</v>
      </c>
      <c r="J6116" s="12" t="str">
        <f>HYPERLINK("https://www.boe.es/gazeta/dias/1800/03/07/pdfs/GMD-1800-19.pdf#page=4","Abrir facsímil")</f>
        <v>Abrir facsímil</v>
      </c>
      <c r="K6116" s="15" t="s">
        <v>23</v>
      </c>
    </row>
    <row r="6117" spans="1:11" ht="42" customHeight="1">
      <c r="A6117" s="4" t="s">
        <v>13960</v>
      </c>
      <c r="B6117" s="5" t="s">
        <v>13960</v>
      </c>
      <c r="C6117" s="5" t="s">
        <v>41</v>
      </c>
      <c r="D6117" s="5" t="s">
        <v>42</v>
      </c>
      <c r="E6117" s="5" t="s">
        <v>35</v>
      </c>
      <c r="F6117" s="9">
        <v>21</v>
      </c>
      <c r="G6117" s="9">
        <v>199</v>
      </c>
      <c r="H6117" s="5" t="s">
        <v>21</v>
      </c>
      <c r="I6117" s="5" t="s">
        <v>13969</v>
      </c>
      <c r="J6117" s="12" t="str">
        <f>HYPERLINK("https://www.boe.es/gazeta/dias/1800/03/14/pdfs/GMD-1800-21.pdf#page=3","Abrir facsímil")</f>
        <v>Abrir facsímil</v>
      </c>
      <c r="K6117" s="15" t="s">
        <v>23</v>
      </c>
    </row>
    <row r="6118" spans="1:11" ht="42" customHeight="1">
      <c r="A6118" s="4" t="s">
        <v>13960</v>
      </c>
      <c r="B6118" s="5" t="s">
        <v>13960</v>
      </c>
      <c r="C6118" s="5" t="s">
        <v>41</v>
      </c>
      <c r="D6118" s="5" t="s">
        <v>42</v>
      </c>
      <c r="E6118" s="5" t="s">
        <v>35</v>
      </c>
      <c r="F6118" s="9">
        <v>21</v>
      </c>
      <c r="G6118" s="9">
        <v>200</v>
      </c>
      <c r="H6118" s="5" t="s">
        <v>21</v>
      </c>
      <c r="I6118" s="5" t="s">
        <v>13970</v>
      </c>
      <c r="J6118" s="12" t="str">
        <f>HYPERLINK("https://www.boe.es/gazeta/dias/1800/03/14/pdfs/GMD-1800-21.pdf#page=4","Abrir facsímil")</f>
        <v>Abrir facsímil</v>
      </c>
      <c r="K6118" s="15" t="s">
        <v>23</v>
      </c>
    </row>
    <row r="6119" spans="1:11" ht="42" customHeight="1">
      <c r="A6119" s="4" t="s">
        <v>13960</v>
      </c>
      <c r="B6119" s="5" t="s">
        <v>13960</v>
      </c>
      <c r="C6119" s="5" t="s">
        <v>41</v>
      </c>
      <c r="D6119" s="5" t="s">
        <v>42</v>
      </c>
      <c r="E6119" s="5" t="s">
        <v>88</v>
      </c>
      <c r="F6119" s="9">
        <v>23</v>
      </c>
      <c r="G6119" s="9">
        <v>227</v>
      </c>
      <c r="H6119" s="5" t="s">
        <v>21</v>
      </c>
      <c r="I6119" s="5" t="s">
        <v>13971</v>
      </c>
      <c r="J6119" s="12" t="str">
        <f>HYPERLINK("https://www.boe.es/gazeta/dias/1800/03/21/pdfs/GMD-1800-23.pdf#page=3","Abrir facsímil")</f>
        <v>Abrir facsímil</v>
      </c>
      <c r="K6119" s="15" t="s">
        <v>23</v>
      </c>
    </row>
    <row r="6120" spans="1:11" ht="42" customHeight="1">
      <c r="A6120" s="4" t="s">
        <v>13960</v>
      </c>
      <c r="B6120" s="5" t="s">
        <v>13960</v>
      </c>
      <c r="C6120" s="5" t="s">
        <v>41</v>
      </c>
      <c r="D6120" s="5" t="s">
        <v>42</v>
      </c>
      <c r="E6120" s="5" t="s">
        <v>88</v>
      </c>
      <c r="F6120" s="9">
        <v>23</v>
      </c>
      <c r="G6120" s="9">
        <v>228</v>
      </c>
      <c r="H6120" s="5" t="s">
        <v>21</v>
      </c>
      <c r="I6120" s="5" t="s">
        <v>13972</v>
      </c>
      <c r="J6120" s="12" t="str">
        <f>HYPERLINK("https://www.boe.es/gazeta/dias/1800/03/21/pdfs/GMD-1800-23.pdf#page=4","Abrir facsímil")</f>
        <v>Abrir facsímil</v>
      </c>
      <c r="K6120" s="15" t="s">
        <v>23</v>
      </c>
    </row>
    <row r="6121" spans="1:11" ht="42" customHeight="1">
      <c r="A6121" s="4" t="s">
        <v>13960</v>
      </c>
      <c r="B6121" s="5" t="s">
        <v>13960</v>
      </c>
      <c r="C6121" s="5" t="s">
        <v>41</v>
      </c>
      <c r="D6121" s="5" t="s">
        <v>42</v>
      </c>
      <c r="E6121" s="5" t="s">
        <v>346</v>
      </c>
      <c r="F6121" s="9">
        <v>24</v>
      </c>
      <c r="G6121" s="9">
        <v>240</v>
      </c>
      <c r="H6121" s="5" t="s">
        <v>21</v>
      </c>
      <c r="I6121" s="5" t="s">
        <v>13973</v>
      </c>
      <c r="J6121" s="12" t="str">
        <f>HYPERLINK("https://www.boe.es/gazeta/dias/1800/03/25/pdfs/GMD-1800-24.pdf#page=4","Abrir facsímil")</f>
        <v>Abrir facsímil</v>
      </c>
      <c r="K6121" s="15" t="s">
        <v>23</v>
      </c>
    </row>
    <row r="6122" spans="1:11" ht="42" customHeight="1">
      <c r="A6122" s="4" t="s">
        <v>13960</v>
      </c>
      <c r="B6122" s="5" t="s">
        <v>13960</v>
      </c>
      <c r="C6122" s="5" t="s">
        <v>41</v>
      </c>
      <c r="D6122" s="5" t="s">
        <v>42</v>
      </c>
      <c r="E6122" s="5" t="s">
        <v>158</v>
      </c>
      <c r="F6122" s="9">
        <v>25</v>
      </c>
      <c r="G6122" s="9">
        <v>252</v>
      </c>
      <c r="H6122" s="5" t="s">
        <v>21</v>
      </c>
      <c r="I6122" s="5" t="s">
        <v>13974</v>
      </c>
      <c r="J6122" s="12" t="str">
        <f>HYPERLINK("https://www.boe.es/gazeta/dias/1800/03/28/pdfs/GMD-1800-25.pdf#page=4","Abrir facsímil")</f>
        <v>Abrir facsímil</v>
      </c>
      <c r="K6122" s="15" t="s">
        <v>23</v>
      </c>
    </row>
    <row r="6123" spans="1:11" ht="42" customHeight="1">
      <c r="A6123" s="4" t="s">
        <v>13960</v>
      </c>
      <c r="B6123" s="5" t="s">
        <v>13960</v>
      </c>
      <c r="C6123" s="5" t="s">
        <v>54</v>
      </c>
      <c r="D6123" s="5" t="s">
        <v>55</v>
      </c>
      <c r="E6123" s="5" t="s">
        <v>158</v>
      </c>
      <c r="F6123" s="9">
        <v>25</v>
      </c>
      <c r="G6123" s="9">
        <v>253</v>
      </c>
      <c r="H6123" s="5" t="s">
        <v>21</v>
      </c>
      <c r="I6123" s="5" t="s">
        <v>13975</v>
      </c>
      <c r="J6123" s="12" t="str">
        <f>HYPERLINK("https://www.boe.es/gazeta/dias/1800/03/28/pdfs/GMD-1800-25.pdf#page=5","Abrir facsímil")</f>
        <v>Abrir facsímil</v>
      </c>
      <c r="K6123" s="15" t="s">
        <v>23</v>
      </c>
    </row>
    <row r="6124" spans="1:11" ht="42" customHeight="1">
      <c r="A6124" s="4" t="s">
        <v>13960</v>
      </c>
      <c r="B6124" s="5" t="s">
        <v>13960</v>
      </c>
      <c r="C6124" s="5" t="s">
        <v>41</v>
      </c>
      <c r="D6124" s="5" t="s">
        <v>42</v>
      </c>
      <c r="E6124" s="5" t="s">
        <v>226</v>
      </c>
      <c r="F6124" s="9">
        <v>27</v>
      </c>
      <c r="G6124" s="9">
        <v>275</v>
      </c>
      <c r="H6124" s="5" t="s">
        <v>21</v>
      </c>
      <c r="I6124" s="5" t="s">
        <v>13976</v>
      </c>
      <c r="J6124" s="12" t="str">
        <f>HYPERLINK("https://www.boe.es/gazeta/dias/1800/04/04/pdfs/GMD-1800-27.pdf#page=3","Abrir facsímil")</f>
        <v>Abrir facsímil</v>
      </c>
      <c r="K6124" s="15" t="s">
        <v>23</v>
      </c>
    </row>
    <row r="6125" spans="1:11" ht="42" customHeight="1">
      <c r="A6125" s="4" t="s">
        <v>13960</v>
      </c>
      <c r="B6125" s="5" t="s">
        <v>13960</v>
      </c>
      <c r="C6125" s="5" t="s">
        <v>41</v>
      </c>
      <c r="D6125" s="5" t="s">
        <v>42</v>
      </c>
      <c r="E6125" s="5" t="s">
        <v>226</v>
      </c>
      <c r="F6125" s="9">
        <v>27</v>
      </c>
      <c r="G6125" s="9">
        <v>276</v>
      </c>
      <c r="H6125" s="5" t="s">
        <v>21</v>
      </c>
      <c r="I6125" s="5" t="s">
        <v>13977</v>
      </c>
      <c r="J6125" s="12" t="str">
        <f>HYPERLINK("https://www.boe.es/gazeta/dias/1800/04/04/pdfs/GMD-1800-27.pdf#page=4","Abrir facsímil")</f>
        <v>Abrir facsímil</v>
      </c>
      <c r="K6125" s="15" t="s">
        <v>23</v>
      </c>
    </row>
    <row r="6126" spans="1:11" ht="42" customHeight="1">
      <c r="A6126" s="4" t="s">
        <v>13960</v>
      </c>
      <c r="B6126" s="5" t="s">
        <v>13960</v>
      </c>
      <c r="C6126" s="5" t="s">
        <v>41</v>
      </c>
      <c r="D6126" s="5" t="s">
        <v>42</v>
      </c>
      <c r="E6126" s="5" t="s">
        <v>598</v>
      </c>
      <c r="F6126" s="9">
        <v>32</v>
      </c>
      <c r="G6126" s="9">
        <v>321</v>
      </c>
      <c r="H6126" s="5" t="s">
        <v>21</v>
      </c>
      <c r="I6126" s="5" t="s">
        <v>13978</v>
      </c>
      <c r="J6126" s="12" t="str">
        <f>HYPERLINK("https://www.boe.es/gazeta/dias/1800/04/22/pdfs/GMD-1800-32.pdf#page=5","Abrir facsímil")</f>
        <v>Abrir facsímil</v>
      </c>
      <c r="K6126" s="15" t="s">
        <v>23</v>
      </c>
    </row>
    <row r="6127" spans="1:11" ht="42" customHeight="1">
      <c r="A6127" s="4" t="s">
        <v>13960</v>
      </c>
      <c r="B6127" s="5" t="s">
        <v>13960</v>
      </c>
      <c r="C6127" s="5" t="s">
        <v>41</v>
      </c>
      <c r="D6127" s="5" t="s">
        <v>42</v>
      </c>
      <c r="E6127" s="5" t="s">
        <v>248</v>
      </c>
      <c r="F6127" s="9">
        <v>33</v>
      </c>
      <c r="G6127" s="9">
        <v>330</v>
      </c>
      <c r="H6127" s="5" t="s">
        <v>21</v>
      </c>
      <c r="I6127" s="5" t="s">
        <v>13979</v>
      </c>
      <c r="J6127" s="12" t="str">
        <f>HYPERLINK("https://www.boe.es/gazeta/dias/1800/04/25/pdfs/GMD-1800-33.pdf#page=6","Abrir facsímil")</f>
        <v>Abrir facsímil</v>
      </c>
      <c r="K6127" s="15" t="s">
        <v>23</v>
      </c>
    </row>
    <row r="6128" spans="1:11" ht="42" customHeight="1">
      <c r="A6128" s="4" t="s">
        <v>13960</v>
      </c>
      <c r="B6128" s="5" t="s">
        <v>13960</v>
      </c>
      <c r="C6128" s="5" t="s">
        <v>41</v>
      </c>
      <c r="D6128" s="5" t="s">
        <v>42</v>
      </c>
      <c r="E6128" s="5" t="s">
        <v>478</v>
      </c>
      <c r="F6128" s="9">
        <v>34</v>
      </c>
      <c r="G6128" s="9">
        <v>341</v>
      </c>
      <c r="H6128" s="5" t="s">
        <v>21</v>
      </c>
      <c r="I6128" s="5" t="s">
        <v>13980</v>
      </c>
      <c r="J6128" s="12" t="str">
        <f>HYPERLINK("https://www.boe.es/gazeta/dias/1800/04/29/pdfs/GMD-1800-34.pdf#page=5","Abrir facsímil")</f>
        <v>Abrir facsímil</v>
      </c>
      <c r="K6128" s="15" t="s">
        <v>23</v>
      </c>
    </row>
    <row r="6129" spans="1:11" ht="42" customHeight="1">
      <c r="A6129" s="4" t="s">
        <v>13960</v>
      </c>
      <c r="B6129" s="5" t="s">
        <v>13960</v>
      </c>
      <c r="C6129" s="5" t="s">
        <v>18</v>
      </c>
      <c r="D6129" s="5" t="s">
        <v>19</v>
      </c>
      <c r="E6129" s="5" t="s">
        <v>478</v>
      </c>
      <c r="F6129" s="9">
        <v>34</v>
      </c>
      <c r="G6129" s="9">
        <v>342</v>
      </c>
      <c r="H6129" s="5" t="s">
        <v>21</v>
      </c>
      <c r="I6129" s="5" t="s">
        <v>13981</v>
      </c>
      <c r="J6129" s="12" t="str">
        <f>HYPERLINK("https://www.boe.es/gazeta/dias/1800/04/29/pdfs/GMD-1800-34.pdf#page=6","Abrir facsímil")</f>
        <v>Abrir facsímil</v>
      </c>
      <c r="K6129" s="15" t="s">
        <v>23</v>
      </c>
    </row>
    <row r="6130" spans="1:11" ht="42" customHeight="1">
      <c r="A6130" s="4" t="s">
        <v>13960</v>
      </c>
      <c r="B6130" s="5" t="s">
        <v>13960</v>
      </c>
      <c r="C6130" s="5" t="s">
        <v>41</v>
      </c>
      <c r="D6130" s="5" t="s">
        <v>42</v>
      </c>
      <c r="E6130" s="5" t="s">
        <v>230</v>
      </c>
      <c r="F6130" s="9">
        <v>35</v>
      </c>
      <c r="G6130" s="9">
        <v>351</v>
      </c>
      <c r="H6130" s="5" t="s">
        <v>21</v>
      </c>
      <c r="I6130" s="5" t="s">
        <v>13982</v>
      </c>
      <c r="J6130" s="12" t="str">
        <f>HYPERLINK("https://www.boe.es/gazeta/dias/1800/05/02/pdfs/GMD-1800-35.pdf#page=3","Abrir facsímil")</f>
        <v>Abrir facsímil</v>
      </c>
      <c r="K6130" s="15" t="s">
        <v>23</v>
      </c>
    </row>
    <row r="6131" spans="1:11" ht="42" customHeight="1">
      <c r="A6131" s="4" t="s">
        <v>13960</v>
      </c>
      <c r="B6131" s="5" t="s">
        <v>13960</v>
      </c>
      <c r="C6131" s="5" t="s">
        <v>41</v>
      </c>
      <c r="D6131" s="5" t="s">
        <v>42</v>
      </c>
      <c r="E6131" s="5" t="s">
        <v>230</v>
      </c>
      <c r="F6131" s="9">
        <v>35</v>
      </c>
      <c r="G6131" s="9">
        <v>353</v>
      </c>
      <c r="H6131" s="5" t="s">
        <v>21</v>
      </c>
      <c r="I6131" s="5" t="s">
        <v>13983</v>
      </c>
      <c r="J6131" s="12" t="str">
        <f>HYPERLINK("https://www.boe.es/gazeta/dias/1800/05/02/pdfs/GMD-1800-35.pdf#page=5","Abrir facsímil")</f>
        <v>Abrir facsímil</v>
      </c>
      <c r="K6131" s="15" t="s">
        <v>23</v>
      </c>
    </row>
    <row r="6132" spans="1:11" ht="42" customHeight="1">
      <c r="A6132" s="4" t="s">
        <v>13960</v>
      </c>
      <c r="B6132" s="5" t="s">
        <v>13960</v>
      </c>
      <c r="C6132" s="5" t="s">
        <v>41</v>
      </c>
      <c r="D6132" s="5" t="s">
        <v>42</v>
      </c>
      <c r="E6132" s="5" t="s">
        <v>420</v>
      </c>
      <c r="F6132" s="9">
        <v>38</v>
      </c>
      <c r="G6132" s="9">
        <v>382</v>
      </c>
      <c r="H6132" s="5" t="s">
        <v>21</v>
      </c>
      <c r="I6132" s="5" t="s">
        <v>13984</v>
      </c>
      <c r="J6132" s="12" t="str">
        <f>HYPERLINK("https://www.boe.es/gazeta/dias/1800/05/13/pdfs/GMD-1800-38.pdf#page=2","Abrir facsímil")</f>
        <v>Abrir facsímil</v>
      </c>
      <c r="K6132" s="15" t="s">
        <v>23</v>
      </c>
    </row>
    <row r="6133" spans="1:11" ht="42" customHeight="1">
      <c r="A6133" s="4" t="s">
        <v>13960</v>
      </c>
      <c r="B6133" s="5" t="s">
        <v>13960</v>
      </c>
      <c r="C6133" s="5" t="s">
        <v>41</v>
      </c>
      <c r="D6133" s="5" t="s">
        <v>42</v>
      </c>
      <c r="E6133" s="5" t="s">
        <v>299</v>
      </c>
      <c r="F6133" s="9">
        <v>40</v>
      </c>
      <c r="G6133" s="9">
        <v>408</v>
      </c>
      <c r="H6133" s="5" t="s">
        <v>21</v>
      </c>
      <c r="I6133" s="5" t="s">
        <v>13985</v>
      </c>
      <c r="J6133" s="12" t="str">
        <f>HYPERLINK("https://www.boe.es/gazeta/dias/1800/05/20/pdfs/GMD-1800-40.pdf#page=4","Abrir facsímil")</f>
        <v>Abrir facsímil</v>
      </c>
      <c r="K6133" s="15" t="s">
        <v>23</v>
      </c>
    </row>
    <row r="6134" spans="1:11" ht="42" customHeight="1">
      <c r="A6134" s="4" t="s">
        <v>13960</v>
      </c>
      <c r="B6134" s="5" t="s">
        <v>13960</v>
      </c>
      <c r="C6134" s="5" t="s">
        <v>18</v>
      </c>
      <c r="D6134" s="5" t="s">
        <v>19</v>
      </c>
      <c r="E6134" s="5" t="s">
        <v>214</v>
      </c>
      <c r="F6134" s="9">
        <v>41</v>
      </c>
      <c r="G6134" s="9">
        <v>418</v>
      </c>
      <c r="H6134" s="5" t="s">
        <v>21</v>
      </c>
      <c r="I6134" s="5" t="s">
        <v>13986</v>
      </c>
      <c r="J6134" s="12" t="str">
        <f>HYPERLINK("https://www.boe.es/gazeta/dias/1800/05/23/pdfs/GMD-1800-41.pdf#page=2","Abrir facsímil")</f>
        <v>Abrir facsímil</v>
      </c>
      <c r="K6134" s="15" t="s">
        <v>23</v>
      </c>
    </row>
    <row r="6135" spans="1:11" ht="42" customHeight="1">
      <c r="A6135" s="4" t="s">
        <v>13960</v>
      </c>
      <c r="B6135" s="5" t="s">
        <v>13960</v>
      </c>
      <c r="C6135" s="5" t="s">
        <v>41</v>
      </c>
      <c r="D6135" s="5" t="s">
        <v>42</v>
      </c>
      <c r="E6135" s="5" t="s">
        <v>2338</v>
      </c>
      <c r="F6135" s="9">
        <v>42</v>
      </c>
      <c r="G6135" s="9">
        <v>431</v>
      </c>
      <c r="H6135" s="5" t="s">
        <v>21</v>
      </c>
      <c r="I6135" s="5" t="s">
        <v>13987</v>
      </c>
      <c r="J6135" s="12" t="str">
        <f>HYPERLINK("https://www.boe.es/gazeta/dias/1800/05/27/pdfs/GMD-1800-42.pdf#page=3","Abrir facsímil")</f>
        <v>Abrir facsímil</v>
      </c>
      <c r="K6135" s="15" t="s">
        <v>23</v>
      </c>
    </row>
    <row r="6136" spans="1:11" ht="42" customHeight="1">
      <c r="A6136" s="4" t="s">
        <v>13960</v>
      </c>
      <c r="B6136" s="5" t="s">
        <v>13960</v>
      </c>
      <c r="C6136" s="5" t="s">
        <v>41</v>
      </c>
      <c r="D6136" s="5" t="s">
        <v>42</v>
      </c>
      <c r="E6136" s="5" t="s">
        <v>43</v>
      </c>
      <c r="F6136" s="9">
        <v>46</v>
      </c>
      <c r="G6136" s="9">
        <v>481</v>
      </c>
      <c r="H6136" s="5" t="s">
        <v>21</v>
      </c>
      <c r="I6136" s="5" t="s">
        <v>13988</v>
      </c>
      <c r="J6136" s="12" t="str">
        <f>HYPERLINK("https://www.boe.es/gazeta/dias/1800/06/10/pdfs/GMD-1800-46.pdf#page=5","Abrir facsímil")</f>
        <v>Abrir facsímil</v>
      </c>
      <c r="K6136" s="15" t="s">
        <v>23</v>
      </c>
    </row>
    <row r="6137" spans="1:11" ht="42" customHeight="1">
      <c r="A6137" s="4" t="s">
        <v>13960</v>
      </c>
      <c r="B6137" s="5" t="s">
        <v>13960</v>
      </c>
      <c r="C6137" s="5" t="s">
        <v>41</v>
      </c>
      <c r="D6137" s="5" t="s">
        <v>42</v>
      </c>
      <c r="E6137" s="5" t="s">
        <v>465</v>
      </c>
      <c r="F6137" s="9">
        <v>49</v>
      </c>
      <c r="G6137" s="9">
        <v>528</v>
      </c>
      <c r="H6137" s="5" t="s">
        <v>21</v>
      </c>
      <c r="I6137" s="5" t="s">
        <v>13989</v>
      </c>
      <c r="J6137" s="12" t="str">
        <f>HYPERLINK("https://www.boe.es/gazeta/dias/1800/06/20/pdfs/GMD-1800-49.pdf#page=4","Abrir facsímil")</f>
        <v>Abrir facsímil</v>
      </c>
      <c r="K6137" s="15" t="s">
        <v>23</v>
      </c>
    </row>
    <row r="6138" spans="1:11" ht="42" customHeight="1">
      <c r="A6138" s="4" t="s">
        <v>13960</v>
      </c>
      <c r="B6138" s="5" t="s">
        <v>13960</v>
      </c>
      <c r="C6138" s="5" t="s">
        <v>18</v>
      </c>
      <c r="D6138" s="5" t="s">
        <v>19</v>
      </c>
      <c r="E6138" s="5" t="s">
        <v>825</v>
      </c>
      <c r="F6138" s="9">
        <v>51</v>
      </c>
      <c r="G6138" s="9">
        <v>553</v>
      </c>
      <c r="H6138" s="5" t="s">
        <v>21</v>
      </c>
      <c r="I6138" s="5" t="s">
        <v>13990</v>
      </c>
      <c r="J6138" s="12" t="str">
        <f>HYPERLINK("https://www.boe.es/gazeta/dias/1800/06/27/pdfs/GMD-1800-51.pdf#page=5","Abrir facsímil")</f>
        <v>Abrir facsímil</v>
      </c>
      <c r="K6138" s="15" t="s">
        <v>23</v>
      </c>
    </row>
    <row r="6139" spans="1:11" ht="42" customHeight="1">
      <c r="A6139" s="4" t="s">
        <v>13960</v>
      </c>
      <c r="B6139" s="5" t="s">
        <v>13960</v>
      </c>
      <c r="C6139" s="5" t="s">
        <v>41</v>
      </c>
      <c r="D6139" s="5" t="s">
        <v>42</v>
      </c>
      <c r="E6139" s="5" t="s">
        <v>825</v>
      </c>
      <c r="F6139" s="9">
        <v>51</v>
      </c>
      <c r="G6139" s="9">
        <v>554</v>
      </c>
      <c r="H6139" s="5" t="s">
        <v>21</v>
      </c>
      <c r="I6139" s="5" t="s">
        <v>13991</v>
      </c>
      <c r="J6139" s="12" t="str">
        <f>HYPERLINK("https://www.boe.es/gazeta/dias/1800/06/27/pdfs/GMD-1800-51.pdf#page=6","Abrir facsímil")</f>
        <v>Abrir facsímil</v>
      </c>
      <c r="K6139" s="15" t="s">
        <v>23</v>
      </c>
    </row>
    <row r="6140" spans="1:11" ht="42" customHeight="1">
      <c r="A6140" s="4" t="s">
        <v>13960</v>
      </c>
      <c r="B6140" s="5" t="s">
        <v>13960</v>
      </c>
      <c r="C6140" s="5" t="s">
        <v>18</v>
      </c>
      <c r="D6140" s="5" t="s">
        <v>19</v>
      </c>
      <c r="E6140" s="5" t="s">
        <v>90</v>
      </c>
      <c r="F6140" s="9">
        <v>58</v>
      </c>
      <c r="G6140" s="9">
        <v>656</v>
      </c>
      <c r="H6140" s="5" t="s">
        <v>21</v>
      </c>
      <c r="I6140" s="5" t="s">
        <v>13992</v>
      </c>
      <c r="J6140" s="12" t="str">
        <f>HYPERLINK("https://www.boe.es/gazeta/dias/1800/07/22/pdfs/GMD-1800-58.pdf#page=4","Abrir facsímil")</f>
        <v>Abrir facsímil</v>
      </c>
      <c r="K6140" s="15" t="s">
        <v>23</v>
      </c>
    </row>
    <row r="6141" spans="1:11" ht="42" customHeight="1">
      <c r="A6141" s="4" t="s">
        <v>13960</v>
      </c>
      <c r="B6141" s="5" t="s">
        <v>13960</v>
      </c>
      <c r="C6141" s="5" t="s">
        <v>41</v>
      </c>
      <c r="D6141" s="5" t="s">
        <v>42</v>
      </c>
      <c r="E6141" s="5" t="s">
        <v>275</v>
      </c>
      <c r="F6141" s="9">
        <v>60</v>
      </c>
      <c r="G6141" s="9">
        <v>683</v>
      </c>
      <c r="H6141" s="5" t="s">
        <v>21</v>
      </c>
      <c r="I6141" s="5" t="s">
        <v>13993</v>
      </c>
      <c r="J6141" s="12" t="str">
        <f>HYPERLINK("https://www.boe.es/gazeta/dias/1800/07/29/pdfs/GMD-1800-60.pdf#page=3","Abrir facsímil")</f>
        <v>Abrir facsímil</v>
      </c>
      <c r="K6141" s="15" t="s">
        <v>23</v>
      </c>
    </row>
    <row r="6142" spans="1:11" ht="42" customHeight="1">
      <c r="A6142" s="4" t="s">
        <v>13960</v>
      </c>
      <c r="B6142" s="5" t="s">
        <v>13960</v>
      </c>
      <c r="C6142" s="5" t="s">
        <v>41</v>
      </c>
      <c r="D6142" s="5" t="s">
        <v>42</v>
      </c>
      <c r="E6142" s="5" t="s">
        <v>319</v>
      </c>
      <c r="F6142" s="9">
        <v>62</v>
      </c>
      <c r="G6142" s="9">
        <v>704</v>
      </c>
      <c r="H6142" s="5" t="s">
        <v>21</v>
      </c>
      <c r="I6142" s="5" t="s">
        <v>13994</v>
      </c>
      <c r="J6142" s="12" t="str">
        <f>HYPERLINK("https://www.boe.es/gazeta/dias/1800/08/05/pdfs/GMD-1800-62.pdf#page=4","Abrir facsímil")</f>
        <v>Abrir facsímil</v>
      </c>
      <c r="K6142" s="15" t="s">
        <v>23</v>
      </c>
    </row>
    <row r="6143" spans="1:11" ht="42" customHeight="1">
      <c r="A6143" s="4" t="s">
        <v>13960</v>
      </c>
      <c r="B6143" s="5" t="s">
        <v>13960</v>
      </c>
      <c r="C6143" s="5" t="s">
        <v>41</v>
      </c>
      <c r="D6143" s="5" t="s">
        <v>42</v>
      </c>
      <c r="E6143" s="5" t="s">
        <v>454</v>
      </c>
      <c r="F6143" s="9">
        <v>63</v>
      </c>
      <c r="G6143" s="9">
        <v>716</v>
      </c>
      <c r="H6143" s="5" t="s">
        <v>21</v>
      </c>
      <c r="I6143" s="5" t="s">
        <v>13995</v>
      </c>
      <c r="J6143" s="12" t="str">
        <f>HYPERLINK("https://www.boe.es/gazeta/dias/1800/08/08/pdfs/GMD-1800-63.pdf#page=4","Abrir facsímil")</f>
        <v>Abrir facsímil</v>
      </c>
      <c r="K6143" s="15" t="s">
        <v>23</v>
      </c>
    </row>
    <row r="6144" spans="1:11" ht="42" customHeight="1">
      <c r="A6144" s="4" t="s">
        <v>13960</v>
      </c>
      <c r="B6144" s="5" t="s">
        <v>13960</v>
      </c>
      <c r="C6144" s="5" t="s">
        <v>41</v>
      </c>
      <c r="D6144" s="5" t="s">
        <v>42</v>
      </c>
      <c r="E6144" s="5" t="s">
        <v>48</v>
      </c>
      <c r="F6144" s="9">
        <v>66</v>
      </c>
      <c r="G6144" s="9">
        <v>739</v>
      </c>
      <c r="H6144" s="5" t="s">
        <v>21</v>
      </c>
      <c r="I6144" s="5" t="s">
        <v>13996</v>
      </c>
      <c r="J6144" s="12" t="str">
        <f>HYPERLINK("https://www.boe.es/gazeta/dias/1800/08/19/pdfs/GMD-1800-66.pdf#page=3","Abrir facsímil")</f>
        <v>Abrir facsímil</v>
      </c>
      <c r="K6144" s="15" t="s">
        <v>23</v>
      </c>
    </row>
    <row r="6145" spans="1:11" ht="42" customHeight="1">
      <c r="A6145" s="4" t="s">
        <v>13960</v>
      </c>
      <c r="B6145" s="5" t="s">
        <v>13960</v>
      </c>
      <c r="C6145" s="5" t="s">
        <v>41</v>
      </c>
      <c r="D6145" s="5" t="s">
        <v>42</v>
      </c>
      <c r="E6145" s="5" t="s">
        <v>48</v>
      </c>
      <c r="F6145" s="9">
        <v>66</v>
      </c>
      <c r="G6145" s="9">
        <v>740</v>
      </c>
      <c r="H6145" s="5" t="s">
        <v>21</v>
      </c>
      <c r="I6145" s="5" t="s">
        <v>13997</v>
      </c>
      <c r="J6145" s="12" t="str">
        <f>HYPERLINK("https://www.boe.es/gazeta/dias/1800/08/19/pdfs/GMD-1800-66.pdf#page=4","Abrir facsímil")</f>
        <v>Abrir facsímil</v>
      </c>
      <c r="K6145" s="15" t="s">
        <v>23</v>
      </c>
    </row>
    <row r="6146" spans="1:11" ht="42" customHeight="1">
      <c r="A6146" s="4" t="s">
        <v>13960</v>
      </c>
      <c r="B6146" s="5" t="s">
        <v>13960</v>
      </c>
      <c r="C6146" s="5" t="s">
        <v>18</v>
      </c>
      <c r="D6146" s="5" t="s">
        <v>19</v>
      </c>
      <c r="E6146" s="5" t="s">
        <v>68</v>
      </c>
      <c r="F6146" s="9">
        <v>67</v>
      </c>
      <c r="G6146" s="9">
        <v>751</v>
      </c>
      <c r="H6146" s="5" t="s">
        <v>21</v>
      </c>
      <c r="I6146" s="5" t="s">
        <v>13998</v>
      </c>
      <c r="J6146" s="12" t="str">
        <f>HYPERLINK("https://www.boe.es/gazeta/dias/1800/08/22/pdfs/GMD-1800-67.pdf#page=3","Abrir facsímil")</f>
        <v>Abrir facsímil</v>
      </c>
      <c r="K6146" s="15" t="s">
        <v>23</v>
      </c>
    </row>
    <row r="6147" spans="1:11" ht="42" customHeight="1">
      <c r="A6147" s="4" t="s">
        <v>13960</v>
      </c>
      <c r="B6147" s="5" t="s">
        <v>13960</v>
      </c>
      <c r="C6147" s="5" t="s">
        <v>41</v>
      </c>
      <c r="D6147" s="5" t="s">
        <v>42</v>
      </c>
      <c r="E6147" s="5" t="s">
        <v>68</v>
      </c>
      <c r="F6147" s="9">
        <v>67</v>
      </c>
      <c r="G6147" s="9">
        <v>752</v>
      </c>
      <c r="H6147" s="5" t="s">
        <v>21</v>
      </c>
      <c r="I6147" s="5" t="s">
        <v>13999</v>
      </c>
      <c r="J6147" s="12" t="str">
        <f>HYPERLINK("https://www.boe.es/gazeta/dias/1800/08/22/pdfs/GMD-1800-67.pdf#page=4","Abrir facsímil")</f>
        <v>Abrir facsímil</v>
      </c>
      <c r="K6147" s="15" t="s">
        <v>23</v>
      </c>
    </row>
    <row r="6148" spans="1:11" ht="42" customHeight="1">
      <c r="A6148" s="4" t="s">
        <v>13960</v>
      </c>
      <c r="B6148" s="5" t="s">
        <v>13960</v>
      </c>
      <c r="C6148" s="5" t="s">
        <v>41</v>
      </c>
      <c r="D6148" s="5" t="s">
        <v>42</v>
      </c>
      <c r="E6148" s="5" t="s">
        <v>283</v>
      </c>
      <c r="F6148" s="9">
        <v>68</v>
      </c>
      <c r="G6148" s="9">
        <v>761</v>
      </c>
      <c r="H6148" s="5" t="s">
        <v>21</v>
      </c>
      <c r="I6148" s="5" t="s">
        <v>14000</v>
      </c>
      <c r="J6148" s="12" t="str">
        <f>HYPERLINK("https://www.boe.es/gazeta/dias/1800/08/26/pdfs/GMD-1800-68.pdf#page=5","Abrir facsímil")</f>
        <v>Abrir facsímil</v>
      </c>
      <c r="K6148" s="15" t="s">
        <v>23</v>
      </c>
    </row>
    <row r="6149" spans="1:11" ht="42" customHeight="1">
      <c r="A6149" s="4" t="s">
        <v>13960</v>
      </c>
      <c r="B6149" s="5" t="s">
        <v>13960</v>
      </c>
      <c r="C6149" s="5" t="s">
        <v>41</v>
      </c>
      <c r="D6149" s="5" t="s">
        <v>42</v>
      </c>
      <c r="E6149" s="5" t="s">
        <v>590</v>
      </c>
      <c r="F6149" s="9">
        <v>69</v>
      </c>
      <c r="G6149" s="9">
        <v>773</v>
      </c>
      <c r="H6149" s="5" t="s">
        <v>21</v>
      </c>
      <c r="I6149" s="5" t="s">
        <v>14001</v>
      </c>
      <c r="J6149" s="12" t="str">
        <f>HYPERLINK("https://www.boe.es/gazeta/dias/1800/08/29/pdfs/GMD-1800-69.pdf#page=5","Abrir facsímil")</f>
        <v>Abrir facsímil</v>
      </c>
      <c r="K6149" s="15" t="s">
        <v>23</v>
      </c>
    </row>
    <row r="6150" spans="1:11" ht="42" customHeight="1">
      <c r="A6150" s="4" t="s">
        <v>13960</v>
      </c>
      <c r="B6150" s="5" t="s">
        <v>13960</v>
      </c>
      <c r="C6150" s="5" t="s">
        <v>41</v>
      </c>
      <c r="D6150" s="5" t="s">
        <v>42</v>
      </c>
      <c r="E6150" s="5" t="s">
        <v>595</v>
      </c>
      <c r="F6150" s="9">
        <v>72</v>
      </c>
      <c r="G6150" s="9">
        <v>794</v>
      </c>
      <c r="H6150" s="5" t="s">
        <v>21</v>
      </c>
      <c r="I6150" s="5" t="s">
        <v>14002</v>
      </c>
      <c r="J6150" s="12" t="str">
        <f>HYPERLINK("https://www.boe.es/gazeta/dias/1800/09/05/pdfs/GMD-1800-72.pdf#page=4","Abrir facsímil")</f>
        <v>Abrir facsímil</v>
      </c>
      <c r="K6150" s="15" t="s">
        <v>23</v>
      </c>
    </row>
    <row r="6151" spans="1:11" ht="42" customHeight="1">
      <c r="A6151" s="4" t="s">
        <v>13960</v>
      </c>
      <c r="B6151" s="5" t="s">
        <v>13960</v>
      </c>
      <c r="C6151" s="5" t="s">
        <v>18</v>
      </c>
      <c r="D6151" s="5" t="s">
        <v>19</v>
      </c>
      <c r="E6151" s="5" t="s">
        <v>50</v>
      </c>
      <c r="F6151" s="9">
        <v>81</v>
      </c>
      <c r="G6151" s="9">
        <v>915</v>
      </c>
      <c r="H6151" s="5" t="s">
        <v>21</v>
      </c>
      <c r="I6151" s="5" t="s">
        <v>14003</v>
      </c>
      <c r="J6151" s="12" t="str">
        <f>HYPERLINK("https://www.boe.es/gazeta/dias/1800/10/07/pdfs/GMD-1800-81.pdf#page=5","Abrir facsímil")</f>
        <v>Abrir facsímil</v>
      </c>
      <c r="K6151" s="15" t="s">
        <v>23</v>
      </c>
    </row>
    <row r="6152" spans="1:11" ht="42" customHeight="1">
      <c r="A6152" s="4" t="s">
        <v>13960</v>
      </c>
      <c r="B6152" s="5" t="s">
        <v>13960</v>
      </c>
      <c r="C6152" s="5" t="s">
        <v>41</v>
      </c>
      <c r="D6152" s="5" t="s">
        <v>42</v>
      </c>
      <c r="E6152" s="5" t="s">
        <v>180</v>
      </c>
      <c r="F6152" s="9">
        <v>102</v>
      </c>
      <c r="G6152" s="9">
        <v>1181</v>
      </c>
      <c r="H6152" s="5" t="s">
        <v>21</v>
      </c>
      <c r="I6152" s="5" t="s">
        <v>14004</v>
      </c>
      <c r="J6152" s="12" t="str">
        <f>HYPERLINK("https://www.boe.es/gazeta/dias/1800/12/19/pdfs/GMD-1800-102.pdf#page=5","Abrir facsímil")</f>
        <v>Abrir facsímil</v>
      </c>
      <c r="K6152" s="15" t="s">
        <v>23</v>
      </c>
    </row>
    <row r="6153" spans="1:11" ht="42" customHeight="1">
      <c r="A6153" s="4" t="s">
        <v>13960</v>
      </c>
      <c r="B6153" s="5" t="s">
        <v>13960</v>
      </c>
      <c r="C6153" s="5" t="s">
        <v>41</v>
      </c>
      <c r="D6153" s="5" t="s">
        <v>42</v>
      </c>
      <c r="E6153" s="5" t="s">
        <v>20</v>
      </c>
      <c r="F6153" s="9">
        <v>104</v>
      </c>
      <c r="G6153" s="9">
        <v>1205</v>
      </c>
      <c r="H6153" s="5" t="s">
        <v>21</v>
      </c>
      <c r="I6153" s="5" t="s">
        <v>14005</v>
      </c>
      <c r="J6153" s="12" t="str">
        <f>HYPERLINK("https://www.boe.es/gazeta/dias/1800/12/26/pdfs/GMD-1800-104.pdf#page=5","Abrir facsímil")</f>
        <v>Abrir facsímil</v>
      </c>
      <c r="K6153" s="15" t="s">
        <v>23</v>
      </c>
    </row>
    <row r="6154" spans="1:11" ht="42" customHeight="1">
      <c r="A6154" s="4" t="s">
        <v>13960</v>
      </c>
      <c r="B6154" s="5" t="s">
        <v>13960</v>
      </c>
      <c r="C6154" s="5" t="s">
        <v>41</v>
      </c>
      <c r="D6154" s="5" t="s">
        <v>42</v>
      </c>
      <c r="E6154" s="5" t="s">
        <v>60</v>
      </c>
      <c r="F6154" s="9">
        <v>105</v>
      </c>
      <c r="G6154" s="9">
        <v>1221</v>
      </c>
      <c r="H6154" s="5" t="s">
        <v>21</v>
      </c>
      <c r="I6154" s="5" t="s">
        <v>14006</v>
      </c>
      <c r="J6154" s="12" t="str">
        <f>HYPERLINK("https://www.boe.es/gazeta/dias/1800/12/30/pdfs/GMD-1800-105.pdf#page=5","Abrir facsímil")</f>
        <v>Abrir facsímil</v>
      </c>
      <c r="K6154" s="15" t="s">
        <v>23</v>
      </c>
    </row>
    <row r="6155" spans="1:11" ht="42" customHeight="1">
      <c r="A6155" s="4" t="s">
        <v>14007</v>
      </c>
      <c r="B6155" s="5" t="s">
        <v>14008</v>
      </c>
      <c r="C6155" s="5" t="s">
        <v>18</v>
      </c>
      <c r="D6155" s="5" t="s">
        <v>19</v>
      </c>
      <c r="E6155" s="5" t="s">
        <v>154</v>
      </c>
      <c r="F6155" s="9">
        <v>61</v>
      </c>
      <c r="G6155" s="9">
        <v>697</v>
      </c>
      <c r="H6155" s="5" t="s">
        <v>21</v>
      </c>
      <c r="I6155" s="5" t="s">
        <v>14009</v>
      </c>
      <c r="J6155" s="12" t="str">
        <f>HYPERLINK("https://www.boe.es/gazeta/dias/1800/08/01/pdfs/GMD-1800-61.pdf#page=9","Abrir facsímil")</f>
        <v>Abrir facsímil</v>
      </c>
      <c r="K6155" s="15" t="s">
        <v>23</v>
      </c>
    </row>
    <row r="6156" spans="1:11" ht="42" customHeight="1">
      <c r="A6156" s="4" t="s">
        <v>14010</v>
      </c>
      <c r="B6156" s="5" t="s">
        <v>14011</v>
      </c>
      <c r="C6156" s="5" t="s">
        <v>25</v>
      </c>
      <c r="D6156" s="5" t="s">
        <v>26</v>
      </c>
      <c r="E6156" s="5" t="s">
        <v>572</v>
      </c>
      <c r="F6156" s="9">
        <v>76</v>
      </c>
      <c r="G6156" s="9">
        <v>870</v>
      </c>
      <c r="H6156" s="5" t="s">
        <v>21</v>
      </c>
      <c r="I6156" s="5" t="s">
        <v>14012</v>
      </c>
      <c r="J6156" s="12" t="str">
        <f>HYPERLINK("https://www.boe.es/gazeta/dias/1800/09/19/pdfs/GMD-1800-76.pdf#page=12","Abrir facsímil")</f>
        <v>Abrir facsímil</v>
      </c>
      <c r="K6156" s="15" t="s">
        <v>23</v>
      </c>
    </row>
    <row r="6157" spans="1:11" ht="42" customHeight="1">
      <c r="A6157" s="4" t="s">
        <v>14013</v>
      </c>
      <c r="B6157" s="5" t="s">
        <v>14014</v>
      </c>
      <c r="C6157" s="5" t="s">
        <v>207</v>
      </c>
      <c r="D6157" s="5" t="s">
        <v>55</v>
      </c>
      <c r="E6157" s="5" t="s">
        <v>43</v>
      </c>
      <c r="F6157" s="9">
        <v>46</v>
      </c>
      <c r="G6157" s="9">
        <v>487</v>
      </c>
      <c r="H6157" s="5" t="s">
        <v>21</v>
      </c>
      <c r="I6157" s="5" t="s">
        <v>14015</v>
      </c>
      <c r="J6157" s="12" t="str">
        <f>HYPERLINK("https://www.boe.es/gazeta/dias/1800/06/10/pdfs/GMD-1800-46.pdf#page=11","Abrir facsímil")</f>
        <v>Abrir facsímil</v>
      </c>
      <c r="K6157" s="15" t="s">
        <v>23</v>
      </c>
    </row>
    <row r="6158" spans="1:11" ht="42" customHeight="1">
      <c r="A6158" s="4" t="s">
        <v>14016</v>
      </c>
      <c r="B6158" s="5" t="s">
        <v>14017</v>
      </c>
      <c r="C6158" s="5" t="s">
        <v>207</v>
      </c>
      <c r="D6158" s="5" t="s">
        <v>55</v>
      </c>
      <c r="E6158" s="5" t="s">
        <v>299</v>
      </c>
      <c r="F6158" s="9">
        <v>40</v>
      </c>
      <c r="G6158" s="9">
        <v>412</v>
      </c>
      <c r="H6158" s="5" t="s">
        <v>21</v>
      </c>
      <c r="I6158" s="5" t="s">
        <v>14018</v>
      </c>
      <c r="J6158" s="12" t="str">
        <f>HYPERLINK("https://www.boe.es/gazeta/dias/1800/05/20/pdfs/GMD-1800-40.pdf#page=8","Abrir facsímil")</f>
        <v>Abrir facsímil</v>
      </c>
      <c r="K6158" s="15" t="s">
        <v>23</v>
      </c>
    </row>
    <row r="6159" spans="1:11" ht="42" customHeight="1">
      <c r="A6159" s="4" t="s">
        <v>14019</v>
      </c>
      <c r="B6159" s="5" t="s">
        <v>14020</v>
      </c>
      <c r="C6159" s="5" t="s">
        <v>207</v>
      </c>
      <c r="D6159" s="5" t="s">
        <v>55</v>
      </c>
      <c r="E6159" s="5" t="s">
        <v>306</v>
      </c>
      <c r="F6159" s="9">
        <v>79</v>
      </c>
      <c r="G6159" s="9">
        <v>899</v>
      </c>
      <c r="H6159" s="5" t="s">
        <v>21</v>
      </c>
      <c r="I6159" s="5" t="s">
        <v>14021</v>
      </c>
      <c r="J6159" s="12" t="str">
        <f>HYPERLINK("https://www.boe.es/gazeta/dias/1800/09/30/pdfs/GMD-1800-79.pdf#page=9","Abrir facsímil")</f>
        <v>Abrir facsímil</v>
      </c>
      <c r="K6159" s="15" t="s">
        <v>23</v>
      </c>
    </row>
    <row r="6160" spans="1:11" ht="42" customHeight="1">
      <c r="A6160" s="4" t="s">
        <v>14022</v>
      </c>
      <c r="B6160" s="5" t="s">
        <v>14023</v>
      </c>
      <c r="C6160" s="5" t="s">
        <v>18</v>
      </c>
      <c r="D6160" s="5" t="s">
        <v>19</v>
      </c>
      <c r="E6160" s="5" t="s">
        <v>314</v>
      </c>
      <c r="F6160" s="9">
        <v>74</v>
      </c>
      <c r="G6160" s="9">
        <v>833</v>
      </c>
      <c r="H6160" s="5" t="s">
        <v>21</v>
      </c>
      <c r="I6160" s="5" t="s">
        <v>14024</v>
      </c>
      <c r="J6160" s="12" t="str">
        <f>HYPERLINK("https://www.boe.es/gazeta/dias/1800/09/12/pdfs/GMD-1800-74.pdf#page=11","Abrir facsímil")</f>
        <v>Abrir facsímil</v>
      </c>
      <c r="K6160" s="15" t="s">
        <v>23</v>
      </c>
    </row>
    <row r="6161" spans="1:11" ht="42" customHeight="1">
      <c r="A6161" s="4" t="s">
        <v>14025</v>
      </c>
      <c r="B6161" s="5" t="s">
        <v>14026</v>
      </c>
      <c r="C6161" s="5" t="s">
        <v>18</v>
      </c>
      <c r="D6161" s="5" t="s">
        <v>19</v>
      </c>
      <c r="E6161" s="5" t="s">
        <v>56</v>
      </c>
      <c r="F6161" s="9">
        <v>90</v>
      </c>
      <c r="G6161" s="9">
        <v>1054</v>
      </c>
      <c r="H6161" s="5" t="s">
        <v>21</v>
      </c>
      <c r="I6161" s="5" t="s">
        <v>14027</v>
      </c>
      <c r="J6161" s="12" t="str">
        <f>HYPERLINK("https://www.boe.es/gazeta/dias/1800/11/07/pdfs/GMD-1800-90.pdf#page=8","Abrir facsímil")</f>
        <v>Abrir facsímil</v>
      </c>
      <c r="K6161" s="15" t="s">
        <v>23</v>
      </c>
    </row>
    <row r="6162" spans="1:11" ht="42" customHeight="1">
      <c r="A6162" s="4" t="s">
        <v>14028</v>
      </c>
      <c r="B6162" s="5" t="s">
        <v>14029</v>
      </c>
      <c r="C6162" s="5" t="s">
        <v>1179</v>
      </c>
      <c r="D6162" s="5" t="s">
        <v>1180</v>
      </c>
      <c r="E6162" s="5" t="s">
        <v>314</v>
      </c>
      <c r="F6162" s="9">
        <v>74</v>
      </c>
      <c r="G6162" s="9">
        <v>844</v>
      </c>
      <c r="H6162" s="5" t="s">
        <v>21</v>
      </c>
      <c r="I6162" s="5" t="s">
        <v>14030</v>
      </c>
      <c r="J6162" s="12" t="str">
        <f>HYPERLINK("https://www.boe.es/gazeta/dias/1800/09/12/pdfs/GMD-C-1800-74.pdf#page=6","Abrir facsímil")</f>
        <v>Abrir facsímil</v>
      </c>
      <c r="K6162" s="15" t="s">
        <v>23</v>
      </c>
    </row>
    <row r="6163" spans="1:11" ht="42" customHeight="1">
      <c r="A6163" s="4" t="s">
        <v>14031</v>
      </c>
      <c r="B6163" s="5" t="s">
        <v>14032</v>
      </c>
      <c r="C6163" s="5" t="s">
        <v>18</v>
      </c>
      <c r="D6163" s="5" t="s">
        <v>19</v>
      </c>
      <c r="E6163" s="5" t="s">
        <v>314</v>
      </c>
      <c r="F6163" s="9">
        <v>74</v>
      </c>
      <c r="G6163" s="9">
        <v>833</v>
      </c>
      <c r="H6163" s="5" t="s">
        <v>21</v>
      </c>
      <c r="I6163" s="5" t="s">
        <v>14033</v>
      </c>
      <c r="J6163" s="12" t="str">
        <f>HYPERLINK("https://www.boe.es/gazeta/dias/1800/09/12/pdfs/GMD-1800-74.pdf#page=11","Abrir facsímil")</f>
        <v>Abrir facsímil</v>
      </c>
      <c r="K6163" s="15" t="s">
        <v>23</v>
      </c>
    </row>
    <row r="6164" spans="1:11" ht="42" customHeight="1">
      <c r="A6164" s="4" t="s">
        <v>14034</v>
      </c>
      <c r="B6164" s="5" t="s">
        <v>14035</v>
      </c>
      <c r="C6164" s="5" t="s">
        <v>25</v>
      </c>
      <c r="D6164" s="5" t="s">
        <v>26</v>
      </c>
      <c r="E6164" s="5" t="s">
        <v>45</v>
      </c>
      <c r="F6164" s="9">
        <v>47</v>
      </c>
      <c r="G6164" s="9">
        <v>503</v>
      </c>
      <c r="H6164" s="5" t="s">
        <v>21</v>
      </c>
      <c r="I6164" s="5" t="s">
        <v>14036</v>
      </c>
      <c r="J6164" s="12" t="str">
        <f>HYPERLINK("https://www.boe.es/gazeta/dias/1800/06/13/pdfs/GMD-1800-47.pdf#page=11","Abrir facsímil")</f>
        <v>Abrir facsímil</v>
      </c>
      <c r="K6164" s="15" t="s">
        <v>23</v>
      </c>
    </row>
    <row r="6165" spans="1:11" ht="42" customHeight="1">
      <c r="A6165" s="4" t="s">
        <v>14037</v>
      </c>
      <c r="B6165" s="5" t="s">
        <v>14037</v>
      </c>
      <c r="C6165" s="5" t="s">
        <v>171</v>
      </c>
      <c r="D6165" s="5" t="s">
        <v>172</v>
      </c>
      <c r="E6165" s="5" t="s">
        <v>465</v>
      </c>
      <c r="F6165" s="9">
        <v>49</v>
      </c>
      <c r="G6165" s="9">
        <v>534</v>
      </c>
      <c r="H6165" s="5" t="s">
        <v>21</v>
      </c>
      <c r="I6165" s="5" t="s">
        <v>14038</v>
      </c>
      <c r="J6165" s="12" t="str">
        <f>HYPERLINK("https://www.boe.es/gazeta/dias/1800/06/20/pdfs/GMD-C-1800-49.pdf#page=2","Abrir facsímil")</f>
        <v>Abrir facsímil</v>
      </c>
      <c r="K6165" s="15" t="s">
        <v>23</v>
      </c>
    </row>
    <row r="6166" spans="1:11" ht="42" customHeight="1">
      <c r="A6166" s="4" t="s">
        <v>14039</v>
      </c>
      <c r="B6166" s="5" t="s">
        <v>14040</v>
      </c>
      <c r="C6166" s="5" t="s">
        <v>18</v>
      </c>
      <c r="D6166" s="5" t="s">
        <v>19</v>
      </c>
      <c r="E6166" s="5" t="s">
        <v>176</v>
      </c>
      <c r="F6166" s="9">
        <v>88</v>
      </c>
      <c r="G6166" s="9">
        <v>1031</v>
      </c>
      <c r="H6166" s="5" t="s">
        <v>21</v>
      </c>
      <c r="I6166" s="5" t="s">
        <v>14041</v>
      </c>
      <c r="J6166" s="12" t="str">
        <f>HYPERLINK("https://www.boe.es/gazeta/dias/1800/10/31/pdfs/GMD-1800-88.pdf#page=13","Abrir facsímil")</f>
        <v>Abrir facsímil</v>
      </c>
      <c r="K6166" s="15" t="s">
        <v>23</v>
      </c>
    </row>
    <row r="6167" spans="1:11" ht="42" customHeight="1">
      <c r="A6167" s="4" t="s">
        <v>14042</v>
      </c>
      <c r="B6167" s="5" t="s">
        <v>14043</v>
      </c>
      <c r="C6167" s="5" t="s">
        <v>41</v>
      </c>
      <c r="D6167" s="5" t="s">
        <v>42</v>
      </c>
      <c r="E6167" s="5" t="s">
        <v>86</v>
      </c>
      <c r="F6167" s="9">
        <v>17</v>
      </c>
      <c r="G6167" s="9">
        <v>160</v>
      </c>
      <c r="H6167" s="5" t="s">
        <v>21</v>
      </c>
      <c r="I6167" s="5" t="s">
        <v>14044</v>
      </c>
      <c r="J6167" s="12" t="str">
        <f>HYPERLINK("https://www.boe.es/gazeta/dias/1800/02/28/pdfs/GMD-1800-17.pdf#page=8","Abrir facsímil")</f>
        <v>Abrir facsímil</v>
      </c>
      <c r="K6167" s="15" t="s">
        <v>23</v>
      </c>
    </row>
    <row r="6168" spans="1:11" ht="42" customHeight="1">
      <c r="A6168" s="4" t="s">
        <v>14045</v>
      </c>
      <c r="B6168" s="5" t="s">
        <v>14046</v>
      </c>
      <c r="C6168" s="5" t="s">
        <v>18</v>
      </c>
      <c r="D6168" s="5" t="s">
        <v>19</v>
      </c>
      <c r="E6168" s="5" t="s">
        <v>35</v>
      </c>
      <c r="F6168" s="9">
        <v>21</v>
      </c>
      <c r="G6168" s="9">
        <v>206</v>
      </c>
      <c r="H6168" s="5" t="s">
        <v>21</v>
      </c>
      <c r="I6168" s="5" t="s">
        <v>14047</v>
      </c>
      <c r="J6168" s="12" t="str">
        <f>HYPERLINK("https://www.boe.es/gazeta/dias/1800/03/14/pdfs/GMD-1800-21.pdf#page=10","Abrir facsímil")</f>
        <v>Abrir facsímil</v>
      </c>
      <c r="K6168" s="15" t="s">
        <v>23</v>
      </c>
    </row>
    <row r="6169" spans="1:11" ht="42" customHeight="1">
      <c r="A6169" s="4" t="s">
        <v>14048</v>
      </c>
      <c r="B6169" s="5" t="s">
        <v>14048</v>
      </c>
      <c r="C6169" s="5" t="s">
        <v>18</v>
      </c>
      <c r="D6169" s="5" t="s">
        <v>19</v>
      </c>
      <c r="E6169" s="5" t="s">
        <v>79</v>
      </c>
      <c r="F6169" s="9">
        <v>7</v>
      </c>
      <c r="G6169" s="9">
        <v>66</v>
      </c>
      <c r="H6169" s="5" t="s">
        <v>21</v>
      </c>
      <c r="I6169" s="5" t="s">
        <v>14049</v>
      </c>
      <c r="J6169" s="12" t="str">
        <f>HYPERLINK("https://www.boe.es/gazeta/dias/1800/01/24/pdfs/GMD-1800-7.pdf#page=6","Abrir facsímil")</f>
        <v>Abrir facsímil</v>
      </c>
      <c r="K6169" s="15" t="s">
        <v>23</v>
      </c>
    </row>
    <row r="6170" spans="1:11" ht="42" customHeight="1">
      <c r="A6170" s="4" t="s">
        <v>14050</v>
      </c>
      <c r="B6170" s="5" t="s">
        <v>14051</v>
      </c>
      <c r="C6170" s="5" t="s">
        <v>18</v>
      </c>
      <c r="D6170" s="5" t="s">
        <v>19</v>
      </c>
      <c r="E6170" s="5" t="s">
        <v>105</v>
      </c>
      <c r="F6170" s="9">
        <v>28</v>
      </c>
      <c r="G6170" s="9">
        <v>291</v>
      </c>
      <c r="H6170" s="5" t="s">
        <v>21</v>
      </c>
      <c r="I6170" s="5" t="s">
        <v>14052</v>
      </c>
      <c r="J6170" s="12" t="str">
        <f>HYPERLINK("https://www.boe.es/gazeta/dias/1800/04/08/pdfs/GMD-1800-28.pdf#page=7","Abrir facsímil")</f>
        <v>Abrir facsímil</v>
      </c>
      <c r="K6170" s="15" t="s">
        <v>23</v>
      </c>
    </row>
    <row r="6171" spans="1:11" ht="42" customHeight="1">
      <c r="A6171" s="4" t="s">
        <v>14053</v>
      </c>
      <c r="B6171" s="5" t="s">
        <v>14054</v>
      </c>
      <c r="C6171" s="5" t="s">
        <v>41</v>
      </c>
      <c r="D6171" s="5" t="s">
        <v>42</v>
      </c>
      <c r="E6171" s="5" t="s">
        <v>194</v>
      </c>
      <c r="F6171" s="9">
        <v>48</v>
      </c>
      <c r="G6171" s="9">
        <v>516</v>
      </c>
      <c r="H6171" s="5" t="s">
        <v>21</v>
      </c>
      <c r="I6171" s="5" t="s">
        <v>14055</v>
      </c>
      <c r="J6171" s="12" t="str">
        <f>HYPERLINK("https://www.boe.es/gazeta/dias/1800/06/17/pdfs/GMD-1800-48.pdf#page=8","Abrir facsímil")</f>
        <v>Abrir facsímil</v>
      </c>
      <c r="K6171" s="15" t="s">
        <v>23</v>
      </c>
    </row>
    <row r="6172" spans="1:11" ht="42" customHeight="1">
      <c r="A6172" s="4" t="s">
        <v>14053</v>
      </c>
      <c r="B6172" s="5" t="s">
        <v>14054</v>
      </c>
      <c r="C6172" s="5" t="s">
        <v>25</v>
      </c>
      <c r="D6172" s="5" t="s">
        <v>26</v>
      </c>
      <c r="E6172" s="5" t="s">
        <v>196</v>
      </c>
      <c r="F6172" s="9">
        <v>97</v>
      </c>
      <c r="G6172" s="9">
        <v>1116</v>
      </c>
      <c r="H6172" s="5" t="s">
        <v>21</v>
      </c>
      <c r="I6172" s="5" t="s">
        <v>14056</v>
      </c>
      <c r="J6172" s="12" t="str">
        <f>HYPERLINK("https://www.boe.es/gazeta/dias/1800/12/02/pdfs/GMD-1800-97.pdf#page=8","Abrir facsímil")</f>
        <v>Abrir facsímil</v>
      </c>
      <c r="K6172" s="15" t="s">
        <v>23</v>
      </c>
    </row>
    <row r="6173" spans="1:11" ht="42" customHeight="1">
      <c r="A6173" s="4" t="s">
        <v>14057</v>
      </c>
      <c r="B6173" s="5" t="s">
        <v>14058</v>
      </c>
      <c r="C6173" s="5" t="s">
        <v>41</v>
      </c>
      <c r="D6173" s="5" t="s">
        <v>42</v>
      </c>
      <c r="E6173" s="5" t="s">
        <v>402</v>
      </c>
      <c r="F6173" s="9">
        <v>101</v>
      </c>
      <c r="G6173" s="9">
        <v>1172</v>
      </c>
      <c r="H6173" s="5" t="s">
        <v>21</v>
      </c>
      <c r="I6173" s="5" t="s">
        <v>14059</v>
      </c>
      <c r="J6173" s="12" t="str">
        <f>HYPERLINK("https://www.boe.es/gazeta/dias/1800/12/16/pdfs/GMD-1800-101.pdf#page=8","Abrir facsímil")</f>
        <v>Abrir facsímil</v>
      </c>
      <c r="K6173" s="15" t="s">
        <v>23</v>
      </c>
    </row>
    <row r="6174" spans="1:11" ht="42" customHeight="1">
      <c r="A6174" s="4" t="s">
        <v>14060</v>
      </c>
      <c r="B6174" s="5" t="s">
        <v>14060</v>
      </c>
      <c r="C6174" s="5" t="s">
        <v>41</v>
      </c>
      <c r="D6174" s="5" t="s">
        <v>42</v>
      </c>
      <c r="E6174" s="5" t="s">
        <v>406</v>
      </c>
      <c r="F6174" s="9">
        <v>44</v>
      </c>
      <c r="G6174" s="9">
        <v>456</v>
      </c>
      <c r="H6174" s="5" t="s">
        <v>21</v>
      </c>
      <c r="I6174" s="5" t="s">
        <v>14061</v>
      </c>
      <c r="J6174" s="12" t="str">
        <f>HYPERLINK("https://www.boe.es/gazeta/dias/1800/06/03/pdfs/GMD-1800-44.pdf#page=4","Abrir facsímil")</f>
        <v>Abrir facsímil</v>
      </c>
      <c r="K6174" s="15" t="s">
        <v>23</v>
      </c>
    </row>
    <row r="6175" spans="1:11" ht="42" customHeight="1">
      <c r="A6175" s="4" t="s">
        <v>14062</v>
      </c>
      <c r="B6175" s="5" t="s">
        <v>14063</v>
      </c>
      <c r="C6175" s="5" t="s">
        <v>25</v>
      </c>
      <c r="D6175" s="5" t="s">
        <v>26</v>
      </c>
      <c r="E6175" s="5" t="s">
        <v>45</v>
      </c>
      <c r="F6175" s="9">
        <v>47</v>
      </c>
      <c r="G6175" s="9">
        <v>502</v>
      </c>
      <c r="H6175" s="5" t="s">
        <v>21</v>
      </c>
      <c r="I6175" s="5" t="s">
        <v>14064</v>
      </c>
      <c r="J6175" s="12" t="str">
        <f>HYPERLINK("https://www.boe.es/gazeta/dias/1800/06/13/pdfs/GMD-1800-47.pdf#page=10","Abrir facsímil")</f>
        <v>Abrir facsímil</v>
      </c>
      <c r="K6175" s="15" t="s">
        <v>23</v>
      </c>
    </row>
    <row r="6176" spans="1:11" ht="42" customHeight="1">
      <c r="A6176" s="4" t="s">
        <v>14065</v>
      </c>
      <c r="B6176" s="5" t="s">
        <v>14066</v>
      </c>
      <c r="C6176" s="5" t="s">
        <v>54</v>
      </c>
      <c r="D6176" s="5" t="s">
        <v>55</v>
      </c>
      <c r="E6176" s="5" t="s">
        <v>101</v>
      </c>
      <c r="F6176" s="9">
        <v>37</v>
      </c>
      <c r="G6176" s="9">
        <v>378</v>
      </c>
      <c r="H6176" s="5" t="s">
        <v>21</v>
      </c>
      <c r="I6176" s="5" t="s">
        <v>14067</v>
      </c>
      <c r="J6176" s="12" t="str">
        <f>HYPERLINK("https://www.boe.es/gazeta/dias/1800/05/09/pdfs/GMD-1800-37.pdf#page=10","Abrir facsímil")</f>
        <v>Abrir facsímil</v>
      </c>
      <c r="K6176" s="15" t="s">
        <v>23</v>
      </c>
    </row>
    <row r="6177" spans="1:11" ht="42" customHeight="1">
      <c r="A6177" s="4" t="s">
        <v>14068</v>
      </c>
      <c r="B6177" s="5" t="s">
        <v>14069</v>
      </c>
      <c r="C6177" s="5" t="s">
        <v>171</v>
      </c>
      <c r="D6177" s="5" t="s">
        <v>172</v>
      </c>
      <c r="E6177" s="5" t="s">
        <v>461</v>
      </c>
      <c r="F6177" s="9">
        <v>18</v>
      </c>
      <c r="G6177" s="9">
        <v>175</v>
      </c>
      <c r="H6177" s="5" t="s">
        <v>21</v>
      </c>
      <c r="I6177" s="5" t="s">
        <v>14070</v>
      </c>
      <c r="J6177" s="12" t="str">
        <f>HYPERLINK("https://www.boe.es/datos/pdfs/BOE//1800/018/C00173-00176.pdf#page=3","Abrir facsímil")</f>
        <v>Abrir facsímil</v>
      </c>
      <c r="K6177" s="15" t="s">
        <v>23</v>
      </c>
    </row>
    <row r="6178" spans="1:11" ht="42" customHeight="1">
      <c r="A6178" s="4" t="s">
        <v>14071</v>
      </c>
      <c r="B6178" s="5" t="s">
        <v>14072</v>
      </c>
      <c r="C6178" s="5" t="s">
        <v>18</v>
      </c>
      <c r="D6178" s="5" t="s">
        <v>19</v>
      </c>
      <c r="E6178" s="5" t="s">
        <v>135</v>
      </c>
      <c r="F6178" s="9">
        <v>73</v>
      </c>
      <c r="G6178" s="9">
        <v>815</v>
      </c>
      <c r="H6178" s="5" t="s">
        <v>21</v>
      </c>
      <c r="I6178" s="5" t="s">
        <v>14073</v>
      </c>
      <c r="J6178" s="12" t="str">
        <f>HYPERLINK("https://www.boe.es/gazeta/dias/1800/09/09/pdfs/GMD-1800-73.pdf#page=9","Abrir facsímil")</f>
        <v>Abrir facsímil</v>
      </c>
      <c r="K6178" s="15" t="s">
        <v>23</v>
      </c>
    </row>
    <row r="6179" spans="1:11" ht="42" customHeight="1">
      <c r="A6179" s="4" t="s">
        <v>14074</v>
      </c>
      <c r="B6179" s="5" t="s">
        <v>14075</v>
      </c>
      <c r="C6179" s="5" t="s">
        <v>18</v>
      </c>
      <c r="D6179" s="5" t="s">
        <v>19</v>
      </c>
      <c r="E6179" s="5" t="s">
        <v>86</v>
      </c>
      <c r="F6179" s="9">
        <v>17</v>
      </c>
      <c r="G6179" s="9">
        <v>162</v>
      </c>
      <c r="H6179" s="5" t="s">
        <v>21</v>
      </c>
      <c r="I6179" s="5" t="s">
        <v>14076</v>
      </c>
      <c r="J6179" s="12" t="str">
        <f>HYPERLINK("https://www.boe.es/gazeta/dias/1800/02/28/pdfs/GMD-1800-17.pdf#page=10","Abrir facsímil")</f>
        <v>Abrir facsímil</v>
      </c>
      <c r="K6179" s="15" t="s">
        <v>23</v>
      </c>
    </row>
    <row r="6180" spans="1:11" ht="42" customHeight="1">
      <c r="A6180" s="4" t="s">
        <v>14077</v>
      </c>
      <c r="B6180" s="5" t="s">
        <v>14078</v>
      </c>
      <c r="C6180" s="5" t="s">
        <v>114</v>
      </c>
      <c r="D6180" s="5" t="s">
        <v>115</v>
      </c>
      <c r="E6180" s="5" t="s">
        <v>116</v>
      </c>
      <c r="F6180" s="9">
        <v>86</v>
      </c>
      <c r="G6180" s="9" t="s">
        <v>725</v>
      </c>
      <c r="H6180" s="5" t="s">
        <v>21</v>
      </c>
      <c r="I6180" s="5" t="s">
        <v>14079</v>
      </c>
      <c r="J6180" s="12" t="str">
        <f>HYPERLINK("https://www.boe.es/gazeta/dias/1800/10/24/pdfs/GMD-D-1800-86.pdf#page=1","Abrir facsímil")</f>
        <v>Abrir facsímil</v>
      </c>
      <c r="K6180" s="15" t="s">
        <v>23</v>
      </c>
    </row>
    <row r="6181" spans="1:11" ht="42" customHeight="1">
      <c r="A6181" s="4" t="s">
        <v>14080</v>
      </c>
      <c r="B6181" s="5" t="s">
        <v>14080</v>
      </c>
      <c r="C6181" s="5" t="s">
        <v>41</v>
      </c>
      <c r="D6181" s="5" t="s">
        <v>42</v>
      </c>
      <c r="E6181" s="5" t="s">
        <v>356</v>
      </c>
      <c r="F6181" s="9">
        <v>31</v>
      </c>
      <c r="G6181" s="9">
        <v>311</v>
      </c>
      <c r="H6181" s="5" t="s">
        <v>21</v>
      </c>
      <c r="I6181" s="5" t="s">
        <v>14081</v>
      </c>
      <c r="J6181" s="12" t="str">
        <f>HYPERLINK("https://www.boe.es/gazeta/dias/1800/04/18/pdfs/GMD-1800-31.pdf#page=3","Abrir facsímil")</f>
        <v>Abrir facsímil</v>
      </c>
      <c r="K6181" s="15" t="s">
        <v>23</v>
      </c>
    </row>
    <row r="6182" spans="1:11" ht="42" customHeight="1">
      <c r="A6182" s="4" t="s">
        <v>14082</v>
      </c>
      <c r="B6182" s="5" t="s">
        <v>14083</v>
      </c>
      <c r="C6182" s="5" t="s">
        <v>25</v>
      </c>
      <c r="D6182" s="5" t="s">
        <v>26</v>
      </c>
      <c r="E6182" s="5" t="s">
        <v>283</v>
      </c>
      <c r="F6182" s="9">
        <v>68</v>
      </c>
      <c r="G6182" s="9">
        <v>767</v>
      </c>
      <c r="H6182" s="5" t="s">
        <v>21</v>
      </c>
      <c r="I6182" s="5" t="s">
        <v>14084</v>
      </c>
      <c r="J6182" s="12" t="str">
        <f>HYPERLINK("https://www.boe.es/gazeta/dias/1800/08/26/pdfs/GMD-1800-68.pdf#page=11","Abrir facsímil")</f>
        <v>Abrir facsímil</v>
      </c>
      <c r="K6182" s="15" t="s">
        <v>23</v>
      </c>
    </row>
    <row r="6183" spans="1:11" ht="42" customHeight="1">
      <c r="A6183" s="4" t="s">
        <v>14085</v>
      </c>
      <c r="B6183" s="5" t="s">
        <v>14086</v>
      </c>
      <c r="C6183" s="5" t="s">
        <v>18</v>
      </c>
      <c r="D6183" s="5" t="s">
        <v>19</v>
      </c>
      <c r="E6183" s="5" t="s">
        <v>60</v>
      </c>
      <c r="F6183" s="9">
        <v>105</v>
      </c>
      <c r="G6183" s="9">
        <v>1226</v>
      </c>
      <c r="H6183" s="5" t="s">
        <v>21</v>
      </c>
      <c r="I6183" s="5" t="s">
        <v>14087</v>
      </c>
      <c r="J6183" s="12" t="str">
        <f>HYPERLINK("https://www.boe.es/gazeta/dias/1800/12/30/pdfs/GMD-1800-105.pdf#page=10","Abrir facsímil")</f>
        <v>Abrir facsímil</v>
      </c>
      <c r="K6183" s="15" t="s">
        <v>23</v>
      </c>
    </row>
    <row r="6184" spans="1:11" ht="42" customHeight="1">
      <c r="A6184" s="4" t="s">
        <v>14088</v>
      </c>
      <c r="B6184" s="5" t="s">
        <v>14088</v>
      </c>
      <c r="C6184" s="5" t="s">
        <v>41</v>
      </c>
      <c r="D6184" s="5" t="s">
        <v>42</v>
      </c>
      <c r="E6184" s="5" t="s">
        <v>1213</v>
      </c>
      <c r="F6184" s="9">
        <v>4</v>
      </c>
      <c r="G6184" s="9">
        <v>32</v>
      </c>
      <c r="H6184" s="5" t="s">
        <v>21</v>
      </c>
      <c r="I6184" s="5" t="s">
        <v>14089</v>
      </c>
      <c r="J6184" s="12" t="str">
        <f>HYPERLINK("https://www.boe.es/gazeta/dias/1800/01/14/pdfs/GMD-1800-4.pdf#page=4","Abrir facsímil")</f>
        <v>Abrir facsímil</v>
      </c>
      <c r="K6184" s="15" t="s">
        <v>23</v>
      </c>
    </row>
    <row r="6185" spans="1:11" ht="42" customHeight="1">
      <c r="A6185" s="4" t="s">
        <v>14088</v>
      </c>
      <c r="B6185" s="5" t="s">
        <v>14088</v>
      </c>
      <c r="C6185" s="5" t="s">
        <v>41</v>
      </c>
      <c r="D6185" s="5" t="s">
        <v>42</v>
      </c>
      <c r="E6185" s="5" t="s">
        <v>143</v>
      </c>
      <c r="F6185" s="9">
        <v>22</v>
      </c>
      <c r="G6185" s="9">
        <v>213</v>
      </c>
      <c r="H6185" s="5" t="s">
        <v>21</v>
      </c>
      <c r="I6185" s="5" t="s">
        <v>14090</v>
      </c>
      <c r="J6185" s="12" t="str">
        <f>HYPERLINK("https://www.boe.es/gazeta/dias/1800/03/18/pdfs/GMD-1800-22.pdf#page=5","Abrir facsímil")</f>
        <v>Abrir facsímil</v>
      </c>
      <c r="K6185" s="15" t="s">
        <v>23</v>
      </c>
    </row>
    <row r="6186" spans="1:11" ht="42" customHeight="1">
      <c r="A6186" s="4" t="s">
        <v>14091</v>
      </c>
      <c r="B6186" s="5" t="s">
        <v>14092</v>
      </c>
      <c r="C6186" s="5" t="s">
        <v>41</v>
      </c>
      <c r="D6186" s="5" t="s">
        <v>42</v>
      </c>
      <c r="E6186" s="5" t="s">
        <v>1231</v>
      </c>
      <c r="F6186" s="9">
        <v>36</v>
      </c>
      <c r="G6186" s="9">
        <v>359</v>
      </c>
      <c r="H6186" s="5" t="s">
        <v>21</v>
      </c>
      <c r="I6186" s="5" t="s">
        <v>14093</v>
      </c>
      <c r="J6186" s="12" t="str">
        <f>HYPERLINK("https://www.boe.es/gazeta/dias/1800/05/06/pdfs/GMD-1800-36.pdf#page=3","Abrir facsímil")</f>
        <v>Abrir facsímil</v>
      </c>
      <c r="K6186" s="15" t="s">
        <v>23</v>
      </c>
    </row>
    <row r="6187" spans="1:11" ht="42" customHeight="1">
      <c r="A6187" s="4" t="s">
        <v>14091</v>
      </c>
      <c r="B6187" s="5" t="s">
        <v>14092</v>
      </c>
      <c r="C6187" s="5" t="s">
        <v>18</v>
      </c>
      <c r="D6187" s="5" t="s">
        <v>19</v>
      </c>
      <c r="E6187" s="5" t="s">
        <v>101</v>
      </c>
      <c r="F6187" s="9">
        <v>37</v>
      </c>
      <c r="G6187" s="9">
        <v>371</v>
      </c>
      <c r="H6187" s="5" t="s">
        <v>21</v>
      </c>
      <c r="I6187" s="5" t="s">
        <v>14094</v>
      </c>
      <c r="J6187" s="12" t="str">
        <f>HYPERLINK("https://www.boe.es/gazeta/dias/1800/05/09/pdfs/GMD-1800-37.pdf#page=3","Abrir facsímil")</f>
        <v>Abrir facsímil</v>
      </c>
      <c r="K6187" s="15" t="s">
        <v>23</v>
      </c>
    </row>
    <row r="6188" spans="1:11" ht="42" customHeight="1">
      <c r="A6188" s="4" t="s">
        <v>14091</v>
      </c>
      <c r="B6188" s="5" t="s">
        <v>14092</v>
      </c>
      <c r="C6188" s="5" t="s">
        <v>41</v>
      </c>
      <c r="D6188" s="5" t="s">
        <v>42</v>
      </c>
      <c r="E6188" s="5" t="s">
        <v>262</v>
      </c>
      <c r="F6188" s="9">
        <v>39</v>
      </c>
      <c r="G6188" s="9">
        <v>395</v>
      </c>
      <c r="H6188" s="5" t="s">
        <v>21</v>
      </c>
      <c r="I6188" s="5" t="s">
        <v>14095</v>
      </c>
      <c r="J6188" s="12" t="str">
        <f>HYPERLINK("https://www.boe.es/gazeta/dias/1800/05/16/pdfs/GMD-1800-39.pdf#page=3","Abrir facsímil")</f>
        <v>Abrir facsímil</v>
      </c>
      <c r="K6188" s="15" t="s">
        <v>23</v>
      </c>
    </row>
    <row r="6189" spans="1:11" ht="42" customHeight="1">
      <c r="A6189" s="4" t="s">
        <v>14091</v>
      </c>
      <c r="B6189" s="5" t="s">
        <v>14092</v>
      </c>
      <c r="C6189" s="5" t="s">
        <v>41</v>
      </c>
      <c r="D6189" s="5" t="s">
        <v>42</v>
      </c>
      <c r="E6189" s="5" t="s">
        <v>39</v>
      </c>
      <c r="F6189" s="9">
        <v>43</v>
      </c>
      <c r="G6189" s="9">
        <v>444</v>
      </c>
      <c r="H6189" s="5" t="s">
        <v>21</v>
      </c>
      <c r="I6189" s="5" t="s">
        <v>14096</v>
      </c>
      <c r="J6189" s="12" t="str">
        <f>HYPERLINK("https://www.boe.es/gazeta/dias/1800/05/30/pdfs/GMD-1800-43.pdf#page=4","Abrir facsímil")</f>
        <v>Abrir facsímil</v>
      </c>
      <c r="K6189" s="15" t="s">
        <v>23</v>
      </c>
    </row>
    <row r="6190" spans="1:11" ht="42" customHeight="1">
      <c r="A6190" s="4" t="s">
        <v>14091</v>
      </c>
      <c r="B6190" s="5" t="s">
        <v>14092</v>
      </c>
      <c r="C6190" s="5" t="s">
        <v>41</v>
      </c>
      <c r="D6190" s="5" t="s">
        <v>42</v>
      </c>
      <c r="E6190" s="5" t="s">
        <v>64</v>
      </c>
      <c r="F6190" s="9">
        <v>54</v>
      </c>
      <c r="G6190" s="9">
        <v>599</v>
      </c>
      <c r="H6190" s="5" t="s">
        <v>21</v>
      </c>
      <c r="I6190" s="5" t="s">
        <v>14097</v>
      </c>
      <c r="J6190" s="12" t="str">
        <f>HYPERLINK("https://www.boe.es/gazeta/dias/1800/07/08/pdfs/GMD-1800-54.pdf#page=3","Abrir facsímil")</f>
        <v>Abrir facsímil</v>
      </c>
      <c r="K6190" s="15" t="s">
        <v>23</v>
      </c>
    </row>
    <row r="6191" spans="1:11" ht="42" customHeight="1">
      <c r="A6191" s="4" t="s">
        <v>14091</v>
      </c>
      <c r="B6191" s="5" t="s">
        <v>14092</v>
      </c>
      <c r="C6191" s="5" t="s">
        <v>41</v>
      </c>
      <c r="D6191" s="5" t="s">
        <v>42</v>
      </c>
      <c r="E6191" s="5" t="s">
        <v>583</v>
      </c>
      <c r="F6191" s="9">
        <v>77</v>
      </c>
      <c r="G6191" s="9">
        <v>871</v>
      </c>
      <c r="H6191" s="5" t="s">
        <v>21</v>
      </c>
      <c r="I6191" s="5" t="s">
        <v>14098</v>
      </c>
      <c r="J6191" s="12" t="str">
        <f>HYPERLINK("https://www.boe.es/gazeta/dias/1800/09/23/pdfs/GMD-1800-77.pdf#page=1","Abrir facsímil")</f>
        <v>Abrir facsímil</v>
      </c>
      <c r="K6191" s="15" t="s">
        <v>23</v>
      </c>
    </row>
    <row r="6192" spans="1:11" ht="42" customHeight="1">
      <c r="A6192" s="4" t="s">
        <v>14091</v>
      </c>
      <c r="B6192" s="5" t="s">
        <v>14092</v>
      </c>
      <c r="C6192" s="5" t="s">
        <v>41</v>
      </c>
      <c r="D6192" s="5" t="s">
        <v>42</v>
      </c>
      <c r="E6192" s="5" t="s">
        <v>50</v>
      </c>
      <c r="F6192" s="9">
        <v>81</v>
      </c>
      <c r="G6192" s="9">
        <v>911</v>
      </c>
      <c r="H6192" s="5" t="s">
        <v>21</v>
      </c>
      <c r="I6192" s="5" t="s">
        <v>14099</v>
      </c>
      <c r="J6192" s="12" t="str">
        <f>HYPERLINK("https://www.boe.es/gazeta/dias/1800/10/07/pdfs/GMD-1800-81.pdf#page=1","Abrir facsímil")</f>
        <v>Abrir facsímil</v>
      </c>
      <c r="K6192" s="15" t="s">
        <v>23</v>
      </c>
    </row>
    <row r="6193" spans="1:11" ht="42" customHeight="1">
      <c r="A6193" s="4" t="s">
        <v>14091</v>
      </c>
      <c r="B6193" s="5" t="s">
        <v>14092</v>
      </c>
      <c r="C6193" s="5" t="s">
        <v>41</v>
      </c>
      <c r="D6193" s="5" t="s">
        <v>42</v>
      </c>
      <c r="E6193" s="5" t="s">
        <v>50</v>
      </c>
      <c r="F6193" s="9">
        <v>81</v>
      </c>
      <c r="G6193" s="9">
        <v>914</v>
      </c>
      <c r="H6193" s="5" t="s">
        <v>21</v>
      </c>
      <c r="I6193" s="5" t="s">
        <v>14100</v>
      </c>
      <c r="J6193" s="12" t="str">
        <f>HYPERLINK("https://www.boe.es/gazeta/dias/1800/10/07/pdfs/GMD-1800-81.pdf#page=4","Abrir facsímil")</f>
        <v>Abrir facsímil</v>
      </c>
      <c r="K6193" s="15" t="s">
        <v>23</v>
      </c>
    </row>
    <row r="6194" spans="1:11" ht="42" customHeight="1">
      <c r="A6194" s="4" t="s">
        <v>14101</v>
      </c>
      <c r="B6194" s="5" t="s">
        <v>14102</v>
      </c>
      <c r="C6194" s="5" t="s">
        <v>25</v>
      </c>
      <c r="D6194" s="5" t="s">
        <v>26</v>
      </c>
      <c r="E6194" s="5" t="s">
        <v>248</v>
      </c>
      <c r="F6194" s="9">
        <v>33</v>
      </c>
      <c r="G6194" s="9">
        <v>333</v>
      </c>
      <c r="H6194" s="5" t="s">
        <v>21</v>
      </c>
      <c r="I6194" s="5" t="s">
        <v>14103</v>
      </c>
      <c r="J6194" s="12" t="str">
        <f>HYPERLINK("https://www.boe.es/gazeta/dias/1800/04/25/pdfs/GMD-1800-33.pdf#page=9","Abrir facsímil")</f>
        <v>Abrir facsímil</v>
      </c>
      <c r="K6194" s="15" t="s">
        <v>23</v>
      </c>
    </row>
    <row r="6195" spans="1:11" ht="42" customHeight="1">
      <c r="A6195" s="4" t="s">
        <v>14104</v>
      </c>
      <c r="B6195" s="5" t="s">
        <v>14104</v>
      </c>
      <c r="C6195" s="5" t="s">
        <v>18</v>
      </c>
      <c r="D6195" s="5" t="s">
        <v>19</v>
      </c>
      <c r="E6195" s="5" t="s">
        <v>154</v>
      </c>
      <c r="F6195" s="9">
        <v>61</v>
      </c>
      <c r="G6195" s="9">
        <v>694</v>
      </c>
      <c r="H6195" s="5" t="s">
        <v>21</v>
      </c>
      <c r="I6195" s="5" t="s">
        <v>14105</v>
      </c>
      <c r="J6195" s="12" t="str">
        <f>HYPERLINK("https://www.boe.es/gazeta/dias/1800/08/01/pdfs/GMD-1800-61.pdf#page=6","Abrir facsímil")</f>
        <v>Abrir facsímil</v>
      </c>
      <c r="K6195" s="15" t="s">
        <v>23</v>
      </c>
    </row>
    <row r="6196" spans="1:11" ht="42" customHeight="1">
      <c r="A6196" s="4" t="s">
        <v>14106</v>
      </c>
      <c r="B6196" s="5" t="s">
        <v>14106</v>
      </c>
      <c r="C6196" s="5" t="s">
        <v>25</v>
      </c>
      <c r="D6196" s="5" t="s">
        <v>26</v>
      </c>
      <c r="E6196" s="5" t="s">
        <v>598</v>
      </c>
      <c r="F6196" s="9">
        <v>32</v>
      </c>
      <c r="G6196" s="9">
        <v>324</v>
      </c>
      <c r="H6196" s="5" t="s">
        <v>21</v>
      </c>
      <c r="I6196" s="5" t="s">
        <v>14107</v>
      </c>
      <c r="J6196" s="12" t="str">
        <f>HYPERLINK("https://www.boe.es/gazeta/dias/1800/04/22/pdfs/GMD-1800-32.pdf#page=8","Abrir facsímil")</f>
        <v>Abrir facsímil</v>
      </c>
      <c r="K6196" s="15" t="s">
        <v>23</v>
      </c>
    </row>
    <row r="6197" spans="1:11" ht="42" customHeight="1">
      <c r="A6197" s="4" t="s">
        <v>14108</v>
      </c>
      <c r="B6197" s="5" t="s">
        <v>14109</v>
      </c>
      <c r="C6197" s="5" t="s">
        <v>18</v>
      </c>
      <c r="D6197" s="5" t="s">
        <v>19</v>
      </c>
      <c r="E6197" s="5" t="s">
        <v>576</v>
      </c>
      <c r="F6197" s="9">
        <v>91</v>
      </c>
      <c r="G6197" s="9">
        <v>1067</v>
      </c>
      <c r="H6197" s="5" t="s">
        <v>21</v>
      </c>
      <c r="I6197" s="5" t="s">
        <v>14110</v>
      </c>
      <c r="J6197" s="12" t="str">
        <f>HYPERLINK("https://www.boe.es/gazeta/dias/1800/11/11/pdfs/GMD-1800-91.pdf#page=9","Abrir facsímil")</f>
        <v>Abrir facsímil</v>
      </c>
      <c r="K6197" s="15" t="s">
        <v>23</v>
      </c>
    </row>
    <row r="6198" spans="1:11" ht="42" customHeight="1">
      <c r="A6198" s="4" t="s">
        <v>14111</v>
      </c>
      <c r="B6198" s="5" t="s">
        <v>14112</v>
      </c>
      <c r="C6198" s="5" t="s">
        <v>54</v>
      </c>
      <c r="D6198" s="5" t="s">
        <v>55</v>
      </c>
      <c r="E6198" s="5" t="s">
        <v>598</v>
      </c>
      <c r="F6198" s="9">
        <v>32</v>
      </c>
      <c r="G6198" s="9">
        <v>323</v>
      </c>
      <c r="H6198" s="5" t="s">
        <v>21</v>
      </c>
      <c r="I6198" s="5" t="s">
        <v>14113</v>
      </c>
      <c r="J6198" s="12" t="str">
        <f>HYPERLINK("https://www.boe.es/gazeta/dias/1800/04/22/pdfs/GMD-1800-32.pdf#page=7","Abrir facsímil")</f>
        <v>Abrir facsímil</v>
      </c>
      <c r="K6198" s="15" t="s">
        <v>23</v>
      </c>
    </row>
    <row r="6199" spans="1:11" ht="42" customHeight="1">
      <c r="A6199" s="4" t="s">
        <v>14114</v>
      </c>
      <c r="B6199" s="5" t="s">
        <v>14115</v>
      </c>
      <c r="C6199" s="5" t="s">
        <v>84</v>
      </c>
      <c r="D6199" s="5" t="s">
        <v>85</v>
      </c>
      <c r="E6199" s="5" t="s">
        <v>319</v>
      </c>
      <c r="F6199" s="9">
        <v>62</v>
      </c>
      <c r="G6199" s="9">
        <v>710</v>
      </c>
      <c r="H6199" s="5" t="s">
        <v>21</v>
      </c>
      <c r="I6199" s="5" t="s">
        <v>14116</v>
      </c>
      <c r="J6199" s="12" t="str">
        <f>HYPERLINK("https://www.boe.es/gazeta/dias/1800/08/05/pdfs/GMD-1800-62.pdf#page=10","Abrir facsímil")</f>
        <v>Abrir facsímil</v>
      </c>
      <c r="K6199" s="15" t="s">
        <v>23</v>
      </c>
    </row>
    <row r="6200" spans="1:11" ht="42" customHeight="1">
      <c r="A6200" s="4" t="s">
        <v>14117</v>
      </c>
      <c r="B6200" s="5" t="s">
        <v>14118</v>
      </c>
      <c r="C6200" s="5" t="s">
        <v>54</v>
      </c>
      <c r="D6200" s="5" t="s">
        <v>55</v>
      </c>
      <c r="E6200" s="5" t="s">
        <v>45</v>
      </c>
      <c r="F6200" s="9">
        <v>47</v>
      </c>
      <c r="G6200" s="9">
        <v>502</v>
      </c>
      <c r="H6200" s="5" t="s">
        <v>21</v>
      </c>
      <c r="I6200" s="5" t="s">
        <v>14119</v>
      </c>
      <c r="J6200" s="12" t="str">
        <f>HYPERLINK("https://www.boe.es/gazeta/dias/1800/06/13/pdfs/GMD-1800-47.pdf#page=10","Abrir facsímil")</f>
        <v>Abrir facsímil</v>
      </c>
      <c r="K6200" s="15" t="s">
        <v>23</v>
      </c>
    </row>
    <row r="6201" spans="1:11" ht="42" customHeight="1">
      <c r="A6201" s="4" t="s">
        <v>14120</v>
      </c>
      <c r="B6201" s="5" t="s">
        <v>14121</v>
      </c>
      <c r="C6201" s="5" t="s">
        <v>18</v>
      </c>
      <c r="D6201" s="5" t="s">
        <v>19</v>
      </c>
      <c r="E6201" s="5" t="s">
        <v>56</v>
      </c>
      <c r="F6201" s="9">
        <v>90</v>
      </c>
      <c r="G6201" s="9">
        <v>1056</v>
      </c>
      <c r="H6201" s="5" t="s">
        <v>21</v>
      </c>
      <c r="I6201" s="5" t="s">
        <v>14122</v>
      </c>
      <c r="J6201" s="12" t="str">
        <f>HYPERLINK("https://www.boe.es/gazeta/dias/1800/11/07/pdfs/GMD-1800-90.pdf#page=10","Abrir facsímil")</f>
        <v>Abrir facsímil</v>
      </c>
      <c r="K6201" s="15" t="s">
        <v>23</v>
      </c>
    </row>
    <row r="6202" spans="1:11" ht="42" customHeight="1">
      <c r="A6202" s="4" t="s">
        <v>14123</v>
      </c>
      <c r="B6202" s="5" t="s">
        <v>14124</v>
      </c>
      <c r="C6202" s="5" t="s">
        <v>207</v>
      </c>
      <c r="D6202" s="5" t="s">
        <v>55</v>
      </c>
      <c r="E6202" s="5" t="s">
        <v>618</v>
      </c>
      <c r="F6202" s="9">
        <v>1</v>
      </c>
      <c r="G6202" s="9">
        <v>5</v>
      </c>
      <c r="H6202" s="5" t="s">
        <v>21</v>
      </c>
      <c r="I6202" s="5" t="s">
        <v>14125</v>
      </c>
      <c r="J6202" s="12" t="str">
        <f>HYPERLINK("https://www.boe.es/gazeta/dias/1800/01/03/pdfs/GMD-1800-1.pdf#page=5","Abrir facsímil")</f>
        <v>Abrir facsímil</v>
      </c>
      <c r="K6202" s="15" t="s">
        <v>23</v>
      </c>
    </row>
    <row r="6203" spans="1:11" ht="42" customHeight="1">
      <c r="A6203" s="4" t="s">
        <v>14126</v>
      </c>
      <c r="B6203" s="5" t="s">
        <v>14126</v>
      </c>
      <c r="C6203" s="5" t="s">
        <v>18</v>
      </c>
      <c r="D6203" s="5" t="s">
        <v>19</v>
      </c>
      <c r="E6203" s="5" t="s">
        <v>1231</v>
      </c>
      <c r="F6203" s="9">
        <v>36</v>
      </c>
      <c r="G6203" s="9">
        <v>362</v>
      </c>
      <c r="H6203" s="5" t="s">
        <v>21</v>
      </c>
      <c r="I6203" s="5" t="s">
        <v>14127</v>
      </c>
      <c r="J6203" s="12" t="str">
        <f>HYPERLINK("https://www.boe.es/gazeta/dias/1800/05/06/pdfs/GMD-1800-36.pdf#page=6","Abrir facsímil")</f>
        <v>Abrir facsímil</v>
      </c>
      <c r="K6203" s="15" t="s">
        <v>23</v>
      </c>
    </row>
    <row r="6204" spans="1:11" ht="42" customHeight="1">
      <c r="A6204" s="4" t="s">
        <v>14126</v>
      </c>
      <c r="B6204" s="5" t="s">
        <v>14126</v>
      </c>
      <c r="C6204" s="5" t="s">
        <v>41</v>
      </c>
      <c r="D6204" s="5" t="s">
        <v>42</v>
      </c>
      <c r="E6204" s="5" t="s">
        <v>406</v>
      </c>
      <c r="F6204" s="9">
        <v>44</v>
      </c>
      <c r="G6204" s="9">
        <v>460</v>
      </c>
      <c r="H6204" s="5" t="s">
        <v>21</v>
      </c>
      <c r="I6204" s="5" t="s">
        <v>14128</v>
      </c>
      <c r="J6204" s="12" t="str">
        <f>HYPERLINK("https://www.boe.es/gazeta/dias/1800/06/03/pdfs/GMD-1800-44.pdf#page=8","Abrir facsímil")</f>
        <v>Abrir facsímil</v>
      </c>
      <c r="K6204" s="15" t="s">
        <v>23</v>
      </c>
    </row>
    <row r="6205" spans="1:11" ht="42" customHeight="1">
      <c r="A6205" s="4" t="s">
        <v>14126</v>
      </c>
      <c r="B6205" s="5" t="s">
        <v>14126</v>
      </c>
      <c r="C6205" s="5" t="s">
        <v>25</v>
      </c>
      <c r="D6205" s="5" t="s">
        <v>26</v>
      </c>
      <c r="E6205" s="5" t="s">
        <v>68</v>
      </c>
      <c r="F6205" s="9">
        <v>67</v>
      </c>
      <c r="G6205" s="9">
        <v>755</v>
      </c>
      <c r="H6205" s="5" t="s">
        <v>21</v>
      </c>
      <c r="I6205" s="5" t="s">
        <v>14129</v>
      </c>
      <c r="J6205" s="12" t="str">
        <f>HYPERLINK("https://www.boe.es/gazeta/dias/1800/08/22/pdfs/GMD-1800-67.pdf#page=7","Abrir facsímil")</f>
        <v>Abrir facsímil</v>
      </c>
      <c r="K6205" s="15" t="s">
        <v>23</v>
      </c>
    </row>
    <row r="6206" spans="1:11" ht="42" customHeight="1">
      <c r="A6206" s="4" t="s">
        <v>14130</v>
      </c>
      <c r="B6206" s="5" t="s">
        <v>14131</v>
      </c>
      <c r="C6206" s="5" t="s">
        <v>18</v>
      </c>
      <c r="D6206" s="5" t="s">
        <v>19</v>
      </c>
      <c r="E6206" s="5" t="s">
        <v>1213</v>
      </c>
      <c r="F6206" s="9">
        <v>4</v>
      </c>
      <c r="G6206" s="9">
        <v>36</v>
      </c>
      <c r="H6206" s="5" t="s">
        <v>21</v>
      </c>
      <c r="I6206" s="5" t="s">
        <v>14132</v>
      </c>
      <c r="J6206" s="12" t="str">
        <f>HYPERLINK("https://www.boe.es/gazeta/dias/1800/01/14/pdfs/GMD-1800-4.pdf#page=8","Abrir facsímil")</f>
        <v>Abrir facsímil</v>
      </c>
      <c r="K6206" s="15" t="s">
        <v>23</v>
      </c>
    </row>
    <row r="6207" spans="1:11" ht="42" customHeight="1">
      <c r="A6207" s="4" t="s">
        <v>14133</v>
      </c>
      <c r="B6207" s="5" t="s">
        <v>14134</v>
      </c>
      <c r="C6207" s="5" t="s">
        <v>18</v>
      </c>
      <c r="D6207" s="5" t="s">
        <v>19</v>
      </c>
      <c r="E6207" s="5" t="s">
        <v>86</v>
      </c>
      <c r="F6207" s="9">
        <v>17</v>
      </c>
      <c r="G6207" s="9">
        <v>162</v>
      </c>
      <c r="H6207" s="5" t="s">
        <v>21</v>
      </c>
      <c r="I6207" s="5" t="s">
        <v>14135</v>
      </c>
      <c r="J6207" s="12" t="str">
        <f>HYPERLINK("https://www.boe.es/gazeta/dias/1800/02/28/pdfs/GMD-1800-17.pdf#page=10","Abrir facsímil")</f>
        <v>Abrir facsímil</v>
      </c>
      <c r="K6207" s="15" t="s">
        <v>23</v>
      </c>
    </row>
    <row r="6208" spans="1:11" ht="42" customHeight="1">
      <c r="A6208" s="4" t="s">
        <v>14136</v>
      </c>
      <c r="B6208" s="5" t="s">
        <v>14137</v>
      </c>
      <c r="C6208" s="5" t="s">
        <v>25</v>
      </c>
      <c r="D6208" s="5" t="s">
        <v>26</v>
      </c>
      <c r="E6208" s="5" t="s">
        <v>346</v>
      </c>
      <c r="F6208" s="9">
        <v>24</v>
      </c>
      <c r="G6208" s="9">
        <v>244</v>
      </c>
      <c r="H6208" s="5" t="s">
        <v>21</v>
      </c>
      <c r="I6208" s="5" t="s">
        <v>14138</v>
      </c>
      <c r="J6208" s="12" t="str">
        <f>HYPERLINK("https://www.boe.es/gazeta/dias/1800/03/25/pdfs/GMD-1800-24.pdf#page=8","Abrir facsímil")</f>
        <v>Abrir facsímil</v>
      </c>
      <c r="K6208" s="15" t="s">
        <v>23</v>
      </c>
    </row>
    <row r="6209" spans="1:11" ht="42" customHeight="1">
      <c r="A6209" s="4" t="s">
        <v>14139</v>
      </c>
      <c r="B6209" s="5" t="s">
        <v>14140</v>
      </c>
      <c r="C6209" s="5" t="s">
        <v>18</v>
      </c>
      <c r="D6209" s="5" t="s">
        <v>19</v>
      </c>
      <c r="E6209" s="5" t="s">
        <v>620</v>
      </c>
      <c r="F6209" s="9">
        <v>19</v>
      </c>
      <c r="G6209" s="9">
        <v>183</v>
      </c>
      <c r="H6209" s="5" t="s">
        <v>21</v>
      </c>
      <c r="I6209" s="5" t="s">
        <v>14141</v>
      </c>
      <c r="J6209" s="12" t="str">
        <f>HYPERLINK("https://www.boe.es/gazeta/dias/1800/03/07/pdfs/GMD-1800-19.pdf#page=7","Abrir facsímil")</f>
        <v>Abrir facsímil</v>
      </c>
      <c r="K6209" s="15" t="s">
        <v>23</v>
      </c>
    </row>
    <row r="6210" spans="1:11" ht="42" customHeight="1">
      <c r="A6210" s="4" t="s">
        <v>14142</v>
      </c>
      <c r="B6210" s="5" t="s">
        <v>14143</v>
      </c>
      <c r="C6210" s="5" t="s">
        <v>54</v>
      </c>
      <c r="D6210" s="5" t="s">
        <v>55</v>
      </c>
      <c r="E6210" s="5" t="s">
        <v>86</v>
      </c>
      <c r="F6210" s="9">
        <v>17</v>
      </c>
      <c r="G6210" s="9">
        <v>162</v>
      </c>
      <c r="H6210" s="5" t="s">
        <v>21</v>
      </c>
      <c r="I6210" s="5" t="s">
        <v>14144</v>
      </c>
      <c r="J6210" s="12" t="str">
        <f>HYPERLINK("https://www.boe.es/gazeta/dias/1800/02/28/pdfs/GMD-1800-17.pdf#page=10","Abrir facsímil")</f>
        <v>Abrir facsímil</v>
      </c>
      <c r="K6210" s="15" t="s">
        <v>23</v>
      </c>
    </row>
    <row r="6211" spans="1:11" ht="42" customHeight="1">
      <c r="A6211" s="4" t="s">
        <v>14145</v>
      </c>
      <c r="B6211" s="5" t="s">
        <v>14146</v>
      </c>
      <c r="C6211" s="5" t="s">
        <v>18</v>
      </c>
      <c r="D6211" s="5" t="s">
        <v>19</v>
      </c>
      <c r="E6211" s="5" t="s">
        <v>105</v>
      </c>
      <c r="F6211" s="9">
        <v>28</v>
      </c>
      <c r="G6211" s="9">
        <v>290</v>
      </c>
      <c r="H6211" s="5" t="s">
        <v>21</v>
      </c>
      <c r="I6211" s="5" t="s">
        <v>14147</v>
      </c>
      <c r="J6211" s="12" t="str">
        <f>HYPERLINK("https://www.boe.es/gazeta/dias/1800/04/08/pdfs/GMD-1800-28.pdf#page=6","Abrir facsímil")</f>
        <v>Abrir facsímil</v>
      </c>
      <c r="K6211" s="15" t="s">
        <v>23</v>
      </c>
    </row>
    <row r="6212" spans="1:11" ht="42" customHeight="1">
      <c r="A6212" s="4" t="s">
        <v>14148</v>
      </c>
      <c r="B6212" s="5" t="s">
        <v>14149</v>
      </c>
      <c r="C6212" s="5" t="s">
        <v>25</v>
      </c>
      <c r="D6212" s="5" t="s">
        <v>26</v>
      </c>
      <c r="E6212" s="5" t="s">
        <v>43</v>
      </c>
      <c r="F6212" s="9">
        <v>46</v>
      </c>
      <c r="G6212" s="9">
        <v>487</v>
      </c>
      <c r="H6212" s="5" t="s">
        <v>21</v>
      </c>
      <c r="I6212" s="5" t="s">
        <v>14150</v>
      </c>
      <c r="J6212" s="12" t="str">
        <f>HYPERLINK("https://www.boe.es/gazeta/dias/1800/06/10/pdfs/GMD-1800-46.pdf#page=11","Abrir facsímil")</f>
        <v>Abrir facsímil</v>
      </c>
      <c r="K6212" s="15" t="s">
        <v>23</v>
      </c>
    </row>
    <row r="6213" spans="1:11" ht="42" customHeight="1">
      <c r="A6213" s="4" t="s">
        <v>14151</v>
      </c>
      <c r="B6213" s="5" t="s">
        <v>14152</v>
      </c>
      <c r="C6213" s="5" t="s">
        <v>41</v>
      </c>
      <c r="D6213" s="5" t="s">
        <v>42</v>
      </c>
      <c r="E6213" s="5" t="s">
        <v>143</v>
      </c>
      <c r="F6213" s="9">
        <v>22</v>
      </c>
      <c r="G6213" s="9">
        <v>219</v>
      </c>
      <c r="H6213" s="5" t="s">
        <v>21</v>
      </c>
      <c r="I6213" s="5" t="s">
        <v>14153</v>
      </c>
      <c r="J6213" s="12" t="str">
        <f>HYPERLINK("https://www.boe.es/gazeta/dias/1800/03/18/pdfs/GMD-1800-22.pdf#page=11","Abrir facsímil")</f>
        <v>Abrir facsímil</v>
      </c>
      <c r="K6213" s="15" t="s">
        <v>23</v>
      </c>
    </row>
    <row r="6214" spans="1:11" ht="42" customHeight="1">
      <c r="A6214" s="4" t="s">
        <v>14154</v>
      </c>
      <c r="B6214" s="5" t="s">
        <v>14155</v>
      </c>
      <c r="C6214" s="5" t="s">
        <v>18</v>
      </c>
      <c r="D6214" s="5" t="s">
        <v>19</v>
      </c>
      <c r="E6214" s="5" t="s">
        <v>255</v>
      </c>
      <c r="F6214" s="9">
        <v>75</v>
      </c>
      <c r="G6214" s="9">
        <v>855</v>
      </c>
      <c r="H6214" s="5" t="s">
        <v>21</v>
      </c>
      <c r="I6214" s="5" t="s">
        <v>14156</v>
      </c>
      <c r="J6214" s="12" t="str">
        <f>HYPERLINK("https://www.boe.es/gazeta/dias/1800/09/16/pdfs/GMD-1800-75.pdf#page=9","Abrir facsímil")</f>
        <v>Abrir facsímil</v>
      </c>
      <c r="K6214" s="15" t="s">
        <v>23</v>
      </c>
    </row>
    <row r="6215" spans="1:11" ht="42" customHeight="1">
      <c r="A6215" s="4" t="s">
        <v>14157</v>
      </c>
      <c r="B6215" s="5" t="s">
        <v>14158</v>
      </c>
      <c r="C6215" s="5" t="s">
        <v>207</v>
      </c>
      <c r="D6215" s="5" t="s">
        <v>55</v>
      </c>
      <c r="E6215" s="5" t="s">
        <v>64</v>
      </c>
      <c r="F6215" s="9">
        <v>54</v>
      </c>
      <c r="G6215" s="9">
        <v>607</v>
      </c>
      <c r="H6215" s="5" t="s">
        <v>21</v>
      </c>
      <c r="I6215" s="5" t="s">
        <v>14159</v>
      </c>
      <c r="J6215" s="12" t="str">
        <f>HYPERLINK("https://www.boe.es/gazeta/dias/1800/07/08/pdfs/GMD-1800-54.pdf#page=11","Abrir facsímil")</f>
        <v>Abrir facsímil</v>
      </c>
      <c r="K6215" s="15" t="s">
        <v>23</v>
      </c>
    </row>
    <row r="6216" spans="1:11" ht="42" customHeight="1">
      <c r="A6216" s="4" t="s">
        <v>14160</v>
      </c>
      <c r="B6216" s="5" t="s">
        <v>14161</v>
      </c>
      <c r="C6216" s="5" t="s">
        <v>18</v>
      </c>
      <c r="D6216" s="5" t="s">
        <v>19</v>
      </c>
      <c r="E6216" s="5" t="s">
        <v>111</v>
      </c>
      <c r="F6216" s="9">
        <v>98</v>
      </c>
      <c r="G6216" s="9">
        <v>1129</v>
      </c>
      <c r="H6216" s="5" t="s">
        <v>21</v>
      </c>
      <c r="I6216" s="5" t="s">
        <v>14162</v>
      </c>
      <c r="J6216" s="12" t="str">
        <f>HYPERLINK("https://www.boe.es/gazeta/dias/1800/12/05/pdfs/GMD-1800-98.pdf#page=9","Abrir facsímil")</f>
        <v>Abrir facsímil</v>
      </c>
      <c r="K6216" s="15" t="s">
        <v>23</v>
      </c>
    </row>
    <row r="6217" spans="1:11" ht="42" customHeight="1">
      <c r="A6217" s="4" t="s">
        <v>14163</v>
      </c>
      <c r="B6217" s="5" t="s">
        <v>14164</v>
      </c>
      <c r="C6217" s="5" t="s">
        <v>18</v>
      </c>
      <c r="D6217" s="5" t="s">
        <v>19</v>
      </c>
      <c r="E6217" s="5" t="s">
        <v>184</v>
      </c>
      <c r="F6217" s="9">
        <v>82</v>
      </c>
      <c r="G6217" s="9">
        <v>951</v>
      </c>
      <c r="H6217" s="5" t="s">
        <v>21</v>
      </c>
      <c r="I6217" s="5" t="s">
        <v>14165</v>
      </c>
      <c r="J6217" s="12" t="str">
        <f>HYPERLINK("https://www.boe.es/gazeta/dias/1800/10/10/pdfs/GMD-1800-82.pdf#page=9","Abrir facsímil")</f>
        <v>Abrir facsímil</v>
      </c>
      <c r="K6217" s="15" t="s">
        <v>23</v>
      </c>
    </row>
    <row r="6218" spans="1:11" ht="42" customHeight="1">
      <c r="A6218" s="4" t="s">
        <v>14166</v>
      </c>
      <c r="B6218" s="5" t="s">
        <v>14167</v>
      </c>
      <c r="C6218" s="5" t="s">
        <v>18</v>
      </c>
      <c r="D6218" s="5" t="s">
        <v>19</v>
      </c>
      <c r="E6218" s="5" t="s">
        <v>503</v>
      </c>
      <c r="F6218" s="9">
        <v>13</v>
      </c>
      <c r="G6218" s="9">
        <v>126</v>
      </c>
      <c r="H6218" s="5" t="s">
        <v>21</v>
      </c>
      <c r="I6218" s="5" t="s">
        <v>14168</v>
      </c>
      <c r="J6218" s="12" t="str">
        <f>HYPERLINK("https://www.boe.es/gazeta/dias/1800/02/14/pdfs/GMD-1800-13.pdf#page=10","Abrir facsímil")</f>
        <v>Abrir facsímil</v>
      </c>
      <c r="K6218" s="15" t="s">
        <v>23</v>
      </c>
    </row>
    <row r="6219" spans="1:11" ht="42" customHeight="1">
      <c r="A6219" s="4" t="s">
        <v>14169</v>
      </c>
      <c r="B6219" s="5" t="s">
        <v>14170</v>
      </c>
      <c r="C6219" s="5" t="s">
        <v>84</v>
      </c>
      <c r="D6219" s="5" t="s">
        <v>85</v>
      </c>
      <c r="E6219" s="5" t="s">
        <v>180</v>
      </c>
      <c r="F6219" s="9">
        <v>102</v>
      </c>
      <c r="G6219" s="9">
        <v>1186</v>
      </c>
      <c r="H6219" s="5" t="s">
        <v>21</v>
      </c>
      <c r="I6219" s="5" t="s">
        <v>14171</v>
      </c>
      <c r="J6219" s="12" t="str">
        <f>HYPERLINK("https://www.boe.es/gazeta/dias/1800/12/19/pdfs/GMD-1800-102.pdf#page=10","Abrir facsímil")</f>
        <v>Abrir facsímil</v>
      </c>
      <c r="K6219" s="15" t="s">
        <v>23</v>
      </c>
    </row>
    <row r="6220" spans="1:11" ht="42" customHeight="1">
      <c r="A6220" s="4" t="s">
        <v>14172</v>
      </c>
      <c r="B6220" s="5" t="s">
        <v>14172</v>
      </c>
      <c r="C6220" s="5" t="s">
        <v>18</v>
      </c>
      <c r="D6220" s="5" t="s">
        <v>19</v>
      </c>
      <c r="E6220" s="5" t="s">
        <v>180</v>
      </c>
      <c r="F6220" s="9">
        <v>102</v>
      </c>
      <c r="G6220" s="9">
        <v>1185</v>
      </c>
      <c r="H6220" s="5" t="s">
        <v>21</v>
      </c>
      <c r="I6220" s="5" t="s">
        <v>14173</v>
      </c>
      <c r="J6220" s="12" t="str">
        <f>HYPERLINK("https://www.boe.es/gazeta/dias/1800/12/19/pdfs/GMD-1800-102.pdf#page=9","Abrir facsímil")</f>
        <v>Abrir facsímil</v>
      </c>
      <c r="K6220" s="15" t="s">
        <v>23</v>
      </c>
    </row>
    <row r="6221" spans="1:11" ht="42" customHeight="1">
      <c r="A6221" s="4" t="s">
        <v>14174</v>
      </c>
      <c r="B6221" s="5" t="s">
        <v>14175</v>
      </c>
      <c r="C6221" s="5" t="s">
        <v>18</v>
      </c>
      <c r="D6221" s="5" t="s">
        <v>19</v>
      </c>
      <c r="E6221" s="5" t="s">
        <v>86</v>
      </c>
      <c r="F6221" s="9">
        <v>17</v>
      </c>
      <c r="G6221" s="9">
        <v>154</v>
      </c>
      <c r="H6221" s="5" t="s">
        <v>21</v>
      </c>
      <c r="I6221" s="5" t="s">
        <v>14176</v>
      </c>
      <c r="J6221" s="12" t="str">
        <f>HYPERLINK("https://www.boe.es/gazeta/dias/1800/02/28/pdfs/GMD-1800-17.pdf#page=2","Abrir facsímil")</f>
        <v>Abrir facsímil</v>
      </c>
      <c r="K6221" s="15" t="s">
        <v>23</v>
      </c>
    </row>
    <row r="6222" spans="1:11" ht="42" customHeight="1">
      <c r="A6222" s="4" t="s">
        <v>14177</v>
      </c>
      <c r="B6222" s="5" t="s">
        <v>14178</v>
      </c>
      <c r="C6222" s="5" t="s">
        <v>18</v>
      </c>
      <c r="D6222" s="5" t="s">
        <v>19</v>
      </c>
      <c r="E6222" s="5" t="s">
        <v>86</v>
      </c>
      <c r="F6222" s="9">
        <v>17</v>
      </c>
      <c r="G6222" s="9">
        <v>154</v>
      </c>
      <c r="H6222" s="5" t="s">
        <v>21</v>
      </c>
      <c r="I6222" s="5" t="s">
        <v>14179</v>
      </c>
      <c r="J6222" s="12" t="str">
        <f>HYPERLINK("https://www.boe.es/gazeta/dias/1800/02/28/pdfs/GMD-1800-17.pdf#page=2","Abrir facsímil")</f>
        <v>Abrir facsímil</v>
      </c>
      <c r="K6222" s="15" t="s">
        <v>23</v>
      </c>
    </row>
    <row r="6223" spans="1:11" ht="42" customHeight="1">
      <c r="A6223" s="4" t="s">
        <v>14180</v>
      </c>
      <c r="B6223" s="5" t="s">
        <v>14181</v>
      </c>
      <c r="C6223" s="5" t="s">
        <v>41</v>
      </c>
      <c r="D6223" s="5" t="s">
        <v>42</v>
      </c>
      <c r="E6223" s="5" t="s">
        <v>194</v>
      </c>
      <c r="F6223" s="9">
        <v>48</v>
      </c>
      <c r="G6223" s="9">
        <v>512</v>
      </c>
      <c r="H6223" s="5" t="s">
        <v>21</v>
      </c>
      <c r="I6223" s="5" t="s">
        <v>14182</v>
      </c>
      <c r="J6223" s="12" t="str">
        <f>HYPERLINK("https://www.boe.es/gazeta/dias/1800/06/17/pdfs/GMD-1800-48.pdf#page=4","Abrir facsímil")</f>
        <v>Abrir facsímil</v>
      </c>
      <c r="K6223" s="15" t="s">
        <v>23</v>
      </c>
    </row>
    <row r="6224" spans="1:11" ht="42" customHeight="1">
      <c r="A6224" s="4" t="s">
        <v>14183</v>
      </c>
      <c r="B6224" s="5" t="s">
        <v>14184</v>
      </c>
      <c r="C6224" s="5" t="s">
        <v>41</v>
      </c>
      <c r="D6224" s="5" t="s">
        <v>42</v>
      </c>
      <c r="E6224" s="5" t="s">
        <v>218</v>
      </c>
      <c r="F6224" s="9">
        <v>5</v>
      </c>
      <c r="G6224" s="9">
        <v>42</v>
      </c>
      <c r="H6224" s="5" t="s">
        <v>21</v>
      </c>
      <c r="I6224" s="5" t="s">
        <v>14185</v>
      </c>
      <c r="J6224" s="12" t="str">
        <f>HYPERLINK("https://www.boe.es/gazeta/dias/1800/01/17/pdfs/GMD-1800-5.pdf#page=2","Abrir facsímil")</f>
        <v>Abrir facsímil</v>
      </c>
      <c r="K6224" s="15" t="s">
        <v>23</v>
      </c>
    </row>
    <row r="6225" spans="1:11" ht="42" customHeight="1">
      <c r="A6225" s="4" t="s">
        <v>14186</v>
      </c>
      <c r="B6225" s="5" t="s">
        <v>14187</v>
      </c>
      <c r="C6225" s="5" t="s">
        <v>18</v>
      </c>
      <c r="D6225" s="5" t="s">
        <v>19</v>
      </c>
      <c r="E6225" s="5" t="s">
        <v>131</v>
      </c>
      <c r="F6225" s="9">
        <v>8</v>
      </c>
      <c r="G6225" s="9">
        <v>70</v>
      </c>
      <c r="H6225" s="5" t="s">
        <v>21</v>
      </c>
      <c r="I6225" s="5" t="s">
        <v>14188</v>
      </c>
      <c r="J6225" s="12" t="str">
        <f>HYPERLINK("https://www.boe.es/gazeta/dias/1800/01/28/pdfs/GMD-1800-8.pdf#page=2","Abrir facsímil")</f>
        <v>Abrir facsímil</v>
      </c>
      <c r="K6225" s="15" t="s">
        <v>23</v>
      </c>
    </row>
    <row r="6226" spans="1:11" ht="42" customHeight="1">
      <c r="A6226" s="4" t="s">
        <v>14189</v>
      </c>
      <c r="B6226" s="5" t="s">
        <v>14190</v>
      </c>
      <c r="C6226" s="5" t="s">
        <v>18</v>
      </c>
      <c r="D6226" s="5" t="s">
        <v>19</v>
      </c>
      <c r="E6226" s="5" t="s">
        <v>58</v>
      </c>
      <c r="F6226" s="9">
        <v>92</v>
      </c>
      <c r="G6226" s="9">
        <v>1053</v>
      </c>
      <c r="H6226" s="5" t="s">
        <v>21</v>
      </c>
      <c r="I6226" s="5" t="s">
        <v>14191</v>
      </c>
      <c r="J6226" s="12" t="str">
        <f>HYPERLINK("https://www.boe.es/gazeta/dias/1800/11/14/pdfs/GMD-1800-92.pdf#page=7","Abrir facsímil")</f>
        <v>Abrir facsímil</v>
      </c>
      <c r="K6226" s="15" t="s">
        <v>23</v>
      </c>
    </row>
    <row r="6227" spans="1:11" ht="42" customHeight="1">
      <c r="A6227" s="4" t="s">
        <v>14192</v>
      </c>
      <c r="B6227" s="5" t="s">
        <v>14193</v>
      </c>
      <c r="C6227" s="5" t="s">
        <v>41</v>
      </c>
      <c r="D6227" s="5" t="s">
        <v>42</v>
      </c>
      <c r="E6227" s="5" t="s">
        <v>465</v>
      </c>
      <c r="F6227" s="9">
        <v>49</v>
      </c>
      <c r="G6227" s="9">
        <v>529</v>
      </c>
      <c r="H6227" s="5" t="s">
        <v>21</v>
      </c>
      <c r="I6227" s="5" t="s">
        <v>14194</v>
      </c>
      <c r="J6227" s="12" t="str">
        <f>HYPERLINK("https://www.boe.es/gazeta/dias/1800/06/20/pdfs/GMD-1800-49.pdf#page=5","Abrir facsímil")</f>
        <v>Abrir facsímil</v>
      </c>
      <c r="K6227" s="15" t="s">
        <v>23</v>
      </c>
    </row>
    <row r="6228" spans="1:11" ht="42" customHeight="1">
      <c r="A6228" s="4" t="s">
        <v>14195</v>
      </c>
      <c r="B6228" s="5" t="s">
        <v>14196</v>
      </c>
      <c r="C6228" s="5" t="s">
        <v>41</v>
      </c>
      <c r="D6228" s="5" t="s">
        <v>42</v>
      </c>
      <c r="E6228" s="5" t="s">
        <v>420</v>
      </c>
      <c r="F6228" s="9">
        <v>38</v>
      </c>
      <c r="G6228" s="9">
        <v>381</v>
      </c>
      <c r="H6228" s="5" t="s">
        <v>21</v>
      </c>
      <c r="I6228" s="5" t="s">
        <v>14197</v>
      </c>
      <c r="J6228" s="12" t="str">
        <f>HYPERLINK("https://www.boe.es/gazeta/dias/1800/05/13/pdfs/GMD-1800-38.pdf#page=1","Abrir facsímil")</f>
        <v>Abrir facsímil</v>
      </c>
      <c r="K6228" s="15" t="s">
        <v>23</v>
      </c>
    </row>
    <row r="6229" spans="1:11" ht="42" customHeight="1">
      <c r="A6229" s="4" t="s">
        <v>14198</v>
      </c>
      <c r="B6229" s="5" t="s">
        <v>14199</v>
      </c>
      <c r="C6229" s="5" t="s">
        <v>18</v>
      </c>
      <c r="D6229" s="5" t="s">
        <v>19</v>
      </c>
      <c r="E6229" s="5" t="s">
        <v>116</v>
      </c>
      <c r="F6229" s="9">
        <v>86</v>
      </c>
      <c r="G6229" s="9">
        <v>991</v>
      </c>
      <c r="H6229" s="5" t="s">
        <v>21</v>
      </c>
      <c r="I6229" s="5" t="s">
        <v>14200</v>
      </c>
      <c r="J6229" s="12" t="str">
        <f>HYPERLINK("https://www.boe.es/gazeta/dias/1800/10/24/pdfs/GMD-1800-86.pdf#page=1","Abrir facsímil")</f>
        <v>Abrir facsímil</v>
      </c>
      <c r="K6229" s="15" t="s">
        <v>23</v>
      </c>
    </row>
    <row r="6230" spans="1:11" ht="42" customHeight="1">
      <c r="A6230" s="4" t="s">
        <v>14201</v>
      </c>
      <c r="B6230" s="5" t="s">
        <v>14202</v>
      </c>
      <c r="C6230" s="5" t="s">
        <v>41</v>
      </c>
      <c r="D6230" s="5" t="s">
        <v>42</v>
      </c>
      <c r="E6230" s="5" t="s">
        <v>346</v>
      </c>
      <c r="F6230" s="9">
        <v>24</v>
      </c>
      <c r="G6230" s="9">
        <v>238</v>
      </c>
      <c r="H6230" s="5" t="s">
        <v>21</v>
      </c>
      <c r="I6230" s="5" t="s">
        <v>14203</v>
      </c>
      <c r="J6230" s="12" t="str">
        <f>HYPERLINK("https://www.boe.es/gazeta/dias/1800/03/25/pdfs/GMD-1800-24.pdf#page=2","Abrir facsímil")</f>
        <v>Abrir facsímil</v>
      </c>
      <c r="K6230" s="15" t="s">
        <v>23</v>
      </c>
    </row>
    <row r="6231" spans="1:11" ht="42" customHeight="1">
      <c r="A6231" s="4" t="s">
        <v>14204</v>
      </c>
      <c r="B6231" s="5" t="s">
        <v>14205</v>
      </c>
      <c r="C6231" s="5" t="s">
        <v>18</v>
      </c>
      <c r="D6231" s="5" t="s">
        <v>19</v>
      </c>
      <c r="E6231" s="5" t="s">
        <v>1287</v>
      </c>
      <c r="F6231" s="9">
        <v>57</v>
      </c>
      <c r="G6231" s="9">
        <v>638</v>
      </c>
      <c r="H6231" s="5" t="s">
        <v>21</v>
      </c>
      <c r="I6231" s="5" t="s">
        <v>14206</v>
      </c>
      <c r="J6231" s="12" t="str">
        <f>HYPERLINK("https://www.boe.es/gazeta/dias/1800/07/18/pdfs/GMD-1800-57.pdf#page=2","Abrir facsímil")</f>
        <v>Abrir facsímil</v>
      </c>
      <c r="K6231" s="15" t="s">
        <v>23</v>
      </c>
    </row>
    <row r="6232" spans="1:11" ht="42" customHeight="1">
      <c r="A6232" s="4" t="s">
        <v>14207</v>
      </c>
      <c r="B6232" s="5" t="s">
        <v>14208</v>
      </c>
      <c r="C6232" s="5" t="s">
        <v>18</v>
      </c>
      <c r="D6232" s="5" t="s">
        <v>19</v>
      </c>
      <c r="E6232" s="5" t="s">
        <v>787</v>
      </c>
      <c r="F6232" s="9">
        <v>6</v>
      </c>
      <c r="G6232" s="9">
        <v>57</v>
      </c>
      <c r="H6232" s="5" t="s">
        <v>21</v>
      </c>
      <c r="I6232" s="5" t="s">
        <v>14209</v>
      </c>
      <c r="J6232" s="12" t="str">
        <f>HYPERLINK("https://www.boe.es/gazeta/dias/1800/01/21/pdfs/GMD-1800-6.pdf#page=9","Abrir facsímil")</f>
        <v>Abrir facsímil</v>
      </c>
      <c r="K6232" s="15" t="s">
        <v>23</v>
      </c>
    </row>
    <row r="6233" spans="1:11" ht="42" customHeight="1">
      <c r="A6233" s="4" t="s">
        <v>14210</v>
      </c>
      <c r="B6233" s="5" t="s">
        <v>14211</v>
      </c>
      <c r="C6233" s="5" t="s">
        <v>25</v>
      </c>
      <c r="D6233" s="5" t="s">
        <v>26</v>
      </c>
      <c r="E6233" s="5" t="s">
        <v>244</v>
      </c>
      <c r="F6233" s="9">
        <v>9</v>
      </c>
      <c r="G6233" s="9">
        <v>87</v>
      </c>
      <c r="H6233" s="5" t="s">
        <v>21</v>
      </c>
      <c r="I6233" s="5" t="s">
        <v>14212</v>
      </c>
      <c r="J6233" s="12" t="str">
        <f>HYPERLINK("https://www.boe.es/gazeta/dias/1800/01/31/pdfs/GMD-1800-9.pdf#page=11","Abrir facsímil")</f>
        <v>Abrir facsímil</v>
      </c>
      <c r="K6233" s="15" t="s">
        <v>23</v>
      </c>
    </row>
    <row r="6234" spans="1:11" ht="42" customHeight="1">
      <c r="A6234" s="4" t="s">
        <v>14213</v>
      </c>
      <c r="B6234" s="5" t="s">
        <v>14214</v>
      </c>
      <c r="C6234" s="5" t="s">
        <v>41</v>
      </c>
      <c r="D6234" s="5" t="s">
        <v>42</v>
      </c>
      <c r="E6234" s="5" t="s">
        <v>248</v>
      </c>
      <c r="F6234" s="9">
        <v>33</v>
      </c>
      <c r="G6234" s="9">
        <v>329</v>
      </c>
      <c r="H6234" s="5" t="s">
        <v>21</v>
      </c>
      <c r="I6234" s="5" t="s">
        <v>14215</v>
      </c>
      <c r="J6234" s="12" t="str">
        <f>HYPERLINK("https://www.boe.es/gazeta/dias/1800/04/25/pdfs/GMD-1800-33.pdf#page=5","Abrir facsímil")</f>
        <v>Abrir facsímil</v>
      </c>
      <c r="K6234" s="15" t="s">
        <v>23</v>
      </c>
    </row>
    <row r="6235" spans="1:11" ht="42" customHeight="1">
      <c r="A6235" s="4" t="s">
        <v>14216</v>
      </c>
      <c r="B6235" s="5" t="s">
        <v>14216</v>
      </c>
      <c r="C6235" s="5" t="s">
        <v>114</v>
      </c>
      <c r="D6235" s="5" t="s">
        <v>115</v>
      </c>
      <c r="E6235" s="5" t="s">
        <v>116</v>
      </c>
      <c r="F6235" s="9">
        <v>86</v>
      </c>
      <c r="G6235" s="9" t="s">
        <v>991</v>
      </c>
      <c r="H6235" s="5" t="s">
        <v>21</v>
      </c>
      <c r="I6235" s="5" t="s">
        <v>14217</v>
      </c>
      <c r="J6235" s="12" t="str">
        <f>HYPERLINK("https://www.boe.es/gazeta/dias/1800/10/24/pdfs/GMD-D-1800-86.pdf#page=4","Abrir facsímil")</f>
        <v>Abrir facsímil</v>
      </c>
      <c r="K6235" s="15" t="s">
        <v>23</v>
      </c>
    </row>
    <row r="6236" spans="1:11" ht="42" customHeight="1">
      <c r="A6236" s="4" t="s">
        <v>14218</v>
      </c>
      <c r="B6236" s="5" t="s">
        <v>14218</v>
      </c>
      <c r="C6236" s="5" t="s">
        <v>41</v>
      </c>
      <c r="D6236" s="5" t="s">
        <v>42</v>
      </c>
      <c r="E6236" s="5" t="s">
        <v>306</v>
      </c>
      <c r="F6236" s="9">
        <v>79</v>
      </c>
      <c r="G6236" s="9">
        <v>895</v>
      </c>
      <c r="H6236" s="5" t="s">
        <v>21</v>
      </c>
      <c r="I6236" s="5" t="s">
        <v>14219</v>
      </c>
      <c r="J6236" s="12" t="str">
        <f>HYPERLINK("https://www.boe.es/gazeta/dias/1800/09/30/pdfs/GMD-1800-79.pdf#page=5","Abrir facsímil")</f>
        <v>Abrir facsímil</v>
      </c>
      <c r="K6236" s="15" t="s">
        <v>23</v>
      </c>
    </row>
    <row r="6237" spans="1:11" ht="42" customHeight="1">
      <c r="A6237" s="4" t="s">
        <v>14220</v>
      </c>
      <c r="B6237" s="5" t="s">
        <v>14221</v>
      </c>
      <c r="C6237" s="5" t="s">
        <v>25</v>
      </c>
      <c r="D6237" s="5" t="s">
        <v>26</v>
      </c>
      <c r="E6237" s="5" t="s">
        <v>673</v>
      </c>
      <c r="F6237" s="9">
        <v>89</v>
      </c>
      <c r="G6237" s="9">
        <v>1044</v>
      </c>
      <c r="H6237" s="5" t="s">
        <v>21</v>
      </c>
      <c r="I6237" s="5" t="s">
        <v>14222</v>
      </c>
      <c r="J6237" s="12" t="str">
        <f>HYPERLINK("https://www.boe.es/gazeta/dias/1800/11/04/pdfs/GMD-1800-89.pdf#page=10","Abrir facsímil")</f>
        <v>Abrir facsímil</v>
      </c>
      <c r="K6237" s="15" t="s">
        <v>23</v>
      </c>
    </row>
    <row r="6238" spans="1:11" ht="42" customHeight="1">
      <c r="A6238" s="4" t="s">
        <v>14223</v>
      </c>
      <c r="B6238" s="5" t="s">
        <v>14224</v>
      </c>
      <c r="C6238" s="5" t="s">
        <v>54</v>
      </c>
      <c r="D6238" s="5" t="s">
        <v>55</v>
      </c>
      <c r="E6238" s="5" t="s">
        <v>190</v>
      </c>
      <c r="F6238" s="9">
        <v>93</v>
      </c>
      <c r="G6238" s="9">
        <v>1070</v>
      </c>
      <c r="H6238" s="5" t="s">
        <v>21</v>
      </c>
      <c r="I6238" s="5" t="s">
        <v>14225</v>
      </c>
      <c r="J6238" s="12" t="str">
        <f>HYPERLINK("https://www.boe.es/gazeta/dias/1800/11/18/pdfs/GMD-1800-93.pdf#page=16","Abrir facsímil")</f>
        <v>Abrir facsímil</v>
      </c>
      <c r="K6238" s="15" t="s">
        <v>23</v>
      </c>
    </row>
    <row r="6239" spans="1:11" ht="42" customHeight="1">
      <c r="A6239" s="4" t="s">
        <v>14226</v>
      </c>
      <c r="B6239" s="5" t="s">
        <v>14227</v>
      </c>
      <c r="C6239" s="5" t="s">
        <v>25</v>
      </c>
      <c r="D6239" s="5" t="s">
        <v>26</v>
      </c>
      <c r="E6239" s="5" t="s">
        <v>836</v>
      </c>
      <c r="F6239" s="9">
        <v>71</v>
      </c>
      <c r="G6239" s="9">
        <v>789</v>
      </c>
      <c r="H6239" s="5" t="s">
        <v>21</v>
      </c>
      <c r="I6239" s="5" t="s">
        <v>14228</v>
      </c>
      <c r="J6239" s="12" t="str">
        <f>HYPERLINK("https://www.boe.es/gazeta/dias/1800/09/02/pdfs/GMD-1800-71.pdf#page=7","Abrir facsímil")</f>
        <v>Abrir facsímil</v>
      </c>
      <c r="K6239" s="15" t="s">
        <v>23</v>
      </c>
    </row>
    <row r="6240" spans="1:11" ht="42" customHeight="1">
      <c r="A6240" s="4" t="s">
        <v>14229</v>
      </c>
      <c r="B6240" s="5" t="s">
        <v>14230</v>
      </c>
      <c r="C6240" s="5" t="s">
        <v>1035</v>
      </c>
      <c r="D6240" s="5" t="s">
        <v>1036</v>
      </c>
      <c r="E6240" s="5" t="s">
        <v>50</v>
      </c>
      <c r="F6240" s="9">
        <v>81</v>
      </c>
      <c r="G6240" s="9">
        <v>941</v>
      </c>
      <c r="H6240" s="5" t="s">
        <v>21</v>
      </c>
      <c r="I6240" s="5" t="s">
        <v>14231</v>
      </c>
      <c r="J6240" s="12" t="str">
        <f>HYPERLINK("https://www.boe.es/gazeta/dias/1800/10/07/pdfs/GMD-C-1800-81.pdf#page=23","Abrir facsímil")</f>
        <v>Abrir facsímil</v>
      </c>
      <c r="K6240" s="15" t="s">
        <v>23</v>
      </c>
    </row>
    <row r="6241" spans="1:11" ht="42" customHeight="1">
      <c r="A6241" s="4" t="s">
        <v>14232</v>
      </c>
      <c r="B6241" s="5" t="s">
        <v>14233</v>
      </c>
      <c r="C6241" s="5" t="s">
        <v>207</v>
      </c>
      <c r="D6241" s="5" t="s">
        <v>55</v>
      </c>
      <c r="E6241" s="5" t="s">
        <v>478</v>
      </c>
      <c r="F6241" s="9">
        <v>34</v>
      </c>
      <c r="G6241" s="9">
        <v>346</v>
      </c>
      <c r="H6241" s="5" t="s">
        <v>21</v>
      </c>
      <c r="I6241" s="5" t="s">
        <v>14234</v>
      </c>
      <c r="J6241" s="12" t="str">
        <f>HYPERLINK("https://www.boe.es/gazeta/dias/1800/04/29/pdfs/GMD-1800-34.pdf#page=10","Abrir facsímil")</f>
        <v>Abrir facsímil</v>
      </c>
      <c r="K6241" s="15" t="s">
        <v>23</v>
      </c>
    </row>
    <row r="6242" spans="1:11" ht="42" customHeight="1">
      <c r="A6242" s="4" t="s">
        <v>14235</v>
      </c>
      <c r="B6242" s="5" t="s">
        <v>14236</v>
      </c>
      <c r="C6242" s="5" t="s">
        <v>207</v>
      </c>
      <c r="D6242" s="5" t="s">
        <v>55</v>
      </c>
      <c r="E6242" s="5" t="s">
        <v>1287</v>
      </c>
      <c r="F6242" s="9">
        <v>57</v>
      </c>
      <c r="G6242" s="9">
        <v>651</v>
      </c>
      <c r="H6242" s="5" t="s">
        <v>21</v>
      </c>
      <c r="I6242" s="5" t="s">
        <v>14237</v>
      </c>
      <c r="J6242" s="12" t="str">
        <f>HYPERLINK("https://www.boe.es/gazeta/dias/1800/07/18/pdfs/GMD-1800-57.pdf#page=15","Abrir facsímil")</f>
        <v>Abrir facsímil</v>
      </c>
      <c r="K6242" s="15" t="s">
        <v>23</v>
      </c>
    </row>
    <row r="6243" spans="1:11" ht="42" customHeight="1">
      <c r="A6243" s="4" t="s">
        <v>14238</v>
      </c>
      <c r="B6243" s="5" t="s">
        <v>14239</v>
      </c>
      <c r="C6243" s="5" t="s">
        <v>54</v>
      </c>
      <c r="D6243" s="5" t="s">
        <v>55</v>
      </c>
      <c r="E6243" s="5" t="s">
        <v>64</v>
      </c>
      <c r="F6243" s="9">
        <v>54</v>
      </c>
      <c r="G6243" s="9">
        <v>605</v>
      </c>
      <c r="H6243" s="5" t="s">
        <v>21</v>
      </c>
      <c r="I6243" s="5" t="s">
        <v>14240</v>
      </c>
      <c r="J6243" s="12" t="str">
        <f>HYPERLINK("https://www.boe.es/gazeta/dias/1800/07/08/pdfs/GMD-1800-54.pdf#page=9","Abrir facsímil")</f>
        <v>Abrir facsímil</v>
      </c>
      <c r="K6243" s="15" t="s">
        <v>23</v>
      </c>
    </row>
    <row r="6244" spans="1:11" ht="42" customHeight="1">
      <c r="A6244" s="4" t="s">
        <v>14241</v>
      </c>
      <c r="B6244" s="5" t="s">
        <v>14242</v>
      </c>
      <c r="C6244" s="5" t="s">
        <v>114</v>
      </c>
      <c r="D6244" s="5" t="s">
        <v>115</v>
      </c>
      <c r="E6244" s="5" t="s">
        <v>116</v>
      </c>
      <c r="F6244" s="9">
        <v>86</v>
      </c>
      <c r="G6244" s="9" t="s">
        <v>991</v>
      </c>
      <c r="H6244" s="5" t="s">
        <v>21</v>
      </c>
      <c r="I6244" s="5" t="s">
        <v>14243</v>
      </c>
      <c r="J6244" s="12" t="str">
        <f>HYPERLINK("https://www.boe.es/gazeta/dias/1800/10/24/pdfs/GMD-D-1800-86.pdf#page=4","Abrir facsímil")</f>
        <v>Abrir facsímil</v>
      </c>
      <c r="K6244" s="15" t="s">
        <v>23</v>
      </c>
    </row>
    <row r="6245" spans="1:11" ht="42" customHeight="1">
      <c r="A6245" s="4" t="s">
        <v>14244</v>
      </c>
      <c r="B6245" s="5" t="s">
        <v>14245</v>
      </c>
      <c r="C6245" s="5" t="s">
        <v>18</v>
      </c>
      <c r="D6245" s="5" t="s">
        <v>19</v>
      </c>
      <c r="E6245" s="5" t="s">
        <v>31</v>
      </c>
      <c r="F6245" s="9">
        <v>20</v>
      </c>
      <c r="G6245" s="9">
        <v>192</v>
      </c>
      <c r="H6245" s="5" t="s">
        <v>21</v>
      </c>
      <c r="I6245" s="5" t="s">
        <v>14246</v>
      </c>
      <c r="J6245" s="12" t="str">
        <f>HYPERLINK("https://www.boe.es/gazeta/dias/1800/03/11/pdfs/GMD-1800-20.pdf#page=8","Abrir facsímil")</f>
        <v>Abrir facsímil</v>
      </c>
      <c r="K6245" s="15" t="s">
        <v>23</v>
      </c>
    </row>
    <row r="6246" spans="1:11" ht="42" customHeight="1">
      <c r="A6246" s="4" t="s">
        <v>14247</v>
      </c>
      <c r="B6246" s="5" t="s">
        <v>14248</v>
      </c>
      <c r="C6246" s="5" t="s">
        <v>54</v>
      </c>
      <c r="D6246" s="5" t="s">
        <v>55</v>
      </c>
      <c r="E6246" s="5" t="s">
        <v>572</v>
      </c>
      <c r="F6246" s="9">
        <v>76</v>
      </c>
      <c r="G6246" s="9">
        <v>868</v>
      </c>
      <c r="H6246" s="5" t="s">
        <v>21</v>
      </c>
      <c r="I6246" s="5" t="s">
        <v>14249</v>
      </c>
      <c r="J6246" s="12" t="str">
        <f>HYPERLINK("https://www.boe.es/gazeta/dias/1800/09/19/pdfs/GMD-1800-76.pdf#page=10","Abrir facsímil")</f>
        <v>Abrir facsímil</v>
      </c>
      <c r="K6246" s="15" t="s">
        <v>23</v>
      </c>
    </row>
    <row r="6247" spans="1:11" ht="42" customHeight="1">
      <c r="A6247" s="4" t="s">
        <v>14250</v>
      </c>
      <c r="B6247" s="5" t="s">
        <v>14251</v>
      </c>
      <c r="C6247" s="5" t="s">
        <v>114</v>
      </c>
      <c r="D6247" s="5" t="s">
        <v>115</v>
      </c>
      <c r="E6247" s="5" t="s">
        <v>116</v>
      </c>
      <c r="F6247" s="9">
        <v>86</v>
      </c>
      <c r="G6247" s="9" t="s">
        <v>991</v>
      </c>
      <c r="H6247" s="5" t="s">
        <v>21</v>
      </c>
      <c r="I6247" s="5" t="s">
        <v>14252</v>
      </c>
      <c r="J6247" s="12" t="str">
        <f>HYPERLINK("https://www.boe.es/gazeta/dias/1800/10/24/pdfs/GMD-D-1800-86.pdf#page=4","Abrir facsímil")</f>
        <v>Abrir facsímil</v>
      </c>
      <c r="K6247" s="15" t="s">
        <v>23</v>
      </c>
    </row>
    <row r="6248" spans="1:11" ht="42" customHeight="1">
      <c r="A6248" s="4" t="s">
        <v>14253</v>
      </c>
      <c r="B6248" s="5" t="s">
        <v>14253</v>
      </c>
      <c r="C6248" s="5" t="s">
        <v>54</v>
      </c>
      <c r="D6248" s="5" t="s">
        <v>55</v>
      </c>
      <c r="E6248" s="5" t="s">
        <v>56</v>
      </c>
      <c r="F6248" s="9">
        <v>90</v>
      </c>
      <c r="G6248" s="9">
        <v>1050</v>
      </c>
      <c r="H6248" s="5" t="s">
        <v>21</v>
      </c>
      <c r="I6248" s="5" t="s">
        <v>57</v>
      </c>
      <c r="J6248" s="12" t="str">
        <f>HYPERLINK("https://www.boe.es/gazeta/dias/1800/11/07/pdfs/GMD-1800-90.pdf#page=4","Abrir facsímil")</f>
        <v>Abrir facsímil</v>
      </c>
      <c r="K6248" s="15" t="s">
        <v>23</v>
      </c>
    </row>
    <row r="6249" spans="1:11" ht="42" customHeight="1">
      <c r="A6249" s="4" t="s">
        <v>14253</v>
      </c>
      <c r="B6249" s="5" t="s">
        <v>14253</v>
      </c>
      <c r="C6249" s="5" t="s">
        <v>41</v>
      </c>
      <c r="D6249" s="5" t="s">
        <v>42</v>
      </c>
      <c r="E6249" s="5" t="s">
        <v>58</v>
      </c>
      <c r="F6249" s="9">
        <v>92</v>
      </c>
      <c r="G6249" s="9">
        <v>1048</v>
      </c>
      <c r="H6249" s="5" t="s">
        <v>21</v>
      </c>
      <c r="I6249" s="5" t="s">
        <v>59</v>
      </c>
      <c r="J6249" s="12" t="str">
        <f>HYPERLINK("https://www.boe.es/gazeta/dias/1800/11/14/pdfs/GMD-1800-92.pdf#page=2","Abrir facsímil")</f>
        <v>Abrir facsímil</v>
      </c>
      <c r="K6249" s="15" t="s">
        <v>23</v>
      </c>
    </row>
    <row r="6250" spans="1:11" ht="42" customHeight="1">
      <c r="A6250" s="4" t="s">
        <v>14254</v>
      </c>
      <c r="B6250" s="5" t="s">
        <v>14255</v>
      </c>
      <c r="C6250" s="5" t="s">
        <v>41</v>
      </c>
      <c r="D6250" s="5" t="s">
        <v>42</v>
      </c>
      <c r="E6250" s="5" t="s">
        <v>52</v>
      </c>
      <c r="F6250" s="9">
        <v>83</v>
      </c>
      <c r="G6250" s="9">
        <v>957</v>
      </c>
      <c r="H6250" s="5" t="s">
        <v>21</v>
      </c>
      <c r="I6250" s="5" t="s">
        <v>14256</v>
      </c>
      <c r="J6250" s="12" t="str">
        <f>HYPERLINK("https://www.boe.es/gazeta/dias/1800/10/14/pdfs/GMD-1800-83.pdf#page=3","Abrir facsímil")</f>
        <v>Abrir facsímil</v>
      </c>
      <c r="K6250" s="15" t="s">
        <v>23</v>
      </c>
    </row>
    <row r="6251" spans="1:11" ht="42" customHeight="1">
      <c r="A6251" s="4" t="s">
        <v>14254</v>
      </c>
      <c r="B6251" s="5" t="s">
        <v>14255</v>
      </c>
      <c r="C6251" s="5" t="s">
        <v>41</v>
      </c>
      <c r="D6251" s="5" t="s">
        <v>42</v>
      </c>
      <c r="E6251" s="5" t="s">
        <v>410</v>
      </c>
      <c r="F6251" s="9">
        <v>87</v>
      </c>
      <c r="G6251" s="9">
        <v>1005</v>
      </c>
      <c r="H6251" s="5" t="s">
        <v>21</v>
      </c>
      <c r="I6251" s="5" t="s">
        <v>14257</v>
      </c>
      <c r="J6251" s="12" t="str">
        <f>HYPERLINK("https://www.boe.es/gazeta/dias/1800/10/28/pdfs/GMD-1800-87.pdf#page=3","Abrir facsímil")</f>
        <v>Abrir facsímil</v>
      </c>
      <c r="K6251" s="15" t="s">
        <v>23</v>
      </c>
    </row>
    <row r="6252" spans="1:11" ht="42" customHeight="1">
      <c r="A6252" s="4" t="s">
        <v>14258</v>
      </c>
      <c r="B6252" s="5" t="s">
        <v>14259</v>
      </c>
      <c r="C6252" s="5" t="s">
        <v>25</v>
      </c>
      <c r="D6252" s="5" t="s">
        <v>26</v>
      </c>
      <c r="E6252" s="5" t="s">
        <v>48</v>
      </c>
      <c r="F6252" s="9">
        <v>66</v>
      </c>
      <c r="G6252" s="9">
        <v>746</v>
      </c>
      <c r="H6252" s="5" t="s">
        <v>21</v>
      </c>
      <c r="I6252" s="5" t="s">
        <v>14260</v>
      </c>
      <c r="J6252" s="12" t="str">
        <f>HYPERLINK("https://www.boe.es/gazeta/dias/1800/08/19/pdfs/GMD-1800-66.pdf#page=10","Abrir facsímil")</f>
        <v>Abrir facsímil</v>
      </c>
      <c r="K6252" s="15" t="s">
        <v>23</v>
      </c>
    </row>
    <row r="6253" spans="1:11" ht="42" customHeight="1">
      <c r="A6253" s="4" t="s">
        <v>14261</v>
      </c>
      <c r="B6253" s="5" t="s">
        <v>14261</v>
      </c>
      <c r="C6253" s="5" t="s">
        <v>25</v>
      </c>
      <c r="D6253" s="5" t="s">
        <v>26</v>
      </c>
      <c r="E6253" s="5" t="s">
        <v>82</v>
      </c>
      <c r="F6253" s="9">
        <v>10</v>
      </c>
      <c r="G6253" s="9">
        <v>99</v>
      </c>
      <c r="H6253" s="5" t="s">
        <v>21</v>
      </c>
      <c r="I6253" s="5" t="s">
        <v>14262</v>
      </c>
      <c r="J6253" s="12" t="str">
        <f>HYPERLINK("https://www.boe.es/gazeta/dias/1800/02/04/pdfs/GMD-1800-10.pdf#page=11","Abrir facsímil")</f>
        <v>Abrir facsímil</v>
      </c>
      <c r="K6253" s="15" t="s">
        <v>23</v>
      </c>
    </row>
    <row r="6254" spans="1:11" ht="42" customHeight="1">
      <c r="A6254" s="4" t="s">
        <v>14263</v>
      </c>
      <c r="B6254" s="5" t="s">
        <v>14264</v>
      </c>
      <c r="C6254" s="5" t="s">
        <v>18</v>
      </c>
      <c r="D6254" s="5" t="s">
        <v>19</v>
      </c>
      <c r="E6254" s="5" t="s">
        <v>196</v>
      </c>
      <c r="F6254" s="9">
        <v>97</v>
      </c>
      <c r="G6254" s="9">
        <v>1117</v>
      </c>
      <c r="H6254" s="5" t="s">
        <v>21</v>
      </c>
      <c r="I6254" s="5" t="s">
        <v>14265</v>
      </c>
      <c r="J6254" s="12" t="str">
        <f>HYPERLINK("https://www.boe.es/gazeta/dias/1800/12/02/pdfs/GMD-1800-97.pdf#page=9","Abrir facsímil")</f>
        <v>Abrir facsímil</v>
      </c>
      <c r="K6254" s="15" t="s">
        <v>23</v>
      </c>
    </row>
    <row r="6255" spans="1:11" ht="42" customHeight="1">
      <c r="A6255" s="4" t="s">
        <v>14266</v>
      </c>
      <c r="B6255" s="5" t="s">
        <v>14267</v>
      </c>
      <c r="C6255" s="5" t="s">
        <v>18</v>
      </c>
      <c r="D6255" s="5" t="s">
        <v>19</v>
      </c>
      <c r="E6255" s="5" t="s">
        <v>314</v>
      </c>
      <c r="F6255" s="9">
        <v>74</v>
      </c>
      <c r="G6255" s="9">
        <v>831</v>
      </c>
      <c r="H6255" s="5" t="s">
        <v>21</v>
      </c>
      <c r="I6255" s="5" t="s">
        <v>14268</v>
      </c>
      <c r="J6255" s="12" t="str">
        <f>HYPERLINK("https://www.boe.es/gazeta/dias/1800/09/12/pdfs/GMD-1800-74.pdf#page=9","Abrir facsímil")</f>
        <v>Abrir facsímil</v>
      </c>
      <c r="K6255" s="15" t="s">
        <v>23</v>
      </c>
    </row>
    <row r="6256" spans="1:11" ht="42" customHeight="1">
      <c r="A6256" s="4" t="s">
        <v>14269</v>
      </c>
      <c r="B6256" s="5" t="s">
        <v>14270</v>
      </c>
      <c r="C6256" s="5" t="s">
        <v>207</v>
      </c>
      <c r="D6256" s="5" t="s">
        <v>55</v>
      </c>
      <c r="E6256" s="5" t="s">
        <v>194</v>
      </c>
      <c r="F6256" s="9">
        <v>48</v>
      </c>
      <c r="G6256" s="9">
        <v>517</v>
      </c>
      <c r="H6256" s="5" t="s">
        <v>21</v>
      </c>
      <c r="I6256" s="5" t="s">
        <v>14271</v>
      </c>
      <c r="J6256" s="12" t="str">
        <f>HYPERLINK("https://www.boe.es/gazeta/dias/1800/06/17/pdfs/GMD-1800-48.pdf#page=9","Abrir facsímil")</f>
        <v>Abrir facsímil</v>
      </c>
      <c r="K6256" s="15" t="s">
        <v>23</v>
      </c>
    </row>
    <row r="6257" spans="1:11" ht="42" customHeight="1">
      <c r="A6257" s="4" t="s">
        <v>14272</v>
      </c>
      <c r="B6257" s="5" t="s">
        <v>14273</v>
      </c>
      <c r="C6257" s="5" t="s">
        <v>207</v>
      </c>
      <c r="D6257" s="5" t="s">
        <v>55</v>
      </c>
      <c r="E6257" s="5" t="s">
        <v>420</v>
      </c>
      <c r="F6257" s="9">
        <v>38</v>
      </c>
      <c r="G6257" s="9">
        <v>387</v>
      </c>
      <c r="H6257" s="5" t="s">
        <v>21</v>
      </c>
      <c r="I6257" s="5" t="s">
        <v>14274</v>
      </c>
      <c r="J6257" s="12" t="str">
        <f>HYPERLINK("https://www.boe.es/gazeta/dias/1800/05/13/pdfs/GMD-1800-38.pdf#page=7","Abrir facsímil")</f>
        <v>Abrir facsímil</v>
      </c>
      <c r="K6257" s="15" t="s">
        <v>23</v>
      </c>
    </row>
    <row r="6258" spans="1:11" ht="42" customHeight="1">
      <c r="A6258" s="4" t="s">
        <v>14275</v>
      </c>
      <c r="B6258" s="5" t="s">
        <v>14276</v>
      </c>
      <c r="C6258" s="5" t="s">
        <v>25</v>
      </c>
      <c r="D6258" s="5" t="s">
        <v>26</v>
      </c>
      <c r="E6258" s="5" t="s">
        <v>454</v>
      </c>
      <c r="F6258" s="9">
        <v>63</v>
      </c>
      <c r="G6258" s="9">
        <v>720</v>
      </c>
      <c r="H6258" s="5" t="s">
        <v>21</v>
      </c>
      <c r="I6258" s="5" t="s">
        <v>14277</v>
      </c>
      <c r="J6258" s="12" t="str">
        <f>HYPERLINK("https://www.boe.es/gazeta/dias/1800/08/08/pdfs/GMD-1800-63.pdf#page=8","Abrir facsímil")</f>
        <v>Abrir facsímil</v>
      </c>
      <c r="K6258" s="15" t="s">
        <v>23</v>
      </c>
    </row>
    <row r="6259" spans="1:11" ht="42" customHeight="1">
      <c r="A6259" s="4" t="s">
        <v>14278</v>
      </c>
      <c r="B6259" s="5" t="s">
        <v>14279</v>
      </c>
      <c r="C6259" s="5" t="s">
        <v>25</v>
      </c>
      <c r="D6259" s="5" t="s">
        <v>26</v>
      </c>
      <c r="E6259" s="5" t="s">
        <v>43</v>
      </c>
      <c r="F6259" s="9">
        <v>46</v>
      </c>
      <c r="G6259" s="9">
        <v>487</v>
      </c>
      <c r="H6259" s="5" t="s">
        <v>21</v>
      </c>
      <c r="I6259" s="5" t="s">
        <v>14280</v>
      </c>
      <c r="J6259" s="12" t="str">
        <f>HYPERLINK("https://www.boe.es/gazeta/dias/1800/06/10/pdfs/GMD-1800-46.pdf#page=11","Abrir facsímil")</f>
        <v>Abrir facsímil</v>
      </c>
      <c r="K6259" s="15" t="s">
        <v>23</v>
      </c>
    </row>
    <row r="6260" spans="1:11" ht="42" customHeight="1">
      <c r="A6260" s="4" t="s">
        <v>14281</v>
      </c>
      <c r="B6260" s="5" t="s">
        <v>14282</v>
      </c>
      <c r="C6260" s="5" t="s">
        <v>18</v>
      </c>
      <c r="D6260" s="5" t="s">
        <v>19</v>
      </c>
      <c r="E6260" s="5" t="s">
        <v>56</v>
      </c>
      <c r="F6260" s="9">
        <v>90</v>
      </c>
      <c r="G6260" s="9">
        <v>1056</v>
      </c>
      <c r="H6260" s="5" t="s">
        <v>21</v>
      </c>
      <c r="I6260" s="5" t="s">
        <v>14283</v>
      </c>
      <c r="J6260" s="12" t="str">
        <f>HYPERLINK("https://www.boe.es/gazeta/dias/1800/11/07/pdfs/GMD-1800-90.pdf#page=10","Abrir facsímil")</f>
        <v>Abrir facsímil</v>
      </c>
      <c r="K6260" s="15" t="s">
        <v>23</v>
      </c>
    </row>
    <row r="6261" spans="1:11" ht="42" customHeight="1">
      <c r="A6261" s="4" t="s">
        <v>14284</v>
      </c>
      <c r="B6261" s="5" t="s">
        <v>14285</v>
      </c>
      <c r="C6261" s="5" t="s">
        <v>207</v>
      </c>
      <c r="D6261" s="5" t="s">
        <v>55</v>
      </c>
      <c r="E6261" s="5" t="s">
        <v>1231</v>
      </c>
      <c r="F6261" s="9">
        <v>36</v>
      </c>
      <c r="G6261" s="9">
        <v>366</v>
      </c>
      <c r="H6261" s="5" t="s">
        <v>21</v>
      </c>
      <c r="I6261" s="5" t="s">
        <v>14286</v>
      </c>
      <c r="J6261" s="12" t="str">
        <f>HYPERLINK("https://www.boe.es/gazeta/dias/1800/05/06/pdfs/GMD-1800-36.pdf#page=10","Abrir facsímil")</f>
        <v>Abrir facsímil</v>
      </c>
      <c r="K6261" s="15" t="s">
        <v>23</v>
      </c>
    </row>
    <row r="6262" spans="1:11" ht="42" customHeight="1">
      <c r="A6262" s="4" t="s">
        <v>14287</v>
      </c>
      <c r="B6262" s="5" t="s">
        <v>14288</v>
      </c>
      <c r="C6262" s="5" t="s">
        <v>84</v>
      </c>
      <c r="D6262" s="5" t="s">
        <v>85</v>
      </c>
      <c r="E6262" s="5" t="s">
        <v>283</v>
      </c>
      <c r="F6262" s="9">
        <v>68</v>
      </c>
      <c r="G6262" s="9">
        <v>768</v>
      </c>
      <c r="H6262" s="5" t="s">
        <v>21</v>
      </c>
      <c r="I6262" s="5" t="s">
        <v>14289</v>
      </c>
      <c r="J6262" s="12" t="str">
        <f>HYPERLINK("https://www.boe.es/gazeta/dias/1800/08/26/pdfs/GMD-1800-68.pdf#page=12","Abrir facsímil")</f>
        <v>Abrir facsímil</v>
      </c>
      <c r="K6262" s="15" t="s">
        <v>23</v>
      </c>
    </row>
    <row r="6263" spans="1:11" ht="42" customHeight="1">
      <c r="A6263" s="4" t="s">
        <v>14290</v>
      </c>
      <c r="B6263" s="5" t="s">
        <v>14291</v>
      </c>
      <c r="C6263" s="5" t="s">
        <v>207</v>
      </c>
      <c r="D6263" s="5" t="s">
        <v>55</v>
      </c>
      <c r="E6263" s="5" t="s">
        <v>184</v>
      </c>
      <c r="F6263" s="9">
        <v>82</v>
      </c>
      <c r="G6263" s="9">
        <v>950</v>
      </c>
      <c r="H6263" s="5" t="s">
        <v>21</v>
      </c>
      <c r="I6263" s="5" t="s">
        <v>14292</v>
      </c>
      <c r="J6263" s="12" t="str">
        <f>HYPERLINK("https://www.boe.es/gazeta/dias/1800/10/10/pdfs/GMD-1800-82.pdf#page=8","Abrir facsímil")</f>
        <v>Abrir facsímil</v>
      </c>
      <c r="K6263" s="15" t="s">
        <v>23</v>
      </c>
    </row>
    <row r="6264" spans="1:11" ht="42" customHeight="1">
      <c r="A6264" s="4" t="s">
        <v>14293</v>
      </c>
      <c r="B6264" s="5" t="s">
        <v>14294</v>
      </c>
      <c r="C6264" s="5" t="s">
        <v>18</v>
      </c>
      <c r="D6264" s="5" t="s">
        <v>19</v>
      </c>
      <c r="E6264" s="5" t="s">
        <v>88</v>
      </c>
      <c r="F6264" s="9">
        <v>23</v>
      </c>
      <c r="G6264" s="9">
        <v>232</v>
      </c>
      <c r="H6264" s="5" t="s">
        <v>21</v>
      </c>
      <c r="I6264" s="5" t="s">
        <v>14295</v>
      </c>
      <c r="J6264" s="12" t="str">
        <f>HYPERLINK("https://www.boe.es/gazeta/dias/1800/03/21/pdfs/GMD-1800-23.pdf#page=8","Abrir facsímil")</f>
        <v>Abrir facsímil</v>
      </c>
      <c r="K6264" s="15" t="s">
        <v>23</v>
      </c>
    </row>
    <row r="6265" spans="1:11" ht="42" customHeight="1">
      <c r="A6265" s="4" t="s">
        <v>14296</v>
      </c>
      <c r="B6265" s="5" t="s">
        <v>14297</v>
      </c>
      <c r="C6265" s="5" t="s">
        <v>171</v>
      </c>
      <c r="D6265" s="5" t="s">
        <v>172</v>
      </c>
      <c r="E6265" s="5" t="s">
        <v>214</v>
      </c>
      <c r="F6265" s="9">
        <v>41</v>
      </c>
      <c r="G6265" s="9">
        <v>426</v>
      </c>
      <c r="H6265" s="5" t="s">
        <v>21</v>
      </c>
      <c r="I6265" s="5" t="s">
        <v>14298</v>
      </c>
      <c r="J6265" s="12" t="str">
        <f>HYPERLINK("https://www.boe.es/gazeta/dias/1800/05/23/pdfs/GMD-C-1800-41.pdf#page=2","Abrir facsímil")</f>
        <v>Abrir facsímil</v>
      </c>
      <c r="K6265" s="15" t="s">
        <v>23</v>
      </c>
    </row>
    <row r="6266" spans="1:11" ht="42" customHeight="1">
      <c r="A6266" s="4" t="s">
        <v>14299</v>
      </c>
      <c r="B6266" s="5" t="s">
        <v>14299</v>
      </c>
      <c r="C6266" s="5" t="s">
        <v>84</v>
      </c>
      <c r="D6266" s="5" t="s">
        <v>85</v>
      </c>
      <c r="E6266" s="5" t="s">
        <v>598</v>
      </c>
      <c r="F6266" s="9">
        <v>32</v>
      </c>
      <c r="G6266" s="9">
        <v>324</v>
      </c>
      <c r="H6266" s="5" t="s">
        <v>21</v>
      </c>
      <c r="I6266" s="5" t="s">
        <v>14300</v>
      </c>
      <c r="J6266" s="12" t="str">
        <f>HYPERLINK("https://www.boe.es/gazeta/dias/1800/04/22/pdfs/GMD-1800-32.pdf#page=8","Abrir facsímil")</f>
        <v>Abrir facsímil</v>
      </c>
      <c r="K6266" s="15" t="s">
        <v>23</v>
      </c>
    </row>
    <row r="6267" spans="1:11" ht="42" customHeight="1">
      <c r="A6267" s="4" t="s">
        <v>14301</v>
      </c>
      <c r="B6267" s="5" t="s">
        <v>14302</v>
      </c>
      <c r="C6267" s="5" t="s">
        <v>18</v>
      </c>
      <c r="D6267" s="5" t="s">
        <v>19</v>
      </c>
      <c r="E6267" s="5" t="s">
        <v>319</v>
      </c>
      <c r="F6267" s="9">
        <v>62</v>
      </c>
      <c r="G6267" s="9">
        <v>708</v>
      </c>
      <c r="H6267" s="5" t="s">
        <v>21</v>
      </c>
      <c r="I6267" s="5" t="s">
        <v>14303</v>
      </c>
      <c r="J6267" s="12" t="str">
        <f>HYPERLINK("https://www.boe.es/gazeta/dias/1800/08/05/pdfs/GMD-1800-62.pdf#page=8","Abrir facsímil")</f>
        <v>Abrir facsímil</v>
      </c>
      <c r="K6267" s="15" t="s">
        <v>23</v>
      </c>
    </row>
    <row r="6268" spans="1:11" ht="42" customHeight="1">
      <c r="A6268" s="4" t="s">
        <v>14304</v>
      </c>
      <c r="B6268" s="5" t="s">
        <v>14305</v>
      </c>
      <c r="C6268" s="5" t="s">
        <v>114</v>
      </c>
      <c r="D6268" s="5" t="s">
        <v>115</v>
      </c>
      <c r="E6268" s="5" t="s">
        <v>116</v>
      </c>
      <c r="F6268" s="9">
        <v>86</v>
      </c>
      <c r="G6268" s="9" t="s">
        <v>1501</v>
      </c>
      <c r="H6268" s="5" t="s">
        <v>21</v>
      </c>
      <c r="I6268" s="5" t="s">
        <v>14306</v>
      </c>
      <c r="J6268" s="12" t="str">
        <f>HYPERLINK("https://www.boe.es/gazeta/dias/1800/10/24/pdfs/GMD-D-1800-86.pdf#page=2","Abrir facsímil")</f>
        <v>Abrir facsímil</v>
      </c>
      <c r="K6268" s="15" t="s">
        <v>23</v>
      </c>
    </row>
    <row r="6269" spans="1:11" ht="42" customHeight="1">
      <c r="A6269" s="4" t="s">
        <v>14307</v>
      </c>
      <c r="B6269" s="5" t="s">
        <v>14308</v>
      </c>
      <c r="C6269" s="5" t="s">
        <v>25</v>
      </c>
      <c r="D6269" s="5" t="s">
        <v>26</v>
      </c>
      <c r="E6269" s="5" t="s">
        <v>60</v>
      </c>
      <c r="F6269" s="9">
        <v>105</v>
      </c>
      <c r="G6269" s="9">
        <v>1226</v>
      </c>
      <c r="H6269" s="5" t="s">
        <v>21</v>
      </c>
      <c r="I6269" s="5" t="s">
        <v>14309</v>
      </c>
      <c r="J6269" s="12" t="str">
        <f>HYPERLINK("https://www.boe.es/gazeta/dias/1800/12/30/pdfs/GMD-1800-105.pdf#page=10","Abrir facsímil")</f>
        <v>Abrir facsímil</v>
      </c>
      <c r="K6269" s="15" t="s">
        <v>23</v>
      </c>
    </row>
    <row r="6270" spans="1:11" ht="42" customHeight="1">
      <c r="A6270" s="4" t="s">
        <v>14310</v>
      </c>
      <c r="B6270" s="5" t="s">
        <v>14311</v>
      </c>
      <c r="C6270" s="5" t="s">
        <v>25</v>
      </c>
      <c r="D6270" s="5" t="s">
        <v>26</v>
      </c>
      <c r="E6270" s="5" t="s">
        <v>45</v>
      </c>
      <c r="F6270" s="9">
        <v>47</v>
      </c>
      <c r="G6270" s="9">
        <v>502</v>
      </c>
      <c r="H6270" s="5" t="s">
        <v>21</v>
      </c>
      <c r="I6270" s="5" t="s">
        <v>14312</v>
      </c>
      <c r="J6270" s="12" t="str">
        <f>HYPERLINK("https://www.boe.es/gazeta/dias/1800/06/13/pdfs/GMD-1800-47.pdf#page=10","Abrir facsímil")</f>
        <v>Abrir facsímil</v>
      </c>
      <c r="K6270" s="15" t="s">
        <v>23</v>
      </c>
    </row>
    <row r="6271" spans="1:11" ht="42" customHeight="1">
      <c r="A6271" s="4" t="s">
        <v>14313</v>
      </c>
      <c r="B6271" s="5" t="s">
        <v>14314</v>
      </c>
      <c r="C6271" s="5" t="s">
        <v>18</v>
      </c>
      <c r="D6271" s="5" t="s">
        <v>19</v>
      </c>
      <c r="E6271" s="5" t="s">
        <v>1213</v>
      </c>
      <c r="F6271" s="9">
        <v>4</v>
      </c>
      <c r="G6271" s="9">
        <v>35</v>
      </c>
      <c r="H6271" s="5" t="s">
        <v>21</v>
      </c>
      <c r="I6271" s="5" t="s">
        <v>14315</v>
      </c>
      <c r="J6271" s="12" t="str">
        <f>HYPERLINK("https://www.boe.es/gazeta/dias/1800/01/14/pdfs/GMD-1800-4.pdf#page=7","Abrir facsímil")</f>
        <v>Abrir facsímil</v>
      </c>
      <c r="K6271" s="15" t="s">
        <v>23</v>
      </c>
    </row>
    <row r="6272" spans="1:11" ht="42" customHeight="1">
      <c r="A6272" s="4" t="s">
        <v>14316</v>
      </c>
      <c r="B6272" s="5" t="s">
        <v>14317</v>
      </c>
      <c r="C6272" s="5" t="s">
        <v>18</v>
      </c>
      <c r="D6272" s="5" t="s">
        <v>19</v>
      </c>
      <c r="E6272" s="5" t="s">
        <v>75</v>
      </c>
      <c r="F6272" s="9">
        <v>64</v>
      </c>
      <c r="G6272" s="9">
        <v>733</v>
      </c>
      <c r="H6272" s="5" t="s">
        <v>21</v>
      </c>
      <c r="I6272" s="5" t="s">
        <v>14318</v>
      </c>
      <c r="J6272" s="12" t="str">
        <f>HYPERLINK("https://www.boe.es/gazeta/dias/1800/08/12/pdfs/GMD-1800-64.pdf#page=9","Abrir facsímil")</f>
        <v>Abrir facsímil</v>
      </c>
      <c r="K6272" s="15" t="s">
        <v>23</v>
      </c>
    </row>
    <row r="6273" spans="1:11" ht="42" customHeight="1">
      <c r="A6273" s="4" t="s">
        <v>14319</v>
      </c>
      <c r="B6273" s="5" t="s">
        <v>14320</v>
      </c>
      <c r="C6273" s="5" t="s">
        <v>25</v>
      </c>
      <c r="D6273" s="5" t="s">
        <v>26</v>
      </c>
      <c r="E6273" s="5" t="s">
        <v>58</v>
      </c>
      <c r="F6273" s="9">
        <v>92</v>
      </c>
      <c r="G6273" s="9">
        <v>1054</v>
      </c>
      <c r="H6273" s="5" t="s">
        <v>21</v>
      </c>
      <c r="I6273" s="5" t="s">
        <v>14321</v>
      </c>
      <c r="J6273" s="12" t="str">
        <f>HYPERLINK("https://www.boe.es/gazeta/dias/1800/11/14/pdfs/GMD-1800-92.pdf#page=8","Abrir facsímil")</f>
        <v>Abrir facsímil</v>
      </c>
      <c r="K6273" s="15" t="s">
        <v>23</v>
      </c>
    </row>
    <row r="6274" spans="1:11" ht="42" customHeight="1">
      <c r="A6274" s="4" t="s">
        <v>14322</v>
      </c>
      <c r="B6274" s="5" t="s">
        <v>14322</v>
      </c>
      <c r="C6274" s="5" t="s">
        <v>18</v>
      </c>
      <c r="D6274" s="5" t="s">
        <v>19</v>
      </c>
      <c r="E6274" s="5" t="s">
        <v>545</v>
      </c>
      <c r="F6274" s="9">
        <v>14</v>
      </c>
      <c r="G6274" s="9">
        <v>136</v>
      </c>
      <c r="H6274" s="5" t="s">
        <v>21</v>
      </c>
      <c r="I6274" s="5" t="s">
        <v>14323</v>
      </c>
      <c r="J6274" s="12" t="str">
        <f>HYPERLINK("https://www.boe.es/gazeta/dias/1800/02/18/pdfs/GMD-1800-14.pdf#page=8","Abrir facsímil")</f>
        <v>Abrir facsímil</v>
      </c>
      <c r="K6274" s="15" t="s">
        <v>23</v>
      </c>
    </row>
    <row r="6275" spans="1:11" ht="42" customHeight="1">
      <c r="A6275" s="4" t="s">
        <v>14322</v>
      </c>
      <c r="B6275" s="5" t="s">
        <v>14322</v>
      </c>
      <c r="C6275" s="5" t="s">
        <v>84</v>
      </c>
      <c r="D6275" s="5" t="s">
        <v>85</v>
      </c>
      <c r="E6275" s="5" t="s">
        <v>68</v>
      </c>
      <c r="F6275" s="9">
        <v>67</v>
      </c>
      <c r="G6275" s="9">
        <v>756</v>
      </c>
      <c r="H6275" s="5" t="s">
        <v>21</v>
      </c>
      <c r="I6275" s="5" t="s">
        <v>14324</v>
      </c>
      <c r="J6275" s="12" t="str">
        <f>HYPERLINK("https://www.boe.es/gazeta/dias/1800/08/22/pdfs/GMD-1800-67.pdf#page=8","Abrir facsímil")</f>
        <v>Abrir facsímil</v>
      </c>
      <c r="K6275" s="15" t="s">
        <v>23</v>
      </c>
    </row>
    <row r="6276" spans="1:11" ht="42" customHeight="1">
      <c r="A6276" s="4" t="s">
        <v>14322</v>
      </c>
      <c r="B6276" s="5" t="s">
        <v>14322</v>
      </c>
      <c r="C6276" s="5" t="s">
        <v>84</v>
      </c>
      <c r="D6276" s="5" t="s">
        <v>85</v>
      </c>
      <c r="E6276" s="5" t="s">
        <v>595</v>
      </c>
      <c r="F6276" s="9">
        <v>72</v>
      </c>
      <c r="G6276" s="9">
        <v>798</v>
      </c>
      <c r="H6276" s="5" t="s">
        <v>21</v>
      </c>
      <c r="I6276" s="5" t="s">
        <v>14325</v>
      </c>
      <c r="J6276" s="12" t="str">
        <f>HYPERLINK("https://www.boe.es/gazeta/dias/1800/09/05/pdfs/GMD-1800-72.pdf#page=8","Abrir facsímil")</f>
        <v>Abrir facsímil</v>
      </c>
      <c r="K6276" s="15" t="s">
        <v>23</v>
      </c>
    </row>
    <row r="6277" spans="1:11" ht="42" customHeight="1">
      <c r="A6277" s="4" t="s">
        <v>14322</v>
      </c>
      <c r="B6277" s="5" t="s">
        <v>14322</v>
      </c>
      <c r="C6277" s="5" t="s">
        <v>25</v>
      </c>
      <c r="D6277" s="5" t="s">
        <v>26</v>
      </c>
      <c r="E6277" s="5" t="s">
        <v>203</v>
      </c>
      <c r="F6277" s="9">
        <v>94</v>
      </c>
      <c r="G6277" s="9">
        <v>1082</v>
      </c>
      <c r="H6277" s="5" t="s">
        <v>21</v>
      </c>
      <c r="I6277" s="5" t="s">
        <v>14326</v>
      </c>
      <c r="J6277" s="12" t="str">
        <f>HYPERLINK("https://www.boe.es/gazeta/dias/1800/11/21/pdfs/GMD-1800-94.pdf#page=12","Abrir facsímil")</f>
        <v>Abrir facsímil</v>
      </c>
      <c r="K6277" s="15" t="s">
        <v>23</v>
      </c>
    </row>
    <row r="6278" spans="1:11" ht="42" customHeight="1">
      <c r="A6278" s="4" t="s">
        <v>14327</v>
      </c>
      <c r="B6278" s="5" t="s">
        <v>14327</v>
      </c>
      <c r="C6278" s="5" t="s">
        <v>25</v>
      </c>
      <c r="D6278" s="5" t="s">
        <v>26</v>
      </c>
      <c r="E6278" s="5" t="s">
        <v>319</v>
      </c>
      <c r="F6278" s="9">
        <v>62</v>
      </c>
      <c r="G6278" s="9">
        <v>709</v>
      </c>
      <c r="H6278" s="5" t="s">
        <v>21</v>
      </c>
      <c r="I6278" s="5" t="s">
        <v>14328</v>
      </c>
      <c r="J6278" s="12" t="str">
        <f>HYPERLINK("https://www.boe.es/gazeta/dias/1800/08/05/pdfs/GMD-1800-62.pdf#page=9","Abrir facsímil")</f>
        <v>Abrir facsímil</v>
      </c>
      <c r="K6278" s="15" t="s">
        <v>23</v>
      </c>
    </row>
    <row r="6279" spans="1:11" ht="42" customHeight="1">
      <c r="A6279" s="4" t="s">
        <v>14329</v>
      </c>
      <c r="B6279" s="5" t="s">
        <v>14329</v>
      </c>
      <c r="C6279" s="5" t="s">
        <v>84</v>
      </c>
      <c r="D6279" s="5" t="s">
        <v>85</v>
      </c>
      <c r="E6279" s="5" t="s">
        <v>194</v>
      </c>
      <c r="F6279" s="9">
        <v>48</v>
      </c>
      <c r="G6279" s="9">
        <v>520</v>
      </c>
      <c r="H6279" s="5" t="s">
        <v>21</v>
      </c>
      <c r="I6279" s="5" t="s">
        <v>14330</v>
      </c>
      <c r="J6279" s="12" t="str">
        <f>HYPERLINK("https://www.boe.es/gazeta/dias/1800/06/17/pdfs/GMD-1800-48.pdf#page=12","Abrir facsímil")</f>
        <v>Abrir facsímil</v>
      </c>
      <c r="K6279" s="15" t="s">
        <v>23</v>
      </c>
    </row>
    <row r="6280" spans="1:11" ht="42" customHeight="1">
      <c r="A6280" s="4" t="s">
        <v>14331</v>
      </c>
      <c r="B6280" s="5" t="s">
        <v>14331</v>
      </c>
      <c r="C6280" s="5" t="s">
        <v>84</v>
      </c>
      <c r="D6280" s="5" t="s">
        <v>85</v>
      </c>
      <c r="E6280" s="5" t="s">
        <v>598</v>
      </c>
      <c r="F6280" s="9">
        <v>32</v>
      </c>
      <c r="G6280" s="9">
        <v>324</v>
      </c>
      <c r="H6280" s="5" t="s">
        <v>21</v>
      </c>
      <c r="I6280" s="5" t="s">
        <v>14332</v>
      </c>
      <c r="J6280" s="12" t="str">
        <f>HYPERLINK("https://www.boe.es/gazeta/dias/1800/04/22/pdfs/GMD-1800-32.pdf#page=8","Abrir facsímil")</f>
        <v>Abrir facsímil</v>
      </c>
      <c r="K6280" s="15" t="s">
        <v>23</v>
      </c>
    </row>
    <row r="6281" spans="1:11" ht="42" customHeight="1">
      <c r="A6281" s="4" t="s">
        <v>14331</v>
      </c>
      <c r="B6281" s="5" t="s">
        <v>14331</v>
      </c>
      <c r="C6281" s="5" t="s">
        <v>84</v>
      </c>
      <c r="D6281" s="5" t="s">
        <v>85</v>
      </c>
      <c r="E6281" s="5" t="s">
        <v>310</v>
      </c>
      <c r="F6281" s="9">
        <v>56</v>
      </c>
      <c r="G6281" s="9">
        <v>635</v>
      </c>
      <c r="H6281" s="5" t="s">
        <v>21</v>
      </c>
      <c r="I6281" s="5" t="s">
        <v>14333</v>
      </c>
      <c r="J6281" s="12" t="str">
        <f>HYPERLINK("https://www.boe.es/gazeta/dias/1800/07/15/pdfs/GMD-1800-56.pdf#page=11","Abrir facsímil")</f>
        <v>Abrir facsímil</v>
      </c>
      <c r="K6281" s="15" t="s">
        <v>23</v>
      </c>
    </row>
    <row r="6282" spans="1:11" ht="42" customHeight="1">
      <c r="A6282" s="4" t="s">
        <v>14334</v>
      </c>
      <c r="B6282" s="5" t="s">
        <v>14334</v>
      </c>
      <c r="C6282" s="5" t="s">
        <v>84</v>
      </c>
      <c r="D6282" s="5" t="s">
        <v>85</v>
      </c>
      <c r="E6282" s="5" t="s">
        <v>255</v>
      </c>
      <c r="F6282" s="9">
        <v>75</v>
      </c>
      <c r="G6282" s="9">
        <v>858</v>
      </c>
      <c r="H6282" s="5" t="s">
        <v>21</v>
      </c>
      <c r="I6282" s="5" t="s">
        <v>14335</v>
      </c>
      <c r="J6282" s="12" t="str">
        <f>HYPERLINK("https://www.boe.es/gazeta/dias/1800/09/16/pdfs/GMD-1800-75.pdf#page=12","Abrir facsímil")</f>
        <v>Abrir facsímil</v>
      </c>
      <c r="K6282" s="15" t="s">
        <v>23</v>
      </c>
    </row>
    <row r="6283" spans="1:11" ht="42" customHeight="1">
      <c r="A6283" s="4" t="s">
        <v>14336</v>
      </c>
      <c r="B6283" s="5" t="s">
        <v>14336</v>
      </c>
      <c r="C6283" s="5" t="s">
        <v>84</v>
      </c>
      <c r="D6283" s="5" t="s">
        <v>85</v>
      </c>
      <c r="E6283" s="5" t="s">
        <v>275</v>
      </c>
      <c r="F6283" s="9">
        <v>60</v>
      </c>
      <c r="G6283" s="9">
        <v>688</v>
      </c>
      <c r="H6283" s="5" t="s">
        <v>21</v>
      </c>
      <c r="I6283" s="5" t="s">
        <v>14337</v>
      </c>
      <c r="J6283" s="12" t="str">
        <f>HYPERLINK("https://www.boe.es/gazeta/dias/1800/07/29/pdfs/GMD-1800-60.pdf#page=8","Abrir facsímil")</f>
        <v>Abrir facsímil</v>
      </c>
      <c r="K6283" s="15" t="s">
        <v>23</v>
      </c>
    </row>
    <row r="6284" spans="1:11" ht="42" customHeight="1">
      <c r="A6284" s="4" t="s">
        <v>14338</v>
      </c>
      <c r="B6284" s="5" t="s">
        <v>14339</v>
      </c>
      <c r="C6284" s="5" t="s">
        <v>207</v>
      </c>
      <c r="D6284" s="5" t="s">
        <v>55</v>
      </c>
      <c r="E6284" s="5" t="s">
        <v>306</v>
      </c>
      <c r="F6284" s="9">
        <v>79</v>
      </c>
      <c r="G6284" s="9">
        <v>899</v>
      </c>
      <c r="H6284" s="5" t="s">
        <v>21</v>
      </c>
      <c r="I6284" s="5" t="s">
        <v>14340</v>
      </c>
      <c r="J6284" s="12" t="str">
        <f>HYPERLINK("https://www.boe.es/gazeta/dias/1800/09/30/pdfs/GMD-1800-79.pdf#page=9","Abrir facsímil")</f>
        <v>Abrir facsímil</v>
      </c>
      <c r="K6284" s="15" t="s">
        <v>23</v>
      </c>
    </row>
    <row r="6285" spans="1:11" ht="42" customHeight="1">
      <c r="A6285" s="4" t="s">
        <v>14341</v>
      </c>
      <c r="B6285" s="5" t="s">
        <v>14342</v>
      </c>
      <c r="C6285" s="5" t="s">
        <v>18</v>
      </c>
      <c r="D6285" s="5" t="s">
        <v>19</v>
      </c>
      <c r="E6285" s="5" t="s">
        <v>56</v>
      </c>
      <c r="F6285" s="9">
        <v>90</v>
      </c>
      <c r="G6285" s="9">
        <v>1055</v>
      </c>
      <c r="H6285" s="5" t="s">
        <v>21</v>
      </c>
      <c r="I6285" s="5" t="s">
        <v>14343</v>
      </c>
      <c r="J6285" s="12" t="str">
        <f>HYPERLINK("https://www.boe.es/gazeta/dias/1800/11/07/pdfs/GMD-1800-90.pdf#page=9","Abrir facsímil")</f>
        <v>Abrir facsímil</v>
      </c>
      <c r="K6285" s="15" t="s">
        <v>23</v>
      </c>
    </row>
    <row r="6286" spans="1:11" ht="42" customHeight="1">
      <c r="A6286" s="4" t="s">
        <v>14344</v>
      </c>
      <c r="B6286" s="5" t="s">
        <v>14344</v>
      </c>
      <c r="C6286" s="5" t="s">
        <v>18</v>
      </c>
      <c r="D6286" s="5" t="s">
        <v>19</v>
      </c>
      <c r="E6286" s="5" t="s">
        <v>283</v>
      </c>
      <c r="F6286" s="9">
        <v>68</v>
      </c>
      <c r="G6286" s="9">
        <v>765</v>
      </c>
      <c r="H6286" s="5" t="s">
        <v>21</v>
      </c>
      <c r="I6286" s="5" t="s">
        <v>14345</v>
      </c>
      <c r="J6286" s="12" t="str">
        <f>HYPERLINK("https://www.boe.es/gazeta/dias/1800/08/26/pdfs/GMD-1800-68.pdf#page=9","Abrir facsímil")</f>
        <v>Abrir facsímil</v>
      </c>
      <c r="K6286" s="15" t="s">
        <v>23</v>
      </c>
    </row>
    <row r="6287" spans="1:11" ht="42" customHeight="1">
      <c r="A6287" s="4" t="s">
        <v>14346</v>
      </c>
      <c r="B6287" s="5" t="s">
        <v>14346</v>
      </c>
      <c r="C6287" s="5" t="s">
        <v>84</v>
      </c>
      <c r="D6287" s="5" t="s">
        <v>85</v>
      </c>
      <c r="E6287" s="5" t="s">
        <v>583</v>
      </c>
      <c r="F6287" s="9">
        <v>77</v>
      </c>
      <c r="G6287" s="9">
        <v>881</v>
      </c>
      <c r="H6287" s="5" t="s">
        <v>21</v>
      </c>
      <c r="I6287" s="5" t="s">
        <v>14347</v>
      </c>
      <c r="J6287" s="12" t="str">
        <f>HYPERLINK("https://www.boe.es/gazeta/dias/1800/09/23/pdfs/GMD-1800-77.pdf#page=11","Abrir facsímil")</f>
        <v>Abrir facsímil</v>
      </c>
      <c r="K6287" s="15" t="s">
        <v>23</v>
      </c>
    </row>
    <row r="6288" spans="1:11" ht="42" customHeight="1">
      <c r="A6288" s="4" t="s">
        <v>14348</v>
      </c>
      <c r="B6288" s="5" t="s">
        <v>14349</v>
      </c>
      <c r="C6288" s="5" t="s">
        <v>84</v>
      </c>
      <c r="D6288" s="5" t="s">
        <v>85</v>
      </c>
      <c r="E6288" s="5" t="s">
        <v>283</v>
      </c>
      <c r="F6288" s="9">
        <v>68</v>
      </c>
      <c r="G6288" s="9">
        <v>768</v>
      </c>
      <c r="H6288" s="5" t="s">
        <v>21</v>
      </c>
      <c r="I6288" s="5" t="s">
        <v>14350</v>
      </c>
      <c r="J6288" s="12" t="str">
        <f>HYPERLINK("https://www.boe.es/gazeta/dias/1800/08/26/pdfs/GMD-1800-68.pdf#page=12","Abrir facsímil")</f>
        <v>Abrir facsímil</v>
      </c>
      <c r="K6288" s="15" t="s">
        <v>23</v>
      </c>
    </row>
    <row r="6289" spans="1:11" ht="42" customHeight="1">
      <c r="A6289" s="4" t="s">
        <v>14351</v>
      </c>
      <c r="B6289" s="5" t="s">
        <v>14351</v>
      </c>
      <c r="C6289" s="5" t="s">
        <v>18</v>
      </c>
      <c r="D6289" s="5" t="s">
        <v>19</v>
      </c>
      <c r="E6289" s="5" t="s">
        <v>240</v>
      </c>
      <c r="F6289" s="9">
        <v>26</v>
      </c>
      <c r="G6289" s="9">
        <v>269</v>
      </c>
      <c r="H6289" s="5" t="s">
        <v>21</v>
      </c>
      <c r="I6289" s="5" t="s">
        <v>14352</v>
      </c>
      <c r="J6289" s="12" t="str">
        <f>HYPERLINK("https://www.boe.es/gazeta/dias/1800/04/01/pdfs/GMD-1800-26.pdf#page=9","Abrir facsímil")</f>
        <v>Abrir facsímil</v>
      </c>
      <c r="K6289" s="15" t="s">
        <v>23</v>
      </c>
    </row>
    <row r="6290" spans="1:11" ht="42" customHeight="1">
      <c r="A6290" s="4" t="s">
        <v>14353</v>
      </c>
      <c r="B6290" s="5" t="s">
        <v>14354</v>
      </c>
      <c r="C6290" s="5" t="s">
        <v>18</v>
      </c>
      <c r="D6290" s="5" t="s">
        <v>19</v>
      </c>
      <c r="E6290" s="5" t="s">
        <v>673</v>
      </c>
      <c r="F6290" s="9">
        <v>89</v>
      </c>
      <c r="G6290" s="9">
        <v>1043</v>
      </c>
      <c r="H6290" s="5" t="s">
        <v>21</v>
      </c>
      <c r="I6290" s="5" t="s">
        <v>14355</v>
      </c>
      <c r="J6290" s="12" t="str">
        <f>HYPERLINK("https://www.boe.es/gazeta/dias/1800/11/04/pdfs/GMD-1800-89.pdf#page=9","Abrir facsímil")</f>
        <v>Abrir facsímil</v>
      </c>
      <c r="K6290" s="15" t="s">
        <v>23</v>
      </c>
    </row>
    <row r="6291" spans="1:11" ht="42" customHeight="1">
      <c r="A6291" s="4" t="s">
        <v>14356</v>
      </c>
      <c r="B6291" s="5" t="s">
        <v>14357</v>
      </c>
      <c r="C6291" s="5" t="s">
        <v>18</v>
      </c>
      <c r="D6291" s="5" t="s">
        <v>19</v>
      </c>
      <c r="E6291" s="5" t="s">
        <v>534</v>
      </c>
      <c r="F6291" s="9">
        <v>100</v>
      </c>
      <c r="G6291" s="9">
        <v>1160</v>
      </c>
      <c r="H6291" s="5" t="s">
        <v>21</v>
      </c>
      <c r="I6291" s="5" t="s">
        <v>14358</v>
      </c>
      <c r="J6291" s="12" t="str">
        <f>HYPERLINK("https://www.boe.es/gazeta/dias/1800/12/12/pdfs/GMD-1800-100.pdf#page=12","Abrir facsímil")</f>
        <v>Abrir facsímil</v>
      </c>
      <c r="K6291" s="15" t="s">
        <v>23</v>
      </c>
    </row>
    <row r="6292" spans="1:11" ht="42" customHeight="1">
      <c r="A6292" s="4" t="s">
        <v>14359</v>
      </c>
      <c r="B6292" s="5" t="s">
        <v>14359</v>
      </c>
      <c r="C6292" s="5" t="s">
        <v>18</v>
      </c>
      <c r="D6292" s="5" t="s">
        <v>19</v>
      </c>
      <c r="E6292" s="5" t="s">
        <v>1287</v>
      </c>
      <c r="F6292" s="9">
        <v>57</v>
      </c>
      <c r="G6292" s="9">
        <v>645</v>
      </c>
      <c r="H6292" s="5" t="s">
        <v>21</v>
      </c>
      <c r="I6292" s="5" t="s">
        <v>14360</v>
      </c>
      <c r="J6292" s="12" t="str">
        <f>HYPERLINK("https://www.boe.es/gazeta/dias/1800/07/18/pdfs/GMD-1800-57.pdf#page=9","Abrir facsímil")</f>
        <v>Abrir facsímil</v>
      </c>
      <c r="K6292" s="15" t="s">
        <v>23</v>
      </c>
    </row>
    <row r="6293" spans="1:11" ht="42" customHeight="1">
      <c r="A6293" s="4" t="s">
        <v>14361</v>
      </c>
      <c r="B6293" s="5" t="s">
        <v>14362</v>
      </c>
      <c r="C6293" s="5" t="s">
        <v>18</v>
      </c>
      <c r="D6293" s="5" t="s">
        <v>19</v>
      </c>
      <c r="E6293" s="5" t="s">
        <v>503</v>
      </c>
      <c r="F6293" s="9">
        <v>13</v>
      </c>
      <c r="G6293" s="9">
        <v>126</v>
      </c>
      <c r="H6293" s="5" t="s">
        <v>21</v>
      </c>
      <c r="I6293" s="5" t="s">
        <v>14363</v>
      </c>
      <c r="J6293" s="12" t="str">
        <f>HYPERLINK("https://www.boe.es/gazeta/dias/1800/02/14/pdfs/GMD-1800-13.pdf#page=10","Abrir facsímil")</f>
        <v>Abrir facsímil</v>
      </c>
      <c r="K6293" s="15" t="s">
        <v>23</v>
      </c>
    </row>
    <row r="6294" spans="1:11" ht="42" customHeight="1">
      <c r="A6294" s="4" t="s">
        <v>14364</v>
      </c>
      <c r="B6294" s="5" t="s">
        <v>14365</v>
      </c>
      <c r="C6294" s="5" t="s">
        <v>18</v>
      </c>
      <c r="D6294" s="5" t="s">
        <v>19</v>
      </c>
      <c r="E6294" s="5" t="s">
        <v>194</v>
      </c>
      <c r="F6294" s="9">
        <v>48</v>
      </c>
      <c r="G6294" s="9">
        <v>518</v>
      </c>
      <c r="H6294" s="5" t="s">
        <v>21</v>
      </c>
      <c r="I6294" s="5" t="s">
        <v>14366</v>
      </c>
      <c r="J6294" s="12" t="str">
        <f>HYPERLINK("https://www.boe.es/gazeta/dias/1800/06/17/pdfs/GMD-1800-48.pdf#page=10","Abrir facsímil")</f>
        <v>Abrir facsímil</v>
      </c>
      <c r="K6294" s="15" t="s">
        <v>23</v>
      </c>
    </row>
    <row r="6295" spans="1:11" ht="42" customHeight="1">
      <c r="A6295" s="4" t="s">
        <v>14367</v>
      </c>
      <c r="B6295" s="5" t="s">
        <v>14367</v>
      </c>
      <c r="C6295" s="5" t="s">
        <v>18</v>
      </c>
      <c r="D6295" s="5" t="s">
        <v>19</v>
      </c>
      <c r="E6295" s="5" t="s">
        <v>111</v>
      </c>
      <c r="F6295" s="9">
        <v>98</v>
      </c>
      <c r="G6295" s="9">
        <v>1128</v>
      </c>
      <c r="H6295" s="5" t="s">
        <v>21</v>
      </c>
      <c r="I6295" s="5" t="s">
        <v>14368</v>
      </c>
      <c r="J6295" s="12" t="str">
        <f>HYPERLINK("https://www.boe.es/gazeta/dias/1800/12/05/pdfs/GMD-1800-98.pdf#page=8","Abrir facsímil")</f>
        <v>Abrir facsímil</v>
      </c>
      <c r="K6295" s="15" t="s">
        <v>23</v>
      </c>
    </row>
    <row r="6296" spans="1:11" ht="42" customHeight="1">
      <c r="A6296" s="4" t="s">
        <v>14369</v>
      </c>
      <c r="B6296" s="5" t="s">
        <v>14369</v>
      </c>
      <c r="C6296" s="5" t="s">
        <v>41</v>
      </c>
      <c r="D6296" s="5" t="s">
        <v>42</v>
      </c>
      <c r="E6296" s="5" t="s">
        <v>319</v>
      </c>
      <c r="F6296" s="9">
        <v>62</v>
      </c>
      <c r="G6296" s="9">
        <v>705</v>
      </c>
      <c r="H6296" s="5" t="s">
        <v>21</v>
      </c>
      <c r="I6296" s="5" t="s">
        <v>14370</v>
      </c>
      <c r="J6296" s="12" t="str">
        <f>HYPERLINK("https://www.boe.es/gazeta/dias/1800/08/05/pdfs/GMD-1800-62.pdf#page=5","Abrir facsímil")</f>
        <v>Abrir facsímil</v>
      </c>
      <c r="K6296" s="15" t="s">
        <v>23</v>
      </c>
    </row>
    <row r="6297" spans="1:11" ht="42" customHeight="1">
      <c r="A6297" s="4" t="s">
        <v>14371</v>
      </c>
      <c r="B6297" s="5" t="s">
        <v>14372</v>
      </c>
      <c r="C6297" s="5" t="s">
        <v>41</v>
      </c>
      <c r="D6297" s="5" t="s">
        <v>42</v>
      </c>
      <c r="E6297" s="5" t="s">
        <v>825</v>
      </c>
      <c r="F6297" s="9">
        <v>51</v>
      </c>
      <c r="G6297" s="9">
        <v>557</v>
      </c>
      <c r="H6297" s="5" t="s">
        <v>21</v>
      </c>
      <c r="I6297" s="5" t="s">
        <v>14373</v>
      </c>
      <c r="J6297" s="12" t="str">
        <f>HYPERLINK("https://www.boe.es/gazeta/dias/1800/06/27/pdfs/GMD-1800-51.pdf#page=9","Abrir facsímil")</f>
        <v>Abrir facsímil</v>
      </c>
      <c r="K6297" s="15" t="s">
        <v>23</v>
      </c>
    </row>
    <row r="6298" spans="1:11" ht="42" customHeight="1">
      <c r="A6298" s="4" t="s">
        <v>14374</v>
      </c>
      <c r="B6298" s="5" t="s">
        <v>14375</v>
      </c>
      <c r="C6298" s="5" t="s">
        <v>84</v>
      </c>
      <c r="D6298" s="5" t="s">
        <v>85</v>
      </c>
      <c r="E6298" s="5" t="s">
        <v>319</v>
      </c>
      <c r="F6298" s="9">
        <v>62</v>
      </c>
      <c r="G6298" s="9">
        <v>710</v>
      </c>
      <c r="H6298" s="5" t="s">
        <v>21</v>
      </c>
      <c r="I6298" s="5" t="s">
        <v>14376</v>
      </c>
      <c r="J6298" s="12" t="str">
        <f>HYPERLINK("https://www.boe.es/gazeta/dias/1800/08/05/pdfs/GMD-1800-62.pdf#page=10","Abrir facsímil")</f>
        <v>Abrir facsímil</v>
      </c>
      <c r="K6298" s="15" t="s">
        <v>23</v>
      </c>
    </row>
    <row r="6299" spans="1:11" ht="42" customHeight="1">
      <c r="A6299" s="4" t="s">
        <v>14377</v>
      </c>
      <c r="B6299" s="5" t="s">
        <v>14378</v>
      </c>
      <c r="C6299" s="5" t="s">
        <v>18</v>
      </c>
      <c r="D6299" s="5" t="s">
        <v>19</v>
      </c>
      <c r="E6299" s="5" t="s">
        <v>567</v>
      </c>
      <c r="F6299" s="9">
        <v>3</v>
      </c>
      <c r="G6299" s="9">
        <v>27</v>
      </c>
      <c r="H6299" s="5" t="s">
        <v>21</v>
      </c>
      <c r="I6299" s="5" t="s">
        <v>14379</v>
      </c>
      <c r="J6299" s="12" t="str">
        <f>HYPERLINK("https://www.boe.es/gazeta/dias/1800/01/10/pdfs/GMD-1800-3.pdf#page=7","Abrir facsímil")</f>
        <v>Abrir facsímil</v>
      </c>
      <c r="K6299" s="15" t="s">
        <v>23</v>
      </c>
    </row>
    <row r="6300" spans="1:11" ht="42" customHeight="1">
      <c r="A6300" s="4" t="s">
        <v>14380</v>
      </c>
      <c r="B6300" s="5" t="s">
        <v>14381</v>
      </c>
      <c r="C6300" s="5" t="s">
        <v>18</v>
      </c>
      <c r="D6300" s="5" t="s">
        <v>19</v>
      </c>
      <c r="E6300" s="5" t="s">
        <v>491</v>
      </c>
      <c r="F6300" s="9">
        <v>29</v>
      </c>
      <c r="G6300" s="9">
        <v>298</v>
      </c>
      <c r="H6300" s="5" t="s">
        <v>21</v>
      </c>
      <c r="I6300" s="5" t="s">
        <v>14382</v>
      </c>
      <c r="J6300" s="12" t="str">
        <f>HYPERLINK("https://www.boe.es/gazeta/dias/1800/04/11/pdfs/GMD-1800-29.pdf#page=6","Abrir facsímil")</f>
        <v>Abrir facsímil</v>
      </c>
      <c r="K6300" s="15" t="s">
        <v>23</v>
      </c>
    </row>
    <row r="6301" spans="1:11" ht="42" customHeight="1">
      <c r="A6301" s="4" t="s">
        <v>14383</v>
      </c>
      <c r="B6301" s="5" t="s">
        <v>14384</v>
      </c>
      <c r="C6301" s="5" t="s">
        <v>25</v>
      </c>
      <c r="D6301" s="5" t="s">
        <v>26</v>
      </c>
      <c r="E6301" s="5" t="s">
        <v>135</v>
      </c>
      <c r="F6301" s="9">
        <v>73</v>
      </c>
      <c r="G6301" s="9">
        <v>818</v>
      </c>
      <c r="H6301" s="5" t="s">
        <v>21</v>
      </c>
      <c r="I6301" s="5" t="s">
        <v>14385</v>
      </c>
      <c r="J6301" s="12" t="str">
        <f>HYPERLINK("https://www.boe.es/gazeta/dias/1800/09/09/pdfs/GMD-1800-73.pdf#page=12","Abrir facsímil")</f>
        <v>Abrir facsímil</v>
      </c>
      <c r="K6301" s="15" t="s">
        <v>23</v>
      </c>
    </row>
    <row r="6302" spans="1:11" ht="42" customHeight="1">
      <c r="A6302" s="4" t="s">
        <v>14386</v>
      </c>
      <c r="B6302" s="5" t="s">
        <v>14387</v>
      </c>
      <c r="C6302" s="5" t="s">
        <v>171</v>
      </c>
      <c r="D6302" s="5" t="s">
        <v>172</v>
      </c>
      <c r="E6302" s="5" t="s">
        <v>214</v>
      </c>
      <c r="F6302" s="9">
        <v>41</v>
      </c>
      <c r="G6302" s="9">
        <v>426</v>
      </c>
      <c r="H6302" s="5" t="s">
        <v>21</v>
      </c>
      <c r="I6302" s="5" t="s">
        <v>14388</v>
      </c>
      <c r="J6302" s="12" t="str">
        <f>HYPERLINK("https://www.boe.es/gazeta/dias/1800/05/23/pdfs/GMD-C-1800-41.pdf#page=2","Abrir facsímil")</f>
        <v>Abrir facsímil</v>
      </c>
      <c r="K6302" s="15" t="s">
        <v>23</v>
      </c>
    </row>
    <row r="6303" spans="1:11" ht="42" customHeight="1">
      <c r="A6303" s="4" t="s">
        <v>14389</v>
      </c>
      <c r="B6303" s="5" t="s">
        <v>14390</v>
      </c>
      <c r="C6303" s="5" t="s">
        <v>84</v>
      </c>
      <c r="D6303" s="5" t="s">
        <v>85</v>
      </c>
      <c r="E6303" s="5" t="s">
        <v>600</v>
      </c>
      <c r="F6303" s="9">
        <v>45</v>
      </c>
      <c r="G6303" s="9">
        <v>473</v>
      </c>
      <c r="H6303" s="5" t="s">
        <v>21</v>
      </c>
      <c r="I6303" s="5" t="s">
        <v>14391</v>
      </c>
      <c r="J6303" s="12" t="str">
        <f>HYPERLINK("https://www.boe.es/gazeta/dias/1800/06/06/pdfs/GMD-1800-45.pdf#page=9","Abrir facsímil")</f>
        <v>Abrir facsímil</v>
      </c>
      <c r="K6303" s="15" t="s">
        <v>23</v>
      </c>
    </row>
    <row r="6304" spans="1:11" ht="42" customHeight="1">
      <c r="A6304" s="4" t="s">
        <v>14392</v>
      </c>
      <c r="B6304" s="5" t="s">
        <v>14393</v>
      </c>
      <c r="C6304" s="5" t="s">
        <v>207</v>
      </c>
      <c r="D6304" s="5" t="s">
        <v>55</v>
      </c>
      <c r="E6304" s="5" t="s">
        <v>226</v>
      </c>
      <c r="F6304" s="9">
        <v>27</v>
      </c>
      <c r="G6304" s="9">
        <v>282</v>
      </c>
      <c r="H6304" s="5" t="s">
        <v>21</v>
      </c>
      <c r="I6304" s="5" t="s">
        <v>14394</v>
      </c>
      <c r="J6304" s="12" t="str">
        <f>HYPERLINK("https://www.boe.es/gazeta/dias/1800/04/04/pdfs/GMD-1800-27.pdf#page=10","Abrir facsímil")</f>
        <v>Abrir facsímil</v>
      </c>
      <c r="K6304" s="15" t="s">
        <v>23</v>
      </c>
    </row>
    <row r="6305" spans="1:11" ht="42" customHeight="1">
      <c r="A6305" s="4" t="s">
        <v>14395</v>
      </c>
      <c r="B6305" s="5" t="s">
        <v>14396</v>
      </c>
      <c r="C6305" s="5" t="s">
        <v>18</v>
      </c>
      <c r="D6305" s="5" t="s">
        <v>19</v>
      </c>
      <c r="E6305" s="5" t="s">
        <v>31</v>
      </c>
      <c r="F6305" s="9">
        <v>20</v>
      </c>
      <c r="G6305" s="9">
        <v>192</v>
      </c>
      <c r="H6305" s="5" t="s">
        <v>21</v>
      </c>
      <c r="I6305" s="5" t="s">
        <v>14397</v>
      </c>
      <c r="J6305" s="12" t="str">
        <f>HYPERLINK("https://www.boe.es/gazeta/dias/1800/03/11/pdfs/GMD-1800-20.pdf#page=8","Abrir facsímil")</f>
        <v>Abrir facsímil</v>
      </c>
      <c r="K6305" s="15" t="s">
        <v>23</v>
      </c>
    </row>
    <row r="6306" spans="1:11" ht="42" customHeight="1">
      <c r="A6306" s="4" t="s">
        <v>14398</v>
      </c>
      <c r="B6306" s="5" t="s">
        <v>14399</v>
      </c>
      <c r="C6306" s="5" t="s">
        <v>25</v>
      </c>
      <c r="D6306" s="5" t="s">
        <v>26</v>
      </c>
      <c r="E6306" s="5" t="s">
        <v>1287</v>
      </c>
      <c r="F6306" s="9">
        <v>57</v>
      </c>
      <c r="G6306" s="9">
        <v>650</v>
      </c>
      <c r="H6306" s="5" t="s">
        <v>21</v>
      </c>
      <c r="I6306" s="5" t="s">
        <v>14400</v>
      </c>
      <c r="J6306" s="12" t="str">
        <f>HYPERLINK("https://www.boe.es/gazeta/dias/1800/07/18/pdfs/GMD-1800-57.pdf#page=14","Abrir facsímil")</f>
        <v>Abrir facsímil</v>
      </c>
      <c r="K6306" s="15" t="s">
        <v>23</v>
      </c>
    </row>
    <row r="6307" spans="1:11" ht="42" customHeight="1">
      <c r="A6307" s="4" t="s">
        <v>14401</v>
      </c>
      <c r="B6307" s="5" t="s">
        <v>14402</v>
      </c>
      <c r="C6307" s="5" t="s">
        <v>207</v>
      </c>
      <c r="D6307" s="5" t="s">
        <v>55</v>
      </c>
      <c r="E6307" s="5" t="s">
        <v>214</v>
      </c>
      <c r="F6307" s="9">
        <v>41</v>
      </c>
      <c r="G6307" s="9">
        <v>423</v>
      </c>
      <c r="H6307" s="5" t="s">
        <v>21</v>
      </c>
      <c r="I6307" s="5" t="s">
        <v>14403</v>
      </c>
      <c r="J6307" s="12" t="str">
        <f>HYPERLINK("https://www.boe.es/gazeta/dias/1800/05/23/pdfs/GMD-1800-41.pdf#page=7","Abrir facsímil")</f>
        <v>Abrir facsímil</v>
      </c>
      <c r="K6307" s="15" t="s">
        <v>23</v>
      </c>
    </row>
    <row r="6308" spans="1:11" ht="42" customHeight="1">
      <c r="A6308" s="4" t="s">
        <v>14404</v>
      </c>
      <c r="B6308" s="5" t="s">
        <v>14405</v>
      </c>
      <c r="C6308" s="5" t="s">
        <v>18</v>
      </c>
      <c r="D6308" s="5" t="s">
        <v>19</v>
      </c>
      <c r="E6308" s="5" t="s">
        <v>445</v>
      </c>
      <c r="F6308" s="9">
        <v>96</v>
      </c>
      <c r="G6308" s="9">
        <v>1106</v>
      </c>
      <c r="H6308" s="5" t="s">
        <v>21</v>
      </c>
      <c r="I6308" s="5" t="s">
        <v>14406</v>
      </c>
      <c r="J6308" s="12" t="str">
        <f>HYPERLINK("https://www.boe.es/gazeta/dias/1800/11/28/pdfs/GMD-1800-96.pdf#page=10","Abrir facsímil")</f>
        <v>Abrir facsímil</v>
      </c>
      <c r="K6308" s="15" t="s">
        <v>23</v>
      </c>
    </row>
    <row r="6309" spans="1:11" ht="42" customHeight="1">
      <c r="A6309" s="4" t="s">
        <v>14407</v>
      </c>
      <c r="B6309" s="5" t="s">
        <v>14408</v>
      </c>
      <c r="C6309" s="5" t="s">
        <v>18</v>
      </c>
      <c r="D6309" s="5" t="s">
        <v>19</v>
      </c>
      <c r="E6309" s="5" t="s">
        <v>314</v>
      </c>
      <c r="F6309" s="9">
        <v>74</v>
      </c>
      <c r="G6309" s="9">
        <v>831</v>
      </c>
      <c r="H6309" s="5" t="s">
        <v>21</v>
      </c>
      <c r="I6309" s="5" t="s">
        <v>14409</v>
      </c>
      <c r="J6309" s="12" t="str">
        <f>HYPERLINK("https://www.boe.es/gazeta/dias/1800/09/12/pdfs/GMD-1800-74.pdf#page=9","Abrir facsímil")</f>
        <v>Abrir facsímil</v>
      </c>
      <c r="K6309" s="15" t="s">
        <v>23</v>
      </c>
    </row>
    <row r="6310" spans="1:11" ht="42" customHeight="1">
      <c r="A6310" s="4" t="s">
        <v>14410</v>
      </c>
      <c r="B6310" s="5" t="s">
        <v>14411</v>
      </c>
      <c r="C6310" s="5" t="s">
        <v>25</v>
      </c>
      <c r="D6310" s="5" t="s">
        <v>26</v>
      </c>
      <c r="E6310" s="5" t="s">
        <v>190</v>
      </c>
      <c r="F6310" s="9">
        <v>93</v>
      </c>
      <c r="G6310" s="9">
        <v>1068</v>
      </c>
      <c r="H6310" s="5" t="s">
        <v>21</v>
      </c>
      <c r="I6310" s="5" t="s">
        <v>14412</v>
      </c>
      <c r="J6310" s="12" t="str">
        <f>HYPERLINK("https://www.boe.es/gazeta/dias/1800/11/18/pdfs/GMD-1800-93.pdf#page=14","Abrir facsímil")</f>
        <v>Abrir facsímil</v>
      </c>
      <c r="K6310" s="15" t="s">
        <v>23</v>
      </c>
    </row>
    <row r="6311" spans="1:11" ht="42" customHeight="1">
      <c r="A6311" s="4" t="s">
        <v>14410</v>
      </c>
      <c r="B6311" s="5" t="s">
        <v>14411</v>
      </c>
      <c r="C6311" s="5" t="s">
        <v>25</v>
      </c>
      <c r="D6311" s="5" t="s">
        <v>26</v>
      </c>
      <c r="E6311" s="5" t="s">
        <v>203</v>
      </c>
      <c r="F6311" s="9">
        <v>94</v>
      </c>
      <c r="G6311" s="9">
        <v>1080</v>
      </c>
      <c r="H6311" s="5" t="s">
        <v>21</v>
      </c>
      <c r="I6311" s="5" t="s">
        <v>14413</v>
      </c>
      <c r="J6311" s="12" t="str">
        <f>HYPERLINK("https://www.boe.es/gazeta/dias/1800/11/21/pdfs/GMD-1800-94.pdf#page=10","Abrir facsímil")</f>
        <v>Abrir facsímil</v>
      </c>
      <c r="K6311" s="15" t="s">
        <v>23</v>
      </c>
    </row>
    <row r="6312" spans="1:11" ht="42" customHeight="1">
      <c r="A6312" s="4" t="s">
        <v>14414</v>
      </c>
      <c r="B6312" s="5" t="s">
        <v>14415</v>
      </c>
      <c r="C6312" s="5" t="s">
        <v>171</v>
      </c>
      <c r="D6312" s="5" t="s">
        <v>172</v>
      </c>
      <c r="E6312" s="5" t="s">
        <v>465</v>
      </c>
      <c r="F6312" s="9">
        <v>49</v>
      </c>
      <c r="G6312" s="9">
        <v>535</v>
      </c>
      <c r="H6312" s="5" t="s">
        <v>21</v>
      </c>
      <c r="I6312" s="5" t="s">
        <v>14416</v>
      </c>
      <c r="J6312" s="12" t="str">
        <f>HYPERLINK("https://www.boe.es/gazeta/dias/1800/06/20/pdfs/GMD-C-1800-49.pdf#page=3","Abrir facsímil")</f>
        <v>Abrir facsímil</v>
      </c>
      <c r="K6312" s="15" t="s">
        <v>23</v>
      </c>
    </row>
    <row r="6313" spans="1:11" ht="42" customHeight="1">
      <c r="A6313" s="4" t="s">
        <v>14417</v>
      </c>
      <c r="B6313" s="5" t="s">
        <v>14417</v>
      </c>
      <c r="C6313" s="5" t="s">
        <v>114</v>
      </c>
      <c r="D6313" s="5" t="s">
        <v>115</v>
      </c>
      <c r="E6313" s="5" t="s">
        <v>116</v>
      </c>
      <c r="F6313" s="9">
        <v>86</v>
      </c>
      <c r="G6313" s="9" t="s">
        <v>991</v>
      </c>
      <c r="H6313" s="5" t="s">
        <v>21</v>
      </c>
      <c r="I6313" s="5" t="s">
        <v>14418</v>
      </c>
      <c r="J6313" s="12" t="str">
        <f>HYPERLINK("https://www.boe.es/gazeta/dias/1800/10/24/pdfs/GMD-D-1800-86.pdf#page=4","Abrir facsímil")</f>
        <v>Abrir facsímil</v>
      </c>
      <c r="K6313" s="15" t="s">
        <v>23</v>
      </c>
    </row>
    <row r="6314" spans="1:11" ht="42" customHeight="1">
      <c r="A6314" s="4" t="s">
        <v>14419</v>
      </c>
      <c r="B6314" s="5" t="s">
        <v>14419</v>
      </c>
      <c r="C6314" s="5" t="s">
        <v>54</v>
      </c>
      <c r="D6314" s="5" t="s">
        <v>55</v>
      </c>
      <c r="E6314" s="5" t="s">
        <v>64</v>
      </c>
      <c r="F6314" s="9">
        <v>54</v>
      </c>
      <c r="G6314" s="9">
        <v>606</v>
      </c>
      <c r="H6314" s="5" t="s">
        <v>21</v>
      </c>
      <c r="I6314" s="5" t="s">
        <v>14420</v>
      </c>
      <c r="J6314" s="12" t="str">
        <f>HYPERLINK("https://www.boe.es/gazeta/dias/1800/07/08/pdfs/GMD-1800-54.pdf#page=10","Abrir facsímil")</f>
        <v>Abrir facsímil</v>
      </c>
      <c r="K6314" s="15" t="s">
        <v>23</v>
      </c>
    </row>
    <row r="6315" spans="1:11" ht="42" customHeight="1">
      <c r="A6315" s="4" t="s">
        <v>14421</v>
      </c>
      <c r="B6315" s="5" t="s">
        <v>14422</v>
      </c>
      <c r="C6315" s="5" t="s">
        <v>207</v>
      </c>
      <c r="D6315" s="5" t="s">
        <v>55</v>
      </c>
      <c r="E6315" s="5" t="s">
        <v>43</v>
      </c>
      <c r="F6315" s="9">
        <v>46</v>
      </c>
      <c r="G6315" s="9">
        <v>487</v>
      </c>
      <c r="H6315" s="5" t="s">
        <v>21</v>
      </c>
      <c r="I6315" s="5" t="s">
        <v>14423</v>
      </c>
      <c r="J6315" s="12" t="str">
        <f>HYPERLINK("https://www.boe.es/gazeta/dias/1800/06/10/pdfs/GMD-1800-46.pdf#page=11","Abrir facsímil")</f>
        <v>Abrir facsímil</v>
      </c>
      <c r="K6315" s="15" t="s">
        <v>23</v>
      </c>
    </row>
    <row r="6316" spans="1:11" ht="42" customHeight="1">
      <c r="A6316" s="4" t="s">
        <v>14424</v>
      </c>
      <c r="B6316" s="5" t="s">
        <v>14425</v>
      </c>
      <c r="C6316" s="5" t="s">
        <v>207</v>
      </c>
      <c r="D6316" s="5" t="s">
        <v>55</v>
      </c>
      <c r="E6316" s="5" t="s">
        <v>572</v>
      </c>
      <c r="F6316" s="9">
        <v>76</v>
      </c>
      <c r="G6316" s="9">
        <v>867</v>
      </c>
      <c r="H6316" s="5" t="s">
        <v>21</v>
      </c>
      <c r="I6316" s="5" t="s">
        <v>14426</v>
      </c>
      <c r="J6316" s="12" t="str">
        <f>HYPERLINK("https://www.boe.es/gazeta/dias/1800/09/19/pdfs/GMD-1800-76.pdf#page=9","Abrir facsímil")</f>
        <v>Abrir facsímil</v>
      </c>
      <c r="K6316" s="15" t="s">
        <v>23</v>
      </c>
    </row>
    <row r="6317" spans="1:11" ht="42" customHeight="1">
      <c r="A6317" s="4" t="s">
        <v>14427</v>
      </c>
      <c r="B6317" s="5" t="s">
        <v>14428</v>
      </c>
      <c r="C6317" s="5" t="s">
        <v>207</v>
      </c>
      <c r="D6317" s="5" t="s">
        <v>55</v>
      </c>
      <c r="E6317" s="5" t="s">
        <v>306</v>
      </c>
      <c r="F6317" s="9">
        <v>79</v>
      </c>
      <c r="G6317" s="9">
        <v>899</v>
      </c>
      <c r="H6317" s="5" t="s">
        <v>21</v>
      </c>
      <c r="I6317" s="5" t="s">
        <v>14429</v>
      </c>
      <c r="J6317" s="12" t="str">
        <f>HYPERLINK("https://www.boe.es/gazeta/dias/1800/09/30/pdfs/GMD-1800-79.pdf#page=9","Abrir facsímil")</f>
        <v>Abrir facsímil</v>
      </c>
      <c r="K6317" s="15" t="s">
        <v>23</v>
      </c>
    </row>
    <row r="6318" spans="1:11" ht="42" customHeight="1">
      <c r="A6318" s="4" t="s">
        <v>14430</v>
      </c>
      <c r="B6318" s="5" t="s">
        <v>14431</v>
      </c>
      <c r="C6318" s="5" t="s">
        <v>41</v>
      </c>
      <c r="D6318" s="5" t="s">
        <v>42</v>
      </c>
      <c r="E6318" s="5" t="s">
        <v>503</v>
      </c>
      <c r="F6318" s="9">
        <v>13</v>
      </c>
      <c r="G6318" s="9">
        <v>123</v>
      </c>
      <c r="H6318" s="5" t="s">
        <v>21</v>
      </c>
      <c r="I6318" s="5" t="s">
        <v>14432</v>
      </c>
      <c r="J6318" s="12" t="str">
        <f>HYPERLINK("https://www.boe.es/gazeta/dias/1800/02/14/pdfs/GMD-1800-13.pdf#page=7","Abrir facsímil")</f>
        <v>Abrir facsímil</v>
      </c>
      <c r="K6318" s="15" t="s">
        <v>23</v>
      </c>
    </row>
    <row r="6319" spans="1:11" ht="42" customHeight="1">
      <c r="A6319" s="4" t="s">
        <v>14433</v>
      </c>
      <c r="B6319" s="5" t="s">
        <v>14434</v>
      </c>
      <c r="C6319" s="5" t="s">
        <v>18</v>
      </c>
      <c r="D6319" s="5" t="s">
        <v>19</v>
      </c>
      <c r="E6319" s="5" t="s">
        <v>184</v>
      </c>
      <c r="F6319" s="9">
        <v>82</v>
      </c>
      <c r="G6319" s="9">
        <v>952</v>
      </c>
      <c r="H6319" s="5" t="s">
        <v>21</v>
      </c>
      <c r="I6319" s="5" t="s">
        <v>14435</v>
      </c>
      <c r="J6319" s="12" t="str">
        <f>HYPERLINK("https://www.boe.es/gazeta/dias/1800/10/10/pdfs/GMD-1800-82.pdf#page=10","Abrir facsímil")</f>
        <v>Abrir facsímil</v>
      </c>
      <c r="K6319" s="15" t="s">
        <v>23</v>
      </c>
    </row>
    <row r="6320" spans="1:11" ht="42" customHeight="1">
      <c r="A6320" s="4" t="s">
        <v>14436</v>
      </c>
      <c r="B6320" s="5" t="s">
        <v>14437</v>
      </c>
      <c r="C6320" s="5" t="s">
        <v>84</v>
      </c>
      <c r="D6320" s="5" t="s">
        <v>85</v>
      </c>
      <c r="E6320" s="5" t="s">
        <v>314</v>
      </c>
      <c r="F6320" s="9">
        <v>74</v>
      </c>
      <c r="G6320" s="9">
        <v>830</v>
      </c>
      <c r="H6320" s="5" t="s">
        <v>21</v>
      </c>
      <c r="I6320" s="5" t="s">
        <v>14438</v>
      </c>
      <c r="J6320" s="12" t="str">
        <f>HYPERLINK("https://www.boe.es/gazeta/dias/1800/09/12/pdfs/GMD-1800-74.pdf#page=8","Abrir facsímil")</f>
        <v>Abrir facsímil</v>
      </c>
      <c r="K6320" s="15" t="s">
        <v>23</v>
      </c>
    </row>
    <row r="6321" spans="1:11" ht="42" customHeight="1">
      <c r="A6321" s="4" t="s">
        <v>14439</v>
      </c>
      <c r="B6321" s="5" t="s">
        <v>14440</v>
      </c>
      <c r="C6321" s="5" t="s">
        <v>18</v>
      </c>
      <c r="D6321" s="5" t="s">
        <v>19</v>
      </c>
      <c r="E6321" s="5" t="s">
        <v>60</v>
      </c>
      <c r="F6321" s="9">
        <v>105</v>
      </c>
      <c r="G6321" s="9">
        <v>1226</v>
      </c>
      <c r="H6321" s="5" t="s">
        <v>21</v>
      </c>
      <c r="I6321" s="5" t="s">
        <v>14441</v>
      </c>
      <c r="J6321" s="12" t="str">
        <f>HYPERLINK("https://www.boe.es/gazeta/dias/1800/12/30/pdfs/GMD-1800-105.pdf#page=10","Abrir facsímil")</f>
        <v>Abrir facsímil</v>
      </c>
      <c r="K6321" s="15" t="s">
        <v>23</v>
      </c>
    </row>
    <row r="6322" spans="1:11" ht="42" customHeight="1">
      <c r="A6322" s="4" t="s">
        <v>14442</v>
      </c>
      <c r="B6322" s="5" t="s">
        <v>14443</v>
      </c>
      <c r="C6322" s="5" t="s">
        <v>18</v>
      </c>
      <c r="D6322" s="5" t="s">
        <v>19</v>
      </c>
      <c r="E6322" s="5" t="s">
        <v>1231</v>
      </c>
      <c r="F6322" s="9">
        <v>36</v>
      </c>
      <c r="G6322" s="9">
        <v>357</v>
      </c>
      <c r="H6322" s="5" t="s">
        <v>21</v>
      </c>
      <c r="I6322" s="5" t="s">
        <v>14444</v>
      </c>
      <c r="J6322" s="12" t="str">
        <f>HYPERLINK("https://www.boe.es/gazeta/dias/1800/05/06/pdfs/GMD-1800-36.pdf#page=1","Abrir facsímil")</f>
        <v>Abrir facsímil</v>
      </c>
      <c r="K6322" s="15" t="s">
        <v>23</v>
      </c>
    </row>
    <row r="6323" spans="1:11" ht="42" customHeight="1">
      <c r="A6323" s="4" t="s">
        <v>14445</v>
      </c>
      <c r="B6323" s="5" t="s">
        <v>14446</v>
      </c>
      <c r="C6323" s="5" t="s">
        <v>41</v>
      </c>
      <c r="D6323" s="5" t="s">
        <v>42</v>
      </c>
      <c r="E6323" s="5" t="s">
        <v>176</v>
      </c>
      <c r="F6323" s="9">
        <v>88</v>
      </c>
      <c r="G6323" s="9">
        <v>1021</v>
      </c>
      <c r="H6323" s="5" t="s">
        <v>21</v>
      </c>
      <c r="I6323" s="5" t="s">
        <v>14447</v>
      </c>
      <c r="J6323" s="12" t="str">
        <f>HYPERLINK("https://www.boe.es/gazeta/dias/1800/10/31/pdfs/GMD-1800-88.pdf#page=3","Abrir facsímil")</f>
        <v>Abrir facsímil</v>
      </c>
      <c r="K6323" s="15" t="s">
        <v>23</v>
      </c>
    </row>
    <row r="6324" spans="1:11" ht="42" customHeight="1">
      <c r="A6324" s="4" t="s">
        <v>14448</v>
      </c>
      <c r="B6324" s="5" t="s">
        <v>14449</v>
      </c>
      <c r="C6324" s="5" t="s">
        <v>25</v>
      </c>
      <c r="D6324" s="5" t="s">
        <v>26</v>
      </c>
      <c r="E6324" s="5" t="s">
        <v>45</v>
      </c>
      <c r="F6324" s="9">
        <v>47</v>
      </c>
      <c r="G6324" s="9">
        <v>502</v>
      </c>
      <c r="H6324" s="5" t="s">
        <v>21</v>
      </c>
      <c r="I6324" s="5" t="s">
        <v>14450</v>
      </c>
      <c r="J6324" s="12" t="str">
        <f>HYPERLINK("https://www.boe.es/gazeta/dias/1800/06/13/pdfs/GMD-1800-47.pdf#page=10","Abrir facsímil")</f>
        <v>Abrir facsímil</v>
      </c>
      <c r="K6324" s="15" t="s">
        <v>23</v>
      </c>
    </row>
    <row r="6325" spans="1:11" ht="42" customHeight="1">
      <c r="A6325" s="4" t="s">
        <v>14451</v>
      </c>
      <c r="B6325" s="5" t="s">
        <v>14451</v>
      </c>
      <c r="C6325" s="5" t="s">
        <v>18</v>
      </c>
      <c r="D6325" s="5" t="s">
        <v>19</v>
      </c>
      <c r="E6325" s="5" t="s">
        <v>190</v>
      </c>
      <c r="F6325" s="9">
        <v>93</v>
      </c>
      <c r="G6325" s="9">
        <v>1067</v>
      </c>
      <c r="H6325" s="5" t="s">
        <v>21</v>
      </c>
      <c r="I6325" s="5" t="s">
        <v>14452</v>
      </c>
      <c r="J6325" s="12" t="str">
        <f>HYPERLINK("https://www.boe.es/gazeta/dias/1800/11/18/pdfs/GMD-1800-93.pdf#page=13","Abrir facsímil")</f>
        <v>Abrir facsímil</v>
      </c>
      <c r="K6325" s="15" t="s">
        <v>23</v>
      </c>
    </row>
    <row r="6326" spans="1:11" ht="42" customHeight="1">
      <c r="A6326" s="4" t="s">
        <v>14453</v>
      </c>
      <c r="B6326" s="5" t="s">
        <v>14454</v>
      </c>
      <c r="C6326" s="5" t="s">
        <v>84</v>
      </c>
      <c r="D6326" s="5" t="s">
        <v>85</v>
      </c>
      <c r="E6326" s="5" t="s">
        <v>823</v>
      </c>
      <c r="F6326" s="9">
        <v>50</v>
      </c>
      <c r="G6326" s="9">
        <v>547</v>
      </c>
      <c r="H6326" s="5" t="s">
        <v>21</v>
      </c>
      <c r="I6326" s="5" t="s">
        <v>14455</v>
      </c>
      <c r="J6326" s="12" t="str">
        <f>HYPERLINK("https://www.boe.es/gazeta/dias/1800/06/24/pdfs/GMD-1800-50.pdf#page=11","Abrir facsímil")</f>
        <v>Abrir facsímil</v>
      </c>
      <c r="K6326" s="15" t="s">
        <v>23</v>
      </c>
    </row>
    <row r="6327" spans="1:11" ht="42" customHeight="1">
      <c r="A6327" s="4" t="s">
        <v>14456</v>
      </c>
      <c r="B6327" s="5" t="s">
        <v>14456</v>
      </c>
      <c r="C6327" s="5" t="s">
        <v>18</v>
      </c>
      <c r="D6327" s="5" t="s">
        <v>19</v>
      </c>
      <c r="E6327" s="5" t="s">
        <v>314</v>
      </c>
      <c r="F6327" s="9">
        <v>74</v>
      </c>
      <c r="G6327" s="9">
        <v>833</v>
      </c>
      <c r="H6327" s="5" t="s">
        <v>21</v>
      </c>
      <c r="I6327" s="5" t="s">
        <v>14457</v>
      </c>
      <c r="J6327" s="12" t="str">
        <f>HYPERLINK("https://www.boe.es/gazeta/dias/1800/09/12/pdfs/GMD-1800-74.pdf#page=11","Abrir facsímil")</f>
        <v>Abrir facsímil</v>
      </c>
      <c r="K6327" s="15" t="s">
        <v>23</v>
      </c>
    </row>
    <row r="6328" spans="1:11" ht="42" customHeight="1">
      <c r="A6328" s="4" t="s">
        <v>14458</v>
      </c>
      <c r="B6328" s="5" t="s">
        <v>14458</v>
      </c>
      <c r="C6328" s="5" t="s">
        <v>41</v>
      </c>
      <c r="D6328" s="5" t="s">
        <v>42</v>
      </c>
      <c r="E6328" s="5" t="s">
        <v>101</v>
      </c>
      <c r="F6328" s="9">
        <v>37</v>
      </c>
      <c r="G6328" s="9">
        <v>376</v>
      </c>
      <c r="H6328" s="5" t="s">
        <v>21</v>
      </c>
      <c r="I6328" s="5" t="s">
        <v>14459</v>
      </c>
      <c r="J6328" s="12" t="str">
        <f>HYPERLINK("https://www.boe.es/gazeta/dias/1800/05/09/pdfs/GMD-1800-37.pdf#page=8","Abrir facsímil")</f>
        <v>Abrir facsímil</v>
      </c>
      <c r="K6328" s="15" t="s">
        <v>23</v>
      </c>
    </row>
    <row r="6329" spans="1:11" ht="42" customHeight="1">
      <c r="A6329" s="4" t="s">
        <v>14460</v>
      </c>
      <c r="B6329" s="5" t="s">
        <v>14461</v>
      </c>
      <c r="C6329" s="5" t="s">
        <v>41</v>
      </c>
      <c r="D6329" s="5" t="s">
        <v>42</v>
      </c>
      <c r="E6329" s="5" t="s">
        <v>1231</v>
      </c>
      <c r="F6329" s="9">
        <v>36</v>
      </c>
      <c r="G6329" s="9">
        <v>362</v>
      </c>
      <c r="H6329" s="5" t="s">
        <v>21</v>
      </c>
      <c r="I6329" s="5" t="s">
        <v>14462</v>
      </c>
      <c r="J6329" s="12" t="str">
        <f>HYPERLINK("https://www.boe.es/gazeta/dias/1800/05/06/pdfs/GMD-1800-36.pdf#page=6","Abrir facsímil")</f>
        <v>Abrir facsímil</v>
      </c>
      <c r="K6329" s="15" t="s">
        <v>23</v>
      </c>
    </row>
    <row r="6330" spans="1:11" ht="42" customHeight="1">
      <c r="A6330" s="4" t="s">
        <v>14463</v>
      </c>
      <c r="B6330" s="5" t="s">
        <v>14464</v>
      </c>
      <c r="C6330" s="5" t="s">
        <v>84</v>
      </c>
      <c r="D6330" s="5" t="s">
        <v>85</v>
      </c>
      <c r="E6330" s="5" t="s">
        <v>845</v>
      </c>
      <c r="F6330" s="9">
        <v>80</v>
      </c>
      <c r="G6330" s="9">
        <v>903</v>
      </c>
      <c r="H6330" s="5" t="s">
        <v>21</v>
      </c>
      <c r="I6330" s="5" t="s">
        <v>14465</v>
      </c>
      <c r="J6330" s="12" t="str">
        <f>HYPERLINK("https://www.boe.es/gazeta/dias/1800/10/03/pdfs/GMD-1800-80.pdf#page=1","Abrir facsímil")</f>
        <v>Abrir facsímil</v>
      </c>
      <c r="K6330" s="15" t="s">
        <v>23</v>
      </c>
    </row>
    <row r="6331" spans="1:11" ht="42" customHeight="1">
      <c r="A6331" s="4" t="s">
        <v>14466</v>
      </c>
      <c r="B6331" s="5" t="s">
        <v>14467</v>
      </c>
      <c r="C6331" s="5" t="s">
        <v>18</v>
      </c>
      <c r="D6331" s="5" t="s">
        <v>19</v>
      </c>
      <c r="E6331" s="5" t="s">
        <v>162</v>
      </c>
      <c r="F6331" s="9">
        <v>15</v>
      </c>
      <c r="G6331" s="9">
        <v>137</v>
      </c>
      <c r="H6331" s="5" t="s">
        <v>21</v>
      </c>
      <c r="I6331" s="5" t="s">
        <v>14468</v>
      </c>
      <c r="J6331" s="12" t="str">
        <f>HYPERLINK("https://www.boe.es/gazeta/dias/1800/02/21/pdfs/GMD-1800-15.pdf#page=1","Abrir facsímil")</f>
        <v>Abrir facsímil</v>
      </c>
      <c r="K6331" s="15" t="s">
        <v>23</v>
      </c>
    </row>
    <row r="6332" spans="1:11" ht="42" customHeight="1">
      <c r="A6332" s="4" t="s">
        <v>14469</v>
      </c>
      <c r="B6332" s="5" t="s">
        <v>14470</v>
      </c>
      <c r="C6332" s="5" t="s">
        <v>18</v>
      </c>
      <c r="D6332" s="5" t="s">
        <v>19</v>
      </c>
      <c r="E6332" s="5" t="s">
        <v>131</v>
      </c>
      <c r="F6332" s="9">
        <v>8</v>
      </c>
      <c r="G6332" s="9">
        <v>70</v>
      </c>
      <c r="H6332" s="5" t="s">
        <v>21</v>
      </c>
      <c r="I6332" s="5" t="s">
        <v>14471</v>
      </c>
      <c r="J6332" s="12" t="str">
        <f>HYPERLINK("https://www.boe.es/gazeta/dias/1800/01/28/pdfs/GMD-1800-8.pdf#page=2","Abrir facsímil")</f>
        <v>Abrir facsímil</v>
      </c>
      <c r="K6332" s="15" t="s">
        <v>23</v>
      </c>
    </row>
    <row r="6333" spans="1:11" ht="42" customHeight="1">
      <c r="A6333" s="4" t="s">
        <v>14472</v>
      </c>
      <c r="B6333" s="5" t="s">
        <v>14473</v>
      </c>
      <c r="C6333" s="5" t="s">
        <v>18</v>
      </c>
      <c r="D6333" s="5" t="s">
        <v>19</v>
      </c>
      <c r="E6333" s="5" t="s">
        <v>139</v>
      </c>
      <c r="F6333" s="9">
        <v>2</v>
      </c>
      <c r="G6333" s="9">
        <v>18</v>
      </c>
      <c r="H6333" s="5" t="s">
        <v>21</v>
      </c>
      <c r="I6333" s="5" t="s">
        <v>14474</v>
      </c>
      <c r="J6333" s="12" t="str">
        <f>HYPERLINK("https://www.boe.es/gazeta/dias/1800/01/07/pdfs/GMD-1800-2.pdf#page=10","Abrir facsímil")</f>
        <v>Abrir facsímil</v>
      </c>
      <c r="K6333" s="15" t="s">
        <v>23</v>
      </c>
    </row>
    <row r="6334" spans="1:11" ht="42" customHeight="1">
      <c r="A6334" s="4" t="s">
        <v>14475</v>
      </c>
      <c r="B6334" s="5" t="s">
        <v>14475</v>
      </c>
      <c r="C6334" s="5" t="s">
        <v>171</v>
      </c>
      <c r="D6334" s="5" t="s">
        <v>172</v>
      </c>
      <c r="E6334" s="5" t="s">
        <v>465</v>
      </c>
      <c r="F6334" s="9">
        <v>49</v>
      </c>
      <c r="G6334" s="9">
        <v>535</v>
      </c>
      <c r="H6334" s="5" t="s">
        <v>21</v>
      </c>
      <c r="I6334" s="5" t="s">
        <v>14476</v>
      </c>
      <c r="J6334" s="12" t="str">
        <f>HYPERLINK("https://www.boe.es/gazeta/dias/1800/06/20/pdfs/GMD-C-1800-49.pdf#page=3","Abrir facsímil")</f>
        <v>Abrir facsímil</v>
      </c>
      <c r="K6334" s="15" t="s">
        <v>23</v>
      </c>
    </row>
    <row r="6335" spans="1:11" ht="42" customHeight="1">
      <c r="A6335" s="4" t="s">
        <v>14477</v>
      </c>
      <c r="B6335" s="5" t="s">
        <v>14478</v>
      </c>
      <c r="C6335" s="5" t="s">
        <v>18</v>
      </c>
      <c r="D6335" s="5" t="s">
        <v>19</v>
      </c>
      <c r="E6335" s="5" t="s">
        <v>422</v>
      </c>
      <c r="F6335" s="9">
        <v>85</v>
      </c>
      <c r="G6335" s="9">
        <v>985</v>
      </c>
      <c r="H6335" s="5" t="s">
        <v>21</v>
      </c>
      <c r="I6335" s="5" t="s">
        <v>14479</v>
      </c>
      <c r="J6335" s="12" t="str">
        <f>HYPERLINK("https://www.boe.es/gazeta/dias/1800/10/21/pdfs/GMD-1800-85.pdf#page=7","Abrir facsímil")</f>
        <v>Abrir facsímil</v>
      </c>
      <c r="K6335" s="15" t="s">
        <v>23</v>
      </c>
    </row>
    <row r="6336" spans="1:11" ht="42" customHeight="1">
      <c r="A6336" s="4" t="s">
        <v>14480</v>
      </c>
      <c r="B6336" s="5" t="s">
        <v>14481</v>
      </c>
      <c r="C6336" s="5" t="s">
        <v>84</v>
      </c>
      <c r="D6336" s="5" t="s">
        <v>85</v>
      </c>
      <c r="E6336" s="5" t="s">
        <v>329</v>
      </c>
      <c r="F6336" s="9">
        <v>99</v>
      </c>
      <c r="G6336" s="9">
        <v>1140</v>
      </c>
      <c r="H6336" s="5" t="s">
        <v>21</v>
      </c>
      <c r="I6336" s="5" t="s">
        <v>14482</v>
      </c>
      <c r="J6336" s="12" t="str">
        <f>HYPERLINK("https://www.boe.es/gazeta/dias/1800/12/09/pdfs/GMD-1800-99.pdf#page=8","Abrir facsímil")</f>
        <v>Abrir facsímil</v>
      </c>
      <c r="K6336" s="15" t="s">
        <v>23</v>
      </c>
    </row>
    <row r="6337" spans="1:11" ht="42" customHeight="1">
      <c r="A6337" s="4" t="s">
        <v>14483</v>
      </c>
      <c r="B6337" s="5" t="s">
        <v>14484</v>
      </c>
      <c r="C6337" s="5" t="s">
        <v>18</v>
      </c>
      <c r="D6337" s="5" t="s">
        <v>19</v>
      </c>
      <c r="E6337" s="5" t="s">
        <v>203</v>
      </c>
      <c r="F6337" s="9">
        <v>94</v>
      </c>
      <c r="G6337" s="9">
        <v>1073</v>
      </c>
      <c r="H6337" s="5" t="s">
        <v>21</v>
      </c>
      <c r="I6337" s="5" t="s">
        <v>14485</v>
      </c>
      <c r="J6337" s="12" t="str">
        <f>HYPERLINK("https://www.boe.es/gazeta/dias/1800/11/21/pdfs/GMD-1800-94.pdf#page=3","Abrir facsímil")</f>
        <v>Abrir facsímil</v>
      </c>
      <c r="K6337" s="15" t="s">
        <v>23</v>
      </c>
    </row>
    <row r="6338" spans="1:11" ht="42" customHeight="1">
      <c r="A6338" s="4" t="s">
        <v>14486</v>
      </c>
      <c r="B6338" s="5" t="s">
        <v>14486</v>
      </c>
      <c r="C6338" s="5" t="s">
        <v>41</v>
      </c>
      <c r="D6338" s="5" t="s">
        <v>42</v>
      </c>
      <c r="E6338" s="5" t="s">
        <v>196</v>
      </c>
      <c r="F6338" s="9">
        <v>97</v>
      </c>
      <c r="G6338" s="9">
        <v>1109</v>
      </c>
      <c r="H6338" s="5" t="s">
        <v>21</v>
      </c>
      <c r="I6338" s="5" t="s">
        <v>14487</v>
      </c>
      <c r="J6338" s="12" t="str">
        <f>HYPERLINK("https://www.boe.es/gazeta/dias/1800/12/02/pdfs/GMD-1800-97.pdf#page=1","Abrir facsímil")</f>
        <v>Abrir facsímil</v>
      </c>
      <c r="K6338" s="15" t="s">
        <v>23</v>
      </c>
    </row>
    <row r="6339" spans="1:11" ht="42" customHeight="1">
      <c r="A6339" s="4" t="s">
        <v>14486</v>
      </c>
      <c r="B6339" s="5" t="s">
        <v>14486</v>
      </c>
      <c r="C6339" s="5" t="s">
        <v>84</v>
      </c>
      <c r="D6339" s="5" t="s">
        <v>85</v>
      </c>
      <c r="E6339" s="5" t="s">
        <v>196</v>
      </c>
      <c r="F6339" s="9">
        <v>97</v>
      </c>
      <c r="G6339" s="9">
        <v>1110</v>
      </c>
      <c r="H6339" s="5" t="s">
        <v>21</v>
      </c>
      <c r="I6339" s="5" t="s">
        <v>14488</v>
      </c>
      <c r="J6339" s="12" t="str">
        <f>HYPERLINK("https://www.boe.es/gazeta/dias/1800/12/02/pdfs/GMD-1800-97.pdf#page=2","Abrir facsímil")</f>
        <v>Abrir facsímil</v>
      </c>
      <c r="K6339" s="15" t="s">
        <v>23</v>
      </c>
    </row>
    <row r="6340" spans="1:11" ht="42" customHeight="1">
      <c r="A6340" s="4" t="s">
        <v>14489</v>
      </c>
      <c r="B6340" s="5" t="s">
        <v>14489</v>
      </c>
      <c r="C6340" s="5" t="s">
        <v>18</v>
      </c>
      <c r="D6340" s="5" t="s">
        <v>19</v>
      </c>
      <c r="E6340" s="5" t="s">
        <v>39</v>
      </c>
      <c r="F6340" s="9">
        <v>43</v>
      </c>
      <c r="G6340" s="9">
        <v>444</v>
      </c>
      <c r="H6340" s="5" t="s">
        <v>21</v>
      </c>
      <c r="I6340" s="5" t="s">
        <v>14490</v>
      </c>
      <c r="J6340" s="12" t="str">
        <f>HYPERLINK("https://www.boe.es/gazeta/dias/1800/05/30/pdfs/GMD-1800-43.pdf#page=4","Abrir facsímil")</f>
        <v>Abrir facsímil</v>
      </c>
      <c r="K6340" s="15" t="s">
        <v>23</v>
      </c>
    </row>
    <row r="6341" spans="1:11" ht="42" customHeight="1">
      <c r="A6341" s="4" t="s">
        <v>14491</v>
      </c>
      <c r="B6341" s="5" t="s">
        <v>14492</v>
      </c>
      <c r="C6341" s="5" t="s">
        <v>18</v>
      </c>
      <c r="D6341" s="5" t="s">
        <v>19</v>
      </c>
      <c r="E6341" s="5" t="s">
        <v>314</v>
      </c>
      <c r="F6341" s="9">
        <v>74</v>
      </c>
      <c r="G6341" s="9">
        <v>833</v>
      </c>
      <c r="H6341" s="5" t="s">
        <v>21</v>
      </c>
      <c r="I6341" s="5" t="s">
        <v>14493</v>
      </c>
      <c r="J6341" s="12" t="str">
        <f>HYPERLINK("https://www.boe.es/gazeta/dias/1800/09/12/pdfs/GMD-1800-74.pdf#page=11","Abrir facsímil")</f>
        <v>Abrir facsímil</v>
      </c>
      <c r="K6341" s="15" t="s">
        <v>23</v>
      </c>
    </row>
    <row r="6342" spans="1:11" ht="42" customHeight="1">
      <c r="A6342" s="4" t="s">
        <v>14494</v>
      </c>
      <c r="B6342" s="5" t="s">
        <v>14494</v>
      </c>
      <c r="C6342" s="5" t="s">
        <v>41</v>
      </c>
      <c r="D6342" s="5" t="s">
        <v>42</v>
      </c>
      <c r="E6342" s="5" t="s">
        <v>105</v>
      </c>
      <c r="F6342" s="9">
        <v>28</v>
      </c>
      <c r="G6342" s="9">
        <v>289</v>
      </c>
      <c r="H6342" s="5" t="s">
        <v>21</v>
      </c>
      <c r="I6342" s="5" t="s">
        <v>14495</v>
      </c>
      <c r="J6342" s="12" t="str">
        <f>HYPERLINK("https://www.boe.es/gazeta/dias/1800/04/08/pdfs/GMD-1800-28.pdf#page=5","Abrir facsímil")</f>
        <v>Abrir facsímil</v>
      </c>
      <c r="K6342" s="15" t="s">
        <v>23</v>
      </c>
    </row>
    <row r="6343" spans="1:11" ht="42" customHeight="1">
      <c r="A6343" s="4" t="s">
        <v>14496</v>
      </c>
      <c r="B6343" s="5" t="s">
        <v>14497</v>
      </c>
      <c r="C6343" s="5" t="s">
        <v>18</v>
      </c>
      <c r="D6343" s="5" t="s">
        <v>19</v>
      </c>
      <c r="E6343" s="5" t="s">
        <v>454</v>
      </c>
      <c r="F6343" s="9">
        <v>63</v>
      </c>
      <c r="G6343" s="9">
        <v>720</v>
      </c>
      <c r="H6343" s="5" t="s">
        <v>21</v>
      </c>
      <c r="I6343" s="5" t="s">
        <v>14498</v>
      </c>
      <c r="J6343" s="12" t="str">
        <f>HYPERLINK("https://www.boe.es/gazeta/dias/1800/08/08/pdfs/GMD-1800-63.pdf#page=8","Abrir facsímil")</f>
        <v>Abrir facsímil</v>
      </c>
      <c r="K6343" s="15" t="s">
        <v>23</v>
      </c>
    </row>
    <row r="6344" spans="1:11" ht="42" customHeight="1">
      <c r="A6344" s="4" t="s">
        <v>14499</v>
      </c>
      <c r="B6344" s="5" t="s">
        <v>14500</v>
      </c>
      <c r="C6344" s="5" t="s">
        <v>18</v>
      </c>
      <c r="D6344" s="5" t="s">
        <v>19</v>
      </c>
      <c r="E6344" s="5" t="s">
        <v>422</v>
      </c>
      <c r="F6344" s="9">
        <v>85</v>
      </c>
      <c r="G6344" s="9">
        <v>985</v>
      </c>
      <c r="H6344" s="5" t="s">
        <v>21</v>
      </c>
      <c r="I6344" s="5" t="s">
        <v>14501</v>
      </c>
      <c r="J6344" s="12" t="str">
        <f>HYPERLINK("https://www.boe.es/gazeta/dias/1800/10/21/pdfs/GMD-1800-85.pdf#page=7","Abrir facsímil")</f>
        <v>Abrir facsímil</v>
      </c>
      <c r="K6344" s="15" t="s">
        <v>23</v>
      </c>
    </row>
    <row r="6345" spans="1:11" ht="42" customHeight="1">
      <c r="A6345" s="4" t="s">
        <v>14502</v>
      </c>
      <c r="B6345" s="5" t="s">
        <v>14503</v>
      </c>
      <c r="C6345" s="5" t="s">
        <v>18</v>
      </c>
      <c r="D6345" s="5" t="s">
        <v>19</v>
      </c>
      <c r="E6345" s="5" t="s">
        <v>116</v>
      </c>
      <c r="F6345" s="9">
        <v>86</v>
      </c>
      <c r="G6345" s="9">
        <v>996</v>
      </c>
      <c r="H6345" s="5" t="s">
        <v>21</v>
      </c>
      <c r="I6345" s="5" t="s">
        <v>14504</v>
      </c>
      <c r="J6345" s="12" t="str">
        <f>HYPERLINK("https://www.boe.es/gazeta/dias/1800/10/24/pdfs/GMD-1800-86.pdf#page=6","Abrir facsímil")</f>
        <v>Abrir facsímil</v>
      </c>
      <c r="K6345" s="15" t="s">
        <v>23</v>
      </c>
    </row>
    <row r="6346" spans="1:11" ht="42" customHeight="1">
      <c r="A6346" s="4" t="s">
        <v>14505</v>
      </c>
      <c r="B6346" s="5" t="s">
        <v>14506</v>
      </c>
      <c r="C6346" s="5" t="s">
        <v>18</v>
      </c>
      <c r="D6346" s="5" t="s">
        <v>19</v>
      </c>
      <c r="E6346" s="5" t="s">
        <v>244</v>
      </c>
      <c r="F6346" s="9">
        <v>9</v>
      </c>
      <c r="G6346" s="9">
        <v>86</v>
      </c>
      <c r="H6346" s="5" t="s">
        <v>21</v>
      </c>
      <c r="I6346" s="5" t="s">
        <v>14507</v>
      </c>
      <c r="J6346" s="12" t="str">
        <f>HYPERLINK("https://www.boe.es/gazeta/dias/1800/01/31/pdfs/GMD-1800-9.pdf#page=10","Abrir facsímil")</f>
        <v>Abrir facsímil</v>
      </c>
      <c r="K6346" s="15" t="s">
        <v>23</v>
      </c>
    </row>
    <row r="6347" spans="1:11" ht="42" customHeight="1">
      <c r="A6347" s="4" t="s">
        <v>14508</v>
      </c>
      <c r="B6347" s="5" t="s">
        <v>14509</v>
      </c>
      <c r="C6347" s="5" t="s">
        <v>18</v>
      </c>
      <c r="D6347" s="5" t="s">
        <v>19</v>
      </c>
      <c r="E6347" s="5" t="s">
        <v>154</v>
      </c>
      <c r="F6347" s="9">
        <v>61</v>
      </c>
      <c r="G6347" s="9">
        <v>699</v>
      </c>
      <c r="H6347" s="5" t="s">
        <v>21</v>
      </c>
      <c r="I6347" s="5" t="s">
        <v>14510</v>
      </c>
      <c r="J6347" s="12" t="str">
        <f>HYPERLINK("https://www.boe.es/gazeta/dias/1800/08/01/pdfs/GMD-1800-61.pdf#page=11","Abrir facsímil")</f>
        <v>Abrir facsímil</v>
      </c>
      <c r="K6347" s="15" t="s">
        <v>23</v>
      </c>
    </row>
    <row r="6348" spans="1:11" ht="42" customHeight="1">
      <c r="A6348" s="4" t="s">
        <v>14511</v>
      </c>
      <c r="B6348" s="5" t="s">
        <v>14512</v>
      </c>
      <c r="C6348" s="5" t="s">
        <v>18</v>
      </c>
      <c r="D6348" s="5" t="s">
        <v>19</v>
      </c>
      <c r="E6348" s="5" t="s">
        <v>176</v>
      </c>
      <c r="F6348" s="9">
        <v>88</v>
      </c>
      <c r="G6348" s="9">
        <v>1029</v>
      </c>
      <c r="H6348" s="5" t="s">
        <v>21</v>
      </c>
      <c r="I6348" s="5" t="s">
        <v>14513</v>
      </c>
      <c r="J6348" s="12" t="str">
        <f>HYPERLINK("https://www.boe.es/gazeta/dias/1800/10/31/pdfs/GMD-1800-88.pdf#page=11","Abrir facsímil")</f>
        <v>Abrir facsímil</v>
      </c>
      <c r="K6348" s="15" t="s">
        <v>23</v>
      </c>
    </row>
    <row r="6349" spans="1:11" ht="42" customHeight="1">
      <c r="A6349" s="4" t="s">
        <v>14514</v>
      </c>
      <c r="B6349" s="5" t="s">
        <v>14515</v>
      </c>
      <c r="C6349" s="5" t="s">
        <v>18</v>
      </c>
      <c r="D6349" s="5" t="s">
        <v>19</v>
      </c>
      <c r="E6349" s="5" t="s">
        <v>314</v>
      </c>
      <c r="F6349" s="9">
        <v>74</v>
      </c>
      <c r="G6349" s="9">
        <v>832</v>
      </c>
      <c r="H6349" s="5" t="s">
        <v>21</v>
      </c>
      <c r="I6349" s="5" t="s">
        <v>14516</v>
      </c>
      <c r="J6349" s="12" t="str">
        <f>HYPERLINK("https://www.boe.es/gazeta/dias/1800/09/12/pdfs/GMD-1800-74.pdf#page=10","Abrir facsímil")</f>
        <v>Abrir facsímil</v>
      </c>
      <c r="K6349" s="15" t="s">
        <v>23</v>
      </c>
    </row>
    <row r="6350" spans="1:11" ht="42" customHeight="1">
      <c r="A6350" s="4" t="s">
        <v>14517</v>
      </c>
      <c r="B6350" s="5" t="s">
        <v>14518</v>
      </c>
      <c r="C6350" s="5" t="s">
        <v>207</v>
      </c>
      <c r="D6350" s="5" t="s">
        <v>55</v>
      </c>
      <c r="E6350" s="5" t="s">
        <v>329</v>
      </c>
      <c r="F6350" s="9">
        <v>99</v>
      </c>
      <c r="G6350" s="9">
        <v>1138</v>
      </c>
      <c r="H6350" s="5" t="s">
        <v>21</v>
      </c>
      <c r="I6350" s="5" t="s">
        <v>14519</v>
      </c>
      <c r="J6350" s="12" t="str">
        <f>HYPERLINK("https://www.boe.es/gazeta/dias/1800/12/09/pdfs/GMD-1800-99.pdf#page=6","Abrir facsímil")</f>
        <v>Abrir facsímil</v>
      </c>
      <c r="K6350" s="15" t="s">
        <v>23</v>
      </c>
    </row>
    <row r="6351" spans="1:11" ht="42" customHeight="1">
      <c r="A6351" s="4" t="s">
        <v>14520</v>
      </c>
      <c r="B6351" s="5" t="s">
        <v>14521</v>
      </c>
      <c r="C6351" s="5" t="s">
        <v>41</v>
      </c>
      <c r="D6351" s="5" t="s">
        <v>42</v>
      </c>
      <c r="E6351" s="5" t="s">
        <v>45</v>
      </c>
      <c r="F6351" s="9">
        <v>47</v>
      </c>
      <c r="G6351" s="9">
        <v>495</v>
      </c>
      <c r="H6351" s="5" t="s">
        <v>21</v>
      </c>
      <c r="I6351" s="5" t="s">
        <v>14522</v>
      </c>
      <c r="J6351" s="12" t="str">
        <f>HYPERLINK("https://www.boe.es/gazeta/dias/1800/06/13/pdfs/GMD-1800-47.pdf#page=3","Abrir facsímil")</f>
        <v>Abrir facsímil</v>
      </c>
      <c r="K6351" s="15" t="s">
        <v>23</v>
      </c>
    </row>
    <row r="6352" spans="1:11" ht="42" customHeight="1">
      <c r="A6352" s="4" t="s">
        <v>14520</v>
      </c>
      <c r="B6352" s="5" t="s">
        <v>14521</v>
      </c>
      <c r="C6352" s="5" t="s">
        <v>18</v>
      </c>
      <c r="D6352" s="5" t="s">
        <v>19</v>
      </c>
      <c r="E6352" s="5" t="s">
        <v>319</v>
      </c>
      <c r="F6352" s="9">
        <v>62</v>
      </c>
      <c r="G6352" s="9">
        <v>702</v>
      </c>
      <c r="H6352" s="5" t="s">
        <v>21</v>
      </c>
      <c r="I6352" s="5" t="s">
        <v>14523</v>
      </c>
      <c r="J6352" s="12" t="str">
        <f>HYPERLINK("https://www.boe.es/gazeta/dias/1800/08/05/pdfs/GMD-1800-62.pdf#page=2","Abrir facsímil")</f>
        <v>Abrir facsímil</v>
      </c>
      <c r="K6352" s="15" t="s">
        <v>23</v>
      </c>
    </row>
    <row r="6353" spans="1:11" ht="42" customHeight="1">
      <c r="A6353" s="4" t="s">
        <v>14520</v>
      </c>
      <c r="B6353" s="5" t="s">
        <v>14521</v>
      </c>
      <c r="C6353" s="5" t="s">
        <v>41</v>
      </c>
      <c r="D6353" s="5" t="s">
        <v>42</v>
      </c>
      <c r="E6353" s="5" t="s">
        <v>27</v>
      </c>
      <c r="F6353" s="9">
        <v>65</v>
      </c>
      <c r="G6353" s="9">
        <v>728</v>
      </c>
      <c r="H6353" s="5" t="s">
        <v>21</v>
      </c>
      <c r="I6353" s="5" t="s">
        <v>14524</v>
      </c>
      <c r="J6353" s="12" t="str">
        <f>HYPERLINK("https://www.boe.es/gazeta/dias/1800/08/15/pdfs/GMD-1800-65.pdf#page=4","Abrir facsímil")</f>
        <v>Abrir facsímil</v>
      </c>
      <c r="K6353" s="15" t="s">
        <v>23</v>
      </c>
    </row>
    <row r="6354" spans="1:11" ht="42" customHeight="1">
      <c r="A6354" s="4" t="s">
        <v>14525</v>
      </c>
      <c r="B6354" s="5" t="s">
        <v>14526</v>
      </c>
      <c r="C6354" s="5" t="s">
        <v>41</v>
      </c>
      <c r="D6354" s="5" t="s">
        <v>42</v>
      </c>
      <c r="E6354" s="5" t="s">
        <v>60</v>
      </c>
      <c r="F6354" s="9">
        <v>105</v>
      </c>
      <c r="G6354" s="9">
        <v>1222</v>
      </c>
      <c r="H6354" s="5" t="s">
        <v>21</v>
      </c>
      <c r="I6354" s="5" t="s">
        <v>14527</v>
      </c>
      <c r="J6354" s="12" t="str">
        <f>HYPERLINK("https://www.boe.es/gazeta/dias/1800/12/30/pdfs/GMD-1800-105.pdf#page=6","Abrir facsímil")</f>
        <v>Abrir facsímil</v>
      </c>
      <c r="K6354" s="15" t="s">
        <v>23</v>
      </c>
    </row>
    <row r="6355" spans="1:11" ht="42" customHeight="1">
      <c r="A6355" s="4" t="s">
        <v>14528</v>
      </c>
      <c r="B6355" s="5" t="s">
        <v>14529</v>
      </c>
      <c r="C6355" s="5" t="s">
        <v>18</v>
      </c>
      <c r="D6355" s="5" t="s">
        <v>19</v>
      </c>
      <c r="E6355" s="5" t="s">
        <v>244</v>
      </c>
      <c r="F6355" s="9">
        <v>9</v>
      </c>
      <c r="G6355" s="9">
        <v>86</v>
      </c>
      <c r="H6355" s="5" t="s">
        <v>21</v>
      </c>
      <c r="I6355" s="5" t="s">
        <v>14530</v>
      </c>
      <c r="J6355" s="12" t="str">
        <f>HYPERLINK("https://www.boe.es/gazeta/dias/1800/01/31/pdfs/GMD-1800-9.pdf#page=10","Abrir facsímil")</f>
        <v>Abrir facsímil</v>
      </c>
      <c r="K6355" s="15" t="s">
        <v>23</v>
      </c>
    </row>
    <row r="6356" spans="1:11" ht="42" customHeight="1">
      <c r="A6356" s="4" t="s">
        <v>14531</v>
      </c>
      <c r="B6356" s="5" t="s">
        <v>14532</v>
      </c>
      <c r="C6356" s="5" t="s">
        <v>18</v>
      </c>
      <c r="D6356" s="5" t="s">
        <v>19</v>
      </c>
      <c r="E6356" s="5" t="s">
        <v>75</v>
      </c>
      <c r="F6356" s="9">
        <v>64</v>
      </c>
      <c r="G6356" s="9">
        <v>733</v>
      </c>
      <c r="H6356" s="5" t="s">
        <v>21</v>
      </c>
      <c r="I6356" s="5" t="s">
        <v>14533</v>
      </c>
      <c r="J6356" s="12" t="str">
        <f>HYPERLINK("https://www.boe.es/gazeta/dias/1800/08/12/pdfs/GMD-1800-64.pdf#page=9","Abrir facsímil")</f>
        <v>Abrir facsímil</v>
      </c>
      <c r="K6356" s="15" t="s">
        <v>23</v>
      </c>
    </row>
    <row r="6357" spans="1:11" ht="42" customHeight="1">
      <c r="A6357" s="4" t="s">
        <v>14534</v>
      </c>
      <c r="B6357" s="5" t="s">
        <v>14535</v>
      </c>
      <c r="C6357" s="5" t="s">
        <v>18</v>
      </c>
      <c r="D6357" s="5" t="s">
        <v>19</v>
      </c>
      <c r="E6357" s="5" t="s">
        <v>101</v>
      </c>
      <c r="F6357" s="9">
        <v>37</v>
      </c>
      <c r="G6357" s="9">
        <v>378</v>
      </c>
      <c r="H6357" s="5" t="s">
        <v>21</v>
      </c>
      <c r="I6357" s="5" t="s">
        <v>14536</v>
      </c>
      <c r="J6357" s="12" t="str">
        <f>HYPERLINK("https://www.boe.es/gazeta/dias/1800/05/09/pdfs/GMD-1800-37.pdf#page=10","Abrir facsímil")</f>
        <v>Abrir facsímil</v>
      </c>
      <c r="K6357" s="15" t="s">
        <v>23</v>
      </c>
    </row>
    <row r="6358" spans="1:11" ht="42" customHeight="1">
      <c r="A6358" s="4" t="s">
        <v>14537</v>
      </c>
      <c r="B6358" s="5" t="s">
        <v>14537</v>
      </c>
      <c r="C6358" s="5" t="s">
        <v>41</v>
      </c>
      <c r="D6358" s="5" t="s">
        <v>42</v>
      </c>
      <c r="E6358" s="5" t="s">
        <v>45</v>
      </c>
      <c r="F6358" s="9">
        <v>47</v>
      </c>
      <c r="G6358" s="9">
        <v>493</v>
      </c>
      <c r="H6358" s="5" t="s">
        <v>21</v>
      </c>
      <c r="I6358" s="5" t="s">
        <v>14538</v>
      </c>
      <c r="J6358" s="12" t="str">
        <f>HYPERLINK("https://www.boe.es/gazeta/dias/1800/06/13/pdfs/GMD-1800-47.pdf#page=1","Abrir facsímil")</f>
        <v>Abrir facsímil</v>
      </c>
      <c r="K6358" s="15" t="s">
        <v>23</v>
      </c>
    </row>
    <row r="6359" spans="1:11" ht="42" customHeight="1">
      <c r="A6359" s="4" t="s">
        <v>14539</v>
      </c>
      <c r="B6359" s="5" t="s">
        <v>14540</v>
      </c>
      <c r="C6359" s="5" t="s">
        <v>114</v>
      </c>
      <c r="D6359" s="5" t="s">
        <v>115</v>
      </c>
      <c r="E6359" s="5" t="s">
        <v>116</v>
      </c>
      <c r="F6359" s="9">
        <v>86</v>
      </c>
      <c r="G6359" s="9" t="s">
        <v>991</v>
      </c>
      <c r="H6359" s="5" t="s">
        <v>21</v>
      </c>
      <c r="I6359" s="5" t="s">
        <v>14541</v>
      </c>
      <c r="J6359" s="12" t="str">
        <f>HYPERLINK("https://www.boe.es/gazeta/dias/1800/10/24/pdfs/GMD-D-1800-86.pdf#page=4","Abrir facsímil")</f>
        <v>Abrir facsímil</v>
      </c>
      <c r="K6359" s="15" t="s">
        <v>23</v>
      </c>
    </row>
    <row r="6360" spans="1:11" ht="42" customHeight="1">
      <c r="A6360" s="4" t="s">
        <v>14542</v>
      </c>
      <c r="B6360" s="5" t="s">
        <v>14543</v>
      </c>
      <c r="C6360" s="5" t="s">
        <v>207</v>
      </c>
      <c r="D6360" s="5" t="s">
        <v>55</v>
      </c>
      <c r="E6360" s="5" t="s">
        <v>836</v>
      </c>
      <c r="F6360" s="9">
        <v>71</v>
      </c>
      <c r="G6360" s="9">
        <v>789</v>
      </c>
      <c r="H6360" s="5" t="s">
        <v>21</v>
      </c>
      <c r="I6360" s="5" t="s">
        <v>14544</v>
      </c>
      <c r="J6360" s="12" t="str">
        <f>HYPERLINK("https://www.boe.es/gazeta/dias/1800/09/02/pdfs/GMD-1800-71.pdf#page=7","Abrir facsímil")</f>
        <v>Abrir facsímil</v>
      </c>
      <c r="K6360" s="15" t="s">
        <v>23</v>
      </c>
    </row>
    <row r="6361" spans="1:11" ht="42" customHeight="1">
      <c r="A6361" s="4" t="s">
        <v>14545</v>
      </c>
      <c r="B6361" s="5" t="s">
        <v>14546</v>
      </c>
      <c r="C6361" s="5" t="s">
        <v>41</v>
      </c>
      <c r="D6361" s="5" t="s">
        <v>42</v>
      </c>
      <c r="E6361" s="5" t="s">
        <v>139</v>
      </c>
      <c r="F6361" s="9">
        <v>2</v>
      </c>
      <c r="G6361" s="9">
        <v>15</v>
      </c>
      <c r="H6361" s="5" t="s">
        <v>21</v>
      </c>
      <c r="I6361" s="5" t="s">
        <v>14547</v>
      </c>
      <c r="J6361" s="12" t="str">
        <f>HYPERLINK("https://www.boe.es/gazeta/dias/1800/01/07/pdfs/GMD-1800-2.pdf#page=7","Abrir facsímil")</f>
        <v>Abrir facsímil</v>
      </c>
      <c r="K6361" s="15" t="s">
        <v>23</v>
      </c>
    </row>
    <row r="6362" spans="1:11" ht="42" customHeight="1">
      <c r="A6362" s="4" t="s">
        <v>14548</v>
      </c>
      <c r="B6362" s="5" t="s">
        <v>14549</v>
      </c>
      <c r="C6362" s="5" t="s">
        <v>114</v>
      </c>
      <c r="D6362" s="5" t="s">
        <v>115</v>
      </c>
      <c r="E6362" s="5" t="s">
        <v>116</v>
      </c>
      <c r="F6362" s="9">
        <v>86</v>
      </c>
      <c r="G6362" s="9" t="s">
        <v>725</v>
      </c>
      <c r="H6362" s="5" t="s">
        <v>21</v>
      </c>
      <c r="I6362" s="5" t="s">
        <v>14550</v>
      </c>
      <c r="J6362" s="12" t="str">
        <f>HYPERLINK("https://www.boe.es/gazeta/dias/1800/10/24/pdfs/GMD-D-1800-86.pdf#page=1","Abrir facsímil")</f>
        <v>Abrir facsímil</v>
      </c>
      <c r="K6362" s="15" t="s">
        <v>23</v>
      </c>
    </row>
    <row r="6363" spans="1:11" ht="42" customHeight="1">
      <c r="A6363" s="4" t="s">
        <v>14551</v>
      </c>
      <c r="B6363" s="5" t="s">
        <v>14552</v>
      </c>
      <c r="C6363" s="5" t="s">
        <v>18</v>
      </c>
      <c r="D6363" s="5" t="s">
        <v>19</v>
      </c>
      <c r="E6363" s="5" t="s">
        <v>346</v>
      </c>
      <c r="F6363" s="9">
        <v>24</v>
      </c>
      <c r="G6363" s="9">
        <v>244</v>
      </c>
      <c r="H6363" s="5" t="s">
        <v>21</v>
      </c>
      <c r="I6363" s="5" t="s">
        <v>14553</v>
      </c>
      <c r="J6363" s="12" t="str">
        <f>HYPERLINK("https://www.boe.es/gazeta/dias/1800/03/25/pdfs/GMD-1800-24.pdf#page=8","Abrir facsímil")</f>
        <v>Abrir facsímil</v>
      </c>
      <c r="K6363" s="15" t="s">
        <v>23</v>
      </c>
    </row>
    <row r="6364" spans="1:11" ht="42" customHeight="1">
      <c r="A6364" s="4" t="s">
        <v>14554</v>
      </c>
      <c r="B6364" s="5" t="s">
        <v>14555</v>
      </c>
      <c r="C6364" s="5" t="s">
        <v>18</v>
      </c>
      <c r="D6364" s="5" t="s">
        <v>19</v>
      </c>
      <c r="E6364" s="5" t="s">
        <v>176</v>
      </c>
      <c r="F6364" s="9">
        <v>88</v>
      </c>
      <c r="G6364" s="9">
        <v>1031</v>
      </c>
      <c r="H6364" s="5" t="s">
        <v>21</v>
      </c>
      <c r="I6364" s="5" t="s">
        <v>14556</v>
      </c>
      <c r="J6364" s="12" t="str">
        <f>HYPERLINK("https://www.boe.es/gazeta/dias/1800/10/31/pdfs/GMD-1800-88.pdf#page=13","Abrir facsímil")</f>
        <v>Abrir facsímil</v>
      </c>
      <c r="K6364" s="15" t="s">
        <v>23</v>
      </c>
    </row>
    <row r="6365" spans="1:11" ht="42" customHeight="1">
      <c r="A6365" s="4" t="s">
        <v>14557</v>
      </c>
      <c r="B6365" s="5" t="s">
        <v>14558</v>
      </c>
      <c r="C6365" s="5" t="s">
        <v>18</v>
      </c>
      <c r="D6365" s="5" t="s">
        <v>19</v>
      </c>
      <c r="E6365" s="5" t="s">
        <v>346</v>
      </c>
      <c r="F6365" s="9">
        <v>24</v>
      </c>
      <c r="G6365" s="9">
        <v>243</v>
      </c>
      <c r="H6365" s="5" t="s">
        <v>21</v>
      </c>
      <c r="I6365" s="5" t="s">
        <v>14559</v>
      </c>
      <c r="J6365" s="12" t="str">
        <f>HYPERLINK("https://www.boe.es/gazeta/dias/1800/03/25/pdfs/GMD-1800-24.pdf#page=7","Abrir facsímil")</f>
        <v>Abrir facsímil</v>
      </c>
      <c r="K6365" s="15" t="s">
        <v>23</v>
      </c>
    </row>
    <row r="6366" spans="1:11" ht="42" customHeight="1">
      <c r="A6366" s="4" t="s">
        <v>14560</v>
      </c>
      <c r="B6366" s="5" t="s">
        <v>14561</v>
      </c>
      <c r="C6366" s="5" t="s">
        <v>18</v>
      </c>
      <c r="D6366" s="5" t="s">
        <v>19</v>
      </c>
      <c r="E6366" s="5" t="s">
        <v>190</v>
      </c>
      <c r="F6366" s="9">
        <v>93</v>
      </c>
      <c r="G6366" s="9">
        <v>1063</v>
      </c>
      <c r="H6366" s="5" t="s">
        <v>21</v>
      </c>
      <c r="I6366" s="5" t="s">
        <v>14562</v>
      </c>
      <c r="J6366" s="12" t="str">
        <f>HYPERLINK("https://www.boe.es/gazeta/dias/1800/11/18/pdfs/GMD-1800-93.pdf#page=9","Abrir facsímil")</f>
        <v>Abrir facsímil</v>
      </c>
      <c r="K6366" s="15" t="s">
        <v>23</v>
      </c>
    </row>
    <row r="6367" spans="1:11" ht="42" customHeight="1">
      <c r="A6367" s="4" t="s">
        <v>14563</v>
      </c>
      <c r="B6367" s="5" t="s">
        <v>14564</v>
      </c>
      <c r="C6367" s="5" t="s">
        <v>18</v>
      </c>
      <c r="D6367" s="5" t="s">
        <v>19</v>
      </c>
      <c r="E6367" s="5" t="s">
        <v>314</v>
      </c>
      <c r="F6367" s="9">
        <v>74</v>
      </c>
      <c r="G6367" s="9">
        <v>832</v>
      </c>
      <c r="H6367" s="5" t="s">
        <v>21</v>
      </c>
      <c r="I6367" s="5" t="s">
        <v>14565</v>
      </c>
      <c r="J6367" s="12" t="str">
        <f>HYPERLINK("https://www.boe.es/gazeta/dias/1800/09/12/pdfs/GMD-1800-74.pdf#page=10","Abrir facsímil")</f>
        <v>Abrir facsímil</v>
      </c>
      <c r="K6367" s="15" t="s">
        <v>23</v>
      </c>
    </row>
    <row r="6368" spans="1:11" ht="42" customHeight="1">
      <c r="A6368" s="4" t="s">
        <v>14566</v>
      </c>
      <c r="B6368" s="5" t="s">
        <v>14566</v>
      </c>
      <c r="C6368" s="5" t="s">
        <v>54</v>
      </c>
      <c r="D6368" s="5" t="s">
        <v>55</v>
      </c>
      <c r="E6368" s="5" t="s">
        <v>406</v>
      </c>
      <c r="F6368" s="9">
        <v>44</v>
      </c>
      <c r="G6368" s="9">
        <v>459</v>
      </c>
      <c r="H6368" s="5" t="s">
        <v>21</v>
      </c>
      <c r="I6368" s="5" t="s">
        <v>10328</v>
      </c>
      <c r="J6368" s="12" t="str">
        <f>HYPERLINK("https://www.boe.es/gazeta/dias/1800/06/03/pdfs/GMD-1800-44.pdf#page=7","Abrir facsímil")</f>
        <v>Abrir facsímil</v>
      </c>
      <c r="K6368" s="15" t="s">
        <v>23</v>
      </c>
    </row>
    <row r="6369" spans="1:11" ht="42" customHeight="1">
      <c r="A6369" s="4" t="s">
        <v>14567</v>
      </c>
      <c r="B6369" s="5" t="s">
        <v>14568</v>
      </c>
      <c r="C6369" s="5" t="s">
        <v>41</v>
      </c>
      <c r="D6369" s="5" t="s">
        <v>42</v>
      </c>
      <c r="E6369" s="5" t="s">
        <v>39</v>
      </c>
      <c r="F6369" s="9">
        <v>43</v>
      </c>
      <c r="G6369" s="9">
        <v>446</v>
      </c>
      <c r="H6369" s="5" t="s">
        <v>21</v>
      </c>
      <c r="I6369" s="5" t="s">
        <v>14569</v>
      </c>
      <c r="J6369" s="12" t="str">
        <f>HYPERLINK("https://www.boe.es/gazeta/dias/1800/05/30/pdfs/GMD-1800-43.pdf#page=6","Abrir facsímil")</f>
        <v>Abrir facsímil</v>
      </c>
      <c r="K6369" s="15" t="s">
        <v>23</v>
      </c>
    </row>
    <row r="6370" spans="1:11" ht="42" customHeight="1">
      <c r="A6370" s="4" t="s">
        <v>14567</v>
      </c>
      <c r="B6370" s="5" t="s">
        <v>14568</v>
      </c>
      <c r="C6370" s="5" t="s">
        <v>41</v>
      </c>
      <c r="D6370" s="5" t="s">
        <v>42</v>
      </c>
      <c r="E6370" s="5" t="s">
        <v>406</v>
      </c>
      <c r="F6370" s="9">
        <v>44</v>
      </c>
      <c r="G6370" s="9">
        <v>459</v>
      </c>
      <c r="H6370" s="5" t="s">
        <v>21</v>
      </c>
      <c r="I6370" s="5" t="s">
        <v>14570</v>
      </c>
      <c r="J6370" s="12" t="str">
        <f>HYPERLINK("https://www.boe.es/gazeta/dias/1800/06/03/pdfs/GMD-1800-44.pdf#page=7","Abrir facsímil")</f>
        <v>Abrir facsímil</v>
      </c>
      <c r="K6370" s="15" t="s">
        <v>23</v>
      </c>
    </row>
    <row r="6371" spans="1:11" ht="42" customHeight="1">
      <c r="A6371" s="4" t="s">
        <v>14567</v>
      </c>
      <c r="B6371" s="5" t="s">
        <v>14568</v>
      </c>
      <c r="C6371" s="5" t="s">
        <v>41</v>
      </c>
      <c r="D6371" s="5" t="s">
        <v>42</v>
      </c>
      <c r="E6371" s="5" t="s">
        <v>600</v>
      </c>
      <c r="F6371" s="9">
        <v>45</v>
      </c>
      <c r="G6371" s="9">
        <v>468</v>
      </c>
      <c r="H6371" s="5" t="s">
        <v>21</v>
      </c>
      <c r="I6371" s="5" t="s">
        <v>14571</v>
      </c>
      <c r="J6371" s="12" t="str">
        <f>HYPERLINK("https://www.boe.es/gazeta/dias/1800/06/06/pdfs/GMD-1800-45.pdf#page=4","Abrir facsímil")</f>
        <v>Abrir facsímil</v>
      </c>
      <c r="K6371" s="15" t="s">
        <v>23</v>
      </c>
    </row>
    <row r="6372" spans="1:11" ht="42" customHeight="1">
      <c r="A6372" s="4" t="s">
        <v>14567</v>
      </c>
      <c r="B6372" s="5" t="s">
        <v>14568</v>
      </c>
      <c r="C6372" s="5" t="s">
        <v>54</v>
      </c>
      <c r="D6372" s="5" t="s">
        <v>55</v>
      </c>
      <c r="E6372" s="5" t="s">
        <v>600</v>
      </c>
      <c r="F6372" s="9">
        <v>45</v>
      </c>
      <c r="G6372" s="9">
        <v>469</v>
      </c>
      <c r="H6372" s="5" t="s">
        <v>21</v>
      </c>
      <c r="I6372" s="5" t="s">
        <v>14572</v>
      </c>
      <c r="J6372" s="12" t="str">
        <f>HYPERLINK("https://www.boe.es/gazeta/dias/1800/06/06/pdfs/GMD-1800-45.pdf#page=5","Abrir facsímil")</f>
        <v>Abrir facsímil</v>
      </c>
      <c r="K6372" s="15" t="s">
        <v>23</v>
      </c>
    </row>
    <row r="6373" spans="1:11" ht="42" customHeight="1">
      <c r="A6373" s="4" t="s">
        <v>14567</v>
      </c>
      <c r="B6373" s="5" t="s">
        <v>14568</v>
      </c>
      <c r="C6373" s="5" t="s">
        <v>41</v>
      </c>
      <c r="D6373" s="5" t="s">
        <v>42</v>
      </c>
      <c r="E6373" s="5" t="s">
        <v>64</v>
      </c>
      <c r="F6373" s="9">
        <v>54</v>
      </c>
      <c r="G6373" s="9">
        <v>603</v>
      </c>
      <c r="H6373" s="5" t="s">
        <v>21</v>
      </c>
      <c r="I6373" s="5" t="s">
        <v>14573</v>
      </c>
      <c r="J6373" s="12" t="str">
        <f>HYPERLINK("https://www.boe.es/gazeta/dias/1800/07/08/pdfs/GMD-1800-54.pdf#page=7","Abrir facsímil")</f>
        <v>Abrir facsímil</v>
      </c>
      <c r="K6373" s="15" t="s">
        <v>23</v>
      </c>
    </row>
    <row r="6374" spans="1:11" ht="42" customHeight="1">
      <c r="A6374" s="4" t="s">
        <v>14567</v>
      </c>
      <c r="B6374" s="5" t="s">
        <v>14568</v>
      </c>
      <c r="C6374" s="5" t="s">
        <v>41</v>
      </c>
      <c r="D6374" s="5" t="s">
        <v>42</v>
      </c>
      <c r="E6374" s="5" t="s">
        <v>64</v>
      </c>
      <c r="F6374" s="9">
        <v>54</v>
      </c>
      <c r="G6374" s="9">
        <v>604</v>
      </c>
      <c r="H6374" s="5" t="s">
        <v>21</v>
      </c>
      <c r="I6374" s="5" t="s">
        <v>14574</v>
      </c>
      <c r="J6374" s="12" t="str">
        <f>HYPERLINK("https://www.boe.es/gazeta/dias/1800/07/08/pdfs/GMD-1800-54.pdf#page=8","Abrir facsímil")</f>
        <v>Abrir facsímil</v>
      </c>
      <c r="K6374" s="15" t="s">
        <v>23</v>
      </c>
    </row>
    <row r="6375" spans="1:11" ht="42" customHeight="1">
      <c r="A6375" s="4" t="s">
        <v>14567</v>
      </c>
      <c r="B6375" s="5" t="s">
        <v>14568</v>
      </c>
      <c r="C6375" s="5" t="s">
        <v>18</v>
      </c>
      <c r="D6375" s="5" t="s">
        <v>19</v>
      </c>
      <c r="E6375" s="5" t="s">
        <v>530</v>
      </c>
      <c r="F6375" s="9">
        <v>55</v>
      </c>
      <c r="G6375" s="9">
        <v>618</v>
      </c>
      <c r="H6375" s="5" t="s">
        <v>21</v>
      </c>
      <c r="I6375" s="5" t="s">
        <v>14575</v>
      </c>
      <c r="J6375" s="12" t="str">
        <f>HYPERLINK("https://www.boe.es/gazeta/dias/1800/07/11/pdfs/GMD-1800-55.pdf#page=6","Abrir facsímil")</f>
        <v>Abrir facsímil</v>
      </c>
      <c r="K6375" s="15" t="s">
        <v>23</v>
      </c>
    </row>
    <row r="6376" spans="1:11" ht="42" customHeight="1">
      <c r="A6376" s="4" t="s">
        <v>14567</v>
      </c>
      <c r="B6376" s="5" t="s">
        <v>14568</v>
      </c>
      <c r="C6376" s="5" t="s">
        <v>41</v>
      </c>
      <c r="D6376" s="5" t="s">
        <v>42</v>
      </c>
      <c r="E6376" s="5" t="s">
        <v>310</v>
      </c>
      <c r="F6376" s="9">
        <v>56</v>
      </c>
      <c r="G6376" s="9">
        <v>627</v>
      </c>
      <c r="H6376" s="5" t="s">
        <v>21</v>
      </c>
      <c r="I6376" s="5" t="s">
        <v>14576</v>
      </c>
      <c r="J6376" s="12" t="str">
        <f>HYPERLINK("https://www.boe.es/gazeta/dias/1800/07/15/pdfs/GMD-1800-56.pdf#page=3","Abrir facsímil")</f>
        <v>Abrir facsímil</v>
      </c>
      <c r="K6376" s="15" t="s">
        <v>23</v>
      </c>
    </row>
    <row r="6377" spans="1:11" ht="42" customHeight="1">
      <c r="A6377" s="4" t="s">
        <v>14567</v>
      </c>
      <c r="B6377" s="5" t="s">
        <v>14568</v>
      </c>
      <c r="C6377" s="5" t="s">
        <v>41</v>
      </c>
      <c r="D6377" s="5" t="s">
        <v>42</v>
      </c>
      <c r="E6377" s="5" t="s">
        <v>1287</v>
      </c>
      <c r="F6377" s="9">
        <v>57</v>
      </c>
      <c r="G6377" s="9">
        <v>640</v>
      </c>
      <c r="H6377" s="5" t="s">
        <v>21</v>
      </c>
      <c r="I6377" s="5" t="s">
        <v>14577</v>
      </c>
      <c r="J6377" s="12" t="str">
        <f>HYPERLINK("https://www.boe.es/gazeta/dias/1800/07/18/pdfs/GMD-1800-57.pdf#page=4","Abrir facsímil")</f>
        <v>Abrir facsímil</v>
      </c>
      <c r="K6377" s="15" t="s">
        <v>23</v>
      </c>
    </row>
    <row r="6378" spans="1:11" ht="42" customHeight="1">
      <c r="A6378" s="4" t="s">
        <v>14567</v>
      </c>
      <c r="B6378" s="5" t="s">
        <v>14568</v>
      </c>
      <c r="C6378" s="5" t="s">
        <v>41</v>
      </c>
      <c r="D6378" s="5" t="s">
        <v>42</v>
      </c>
      <c r="E6378" s="5" t="s">
        <v>90</v>
      </c>
      <c r="F6378" s="9">
        <v>58</v>
      </c>
      <c r="G6378" s="9">
        <v>658</v>
      </c>
      <c r="H6378" s="5" t="s">
        <v>21</v>
      </c>
      <c r="I6378" s="5" t="s">
        <v>14578</v>
      </c>
      <c r="J6378" s="12" t="str">
        <f>HYPERLINK("https://www.boe.es/gazeta/dias/1800/07/22/pdfs/GMD-1800-58.pdf#page=6","Abrir facsímil")</f>
        <v>Abrir facsímil</v>
      </c>
      <c r="K6378" s="15" t="s">
        <v>23</v>
      </c>
    </row>
    <row r="6379" spans="1:11" ht="42" customHeight="1">
      <c r="A6379" s="4" t="s">
        <v>14567</v>
      </c>
      <c r="B6379" s="5" t="s">
        <v>14568</v>
      </c>
      <c r="C6379" s="5" t="s">
        <v>41</v>
      </c>
      <c r="D6379" s="5" t="s">
        <v>42</v>
      </c>
      <c r="E6379" s="5" t="s">
        <v>90</v>
      </c>
      <c r="F6379" s="9">
        <v>58</v>
      </c>
      <c r="G6379" s="9">
        <v>660</v>
      </c>
      <c r="H6379" s="5" t="s">
        <v>21</v>
      </c>
      <c r="I6379" s="5" t="s">
        <v>14579</v>
      </c>
      <c r="J6379" s="12" t="str">
        <f>HYPERLINK("https://www.boe.es/gazeta/dias/1800/07/22/pdfs/GMD-1800-58.pdf#page=8","Abrir facsímil")</f>
        <v>Abrir facsímil</v>
      </c>
      <c r="K6379" s="15" t="s">
        <v>23</v>
      </c>
    </row>
    <row r="6380" spans="1:11" ht="42" customHeight="1">
      <c r="A6380" s="4" t="s">
        <v>14567</v>
      </c>
      <c r="B6380" s="5" t="s">
        <v>14568</v>
      </c>
      <c r="C6380" s="5" t="s">
        <v>41</v>
      </c>
      <c r="D6380" s="5" t="s">
        <v>42</v>
      </c>
      <c r="E6380" s="5" t="s">
        <v>27</v>
      </c>
      <c r="F6380" s="9">
        <v>65</v>
      </c>
      <c r="G6380" s="9">
        <v>727</v>
      </c>
      <c r="H6380" s="5" t="s">
        <v>21</v>
      </c>
      <c r="I6380" s="5" t="s">
        <v>14580</v>
      </c>
      <c r="J6380" s="12" t="str">
        <f>HYPERLINK("https://www.boe.es/gazeta/dias/1800/08/15/pdfs/GMD-1800-65.pdf#page=3","Abrir facsímil")</f>
        <v>Abrir facsímil</v>
      </c>
      <c r="K6380" s="15" t="s">
        <v>23</v>
      </c>
    </row>
    <row r="6381" spans="1:11" ht="42" customHeight="1">
      <c r="A6381" s="4" t="s">
        <v>14567</v>
      </c>
      <c r="B6381" s="5" t="s">
        <v>14568</v>
      </c>
      <c r="C6381" s="5" t="s">
        <v>54</v>
      </c>
      <c r="D6381" s="5" t="s">
        <v>55</v>
      </c>
      <c r="E6381" s="5" t="s">
        <v>68</v>
      </c>
      <c r="F6381" s="9">
        <v>67</v>
      </c>
      <c r="G6381" s="9">
        <v>753</v>
      </c>
      <c r="H6381" s="5" t="s">
        <v>21</v>
      </c>
      <c r="I6381" s="5" t="s">
        <v>14581</v>
      </c>
      <c r="J6381" s="12" t="str">
        <f>HYPERLINK("https://www.boe.es/gazeta/dias/1800/08/22/pdfs/GMD-1800-67.pdf#page=5","Abrir facsímil")</f>
        <v>Abrir facsímil</v>
      </c>
      <c r="K6381" s="15" t="s">
        <v>23</v>
      </c>
    </row>
    <row r="6382" spans="1:11" ht="42" customHeight="1">
      <c r="A6382" s="4" t="s">
        <v>14582</v>
      </c>
      <c r="B6382" s="5" t="s">
        <v>14583</v>
      </c>
      <c r="C6382" s="5" t="s">
        <v>25</v>
      </c>
      <c r="D6382" s="5" t="s">
        <v>26</v>
      </c>
      <c r="E6382" s="5" t="s">
        <v>139</v>
      </c>
      <c r="F6382" s="9">
        <v>2</v>
      </c>
      <c r="G6382" s="9">
        <v>16</v>
      </c>
      <c r="H6382" s="5" t="s">
        <v>21</v>
      </c>
      <c r="I6382" s="5" t="s">
        <v>14584</v>
      </c>
      <c r="J6382" s="12" t="str">
        <f>HYPERLINK("https://www.boe.es/gazeta/dias/1800/01/07/pdfs/GMD-1800-2.pdf#page=8","Abrir facsímil")</f>
        <v>Abrir facsímil</v>
      </c>
      <c r="K6382" s="15" t="s">
        <v>23</v>
      </c>
    </row>
    <row r="6383" spans="1:11" ht="42" customHeight="1">
      <c r="A6383" s="4" t="s">
        <v>14585</v>
      </c>
      <c r="B6383" s="5" t="s">
        <v>14586</v>
      </c>
      <c r="C6383" s="5" t="s">
        <v>18</v>
      </c>
      <c r="D6383" s="5" t="s">
        <v>19</v>
      </c>
      <c r="E6383" s="5" t="s">
        <v>190</v>
      </c>
      <c r="F6383" s="9">
        <v>93</v>
      </c>
      <c r="G6383" s="9">
        <v>1066</v>
      </c>
      <c r="H6383" s="5" t="s">
        <v>21</v>
      </c>
      <c r="I6383" s="5" t="s">
        <v>14587</v>
      </c>
      <c r="J6383" s="12" t="str">
        <f>HYPERLINK("https://www.boe.es/gazeta/dias/1800/11/18/pdfs/GMD-1800-93.pdf#page=12","Abrir facsímil")</f>
        <v>Abrir facsímil</v>
      </c>
      <c r="K6383" s="15" t="s">
        <v>23</v>
      </c>
    </row>
    <row r="6384" spans="1:11" ht="42" customHeight="1">
      <c r="A6384" s="4" t="s">
        <v>14588</v>
      </c>
      <c r="B6384" s="5" t="s">
        <v>14589</v>
      </c>
      <c r="C6384" s="5" t="s">
        <v>25</v>
      </c>
      <c r="D6384" s="5" t="s">
        <v>26</v>
      </c>
      <c r="E6384" s="5" t="s">
        <v>139</v>
      </c>
      <c r="F6384" s="9">
        <v>2</v>
      </c>
      <c r="G6384" s="9">
        <v>16</v>
      </c>
      <c r="H6384" s="5" t="s">
        <v>21</v>
      </c>
      <c r="I6384" s="5" t="s">
        <v>14590</v>
      </c>
      <c r="J6384" s="12" t="str">
        <f>HYPERLINK("https://www.boe.es/gazeta/dias/1800/01/07/pdfs/GMD-1800-2.pdf#page=8","Abrir facsímil")</f>
        <v>Abrir facsímil</v>
      </c>
      <c r="K6384" s="15" t="s">
        <v>23</v>
      </c>
    </row>
    <row r="6385" spans="1:11" ht="42" customHeight="1">
      <c r="A6385" s="4" t="s">
        <v>14591</v>
      </c>
      <c r="B6385" s="5" t="s">
        <v>14592</v>
      </c>
      <c r="C6385" s="5" t="s">
        <v>18</v>
      </c>
      <c r="D6385" s="5" t="s">
        <v>19</v>
      </c>
      <c r="E6385" s="5" t="s">
        <v>240</v>
      </c>
      <c r="F6385" s="9">
        <v>26</v>
      </c>
      <c r="G6385" s="9">
        <v>269</v>
      </c>
      <c r="H6385" s="5" t="s">
        <v>21</v>
      </c>
      <c r="I6385" s="5" t="s">
        <v>14593</v>
      </c>
      <c r="J6385" s="12" t="str">
        <f>HYPERLINK("https://www.boe.es/gazeta/dias/1800/04/01/pdfs/GMD-1800-26.pdf#page=9","Abrir facsímil")</f>
        <v>Abrir facsímil</v>
      </c>
      <c r="K6385" s="15" t="s">
        <v>23</v>
      </c>
    </row>
    <row r="6386" spans="1:11" ht="42" customHeight="1">
      <c r="A6386" s="4" t="s">
        <v>14594</v>
      </c>
      <c r="B6386" s="5" t="s">
        <v>14595</v>
      </c>
      <c r="C6386" s="5" t="s">
        <v>18</v>
      </c>
      <c r="D6386" s="5" t="s">
        <v>19</v>
      </c>
      <c r="E6386" s="5" t="s">
        <v>406</v>
      </c>
      <c r="F6386" s="9">
        <v>44</v>
      </c>
      <c r="G6386" s="9">
        <v>459</v>
      </c>
      <c r="H6386" s="5" t="s">
        <v>21</v>
      </c>
      <c r="I6386" s="5" t="s">
        <v>14596</v>
      </c>
      <c r="J6386" s="12" t="str">
        <f>HYPERLINK("https://www.boe.es/gazeta/dias/1800/06/03/pdfs/GMD-1800-44.pdf#page=7","Abrir facsímil")</f>
        <v>Abrir facsímil</v>
      </c>
      <c r="K6386" s="15" t="s">
        <v>23</v>
      </c>
    </row>
    <row r="6387" spans="1:11" ht="42" customHeight="1">
      <c r="A6387" s="4" t="s">
        <v>14597</v>
      </c>
      <c r="B6387" s="5" t="s">
        <v>14598</v>
      </c>
      <c r="C6387" s="5" t="s">
        <v>18</v>
      </c>
      <c r="D6387" s="5" t="s">
        <v>19</v>
      </c>
      <c r="E6387" s="5" t="s">
        <v>445</v>
      </c>
      <c r="F6387" s="9">
        <v>96</v>
      </c>
      <c r="G6387" s="9">
        <v>1105</v>
      </c>
      <c r="H6387" s="5" t="s">
        <v>21</v>
      </c>
      <c r="I6387" s="5" t="s">
        <v>14599</v>
      </c>
      <c r="J6387" s="12" t="str">
        <f>HYPERLINK("https://www.boe.es/gazeta/dias/1800/11/28/pdfs/GMD-1800-96.pdf#page=9","Abrir facsímil")</f>
        <v>Abrir facsímil</v>
      </c>
      <c r="K6387" s="15" t="s">
        <v>23</v>
      </c>
    </row>
    <row r="6388" spans="1:11" ht="42" customHeight="1">
      <c r="A6388" s="4" t="s">
        <v>14600</v>
      </c>
      <c r="B6388" s="5" t="s">
        <v>14601</v>
      </c>
      <c r="C6388" s="5" t="s">
        <v>25</v>
      </c>
      <c r="D6388" s="5" t="s">
        <v>26</v>
      </c>
      <c r="E6388" s="5" t="s">
        <v>60</v>
      </c>
      <c r="F6388" s="9">
        <v>105</v>
      </c>
      <c r="G6388" s="9">
        <v>1226</v>
      </c>
      <c r="H6388" s="5" t="s">
        <v>21</v>
      </c>
      <c r="I6388" s="5" t="s">
        <v>14602</v>
      </c>
      <c r="J6388" s="12" t="str">
        <f>HYPERLINK("https://www.boe.es/gazeta/dias/1800/12/30/pdfs/GMD-1800-105.pdf#page=10","Abrir facsímil")</f>
        <v>Abrir facsímil</v>
      </c>
      <c r="K6388" s="15" t="s">
        <v>23</v>
      </c>
    </row>
    <row r="6389" spans="1:11" ht="42" customHeight="1">
      <c r="A6389" s="4" t="s">
        <v>14603</v>
      </c>
      <c r="B6389" s="5" t="s">
        <v>14604</v>
      </c>
      <c r="C6389" s="5" t="s">
        <v>84</v>
      </c>
      <c r="D6389" s="5" t="s">
        <v>85</v>
      </c>
      <c r="E6389" s="5" t="s">
        <v>346</v>
      </c>
      <c r="F6389" s="9">
        <v>24</v>
      </c>
      <c r="G6389" s="9">
        <v>248</v>
      </c>
      <c r="H6389" s="5" t="s">
        <v>21</v>
      </c>
      <c r="I6389" s="5" t="s">
        <v>14605</v>
      </c>
      <c r="J6389" s="12" t="str">
        <f>HYPERLINK("https://www.boe.es/gazeta/dias/1800/03/25/pdfs/GMD-1800-24.pdf#page=12","Abrir facsímil")</f>
        <v>Abrir facsímil</v>
      </c>
      <c r="K6389" s="15" t="s">
        <v>23</v>
      </c>
    </row>
    <row r="6390" spans="1:11" ht="42" customHeight="1">
      <c r="A6390" s="4" t="s">
        <v>14603</v>
      </c>
      <c r="B6390" s="5" t="s">
        <v>14604</v>
      </c>
      <c r="C6390" s="5" t="s">
        <v>84</v>
      </c>
      <c r="D6390" s="5" t="s">
        <v>85</v>
      </c>
      <c r="E6390" s="5" t="s">
        <v>158</v>
      </c>
      <c r="F6390" s="9">
        <v>25</v>
      </c>
      <c r="G6390" s="9">
        <v>260</v>
      </c>
      <c r="H6390" s="5" t="s">
        <v>21</v>
      </c>
      <c r="I6390" s="5" t="s">
        <v>14606</v>
      </c>
      <c r="J6390" s="12" t="str">
        <f>HYPERLINK("https://www.boe.es/gazeta/dias/1800/03/28/pdfs/GMD-1800-25.pdf#page=12","Abrir facsímil")</f>
        <v>Abrir facsímil</v>
      </c>
      <c r="K6390" s="15" t="s">
        <v>23</v>
      </c>
    </row>
    <row r="6391" spans="1:11" ht="42" customHeight="1">
      <c r="A6391" s="4" t="s">
        <v>14607</v>
      </c>
      <c r="B6391" s="5" t="s">
        <v>14608</v>
      </c>
      <c r="C6391" s="5" t="s">
        <v>84</v>
      </c>
      <c r="D6391" s="5" t="s">
        <v>85</v>
      </c>
      <c r="E6391" s="5" t="s">
        <v>194</v>
      </c>
      <c r="F6391" s="9">
        <v>48</v>
      </c>
      <c r="G6391" s="9">
        <v>516</v>
      </c>
      <c r="H6391" s="5" t="s">
        <v>21</v>
      </c>
      <c r="I6391" s="5" t="s">
        <v>14609</v>
      </c>
      <c r="J6391" s="12" t="str">
        <f>HYPERLINK("https://www.boe.es/gazeta/dias/1800/06/17/pdfs/GMD-1800-48.pdf#page=8","Abrir facsímil")</f>
        <v>Abrir facsímil</v>
      </c>
      <c r="K6391" s="15" t="s">
        <v>23</v>
      </c>
    </row>
    <row r="6392" spans="1:11" ht="42" customHeight="1">
      <c r="A6392" s="4" t="s">
        <v>14610</v>
      </c>
      <c r="B6392" s="5" t="s">
        <v>14611</v>
      </c>
      <c r="C6392" s="5" t="s">
        <v>18</v>
      </c>
      <c r="D6392" s="5" t="s">
        <v>19</v>
      </c>
      <c r="E6392" s="5" t="s">
        <v>154</v>
      </c>
      <c r="F6392" s="9">
        <v>61</v>
      </c>
      <c r="G6392" s="9">
        <v>697</v>
      </c>
      <c r="H6392" s="5" t="s">
        <v>21</v>
      </c>
      <c r="I6392" s="5" t="s">
        <v>14612</v>
      </c>
      <c r="J6392" s="12" t="str">
        <f>HYPERLINK("https://www.boe.es/gazeta/dias/1800/08/01/pdfs/GMD-1800-61.pdf#page=9","Abrir facsímil")</f>
        <v>Abrir facsímil</v>
      </c>
      <c r="K6392" s="15" t="s">
        <v>23</v>
      </c>
    </row>
    <row r="6393" spans="1:11" ht="42" customHeight="1">
      <c r="A6393" s="4" t="s">
        <v>14613</v>
      </c>
      <c r="B6393" s="5" t="s">
        <v>14614</v>
      </c>
      <c r="C6393" s="5" t="s">
        <v>25</v>
      </c>
      <c r="D6393" s="5" t="s">
        <v>26</v>
      </c>
      <c r="E6393" s="5" t="s">
        <v>1108</v>
      </c>
      <c r="F6393" s="9">
        <v>30</v>
      </c>
      <c r="G6393" s="9">
        <v>307</v>
      </c>
      <c r="H6393" s="5" t="s">
        <v>21</v>
      </c>
      <c r="I6393" s="5" t="s">
        <v>14615</v>
      </c>
      <c r="J6393" s="12" t="str">
        <f>HYPERLINK("https://www.boe.es/gazeta/dias/1800/04/15/pdfs/GMD-1800-30.pdf#page=7","Abrir facsímil")</f>
        <v>Abrir facsímil</v>
      </c>
      <c r="K6393" s="15" t="s">
        <v>23</v>
      </c>
    </row>
    <row r="6394" spans="1:11" ht="42" customHeight="1">
      <c r="A6394" s="4" t="s">
        <v>14616</v>
      </c>
      <c r="B6394" s="5" t="s">
        <v>14617</v>
      </c>
      <c r="C6394" s="5" t="s">
        <v>207</v>
      </c>
      <c r="D6394" s="5" t="s">
        <v>55</v>
      </c>
      <c r="E6394" s="5" t="s">
        <v>306</v>
      </c>
      <c r="F6394" s="9">
        <v>79</v>
      </c>
      <c r="G6394" s="9">
        <v>899</v>
      </c>
      <c r="H6394" s="5" t="s">
        <v>21</v>
      </c>
      <c r="I6394" s="5" t="s">
        <v>14618</v>
      </c>
      <c r="J6394" s="12" t="str">
        <f>HYPERLINK("https://www.boe.es/gazeta/dias/1800/09/30/pdfs/GMD-1800-79.pdf#page=9","Abrir facsímil")</f>
        <v>Abrir facsímil</v>
      </c>
      <c r="K6394" s="15" t="s">
        <v>23</v>
      </c>
    </row>
    <row r="6395" spans="1:11" ht="42" customHeight="1">
      <c r="A6395" s="4" t="s">
        <v>14619</v>
      </c>
      <c r="B6395" s="5" t="s">
        <v>14620</v>
      </c>
      <c r="C6395" s="5" t="s">
        <v>25</v>
      </c>
      <c r="D6395" s="5" t="s">
        <v>26</v>
      </c>
      <c r="E6395" s="5" t="s">
        <v>319</v>
      </c>
      <c r="F6395" s="9">
        <v>62</v>
      </c>
      <c r="G6395" s="9">
        <v>709</v>
      </c>
      <c r="H6395" s="5" t="s">
        <v>21</v>
      </c>
      <c r="I6395" s="5" t="s">
        <v>14621</v>
      </c>
      <c r="J6395" s="12" t="str">
        <f>HYPERLINK("https://www.boe.es/gazeta/dias/1800/08/05/pdfs/GMD-1800-62.pdf#page=9","Abrir facsímil")</f>
        <v>Abrir facsímil</v>
      </c>
      <c r="K6395" s="15" t="s">
        <v>23</v>
      </c>
    </row>
    <row r="6396" spans="1:11" ht="42" customHeight="1">
      <c r="A6396" s="4" t="s">
        <v>14622</v>
      </c>
      <c r="B6396" s="5" t="s">
        <v>14623</v>
      </c>
      <c r="C6396" s="5" t="s">
        <v>25</v>
      </c>
      <c r="D6396" s="5" t="s">
        <v>26</v>
      </c>
      <c r="E6396" s="5" t="s">
        <v>45</v>
      </c>
      <c r="F6396" s="9">
        <v>47</v>
      </c>
      <c r="G6396" s="9">
        <v>502</v>
      </c>
      <c r="H6396" s="5" t="s">
        <v>21</v>
      </c>
      <c r="I6396" s="5" t="s">
        <v>14624</v>
      </c>
      <c r="J6396" s="12" t="str">
        <f>HYPERLINK("https://www.boe.es/gazeta/dias/1800/06/13/pdfs/GMD-1800-47.pdf#page=10","Abrir facsímil")</f>
        <v>Abrir facsímil</v>
      </c>
      <c r="K6396" s="15" t="s">
        <v>23</v>
      </c>
    </row>
    <row r="6397" spans="1:11" ht="42" customHeight="1">
      <c r="A6397" s="4" t="s">
        <v>14625</v>
      </c>
      <c r="B6397" s="5" t="s">
        <v>14626</v>
      </c>
      <c r="C6397" s="5" t="s">
        <v>54</v>
      </c>
      <c r="D6397" s="5" t="s">
        <v>55</v>
      </c>
      <c r="E6397" s="5" t="s">
        <v>45</v>
      </c>
      <c r="F6397" s="9">
        <v>47</v>
      </c>
      <c r="G6397" s="9">
        <v>502</v>
      </c>
      <c r="H6397" s="5" t="s">
        <v>21</v>
      </c>
      <c r="I6397" s="5" t="s">
        <v>14627</v>
      </c>
      <c r="J6397" s="12" t="str">
        <f>HYPERLINK("https://www.boe.es/gazeta/dias/1800/06/13/pdfs/GMD-1800-47.pdf#page=10","Abrir facsímil")</f>
        <v>Abrir facsímil</v>
      </c>
      <c r="K6397" s="15" t="s">
        <v>23</v>
      </c>
    </row>
    <row r="6398" spans="1:11" ht="42" customHeight="1">
      <c r="A6398" s="4" t="s">
        <v>14628</v>
      </c>
      <c r="B6398" s="5" t="s">
        <v>14629</v>
      </c>
      <c r="C6398" s="5" t="s">
        <v>18</v>
      </c>
      <c r="D6398" s="5" t="s">
        <v>19</v>
      </c>
      <c r="E6398" s="5" t="s">
        <v>203</v>
      </c>
      <c r="F6398" s="9">
        <v>94</v>
      </c>
      <c r="G6398" s="9">
        <v>1078</v>
      </c>
      <c r="H6398" s="5" t="s">
        <v>21</v>
      </c>
      <c r="I6398" s="5" t="s">
        <v>14630</v>
      </c>
      <c r="J6398" s="12" t="str">
        <f>HYPERLINK("https://www.boe.es/gazeta/dias/1800/11/21/pdfs/GMD-1800-94.pdf#page=8","Abrir facsímil")</f>
        <v>Abrir facsímil</v>
      </c>
      <c r="K6398" s="15" t="s">
        <v>23</v>
      </c>
    </row>
    <row r="6399" spans="1:11" ht="42" customHeight="1">
      <c r="A6399" s="4" t="s">
        <v>14631</v>
      </c>
      <c r="B6399" s="5" t="s">
        <v>14632</v>
      </c>
      <c r="C6399" s="5" t="s">
        <v>41</v>
      </c>
      <c r="D6399" s="5" t="s">
        <v>42</v>
      </c>
      <c r="E6399" s="5" t="s">
        <v>310</v>
      </c>
      <c r="F6399" s="9">
        <v>56</v>
      </c>
      <c r="G6399" s="9">
        <v>631</v>
      </c>
      <c r="H6399" s="5" t="s">
        <v>21</v>
      </c>
      <c r="I6399" s="5" t="s">
        <v>14633</v>
      </c>
      <c r="J6399" s="12" t="str">
        <f>HYPERLINK("https://www.boe.es/gazeta/dias/1800/07/15/pdfs/GMD-1800-56.pdf#page=7","Abrir facsímil")</f>
        <v>Abrir facsímil</v>
      </c>
      <c r="K6399" s="15" t="s">
        <v>23</v>
      </c>
    </row>
    <row r="6400" spans="1:11" ht="42" customHeight="1">
      <c r="A6400" s="4" t="s">
        <v>14634</v>
      </c>
      <c r="B6400" s="5" t="s">
        <v>14635</v>
      </c>
      <c r="C6400" s="5" t="s">
        <v>25</v>
      </c>
      <c r="D6400" s="5" t="s">
        <v>26</v>
      </c>
      <c r="E6400" s="5" t="s">
        <v>420</v>
      </c>
      <c r="F6400" s="9">
        <v>38</v>
      </c>
      <c r="G6400" s="9">
        <v>389</v>
      </c>
      <c r="H6400" s="5" t="s">
        <v>21</v>
      </c>
      <c r="I6400" s="5" t="s">
        <v>14636</v>
      </c>
      <c r="J6400" s="12" t="str">
        <f>HYPERLINK("https://www.boe.es/gazeta/dias/1800/05/13/pdfs/GMD-1800-38.pdf#page=9","Abrir facsímil")</f>
        <v>Abrir facsímil</v>
      </c>
      <c r="K6400" s="15" t="s">
        <v>23</v>
      </c>
    </row>
    <row r="6401" spans="1:11" ht="42" customHeight="1">
      <c r="A6401" s="4" t="s">
        <v>14637</v>
      </c>
      <c r="B6401" s="5" t="s">
        <v>14638</v>
      </c>
      <c r="C6401" s="5" t="s">
        <v>18</v>
      </c>
      <c r="D6401" s="5" t="s">
        <v>19</v>
      </c>
      <c r="E6401" s="5" t="s">
        <v>306</v>
      </c>
      <c r="F6401" s="9">
        <v>79</v>
      </c>
      <c r="G6401" s="9">
        <v>899</v>
      </c>
      <c r="H6401" s="5" t="s">
        <v>21</v>
      </c>
      <c r="I6401" s="5" t="s">
        <v>14639</v>
      </c>
      <c r="J6401" s="12" t="str">
        <f>HYPERLINK("https://www.boe.es/gazeta/dias/1800/09/30/pdfs/GMD-1800-79.pdf#page=9","Abrir facsímil")</f>
        <v>Abrir facsímil</v>
      </c>
      <c r="K6401" s="15" t="s">
        <v>23</v>
      </c>
    </row>
    <row r="6402" spans="1:11" ht="42" customHeight="1">
      <c r="A6402" s="4" t="s">
        <v>14640</v>
      </c>
      <c r="B6402" s="5" t="s">
        <v>14641</v>
      </c>
      <c r="C6402" s="5" t="s">
        <v>41</v>
      </c>
      <c r="D6402" s="5" t="s">
        <v>42</v>
      </c>
      <c r="E6402" s="5" t="s">
        <v>590</v>
      </c>
      <c r="F6402" s="9">
        <v>69</v>
      </c>
      <c r="G6402" s="9">
        <v>769</v>
      </c>
      <c r="H6402" s="5" t="s">
        <v>21</v>
      </c>
      <c r="I6402" s="5" t="s">
        <v>14642</v>
      </c>
      <c r="J6402" s="12" t="str">
        <f>HYPERLINK("https://www.boe.es/gazeta/dias/1800/08/29/pdfs/GMD-1800-69.pdf#page=1","Abrir facsímil")</f>
        <v>Abrir facsímil</v>
      </c>
      <c r="K6402" s="15" t="s">
        <v>23</v>
      </c>
    </row>
    <row r="6403" spans="1:11" ht="42" customHeight="1">
      <c r="A6403" s="4" t="s">
        <v>14640</v>
      </c>
      <c r="B6403" s="5" t="s">
        <v>14641</v>
      </c>
      <c r="C6403" s="5" t="s">
        <v>41</v>
      </c>
      <c r="D6403" s="5" t="s">
        <v>42</v>
      </c>
      <c r="E6403" s="5" t="s">
        <v>845</v>
      </c>
      <c r="F6403" s="9">
        <v>80</v>
      </c>
      <c r="G6403" s="9">
        <v>906</v>
      </c>
      <c r="H6403" s="5" t="s">
        <v>21</v>
      </c>
      <c r="I6403" s="5" t="s">
        <v>14643</v>
      </c>
      <c r="J6403" s="12" t="str">
        <f>HYPERLINK("https://www.boe.es/gazeta/dias/1800/10/03/pdfs/GMD-1800-80.pdf#page=4","Abrir facsímil")</f>
        <v>Abrir facsímil</v>
      </c>
      <c r="K6403" s="15" t="s">
        <v>23</v>
      </c>
    </row>
    <row r="6404" spans="1:11" ht="42" customHeight="1">
      <c r="A6404" s="4" t="s">
        <v>14644</v>
      </c>
      <c r="B6404" s="5" t="s">
        <v>14645</v>
      </c>
      <c r="C6404" s="5" t="s">
        <v>114</v>
      </c>
      <c r="D6404" s="5" t="s">
        <v>115</v>
      </c>
      <c r="E6404" s="5" t="s">
        <v>116</v>
      </c>
      <c r="F6404" s="9">
        <v>86</v>
      </c>
      <c r="G6404" s="9" t="s">
        <v>117</v>
      </c>
      <c r="H6404" s="5" t="s">
        <v>21</v>
      </c>
      <c r="I6404" s="5" t="s">
        <v>14646</v>
      </c>
      <c r="J6404" s="12" t="str">
        <f>HYPERLINK("https://www.boe.es/gazeta/dias/1800/10/24/pdfs/GMD-D-1800-86.pdf#page=3","Abrir facsímil")</f>
        <v>Abrir facsímil</v>
      </c>
      <c r="K6404" s="15" t="s">
        <v>23</v>
      </c>
    </row>
    <row r="6405" spans="1:11" ht="42" customHeight="1">
      <c r="A6405" s="4" t="s">
        <v>14647</v>
      </c>
      <c r="B6405" s="5" t="s">
        <v>14647</v>
      </c>
      <c r="C6405" s="5" t="s">
        <v>18</v>
      </c>
      <c r="D6405" s="5" t="s">
        <v>19</v>
      </c>
      <c r="E6405" s="5" t="s">
        <v>86</v>
      </c>
      <c r="F6405" s="9">
        <v>17</v>
      </c>
      <c r="G6405" s="9">
        <v>156</v>
      </c>
      <c r="H6405" s="5" t="s">
        <v>21</v>
      </c>
      <c r="I6405" s="5" t="s">
        <v>14648</v>
      </c>
      <c r="J6405" s="12" t="str">
        <f>HYPERLINK("https://www.boe.es/gazeta/dias/1800/02/28/pdfs/GMD-1800-17.pdf#page=4","Abrir facsímil")</f>
        <v>Abrir facsímil</v>
      </c>
      <c r="K6405" s="15" t="s">
        <v>23</v>
      </c>
    </row>
    <row r="6406" spans="1:11" ht="42" customHeight="1">
      <c r="A6406" s="4" t="s">
        <v>14649</v>
      </c>
      <c r="B6406" s="5" t="s">
        <v>14650</v>
      </c>
      <c r="C6406" s="5" t="s">
        <v>18</v>
      </c>
      <c r="D6406" s="5" t="s">
        <v>19</v>
      </c>
      <c r="E6406" s="5" t="s">
        <v>787</v>
      </c>
      <c r="F6406" s="9">
        <v>6</v>
      </c>
      <c r="G6406" s="9">
        <v>56</v>
      </c>
      <c r="H6406" s="5" t="s">
        <v>21</v>
      </c>
      <c r="I6406" s="5" t="s">
        <v>14651</v>
      </c>
      <c r="J6406" s="12" t="str">
        <f>HYPERLINK("https://www.boe.es/gazeta/dias/1800/01/21/pdfs/GMD-1800-6.pdf#page=8","Abrir facsímil")</f>
        <v>Abrir facsímil</v>
      </c>
      <c r="K6406" s="15" t="s">
        <v>23</v>
      </c>
    </row>
    <row r="6407" spans="1:11" ht="42" customHeight="1">
      <c r="A6407" s="4" t="s">
        <v>14652</v>
      </c>
      <c r="B6407" s="5" t="s">
        <v>14653</v>
      </c>
      <c r="C6407" s="5" t="s">
        <v>1035</v>
      </c>
      <c r="D6407" s="5" t="s">
        <v>1036</v>
      </c>
      <c r="E6407" s="5" t="s">
        <v>50</v>
      </c>
      <c r="F6407" s="9">
        <v>81</v>
      </c>
      <c r="G6407" s="9">
        <v>942</v>
      </c>
      <c r="H6407" s="5" t="s">
        <v>21</v>
      </c>
      <c r="I6407" s="5" t="s">
        <v>14654</v>
      </c>
      <c r="J6407" s="12" t="str">
        <f>HYPERLINK("https://www.boe.es/gazeta/dias/1800/10/07/pdfs/GMD-C-1800-81.pdf#page=24","Abrir facsímil")</f>
        <v>Abrir facsímil</v>
      </c>
      <c r="K6407" s="15" t="s">
        <v>23</v>
      </c>
    </row>
    <row r="6408" spans="1:11" ht="42" customHeight="1">
      <c r="A6408" s="4" t="s">
        <v>14655</v>
      </c>
      <c r="B6408" s="5" t="s">
        <v>14656</v>
      </c>
      <c r="C6408" s="5" t="s">
        <v>25</v>
      </c>
      <c r="D6408" s="5" t="s">
        <v>26</v>
      </c>
      <c r="E6408" s="5" t="s">
        <v>116</v>
      </c>
      <c r="F6408" s="9">
        <v>86</v>
      </c>
      <c r="G6408" s="9">
        <v>997</v>
      </c>
      <c r="H6408" s="5" t="s">
        <v>21</v>
      </c>
      <c r="I6408" s="5" t="s">
        <v>14657</v>
      </c>
      <c r="J6408" s="12" t="str">
        <f>HYPERLINK("https://www.boe.es/gazeta/dias/1800/10/24/pdfs/GMD-1800-86.pdf#page=7","Abrir facsímil")</f>
        <v>Abrir facsímil</v>
      </c>
      <c r="K6408" s="15" t="s">
        <v>23</v>
      </c>
    </row>
    <row r="6409" spans="1:11" ht="42" customHeight="1">
      <c r="A6409" s="4" t="s">
        <v>14658</v>
      </c>
      <c r="B6409" s="5" t="s">
        <v>14659</v>
      </c>
      <c r="C6409" s="5" t="s">
        <v>18</v>
      </c>
      <c r="D6409" s="5" t="s">
        <v>19</v>
      </c>
      <c r="E6409" s="5" t="s">
        <v>162</v>
      </c>
      <c r="F6409" s="9">
        <v>15</v>
      </c>
      <c r="G6409" s="9">
        <v>142</v>
      </c>
      <c r="H6409" s="5" t="s">
        <v>21</v>
      </c>
      <c r="I6409" s="5" t="s">
        <v>14660</v>
      </c>
      <c r="J6409" s="12" t="str">
        <f>HYPERLINK("https://www.boe.es/gazeta/dias/1800/02/21/pdfs/GMD-1800-15.pdf#page=6","Abrir facsímil")</f>
        <v>Abrir facsímil</v>
      </c>
      <c r="K6409" s="15" t="s">
        <v>23</v>
      </c>
    </row>
    <row r="6410" spans="1:11" ht="42" customHeight="1">
      <c r="A6410" s="4" t="s">
        <v>14661</v>
      </c>
      <c r="B6410" s="5" t="s">
        <v>14662</v>
      </c>
      <c r="C6410" s="5" t="s">
        <v>18</v>
      </c>
      <c r="D6410" s="5" t="s">
        <v>19</v>
      </c>
      <c r="E6410" s="5" t="s">
        <v>116</v>
      </c>
      <c r="F6410" s="9">
        <v>86</v>
      </c>
      <c r="G6410" s="9">
        <v>996</v>
      </c>
      <c r="H6410" s="5" t="s">
        <v>21</v>
      </c>
      <c r="I6410" s="5" t="s">
        <v>14663</v>
      </c>
      <c r="J6410" s="12" t="str">
        <f>HYPERLINK("https://www.boe.es/gazeta/dias/1800/10/24/pdfs/GMD-1800-86.pdf#page=6","Abrir facsímil")</f>
        <v>Abrir facsímil</v>
      </c>
      <c r="K6410" s="15" t="s">
        <v>23</v>
      </c>
    </row>
    <row r="6411" spans="1:11" ht="42" customHeight="1">
      <c r="A6411" s="4" t="s">
        <v>14664</v>
      </c>
      <c r="B6411" s="5" t="s">
        <v>14665</v>
      </c>
      <c r="C6411" s="5" t="s">
        <v>18</v>
      </c>
      <c r="D6411" s="5" t="s">
        <v>19</v>
      </c>
      <c r="E6411" s="5" t="s">
        <v>60</v>
      </c>
      <c r="F6411" s="9">
        <v>105</v>
      </c>
      <c r="G6411" s="9">
        <v>1226</v>
      </c>
      <c r="H6411" s="5" t="s">
        <v>21</v>
      </c>
      <c r="I6411" s="5" t="s">
        <v>14666</v>
      </c>
      <c r="J6411" s="12" t="str">
        <f>HYPERLINK("https://www.boe.es/gazeta/dias/1800/12/30/pdfs/GMD-1800-105.pdf#page=10","Abrir facsímil")</f>
        <v>Abrir facsímil</v>
      </c>
      <c r="K6411" s="15" t="s">
        <v>23</v>
      </c>
    </row>
    <row r="6412" spans="1:11" ht="42" customHeight="1">
      <c r="A6412" s="4" t="s">
        <v>14667</v>
      </c>
      <c r="B6412" s="5" t="s">
        <v>14668</v>
      </c>
      <c r="C6412" s="5" t="s">
        <v>207</v>
      </c>
      <c r="D6412" s="5" t="s">
        <v>55</v>
      </c>
      <c r="E6412" s="5" t="s">
        <v>422</v>
      </c>
      <c r="F6412" s="9">
        <v>85</v>
      </c>
      <c r="G6412" s="9">
        <v>984</v>
      </c>
      <c r="H6412" s="5" t="s">
        <v>21</v>
      </c>
      <c r="I6412" s="5" t="s">
        <v>14669</v>
      </c>
      <c r="J6412" s="12" t="str">
        <f>HYPERLINK("https://www.boe.es/gazeta/dias/1800/10/21/pdfs/GMD-1800-85.pdf#page=6","Abrir facsímil")</f>
        <v>Abrir facsímil</v>
      </c>
      <c r="K6412" s="15" t="s">
        <v>23</v>
      </c>
    </row>
    <row r="6413" spans="1:11" ht="42" customHeight="1">
      <c r="A6413" s="4" t="s">
        <v>14670</v>
      </c>
      <c r="B6413" s="5" t="s">
        <v>14671</v>
      </c>
      <c r="C6413" s="5" t="s">
        <v>18</v>
      </c>
      <c r="D6413" s="5" t="s">
        <v>19</v>
      </c>
      <c r="E6413" s="5" t="s">
        <v>135</v>
      </c>
      <c r="F6413" s="9">
        <v>73</v>
      </c>
      <c r="G6413" s="9">
        <v>815</v>
      </c>
      <c r="H6413" s="5" t="s">
        <v>21</v>
      </c>
      <c r="I6413" s="5" t="s">
        <v>14672</v>
      </c>
      <c r="J6413" s="12" t="str">
        <f>HYPERLINK("https://www.boe.es/gazeta/dias/1800/09/09/pdfs/GMD-1800-73.pdf#page=9","Abrir facsímil")</f>
        <v>Abrir facsímil</v>
      </c>
      <c r="K6413" s="15" t="s">
        <v>23</v>
      </c>
    </row>
    <row r="6414" spans="1:11" ht="42" customHeight="1">
      <c r="A6414" s="4" t="s">
        <v>14673</v>
      </c>
      <c r="B6414" s="5" t="s">
        <v>14674</v>
      </c>
      <c r="C6414" s="5" t="s">
        <v>25</v>
      </c>
      <c r="D6414" s="5" t="s">
        <v>26</v>
      </c>
      <c r="E6414" s="5" t="s">
        <v>620</v>
      </c>
      <c r="F6414" s="9">
        <v>19</v>
      </c>
      <c r="G6414" s="9">
        <v>182</v>
      </c>
      <c r="H6414" s="5" t="s">
        <v>21</v>
      </c>
      <c r="I6414" s="5" t="s">
        <v>14675</v>
      </c>
      <c r="J6414" s="12" t="str">
        <f>HYPERLINK("https://www.boe.es/gazeta/dias/1800/03/07/pdfs/GMD-1800-19.pdf#page=6","Abrir facsímil")</f>
        <v>Abrir facsímil</v>
      </c>
      <c r="K6414" s="15" t="s">
        <v>23</v>
      </c>
    </row>
    <row r="6415" spans="1:11" ht="42" customHeight="1">
      <c r="A6415" s="4" t="s">
        <v>14673</v>
      </c>
      <c r="B6415" s="5" t="s">
        <v>14674</v>
      </c>
      <c r="C6415" s="5" t="s">
        <v>18</v>
      </c>
      <c r="D6415" s="5" t="s">
        <v>19</v>
      </c>
      <c r="E6415" s="5" t="s">
        <v>595</v>
      </c>
      <c r="F6415" s="9">
        <v>72</v>
      </c>
      <c r="G6415" s="9">
        <v>797</v>
      </c>
      <c r="H6415" s="5" t="s">
        <v>21</v>
      </c>
      <c r="I6415" s="5" t="s">
        <v>14676</v>
      </c>
      <c r="J6415" s="12" t="str">
        <f>HYPERLINK("https://www.boe.es/gazeta/dias/1800/09/05/pdfs/GMD-1800-72.pdf#page=7","Abrir facsímil")</f>
        <v>Abrir facsímil</v>
      </c>
      <c r="K6415" s="15" t="s">
        <v>23</v>
      </c>
    </row>
    <row r="6416" spans="1:11" ht="42" customHeight="1">
      <c r="A6416" s="4" t="s">
        <v>14677</v>
      </c>
      <c r="B6416" s="5" t="s">
        <v>14678</v>
      </c>
      <c r="C6416" s="5" t="s">
        <v>171</v>
      </c>
      <c r="D6416" s="5" t="s">
        <v>172</v>
      </c>
      <c r="E6416" s="5" t="s">
        <v>194</v>
      </c>
      <c r="F6416" s="9">
        <v>48</v>
      </c>
      <c r="G6416" s="9">
        <v>524</v>
      </c>
      <c r="H6416" s="5" t="s">
        <v>21</v>
      </c>
      <c r="I6416" s="5" t="s">
        <v>14679</v>
      </c>
      <c r="J6416" s="12" t="str">
        <f>HYPERLINK("https://www.boe.es/gazeta/dias/1800/06/17/pdfs/GMD-C-1800-48.pdf#page=4","Abrir facsímil")</f>
        <v>Abrir facsímil</v>
      </c>
      <c r="K6416" s="15" t="s">
        <v>23</v>
      </c>
    </row>
    <row r="6417" spans="1:11" ht="42" customHeight="1">
      <c r="A6417" s="4" t="s">
        <v>14680</v>
      </c>
      <c r="B6417" s="5" t="s">
        <v>14681</v>
      </c>
      <c r="C6417" s="5" t="s">
        <v>18</v>
      </c>
      <c r="D6417" s="5" t="s">
        <v>19</v>
      </c>
      <c r="E6417" s="5" t="s">
        <v>143</v>
      </c>
      <c r="F6417" s="9">
        <v>22</v>
      </c>
      <c r="G6417" s="9">
        <v>220</v>
      </c>
      <c r="H6417" s="5" t="s">
        <v>21</v>
      </c>
      <c r="I6417" s="5" t="s">
        <v>14682</v>
      </c>
      <c r="J6417" s="12" t="str">
        <f>HYPERLINK("https://www.boe.es/gazeta/dias/1800/03/18/pdfs/GMD-1800-22.pdf#page=12","Abrir facsímil")</f>
        <v>Abrir facsímil</v>
      </c>
      <c r="K6417" s="15" t="s">
        <v>23</v>
      </c>
    </row>
    <row r="6418" spans="1:11" ht="42" customHeight="1">
      <c r="A6418" s="4" t="s">
        <v>14683</v>
      </c>
      <c r="B6418" s="5" t="s">
        <v>14684</v>
      </c>
      <c r="C6418" s="5" t="s">
        <v>41</v>
      </c>
      <c r="D6418" s="5" t="s">
        <v>42</v>
      </c>
      <c r="E6418" s="5" t="s">
        <v>828</v>
      </c>
      <c r="F6418" s="9">
        <v>53</v>
      </c>
      <c r="G6418" s="9">
        <v>587</v>
      </c>
      <c r="H6418" s="5" t="s">
        <v>21</v>
      </c>
      <c r="I6418" s="5" t="s">
        <v>14685</v>
      </c>
      <c r="J6418" s="12" t="str">
        <f>HYPERLINK("https://www.boe.es/gazeta/dias/1800/07/04/pdfs/GMD-1800-53.pdf#page=7","Abrir facsímil")</f>
        <v>Abrir facsímil</v>
      </c>
      <c r="K6418" s="15" t="s">
        <v>23</v>
      </c>
    </row>
    <row r="6419" spans="1:11" ht="42" customHeight="1">
      <c r="A6419" s="4" t="s">
        <v>14686</v>
      </c>
      <c r="B6419" s="5" t="s">
        <v>14686</v>
      </c>
      <c r="C6419" s="5" t="s">
        <v>1035</v>
      </c>
      <c r="D6419" s="5" t="s">
        <v>1036</v>
      </c>
      <c r="E6419" s="5" t="s">
        <v>50</v>
      </c>
      <c r="F6419" s="9">
        <v>81</v>
      </c>
      <c r="G6419" s="9">
        <v>940</v>
      </c>
      <c r="H6419" s="5" t="s">
        <v>21</v>
      </c>
      <c r="I6419" s="5" t="s">
        <v>14687</v>
      </c>
      <c r="J6419" s="12" t="str">
        <f>HYPERLINK("https://www.boe.es/gazeta/dias/1800/10/07/pdfs/GMD-C-1800-81.pdf#page=22","Abrir facsímil")</f>
        <v>Abrir facsímil</v>
      </c>
      <c r="K6419" s="15" t="s">
        <v>23</v>
      </c>
    </row>
    <row r="6420" spans="1:11" ht="42" customHeight="1">
      <c r="A6420" s="4" t="s">
        <v>14688</v>
      </c>
      <c r="B6420" s="5" t="s">
        <v>14689</v>
      </c>
      <c r="C6420" s="5" t="s">
        <v>207</v>
      </c>
      <c r="D6420" s="5" t="s">
        <v>55</v>
      </c>
      <c r="E6420" s="5" t="s">
        <v>299</v>
      </c>
      <c r="F6420" s="9">
        <v>40</v>
      </c>
      <c r="G6420" s="9">
        <v>412</v>
      </c>
      <c r="H6420" s="5" t="s">
        <v>21</v>
      </c>
      <c r="I6420" s="5" t="s">
        <v>14690</v>
      </c>
      <c r="J6420" s="12" t="str">
        <f>HYPERLINK("https://www.boe.es/gazeta/dias/1800/05/20/pdfs/GMD-1800-40.pdf#page=8","Abrir facsímil")</f>
        <v>Abrir facsímil</v>
      </c>
      <c r="K6420" s="15" t="s">
        <v>23</v>
      </c>
    </row>
    <row r="6421" spans="1:11" ht="42" customHeight="1">
      <c r="A6421" s="4" t="s">
        <v>14691</v>
      </c>
      <c r="B6421" s="5" t="s">
        <v>14691</v>
      </c>
      <c r="C6421" s="5" t="s">
        <v>41</v>
      </c>
      <c r="D6421" s="5" t="s">
        <v>42</v>
      </c>
      <c r="E6421" s="5" t="s">
        <v>43</v>
      </c>
      <c r="F6421" s="9">
        <v>46</v>
      </c>
      <c r="G6421" s="9">
        <v>486</v>
      </c>
      <c r="H6421" s="5" t="s">
        <v>21</v>
      </c>
      <c r="I6421" s="5" t="s">
        <v>14692</v>
      </c>
      <c r="J6421" s="12" t="str">
        <f>HYPERLINK("https://www.boe.es/gazeta/dias/1800/06/10/pdfs/GMD-1800-46.pdf#page=10","Abrir facsímil")</f>
        <v>Abrir facsímil</v>
      </c>
      <c r="K6421" s="15" t="s">
        <v>23</v>
      </c>
    </row>
    <row r="6422" spans="1:11" ht="42" customHeight="1">
      <c r="A6422" s="4" t="s">
        <v>14693</v>
      </c>
      <c r="B6422" s="5" t="s">
        <v>14693</v>
      </c>
      <c r="C6422" s="5" t="s">
        <v>18</v>
      </c>
      <c r="D6422" s="5" t="s">
        <v>19</v>
      </c>
      <c r="E6422" s="5" t="s">
        <v>176</v>
      </c>
      <c r="F6422" s="9">
        <v>88</v>
      </c>
      <c r="G6422" s="9">
        <v>1031</v>
      </c>
      <c r="H6422" s="5" t="s">
        <v>21</v>
      </c>
      <c r="I6422" s="5" t="s">
        <v>14694</v>
      </c>
      <c r="J6422" s="12" t="str">
        <f>HYPERLINK("https://www.boe.es/gazeta/dias/1800/10/31/pdfs/GMD-1800-88.pdf#page=13","Abrir facsímil")</f>
        <v>Abrir facsímil</v>
      </c>
      <c r="K6422" s="15" t="s">
        <v>23</v>
      </c>
    </row>
    <row r="6423" spans="1:11" ht="42" customHeight="1">
      <c r="A6423" s="4" t="s">
        <v>14695</v>
      </c>
      <c r="B6423" s="5" t="s">
        <v>14695</v>
      </c>
      <c r="C6423" s="5" t="s">
        <v>25</v>
      </c>
      <c r="D6423" s="5" t="s">
        <v>26</v>
      </c>
      <c r="E6423" s="5" t="s">
        <v>58</v>
      </c>
      <c r="F6423" s="9">
        <v>92</v>
      </c>
      <c r="G6423" s="9">
        <v>1052</v>
      </c>
      <c r="H6423" s="5" t="s">
        <v>21</v>
      </c>
      <c r="I6423" s="5" t="s">
        <v>14696</v>
      </c>
      <c r="J6423" s="12" t="str">
        <f>HYPERLINK("https://www.boe.es/gazeta/dias/1800/11/14/pdfs/GMD-1800-92.pdf#page=6","Abrir facsímil")</f>
        <v>Abrir facsímil</v>
      </c>
      <c r="K6423" s="15" t="s">
        <v>23</v>
      </c>
    </row>
    <row r="6424" spans="1:11" ht="42" customHeight="1">
      <c r="A6424" s="4" t="s">
        <v>14697</v>
      </c>
      <c r="B6424" s="5" t="s">
        <v>14697</v>
      </c>
      <c r="C6424" s="5" t="s">
        <v>41</v>
      </c>
      <c r="D6424" s="5" t="s">
        <v>42</v>
      </c>
      <c r="E6424" s="5" t="s">
        <v>101</v>
      </c>
      <c r="F6424" s="9">
        <v>37</v>
      </c>
      <c r="G6424" s="9">
        <v>376</v>
      </c>
      <c r="H6424" s="5" t="s">
        <v>21</v>
      </c>
      <c r="I6424" s="5" t="s">
        <v>14698</v>
      </c>
      <c r="J6424" s="12" t="str">
        <f>HYPERLINK("https://www.boe.es/gazeta/dias/1800/05/09/pdfs/GMD-1800-37.pdf#page=8","Abrir facsímil")</f>
        <v>Abrir facsímil</v>
      </c>
      <c r="K6424" s="15" t="s">
        <v>23</v>
      </c>
    </row>
    <row r="6425" spans="1:11" ht="42" customHeight="1">
      <c r="A6425" s="4" t="s">
        <v>14699</v>
      </c>
      <c r="B6425" s="5" t="s">
        <v>14700</v>
      </c>
      <c r="C6425" s="5" t="s">
        <v>18</v>
      </c>
      <c r="D6425" s="5" t="s">
        <v>19</v>
      </c>
      <c r="E6425" s="5" t="s">
        <v>583</v>
      </c>
      <c r="F6425" s="9">
        <v>77</v>
      </c>
      <c r="G6425" s="9">
        <v>878</v>
      </c>
      <c r="H6425" s="5" t="s">
        <v>21</v>
      </c>
      <c r="I6425" s="5" t="s">
        <v>14701</v>
      </c>
      <c r="J6425" s="12" t="str">
        <f>HYPERLINK("https://www.boe.es/gazeta/dias/1800/09/23/pdfs/GMD-1800-77.pdf#page=8","Abrir facsímil")</f>
        <v>Abrir facsímil</v>
      </c>
      <c r="K6425" s="15" t="s">
        <v>23</v>
      </c>
    </row>
    <row r="6426" spans="1:11" ht="42" customHeight="1">
      <c r="A6426" s="4" t="s">
        <v>14702</v>
      </c>
      <c r="B6426" s="5" t="s">
        <v>14702</v>
      </c>
      <c r="C6426" s="5" t="s">
        <v>18</v>
      </c>
      <c r="D6426" s="5" t="s">
        <v>19</v>
      </c>
      <c r="E6426" s="5" t="s">
        <v>52</v>
      </c>
      <c r="F6426" s="9">
        <v>83</v>
      </c>
      <c r="G6426" s="9">
        <v>963</v>
      </c>
      <c r="H6426" s="5" t="s">
        <v>21</v>
      </c>
      <c r="I6426" s="5" t="s">
        <v>14703</v>
      </c>
      <c r="J6426" s="12" t="str">
        <f>HYPERLINK("https://www.boe.es/gazeta/dias/1800/10/14/pdfs/GMD-1800-83.pdf#page=9","Abrir facsímil")</f>
        <v>Abrir facsímil</v>
      </c>
      <c r="K6426" s="15" t="s">
        <v>23</v>
      </c>
    </row>
    <row r="6427" spans="1:11" ht="42" customHeight="1">
      <c r="A6427" s="4" t="s">
        <v>14704</v>
      </c>
      <c r="B6427" s="5" t="s">
        <v>14705</v>
      </c>
      <c r="C6427" s="5" t="s">
        <v>18</v>
      </c>
      <c r="D6427" s="5" t="s">
        <v>19</v>
      </c>
      <c r="E6427" s="5" t="s">
        <v>356</v>
      </c>
      <c r="F6427" s="9">
        <v>31</v>
      </c>
      <c r="G6427" s="9">
        <v>315</v>
      </c>
      <c r="H6427" s="5" t="s">
        <v>21</v>
      </c>
      <c r="I6427" s="5" t="s">
        <v>14706</v>
      </c>
      <c r="J6427" s="12" t="str">
        <f>HYPERLINK("https://www.boe.es/gazeta/dias/1800/04/18/pdfs/GMD-1800-31.pdf#page=7","Abrir facsímil")</f>
        <v>Abrir facsímil</v>
      </c>
      <c r="K6427" s="15" t="s">
        <v>23</v>
      </c>
    </row>
    <row r="6428" spans="1:11" ht="42" customHeight="1">
      <c r="A6428" s="4" t="s">
        <v>14707</v>
      </c>
      <c r="B6428" s="5" t="s">
        <v>14708</v>
      </c>
      <c r="C6428" s="5" t="s">
        <v>18</v>
      </c>
      <c r="D6428" s="5" t="s">
        <v>19</v>
      </c>
      <c r="E6428" s="5" t="s">
        <v>595</v>
      </c>
      <c r="F6428" s="9">
        <v>72</v>
      </c>
      <c r="G6428" s="9">
        <v>797</v>
      </c>
      <c r="H6428" s="5" t="s">
        <v>21</v>
      </c>
      <c r="I6428" s="5" t="s">
        <v>14709</v>
      </c>
      <c r="J6428" s="12" t="str">
        <f>HYPERLINK("https://www.boe.es/gazeta/dias/1800/09/05/pdfs/GMD-1800-72.pdf#page=7","Abrir facsímil")</f>
        <v>Abrir facsímil</v>
      </c>
      <c r="K6428" s="15" t="s">
        <v>23</v>
      </c>
    </row>
    <row r="6429" spans="1:11" ht="42" customHeight="1">
      <c r="A6429" s="4" t="s">
        <v>14710</v>
      </c>
      <c r="B6429" s="5" t="s">
        <v>14711</v>
      </c>
      <c r="C6429" s="5" t="s">
        <v>84</v>
      </c>
      <c r="D6429" s="5" t="s">
        <v>85</v>
      </c>
      <c r="E6429" s="5" t="s">
        <v>319</v>
      </c>
      <c r="F6429" s="9">
        <v>62</v>
      </c>
      <c r="G6429" s="9">
        <v>710</v>
      </c>
      <c r="H6429" s="5" t="s">
        <v>21</v>
      </c>
      <c r="I6429" s="5" t="s">
        <v>14712</v>
      </c>
      <c r="J6429" s="12" t="str">
        <f>HYPERLINK("https://www.boe.es/gazeta/dias/1800/08/05/pdfs/GMD-1800-62.pdf#page=10","Abrir facsímil")</f>
        <v>Abrir facsímil</v>
      </c>
      <c r="K6429" s="15" t="s">
        <v>23</v>
      </c>
    </row>
    <row r="6430" spans="1:11" ht="42" customHeight="1">
      <c r="A6430" s="4" t="s">
        <v>14713</v>
      </c>
      <c r="B6430" s="5" t="s">
        <v>14714</v>
      </c>
      <c r="C6430" s="5" t="s">
        <v>84</v>
      </c>
      <c r="D6430" s="5" t="s">
        <v>85</v>
      </c>
      <c r="E6430" s="5" t="s">
        <v>143</v>
      </c>
      <c r="F6430" s="9">
        <v>22</v>
      </c>
      <c r="G6430" s="9">
        <v>218</v>
      </c>
      <c r="H6430" s="5" t="s">
        <v>21</v>
      </c>
      <c r="I6430" s="5" t="s">
        <v>14715</v>
      </c>
      <c r="J6430" s="12" t="str">
        <f>HYPERLINK("https://www.boe.es/gazeta/dias/1800/03/18/pdfs/GMD-1800-22.pdf#page=10","Abrir facsímil")</f>
        <v>Abrir facsímil</v>
      </c>
      <c r="K6430" s="15" t="s">
        <v>23</v>
      </c>
    </row>
    <row r="6431" spans="1:11" ht="42" customHeight="1">
      <c r="A6431" s="4" t="s">
        <v>14716</v>
      </c>
      <c r="B6431" s="5" t="s">
        <v>14717</v>
      </c>
      <c r="C6431" s="5" t="s">
        <v>207</v>
      </c>
      <c r="D6431" s="5" t="s">
        <v>55</v>
      </c>
      <c r="E6431" s="5" t="s">
        <v>52</v>
      </c>
      <c r="F6431" s="9">
        <v>83</v>
      </c>
      <c r="G6431" s="9">
        <v>963</v>
      </c>
      <c r="H6431" s="5" t="s">
        <v>21</v>
      </c>
      <c r="I6431" s="5" t="s">
        <v>14718</v>
      </c>
      <c r="J6431" s="12" t="str">
        <f>HYPERLINK("https://www.boe.es/gazeta/dias/1800/10/14/pdfs/GMD-1800-83.pdf#page=9","Abrir facsímil")</f>
        <v>Abrir facsímil</v>
      </c>
      <c r="K6431" s="15" t="s">
        <v>23</v>
      </c>
    </row>
    <row r="6432" spans="1:11" ht="42" customHeight="1">
      <c r="A6432" s="4" t="s">
        <v>14719</v>
      </c>
      <c r="B6432" s="5" t="s">
        <v>14720</v>
      </c>
      <c r="C6432" s="5" t="s">
        <v>25</v>
      </c>
      <c r="D6432" s="5" t="s">
        <v>26</v>
      </c>
      <c r="E6432" s="5" t="s">
        <v>319</v>
      </c>
      <c r="F6432" s="9">
        <v>62</v>
      </c>
      <c r="G6432" s="9">
        <v>711</v>
      </c>
      <c r="H6432" s="5" t="s">
        <v>21</v>
      </c>
      <c r="I6432" s="5" t="s">
        <v>14721</v>
      </c>
      <c r="J6432" s="12" t="str">
        <f>HYPERLINK("https://www.boe.es/gazeta/dias/1800/08/05/pdfs/GMD-1800-62.pdf#page=11","Abrir facsímil")</f>
        <v>Abrir facsímil</v>
      </c>
      <c r="K6432" s="15" t="s">
        <v>23</v>
      </c>
    </row>
    <row r="6433" spans="1:11" ht="42" customHeight="1">
      <c r="A6433" s="4" t="s">
        <v>14722</v>
      </c>
      <c r="B6433" s="5" t="s">
        <v>14723</v>
      </c>
      <c r="C6433" s="5" t="s">
        <v>84</v>
      </c>
      <c r="D6433" s="5" t="s">
        <v>85</v>
      </c>
      <c r="E6433" s="5" t="s">
        <v>787</v>
      </c>
      <c r="F6433" s="9">
        <v>6</v>
      </c>
      <c r="G6433" s="9">
        <v>60</v>
      </c>
      <c r="H6433" s="5" t="s">
        <v>21</v>
      </c>
      <c r="I6433" s="5" t="s">
        <v>14724</v>
      </c>
      <c r="J6433" s="12" t="str">
        <f>HYPERLINK("https://www.boe.es/gazeta/dias/1800/01/21/pdfs/GMD-1800-6.pdf#page=12","Abrir facsímil")</f>
        <v>Abrir facsímil</v>
      </c>
      <c r="K6433" s="15" t="s">
        <v>23</v>
      </c>
    </row>
    <row r="6434" spans="1:11" ht="42" customHeight="1">
      <c r="A6434" s="4" t="s">
        <v>14725</v>
      </c>
      <c r="B6434" s="5" t="s">
        <v>14726</v>
      </c>
      <c r="C6434" s="5" t="s">
        <v>207</v>
      </c>
      <c r="D6434" s="5" t="s">
        <v>55</v>
      </c>
      <c r="E6434" s="5" t="s">
        <v>190</v>
      </c>
      <c r="F6434" s="9">
        <v>93</v>
      </c>
      <c r="G6434" s="9">
        <v>1066</v>
      </c>
      <c r="H6434" s="5" t="s">
        <v>21</v>
      </c>
      <c r="I6434" s="5" t="s">
        <v>14727</v>
      </c>
      <c r="J6434" s="12" t="str">
        <f>HYPERLINK("https://www.boe.es/gazeta/dias/1800/11/18/pdfs/GMD-1800-93.pdf#page=12","Abrir facsímil")</f>
        <v>Abrir facsímil</v>
      </c>
      <c r="K6434" s="15" t="s">
        <v>23</v>
      </c>
    </row>
    <row r="6435" spans="1:11" ht="42" customHeight="1">
      <c r="A6435" s="4" t="s">
        <v>14728</v>
      </c>
      <c r="B6435" s="5" t="s">
        <v>14729</v>
      </c>
      <c r="C6435" s="5" t="s">
        <v>171</v>
      </c>
      <c r="D6435" s="5" t="s">
        <v>172</v>
      </c>
      <c r="E6435" s="5" t="s">
        <v>90</v>
      </c>
      <c r="F6435" s="9">
        <v>58</v>
      </c>
      <c r="G6435" s="9">
        <v>668</v>
      </c>
      <c r="H6435" s="5" t="s">
        <v>21</v>
      </c>
      <c r="I6435" s="5" t="s">
        <v>14730</v>
      </c>
      <c r="J6435" s="12" t="str">
        <f>HYPERLINK("https://www.boe.es/gazeta/dias/1800/07/22/pdfs/GMD-C-1800-58.pdf#page=4","Abrir facsímil")</f>
        <v>Abrir facsímil</v>
      </c>
      <c r="K6435" s="15" t="s">
        <v>23</v>
      </c>
    </row>
    <row r="6436" spans="1:11" ht="42" customHeight="1">
      <c r="A6436" s="4" t="s">
        <v>14731</v>
      </c>
      <c r="B6436" s="5" t="s">
        <v>14732</v>
      </c>
      <c r="C6436" s="5" t="s">
        <v>25</v>
      </c>
      <c r="D6436" s="5" t="s">
        <v>26</v>
      </c>
      <c r="E6436" s="5" t="s">
        <v>402</v>
      </c>
      <c r="F6436" s="9">
        <v>101</v>
      </c>
      <c r="G6436" s="9">
        <v>1173</v>
      </c>
      <c r="H6436" s="5" t="s">
        <v>21</v>
      </c>
      <c r="I6436" s="5" t="s">
        <v>14733</v>
      </c>
      <c r="J6436" s="12" t="str">
        <f>HYPERLINK("https://www.boe.es/gazeta/dias/1800/12/16/pdfs/GMD-1800-101.pdf#page=9","Abrir facsímil")</f>
        <v>Abrir facsímil</v>
      </c>
      <c r="K6436" s="15" t="s">
        <v>23</v>
      </c>
    </row>
    <row r="6437" spans="1:11" ht="42" customHeight="1">
      <c r="A6437" s="4" t="s">
        <v>14734</v>
      </c>
      <c r="B6437" s="5" t="s">
        <v>14735</v>
      </c>
      <c r="C6437" s="5" t="s">
        <v>207</v>
      </c>
      <c r="D6437" s="5" t="s">
        <v>55</v>
      </c>
      <c r="E6437" s="5" t="s">
        <v>139</v>
      </c>
      <c r="F6437" s="9">
        <v>2</v>
      </c>
      <c r="G6437" s="9">
        <v>18</v>
      </c>
      <c r="H6437" s="5" t="s">
        <v>21</v>
      </c>
      <c r="I6437" s="5" t="s">
        <v>14736</v>
      </c>
      <c r="J6437" s="12" t="str">
        <f>HYPERLINK("https://www.boe.es/gazeta/dias/1800/01/07/pdfs/GMD-1800-2.pdf#page=10","Abrir facsímil")</f>
        <v>Abrir facsímil</v>
      </c>
      <c r="K6437" s="15" t="s">
        <v>23</v>
      </c>
    </row>
    <row r="6438" spans="1:11" ht="42" customHeight="1">
      <c r="A6438" s="4" t="s">
        <v>14737</v>
      </c>
      <c r="B6438" s="5" t="s">
        <v>14738</v>
      </c>
      <c r="C6438" s="5" t="s">
        <v>18</v>
      </c>
      <c r="D6438" s="5" t="s">
        <v>19</v>
      </c>
      <c r="E6438" s="5" t="s">
        <v>180</v>
      </c>
      <c r="F6438" s="9">
        <v>102</v>
      </c>
      <c r="G6438" s="9">
        <v>1185</v>
      </c>
      <c r="H6438" s="5" t="s">
        <v>21</v>
      </c>
      <c r="I6438" s="5" t="s">
        <v>14739</v>
      </c>
      <c r="J6438" s="12" t="str">
        <f>HYPERLINK("https://www.boe.es/gazeta/dias/1800/12/19/pdfs/GMD-1800-102.pdf#page=9","Abrir facsímil")</f>
        <v>Abrir facsímil</v>
      </c>
      <c r="K6438" s="15" t="s">
        <v>23</v>
      </c>
    </row>
    <row r="6439" spans="1:11" ht="42" customHeight="1">
      <c r="A6439" s="4" t="s">
        <v>14740</v>
      </c>
      <c r="B6439" s="5" t="s">
        <v>14741</v>
      </c>
      <c r="C6439" s="5" t="s">
        <v>18</v>
      </c>
      <c r="D6439" s="5" t="s">
        <v>19</v>
      </c>
      <c r="E6439" s="5" t="s">
        <v>422</v>
      </c>
      <c r="F6439" s="9">
        <v>85</v>
      </c>
      <c r="G6439" s="9">
        <v>985</v>
      </c>
      <c r="H6439" s="5" t="s">
        <v>21</v>
      </c>
      <c r="I6439" s="5" t="s">
        <v>14742</v>
      </c>
      <c r="J6439" s="12" t="str">
        <f>HYPERLINK("https://www.boe.es/gazeta/dias/1800/10/21/pdfs/GMD-1800-85.pdf#page=7","Abrir facsímil")</f>
        <v>Abrir facsímil</v>
      </c>
      <c r="K6439" s="15" t="s">
        <v>23</v>
      </c>
    </row>
    <row r="6440" spans="1:11" ht="42" customHeight="1">
      <c r="A6440" s="4" t="s">
        <v>14743</v>
      </c>
      <c r="B6440" s="5" t="s">
        <v>14744</v>
      </c>
      <c r="C6440" s="5" t="s">
        <v>18</v>
      </c>
      <c r="D6440" s="5" t="s">
        <v>19</v>
      </c>
      <c r="E6440" s="5" t="s">
        <v>1213</v>
      </c>
      <c r="F6440" s="9">
        <v>4</v>
      </c>
      <c r="G6440" s="9">
        <v>37</v>
      </c>
      <c r="H6440" s="5" t="s">
        <v>21</v>
      </c>
      <c r="I6440" s="5" t="s">
        <v>14745</v>
      </c>
      <c r="J6440" s="12" t="str">
        <f>HYPERLINK("https://www.boe.es/gazeta/dias/1800/01/14/pdfs/GMD-1800-4.pdf#page=9","Abrir facsímil")</f>
        <v>Abrir facsímil</v>
      </c>
      <c r="K6440" s="15" t="s">
        <v>23</v>
      </c>
    </row>
    <row r="6441" spans="1:11" ht="42" customHeight="1">
      <c r="A6441" s="4" t="s">
        <v>14746</v>
      </c>
      <c r="B6441" s="5" t="s">
        <v>14747</v>
      </c>
      <c r="C6441" s="5" t="s">
        <v>18</v>
      </c>
      <c r="D6441" s="5" t="s">
        <v>19</v>
      </c>
      <c r="E6441" s="5" t="s">
        <v>255</v>
      </c>
      <c r="F6441" s="9">
        <v>75</v>
      </c>
      <c r="G6441" s="9">
        <v>854</v>
      </c>
      <c r="H6441" s="5" t="s">
        <v>21</v>
      </c>
      <c r="I6441" s="5" t="s">
        <v>14748</v>
      </c>
      <c r="J6441" s="12" t="str">
        <f>HYPERLINK("https://www.boe.es/gazeta/dias/1800/09/16/pdfs/GMD-1800-75.pdf#page=8","Abrir facsímil")</f>
        <v>Abrir facsímil</v>
      </c>
      <c r="K6441" s="15" t="s">
        <v>23</v>
      </c>
    </row>
    <row r="6442" spans="1:11" ht="42" customHeight="1">
      <c r="A6442" s="4" t="s">
        <v>14749</v>
      </c>
      <c r="B6442" s="5" t="s">
        <v>14750</v>
      </c>
      <c r="C6442" s="5" t="s">
        <v>18</v>
      </c>
      <c r="D6442" s="5" t="s">
        <v>19</v>
      </c>
      <c r="E6442" s="5" t="s">
        <v>590</v>
      </c>
      <c r="F6442" s="9">
        <v>69</v>
      </c>
      <c r="G6442" s="9">
        <v>775</v>
      </c>
      <c r="H6442" s="5" t="s">
        <v>21</v>
      </c>
      <c r="I6442" s="5" t="s">
        <v>14751</v>
      </c>
      <c r="J6442" s="12" t="str">
        <f>HYPERLINK("https://www.boe.es/gazeta/dias/1800/08/29/pdfs/GMD-1800-69.pdf#page=7","Abrir facsímil")</f>
        <v>Abrir facsímil</v>
      </c>
      <c r="K6442" s="15" t="s">
        <v>23</v>
      </c>
    </row>
    <row r="6443" spans="1:11" ht="42" customHeight="1">
      <c r="A6443" s="4" t="s">
        <v>14752</v>
      </c>
      <c r="B6443" s="5" t="s">
        <v>14753</v>
      </c>
      <c r="C6443" s="5" t="s">
        <v>18</v>
      </c>
      <c r="D6443" s="5" t="s">
        <v>19</v>
      </c>
      <c r="E6443" s="5" t="s">
        <v>154</v>
      </c>
      <c r="F6443" s="9">
        <v>61</v>
      </c>
      <c r="G6443" s="9">
        <v>696</v>
      </c>
      <c r="H6443" s="5" t="s">
        <v>21</v>
      </c>
      <c r="I6443" s="5" t="s">
        <v>14754</v>
      </c>
      <c r="J6443" s="12" t="str">
        <f>HYPERLINK("https://www.boe.es/gazeta/dias/1800/08/01/pdfs/GMD-1800-61.pdf#page=8","Abrir facsímil")</f>
        <v>Abrir facsímil</v>
      </c>
      <c r="K6443" s="15" t="s">
        <v>23</v>
      </c>
    </row>
    <row r="6444" spans="1:11" ht="42" customHeight="1">
      <c r="A6444" s="4" t="s">
        <v>14755</v>
      </c>
      <c r="B6444" s="5" t="s">
        <v>14756</v>
      </c>
      <c r="C6444" s="5" t="s">
        <v>18</v>
      </c>
      <c r="D6444" s="5" t="s">
        <v>19</v>
      </c>
      <c r="E6444" s="5" t="s">
        <v>147</v>
      </c>
      <c r="F6444" s="9">
        <v>84</v>
      </c>
      <c r="G6444" s="9">
        <v>973</v>
      </c>
      <c r="H6444" s="5" t="s">
        <v>21</v>
      </c>
      <c r="I6444" s="5" t="s">
        <v>14757</v>
      </c>
      <c r="J6444" s="12" t="str">
        <f>HYPERLINK("https://www.boe.es/gazeta/dias/1800/10/17/pdfs/GMD-1800-84.pdf#page=7","Abrir facsímil")</f>
        <v>Abrir facsímil</v>
      </c>
      <c r="K6444" s="15" t="s">
        <v>23</v>
      </c>
    </row>
    <row r="6445" spans="1:11" ht="42" customHeight="1">
      <c r="A6445" s="4" t="s">
        <v>14758</v>
      </c>
      <c r="B6445" s="5" t="s">
        <v>14759</v>
      </c>
      <c r="C6445" s="5" t="s">
        <v>25</v>
      </c>
      <c r="D6445" s="5" t="s">
        <v>26</v>
      </c>
      <c r="E6445" s="5" t="s">
        <v>45</v>
      </c>
      <c r="F6445" s="9">
        <v>47</v>
      </c>
      <c r="G6445" s="9">
        <v>502</v>
      </c>
      <c r="H6445" s="5" t="s">
        <v>21</v>
      </c>
      <c r="I6445" s="5" t="s">
        <v>14760</v>
      </c>
      <c r="J6445" s="12" t="str">
        <f>HYPERLINK("https://www.boe.es/gazeta/dias/1800/06/13/pdfs/GMD-1800-47.pdf#page=10","Abrir facsímil")</f>
        <v>Abrir facsímil</v>
      </c>
      <c r="K6445" s="15" t="s">
        <v>23</v>
      </c>
    </row>
    <row r="6446" spans="1:11" ht="42" customHeight="1">
      <c r="A6446" s="4" t="s">
        <v>14761</v>
      </c>
      <c r="B6446" s="5" t="s">
        <v>14762</v>
      </c>
      <c r="C6446" s="5" t="s">
        <v>25</v>
      </c>
      <c r="D6446" s="5" t="s">
        <v>26</v>
      </c>
      <c r="E6446" s="5" t="s">
        <v>27</v>
      </c>
      <c r="F6446" s="9">
        <v>65</v>
      </c>
      <c r="G6446" s="9">
        <v>733</v>
      </c>
      <c r="H6446" s="5" t="s">
        <v>21</v>
      </c>
      <c r="I6446" s="5" t="s">
        <v>14763</v>
      </c>
      <c r="J6446" s="12" t="str">
        <f>HYPERLINK("https://www.boe.es/gazeta/dias/1800/08/15/pdfs/GMD-1800-65.pdf#page=9","Abrir facsímil")</f>
        <v>Abrir facsímil</v>
      </c>
      <c r="K6446" s="15" t="s">
        <v>23</v>
      </c>
    </row>
    <row r="6447" spans="1:11" ht="42" customHeight="1">
      <c r="A6447" s="4" t="s">
        <v>14764</v>
      </c>
      <c r="B6447" s="5" t="s">
        <v>14765</v>
      </c>
      <c r="C6447" s="5" t="s">
        <v>18</v>
      </c>
      <c r="D6447" s="5" t="s">
        <v>19</v>
      </c>
      <c r="E6447" s="5" t="s">
        <v>190</v>
      </c>
      <c r="F6447" s="9">
        <v>93</v>
      </c>
      <c r="G6447" s="9">
        <v>1066</v>
      </c>
      <c r="H6447" s="5" t="s">
        <v>21</v>
      </c>
      <c r="I6447" s="5" t="s">
        <v>14766</v>
      </c>
      <c r="J6447" s="12" t="str">
        <f>HYPERLINK("https://www.boe.es/gazeta/dias/1800/11/18/pdfs/GMD-1800-93.pdf#page=12","Abrir facsímil")</f>
        <v>Abrir facsímil</v>
      </c>
      <c r="K6447" s="15" t="s">
        <v>23</v>
      </c>
    </row>
    <row r="6448" spans="1:11" ht="42" customHeight="1">
      <c r="A6448" s="4" t="s">
        <v>14767</v>
      </c>
      <c r="B6448" s="5" t="s">
        <v>14768</v>
      </c>
      <c r="C6448" s="5" t="s">
        <v>207</v>
      </c>
      <c r="D6448" s="5" t="s">
        <v>55</v>
      </c>
      <c r="E6448" s="5" t="s">
        <v>306</v>
      </c>
      <c r="F6448" s="9">
        <v>79</v>
      </c>
      <c r="G6448" s="9">
        <v>899</v>
      </c>
      <c r="H6448" s="5" t="s">
        <v>21</v>
      </c>
      <c r="I6448" s="5" t="s">
        <v>14769</v>
      </c>
      <c r="J6448" s="12" t="str">
        <f>HYPERLINK("https://www.boe.es/gazeta/dias/1800/09/30/pdfs/GMD-1800-79.pdf#page=9","Abrir facsímil")</f>
        <v>Abrir facsímil</v>
      </c>
      <c r="K6448" s="15" t="s">
        <v>23</v>
      </c>
    </row>
    <row r="6449" spans="1:11" ht="42" customHeight="1">
      <c r="A6449" s="4" t="s">
        <v>14770</v>
      </c>
      <c r="B6449" s="5" t="s">
        <v>14771</v>
      </c>
      <c r="C6449" s="5" t="s">
        <v>171</v>
      </c>
      <c r="D6449" s="5" t="s">
        <v>172</v>
      </c>
      <c r="E6449" s="5" t="s">
        <v>194</v>
      </c>
      <c r="F6449" s="9">
        <v>48</v>
      </c>
      <c r="G6449" s="9">
        <v>521</v>
      </c>
      <c r="H6449" s="5" t="s">
        <v>21</v>
      </c>
      <c r="I6449" s="5" t="s">
        <v>14772</v>
      </c>
      <c r="J6449" s="12" t="str">
        <f>HYPERLINK("https://www.boe.es/gazeta/dias/1800/06/17/pdfs/GMD-C-1800-48.pdf#page=1","Abrir facsímil")</f>
        <v>Abrir facsímil</v>
      </c>
      <c r="K6449" s="15" t="s">
        <v>23</v>
      </c>
    </row>
    <row r="6450" spans="1:11" ht="42" customHeight="1">
      <c r="A6450" s="4" t="s">
        <v>14770</v>
      </c>
      <c r="B6450" s="5" t="s">
        <v>14771</v>
      </c>
      <c r="C6450" s="5" t="s">
        <v>171</v>
      </c>
      <c r="D6450" s="5" t="s">
        <v>172</v>
      </c>
      <c r="E6450" s="5" t="s">
        <v>465</v>
      </c>
      <c r="F6450" s="9">
        <v>49</v>
      </c>
      <c r="G6450" s="9">
        <v>533</v>
      </c>
      <c r="H6450" s="5" t="s">
        <v>21</v>
      </c>
      <c r="I6450" s="5" t="s">
        <v>14773</v>
      </c>
      <c r="J6450" s="12" t="str">
        <f>HYPERLINK("https://www.boe.es/gazeta/dias/1800/06/20/pdfs/GMD-C-1800-49.pdf#page=1","Abrir facsímil")</f>
        <v>Abrir facsímil</v>
      </c>
      <c r="K6450" s="15" t="s">
        <v>23</v>
      </c>
    </row>
    <row r="6451" spans="1:11" ht="42" customHeight="1">
      <c r="A6451" s="4" t="s">
        <v>14770</v>
      </c>
      <c r="B6451" s="5" t="s">
        <v>14771</v>
      </c>
      <c r="C6451" s="5" t="s">
        <v>54</v>
      </c>
      <c r="D6451" s="5" t="s">
        <v>55</v>
      </c>
      <c r="E6451" s="5" t="s">
        <v>823</v>
      </c>
      <c r="F6451" s="9">
        <v>50</v>
      </c>
      <c r="G6451" s="9">
        <v>546</v>
      </c>
      <c r="H6451" s="5" t="s">
        <v>21</v>
      </c>
      <c r="I6451" s="5" t="s">
        <v>14774</v>
      </c>
      <c r="J6451" s="12" t="str">
        <f>HYPERLINK("https://www.boe.es/gazeta/dias/1800/06/24/pdfs/GMD-1800-50.pdf#page=10","Abrir facsímil")</f>
        <v>Abrir facsímil</v>
      </c>
      <c r="K6451" s="15" t="s">
        <v>23</v>
      </c>
    </row>
    <row r="6452" spans="1:11" ht="42" customHeight="1">
      <c r="A6452" s="4" t="s">
        <v>14770</v>
      </c>
      <c r="B6452" s="5" t="s">
        <v>14771</v>
      </c>
      <c r="C6452" s="5" t="s">
        <v>54</v>
      </c>
      <c r="D6452" s="5" t="s">
        <v>55</v>
      </c>
      <c r="E6452" s="5" t="s">
        <v>1287</v>
      </c>
      <c r="F6452" s="9">
        <v>57</v>
      </c>
      <c r="G6452" s="9">
        <v>648</v>
      </c>
      <c r="H6452" s="5" t="s">
        <v>21</v>
      </c>
      <c r="I6452" s="5" t="s">
        <v>14775</v>
      </c>
      <c r="J6452" s="12" t="str">
        <f>HYPERLINK("https://www.boe.es/gazeta/dias/1800/07/18/pdfs/GMD-1800-57.pdf#page=12","Abrir facsímil")</f>
        <v>Abrir facsímil</v>
      </c>
      <c r="K6452" s="15" t="s">
        <v>23</v>
      </c>
    </row>
    <row r="6453" spans="1:11" ht="42" customHeight="1">
      <c r="A6453" s="4" t="s">
        <v>14770</v>
      </c>
      <c r="B6453" s="5" t="s">
        <v>14771</v>
      </c>
      <c r="C6453" s="5" t="s">
        <v>171</v>
      </c>
      <c r="D6453" s="5" t="s">
        <v>172</v>
      </c>
      <c r="E6453" s="5" t="s">
        <v>90</v>
      </c>
      <c r="F6453" s="9">
        <v>58</v>
      </c>
      <c r="G6453" s="9">
        <v>665</v>
      </c>
      <c r="H6453" s="5" t="s">
        <v>21</v>
      </c>
      <c r="I6453" s="5" t="s">
        <v>14776</v>
      </c>
      <c r="J6453" s="12" t="str">
        <f>HYPERLINK("https://www.boe.es/gazeta/dias/1800/07/22/pdfs/GMD-C-1800-58.pdf#page=1","Abrir facsímil")</f>
        <v>Abrir facsímil</v>
      </c>
      <c r="K6453" s="15" t="s">
        <v>23</v>
      </c>
    </row>
    <row r="6454" spans="1:11" ht="42" customHeight="1">
      <c r="A6454" s="4" t="s">
        <v>14770</v>
      </c>
      <c r="B6454" s="5" t="s">
        <v>14771</v>
      </c>
      <c r="C6454" s="5" t="s">
        <v>18</v>
      </c>
      <c r="D6454" s="5" t="s">
        <v>19</v>
      </c>
      <c r="E6454" s="5" t="s">
        <v>1294</v>
      </c>
      <c r="F6454" s="9">
        <v>59</v>
      </c>
      <c r="G6454" s="9">
        <v>679</v>
      </c>
      <c r="H6454" s="5" t="s">
        <v>21</v>
      </c>
      <c r="I6454" s="5" t="s">
        <v>14777</v>
      </c>
      <c r="J6454" s="12" t="str">
        <f>HYPERLINK("https://www.boe.es/gazeta/dias/1800/07/25/pdfs/GMD-1800-59.pdf#page=11","Abrir facsímil")</f>
        <v>Abrir facsímil</v>
      </c>
      <c r="K6454" s="15" t="s">
        <v>23</v>
      </c>
    </row>
    <row r="6455" spans="1:11" ht="42" customHeight="1">
      <c r="A6455" s="4" t="s">
        <v>14770</v>
      </c>
      <c r="B6455" s="5" t="s">
        <v>14771</v>
      </c>
      <c r="C6455" s="5" t="s">
        <v>54</v>
      </c>
      <c r="D6455" s="5" t="s">
        <v>55</v>
      </c>
      <c r="E6455" s="5" t="s">
        <v>454</v>
      </c>
      <c r="F6455" s="9">
        <v>63</v>
      </c>
      <c r="G6455" s="9">
        <v>722</v>
      </c>
      <c r="H6455" s="5" t="s">
        <v>21</v>
      </c>
      <c r="I6455" s="5" t="s">
        <v>14778</v>
      </c>
      <c r="J6455" s="12" t="str">
        <f>HYPERLINK("https://www.boe.es/gazeta/dias/1800/08/08/pdfs/GMD-1800-63.pdf#page=10","Abrir facsímil")</f>
        <v>Abrir facsímil</v>
      </c>
      <c r="K6455" s="15" t="s">
        <v>23</v>
      </c>
    </row>
    <row r="6456" spans="1:11" ht="42" customHeight="1">
      <c r="A6456" s="4" t="s">
        <v>14770</v>
      </c>
      <c r="B6456" s="5" t="s">
        <v>14771</v>
      </c>
      <c r="C6456" s="5" t="s">
        <v>54</v>
      </c>
      <c r="D6456" s="5" t="s">
        <v>55</v>
      </c>
      <c r="E6456" s="5" t="s">
        <v>68</v>
      </c>
      <c r="F6456" s="9">
        <v>67</v>
      </c>
      <c r="G6456" s="9">
        <v>756</v>
      </c>
      <c r="H6456" s="5" t="s">
        <v>21</v>
      </c>
      <c r="I6456" s="5" t="s">
        <v>14779</v>
      </c>
      <c r="J6456" s="12" t="str">
        <f>HYPERLINK("https://www.boe.es/gazeta/dias/1800/08/22/pdfs/GMD-1800-67.pdf#page=8","Abrir facsímil")</f>
        <v>Abrir facsímil</v>
      </c>
      <c r="K6456" s="15" t="s">
        <v>23</v>
      </c>
    </row>
    <row r="6457" spans="1:11" ht="42" customHeight="1">
      <c r="A6457" s="4" t="s">
        <v>14780</v>
      </c>
      <c r="B6457" s="5" t="s">
        <v>14781</v>
      </c>
      <c r="C6457" s="5" t="s">
        <v>18</v>
      </c>
      <c r="D6457" s="5" t="s">
        <v>19</v>
      </c>
      <c r="E6457" s="5" t="s">
        <v>314</v>
      </c>
      <c r="F6457" s="9">
        <v>74</v>
      </c>
      <c r="G6457" s="9">
        <v>831</v>
      </c>
      <c r="H6457" s="5" t="s">
        <v>21</v>
      </c>
      <c r="I6457" s="5" t="s">
        <v>14782</v>
      </c>
      <c r="J6457" s="12" t="str">
        <f>HYPERLINK("https://www.boe.es/gazeta/dias/1800/09/12/pdfs/GMD-1800-74.pdf#page=9","Abrir facsímil")</f>
        <v>Abrir facsímil</v>
      </c>
      <c r="K6457" s="15" t="s">
        <v>23</v>
      </c>
    </row>
    <row r="6458" spans="1:11" ht="42" customHeight="1">
      <c r="A6458" s="4" t="s">
        <v>14783</v>
      </c>
      <c r="B6458" s="5" t="s">
        <v>14784</v>
      </c>
      <c r="C6458" s="5" t="s">
        <v>18</v>
      </c>
      <c r="D6458" s="5" t="s">
        <v>19</v>
      </c>
      <c r="E6458" s="5" t="s">
        <v>31</v>
      </c>
      <c r="F6458" s="9">
        <v>20</v>
      </c>
      <c r="G6458" s="9">
        <v>192</v>
      </c>
      <c r="H6458" s="5" t="s">
        <v>21</v>
      </c>
      <c r="I6458" s="5" t="s">
        <v>14785</v>
      </c>
      <c r="J6458" s="12" t="str">
        <f>HYPERLINK("https://www.boe.es/gazeta/dias/1800/03/11/pdfs/GMD-1800-20.pdf#page=8","Abrir facsímil")</f>
        <v>Abrir facsímil</v>
      </c>
      <c r="K6458" s="15" t="s">
        <v>23</v>
      </c>
    </row>
    <row r="6459" spans="1:11" ht="42" customHeight="1">
      <c r="A6459" s="4" t="s">
        <v>14783</v>
      </c>
      <c r="B6459" s="5" t="s">
        <v>14784</v>
      </c>
      <c r="C6459" s="5" t="s">
        <v>18</v>
      </c>
      <c r="D6459" s="5" t="s">
        <v>19</v>
      </c>
      <c r="E6459" s="5" t="s">
        <v>56</v>
      </c>
      <c r="F6459" s="9">
        <v>90</v>
      </c>
      <c r="G6459" s="9">
        <v>1055</v>
      </c>
      <c r="H6459" s="5" t="s">
        <v>21</v>
      </c>
      <c r="I6459" s="5" t="s">
        <v>14786</v>
      </c>
      <c r="J6459" s="12" t="str">
        <f>HYPERLINK("https://www.boe.es/gazeta/dias/1800/11/07/pdfs/GMD-1800-90.pdf#page=9","Abrir facsímil")</f>
        <v>Abrir facsímil</v>
      </c>
      <c r="K6459" s="15" t="s">
        <v>23</v>
      </c>
    </row>
    <row r="6460" spans="1:11" ht="42" customHeight="1">
      <c r="A6460" s="4" t="s">
        <v>14787</v>
      </c>
      <c r="B6460" s="5" t="s">
        <v>14788</v>
      </c>
      <c r="C6460" s="5" t="s">
        <v>84</v>
      </c>
      <c r="D6460" s="5" t="s">
        <v>85</v>
      </c>
      <c r="E6460" s="5" t="s">
        <v>299</v>
      </c>
      <c r="F6460" s="9">
        <v>40</v>
      </c>
      <c r="G6460" s="9">
        <v>416</v>
      </c>
      <c r="H6460" s="5" t="s">
        <v>21</v>
      </c>
      <c r="I6460" s="5" t="s">
        <v>14789</v>
      </c>
      <c r="J6460" s="12" t="str">
        <f>HYPERLINK("https://www.boe.es/gazeta/dias/1800/05/20/pdfs/GMD-1800-40.pdf#page=12","Abrir facsímil")</f>
        <v>Abrir facsímil</v>
      </c>
      <c r="K6460" s="15" t="s">
        <v>23</v>
      </c>
    </row>
    <row r="6461" spans="1:11" ht="42" customHeight="1">
      <c r="A6461" s="4" t="s">
        <v>14787</v>
      </c>
      <c r="B6461" s="5" t="s">
        <v>14788</v>
      </c>
      <c r="C6461" s="5" t="s">
        <v>18</v>
      </c>
      <c r="D6461" s="5" t="s">
        <v>19</v>
      </c>
      <c r="E6461" s="5" t="s">
        <v>595</v>
      </c>
      <c r="F6461" s="9">
        <v>72</v>
      </c>
      <c r="G6461" s="9">
        <v>797</v>
      </c>
      <c r="H6461" s="5" t="s">
        <v>21</v>
      </c>
      <c r="I6461" s="5" t="s">
        <v>14790</v>
      </c>
      <c r="J6461" s="12" t="str">
        <f>HYPERLINK("https://www.boe.es/gazeta/dias/1800/09/05/pdfs/GMD-1800-72.pdf#page=7","Abrir facsímil")</f>
        <v>Abrir facsímil</v>
      </c>
      <c r="K6461" s="15" t="s">
        <v>23</v>
      </c>
    </row>
    <row r="6462" spans="1:11" ht="42" customHeight="1">
      <c r="A6462" s="4" t="s">
        <v>14791</v>
      </c>
      <c r="B6462" s="5" t="s">
        <v>14792</v>
      </c>
      <c r="C6462" s="5" t="s">
        <v>18</v>
      </c>
      <c r="D6462" s="5" t="s">
        <v>19</v>
      </c>
      <c r="E6462" s="5" t="s">
        <v>56</v>
      </c>
      <c r="F6462" s="9">
        <v>90</v>
      </c>
      <c r="G6462" s="9">
        <v>1055</v>
      </c>
      <c r="H6462" s="5" t="s">
        <v>21</v>
      </c>
      <c r="I6462" s="5" t="s">
        <v>14793</v>
      </c>
      <c r="J6462" s="12" t="str">
        <f>HYPERLINK("https://www.boe.es/gazeta/dias/1800/11/07/pdfs/GMD-1800-90.pdf#page=9","Abrir facsímil")</f>
        <v>Abrir facsímil</v>
      </c>
      <c r="K6462" s="15" t="s">
        <v>23</v>
      </c>
    </row>
    <row r="6463" spans="1:11" ht="42" customHeight="1">
      <c r="A6463" s="4" t="s">
        <v>14794</v>
      </c>
      <c r="B6463" s="5" t="s">
        <v>14795</v>
      </c>
      <c r="C6463" s="5" t="s">
        <v>171</v>
      </c>
      <c r="D6463" s="5" t="s">
        <v>172</v>
      </c>
      <c r="E6463" s="5" t="s">
        <v>465</v>
      </c>
      <c r="F6463" s="9">
        <v>49</v>
      </c>
      <c r="G6463" s="9">
        <v>534</v>
      </c>
      <c r="H6463" s="5" t="s">
        <v>21</v>
      </c>
      <c r="I6463" s="5" t="s">
        <v>14796</v>
      </c>
      <c r="J6463" s="12" t="str">
        <f>HYPERLINK("https://www.boe.es/gazeta/dias/1800/06/20/pdfs/GMD-C-1800-49.pdf#page=2","Abrir facsímil")</f>
        <v>Abrir facsímil</v>
      </c>
      <c r="K6463" s="15" t="s">
        <v>23</v>
      </c>
    </row>
    <row r="6464" spans="1:11" ht="42" customHeight="1">
      <c r="A6464" s="4" t="s">
        <v>14797</v>
      </c>
      <c r="B6464" s="5" t="s">
        <v>14798</v>
      </c>
      <c r="C6464" s="5" t="s">
        <v>84</v>
      </c>
      <c r="D6464" s="5" t="s">
        <v>85</v>
      </c>
      <c r="E6464" s="5" t="s">
        <v>825</v>
      </c>
      <c r="F6464" s="9">
        <v>51</v>
      </c>
      <c r="G6464" s="9">
        <v>563</v>
      </c>
      <c r="H6464" s="5" t="s">
        <v>21</v>
      </c>
      <c r="I6464" s="5" t="s">
        <v>14799</v>
      </c>
      <c r="J6464" s="12" t="str">
        <f>HYPERLINK("https://www.boe.es/gazeta/dias/1800/06/27/pdfs/GMD-1800-51.pdf#page=15","Abrir facsímil")</f>
        <v>Abrir facsímil</v>
      </c>
      <c r="K6464" s="15" t="s">
        <v>23</v>
      </c>
    </row>
    <row r="6465" spans="1:11" ht="42" customHeight="1">
      <c r="A6465" s="4" t="s">
        <v>14800</v>
      </c>
      <c r="B6465" s="5" t="s">
        <v>14801</v>
      </c>
      <c r="C6465" s="5" t="s">
        <v>41</v>
      </c>
      <c r="D6465" s="5" t="s">
        <v>42</v>
      </c>
      <c r="E6465" s="5" t="s">
        <v>194</v>
      </c>
      <c r="F6465" s="9">
        <v>48</v>
      </c>
      <c r="G6465" s="9">
        <v>517</v>
      </c>
      <c r="H6465" s="5" t="s">
        <v>21</v>
      </c>
      <c r="I6465" s="5" t="s">
        <v>14802</v>
      </c>
      <c r="J6465" s="12" t="str">
        <f>HYPERLINK("https://www.boe.es/gazeta/dias/1800/06/17/pdfs/GMD-1800-48.pdf#page=9","Abrir facsímil")</f>
        <v>Abrir facsímil</v>
      </c>
      <c r="K6465" s="15" t="s">
        <v>23</v>
      </c>
    </row>
    <row r="6466" spans="1:11" ht="42" customHeight="1">
      <c r="A6466" s="4" t="s">
        <v>14803</v>
      </c>
      <c r="B6466" s="5" t="s">
        <v>14803</v>
      </c>
      <c r="C6466" s="5" t="s">
        <v>1179</v>
      </c>
      <c r="D6466" s="5" t="s">
        <v>1180</v>
      </c>
      <c r="E6466" s="5" t="s">
        <v>314</v>
      </c>
      <c r="F6466" s="9">
        <v>74</v>
      </c>
      <c r="G6466" s="9">
        <v>841</v>
      </c>
      <c r="H6466" s="5" t="s">
        <v>21</v>
      </c>
      <c r="I6466" s="5" t="s">
        <v>14804</v>
      </c>
      <c r="J6466" s="12" t="str">
        <f>HYPERLINK("https://www.boe.es/gazeta/dias/1800/09/12/pdfs/GMD-C-1800-74.pdf#page=3","Abrir facsímil")</f>
        <v>Abrir facsímil</v>
      </c>
      <c r="K6466" s="15" t="s">
        <v>23</v>
      </c>
    </row>
    <row r="6467" spans="1:11" ht="42" customHeight="1">
      <c r="A6467" s="4" t="s">
        <v>14803</v>
      </c>
      <c r="B6467" s="5" t="s">
        <v>14803</v>
      </c>
      <c r="C6467" s="5" t="s">
        <v>1179</v>
      </c>
      <c r="D6467" s="5" t="s">
        <v>1180</v>
      </c>
      <c r="E6467" s="5" t="s">
        <v>314</v>
      </c>
      <c r="F6467" s="9">
        <v>74</v>
      </c>
      <c r="G6467" s="9">
        <v>844</v>
      </c>
      <c r="H6467" s="5" t="s">
        <v>21</v>
      </c>
      <c r="I6467" s="5" t="s">
        <v>14805</v>
      </c>
      <c r="J6467" s="12" t="str">
        <f>HYPERLINK("https://www.boe.es/gazeta/dias/1800/09/12/pdfs/GMD-C-1800-74.pdf#page=6","Abrir facsímil")</f>
        <v>Abrir facsímil</v>
      </c>
      <c r="K6467" s="15" t="s">
        <v>23</v>
      </c>
    </row>
    <row r="6468" spans="1:11" ht="42" customHeight="1">
      <c r="A6468" s="4" t="s">
        <v>14806</v>
      </c>
      <c r="B6468" s="5" t="s">
        <v>14806</v>
      </c>
      <c r="C6468" s="5" t="s">
        <v>25</v>
      </c>
      <c r="D6468" s="5" t="s">
        <v>26</v>
      </c>
      <c r="E6468" s="5" t="s">
        <v>75</v>
      </c>
      <c r="F6468" s="9">
        <v>64</v>
      </c>
      <c r="G6468" s="9">
        <v>734</v>
      </c>
      <c r="H6468" s="5" t="s">
        <v>21</v>
      </c>
      <c r="I6468" s="5" t="s">
        <v>14807</v>
      </c>
      <c r="J6468" s="12" t="str">
        <f>HYPERLINK("https://www.boe.es/gazeta/dias/1800/08/12/pdfs/GMD-1800-64.pdf#page=10","Abrir facsímil")</f>
        <v>Abrir facsímil</v>
      </c>
      <c r="K6468" s="15" t="s">
        <v>23</v>
      </c>
    </row>
    <row r="6469" spans="1:11" ht="42" customHeight="1">
      <c r="A6469" s="4" t="s">
        <v>14808</v>
      </c>
      <c r="B6469" s="5" t="s">
        <v>14808</v>
      </c>
      <c r="C6469" s="5" t="s">
        <v>41</v>
      </c>
      <c r="D6469" s="5" t="s">
        <v>42</v>
      </c>
      <c r="E6469" s="5" t="s">
        <v>86</v>
      </c>
      <c r="F6469" s="9">
        <v>17</v>
      </c>
      <c r="G6469" s="9">
        <v>157</v>
      </c>
      <c r="H6469" s="5" t="s">
        <v>21</v>
      </c>
      <c r="I6469" s="5" t="s">
        <v>14809</v>
      </c>
      <c r="J6469" s="12" t="str">
        <f>HYPERLINK("https://www.boe.es/gazeta/dias/1800/02/28/pdfs/GMD-1800-17.pdf#page=5","Abrir facsímil")</f>
        <v>Abrir facsímil</v>
      </c>
      <c r="K6469" s="15" t="s">
        <v>23</v>
      </c>
    </row>
    <row r="6470" spans="1:11" ht="42" customHeight="1">
      <c r="A6470" s="4" t="s">
        <v>14810</v>
      </c>
      <c r="B6470" s="5" t="s">
        <v>14811</v>
      </c>
      <c r="C6470" s="5" t="s">
        <v>41</v>
      </c>
      <c r="D6470" s="5" t="s">
        <v>42</v>
      </c>
      <c r="E6470" s="5" t="s">
        <v>620</v>
      </c>
      <c r="F6470" s="9">
        <v>19</v>
      </c>
      <c r="G6470" s="9">
        <v>181</v>
      </c>
      <c r="H6470" s="5" t="s">
        <v>21</v>
      </c>
      <c r="I6470" s="5" t="s">
        <v>14812</v>
      </c>
      <c r="J6470" s="12" t="str">
        <f>HYPERLINK("https://www.boe.es/gazeta/dias/1800/03/07/pdfs/GMD-1800-19.pdf#page=5","Abrir facsímil")</f>
        <v>Abrir facsímil</v>
      </c>
      <c r="K6470" s="15" t="s">
        <v>23</v>
      </c>
    </row>
    <row r="6471" spans="1:11" ht="42" customHeight="1">
      <c r="A6471" s="4" t="s">
        <v>14813</v>
      </c>
      <c r="B6471" s="5" t="s">
        <v>14814</v>
      </c>
      <c r="C6471" s="5" t="s">
        <v>18</v>
      </c>
      <c r="D6471" s="5" t="s">
        <v>19</v>
      </c>
      <c r="E6471" s="5" t="s">
        <v>262</v>
      </c>
      <c r="F6471" s="9">
        <v>39</v>
      </c>
      <c r="G6471" s="9">
        <v>400</v>
      </c>
      <c r="H6471" s="5" t="s">
        <v>21</v>
      </c>
      <c r="I6471" s="5" t="s">
        <v>14815</v>
      </c>
      <c r="J6471" s="12" t="str">
        <f>HYPERLINK("https://www.boe.es/gazeta/dias/1800/05/16/pdfs/GMD-1800-39.pdf#page=8","Abrir facsímil")</f>
        <v>Abrir facsímil</v>
      </c>
      <c r="K6471" s="15" t="s">
        <v>23</v>
      </c>
    </row>
    <row r="6472" spans="1:11" ht="42" customHeight="1">
      <c r="A6472" s="4" t="s">
        <v>14816</v>
      </c>
      <c r="B6472" s="5" t="s">
        <v>14817</v>
      </c>
      <c r="C6472" s="5" t="s">
        <v>84</v>
      </c>
      <c r="D6472" s="5" t="s">
        <v>85</v>
      </c>
      <c r="E6472" s="5" t="s">
        <v>139</v>
      </c>
      <c r="F6472" s="9">
        <v>2</v>
      </c>
      <c r="G6472" s="9">
        <v>20</v>
      </c>
      <c r="H6472" s="5" t="s">
        <v>21</v>
      </c>
      <c r="I6472" s="5" t="s">
        <v>14818</v>
      </c>
      <c r="J6472" s="12" t="str">
        <f>HYPERLINK("https://www.boe.es/gazeta/dias/1800/01/07/pdfs/GMD-1800-2.pdf#page=12","Abrir facsímil")</f>
        <v>Abrir facsímil</v>
      </c>
      <c r="K6472" s="15" t="s">
        <v>23</v>
      </c>
    </row>
    <row r="6473" spans="1:11" ht="42" customHeight="1">
      <c r="A6473" s="4" t="s">
        <v>14819</v>
      </c>
      <c r="B6473" s="5" t="s">
        <v>14820</v>
      </c>
      <c r="C6473" s="5" t="s">
        <v>207</v>
      </c>
      <c r="D6473" s="5" t="s">
        <v>55</v>
      </c>
      <c r="E6473" s="5" t="s">
        <v>615</v>
      </c>
      <c r="F6473" s="9">
        <v>95</v>
      </c>
      <c r="G6473" s="9">
        <v>1088</v>
      </c>
      <c r="H6473" s="5" t="s">
        <v>21</v>
      </c>
      <c r="I6473" s="5" t="s">
        <v>14821</v>
      </c>
      <c r="J6473" s="12" t="str">
        <f>HYPERLINK("https://www.boe.es/gazeta/dias/1800/11/25/pdfs/GMD-1800-95.pdf#page=6","Abrir facsímil")</f>
        <v>Abrir facsímil</v>
      </c>
      <c r="K6473" s="15" t="s">
        <v>23</v>
      </c>
    </row>
    <row r="6474" spans="1:11" ht="42" customHeight="1">
      <c r="A6474" s="4" t="s">
        <v>14822</v>
      </c>
      <c r="B6474" s="5" t="s">
        <v>14823</v>
      </c>
      <c r="C6474" s="5" t="s">
        <v>18</v>
      </c>
      <c r="D6474" s="5" t="s">
        <v>19</v>
      </c>
      <c r="E6474" s="5" t="s">
        <v>255</v>
      </c>
      <c r="F6474" s="9">
        <v>75</v>
      </c>
      <c r="G6474" s="9">
        <v>855</v>
      </c>
      <c r="H6474" s="5" t="s">
        <v>21</v>
      </c>
      <c r="I6474" s="5" t="s">
        <v>14824</v>
      </c>
      <c r="J6474" s="12" t="str">
        <f>HYPERLINK("https://www.boe.es/gazeta/dias/1800/09/16/pdfs/GMD-1800-75.pdf#page=9","Abrir facsímil")</f>
        <v>Abrir facsímil</v>
      </c>
      <c r="K6474" s="15" t="s">
        <v>23</v>
      </c>
    </row>
    <row r="6475" spans="1:11" ht="42" customHeight="1">
      <c r="A6475" s="4" t="s">
        <v>14825</v>
      </c>
      <c r="B6475" s="5" t="s">
        <v>14826</v>
      </c>
      <c r="C6475" s="5" t="s">
        <v>25</v>
      </c>
      <c r="D6475" s="5" t="s">
        <v>26</v>
      </c>
      <c r="E6475" s="5" t="s">
        <v>1287</v>
      </c>
      <c r="F6475" s="9">
        <v>57</v>
      </c>
      <c r="G6475" s="9">
        <v>650</v>
      </c>
      <c r="H6475" s="5" t="s">
        <v>21</v>
      </c>
      <c r="I6475" s="5" t="s">
        <v>14827</v>
      </c>
      <c r="J6475" s="12" t="str">
        <f>HYPERLINK("https://www.boe.es/gazeta/dias/1800/07/18/pdfs/GMD-1800-57.pdf#page=14","Abrir facsímil")</f>
        <v>Abrir facsímil</v>
      </c>
      <c r="K6475" s="15" t="s">
        <v>23</v>
      </c>
    </row>
    <row r="6476" spans="1:11" ht="42" customHeight="1">
      <c r="A6476" s="4" t="s">
        <v>14828</v>
      </c>
      <c r="B6476" s="5" t="s">
        <v>14828</v>
      </c>
      <c r="C6476" s="5" t="s">
        <v>54</v>
      </c>
      <c r="D6476" s="5" t="s">
        <v>55</v>
      </c>
      <c r="E6476" s="5" t="s">
        <v>255</v>
      </c>
      <c r="F6476" s="9">
        <v>75</v>
      </c>
      <c r="G6476" s="9">
        <v>850</v>
      </c>
      <c r="H6476" s="5" t="s">
        <v>21</v>
      </c>
      <c r="I6476" s="5" t="s">
        <v>14829</v>
      </c>
      <c r="J6476" s="12" t="str">
        <f>HYPERLINK("https://www.boe.es/gazeta/dias/1800/09/16/pdfs/GMD-1800-75.pdf#page=4","Abrir facsímil")</f>
        <v>Abrir facsímil</v>
      </c>
      <c r="K6476" s="15" t="s">
        <v>23</v>
      </c>
    </row>
    <row r="6477" spans="1:11" ht="42" customHeight="1">
      <c r="A6477" s="4" t="s">
        <v>14830</v>
      </c>
      <c r="B6477" s="5" t="s">
        <v>14831</v>
      </c>
      <c r="C6477" s="5" t="s">
        <v>207</v>
      </c>
      <c r="D6477" s="5" t="s">
        <v>55</v>
      </c>
      <c r="E6477" s="5" t="s">
        <v>135</v>
      </c>
      <c r="F6477" s="9">
        <v>73</v>
      </c>
      <c r="G6477" s="9">
        <v>818</v>
      </c>
      <c r="H6477" s="5" t="s">
        <v>21</v>
      </c>
      <c r="I6477" s="5" t="s">
        <v>14832</v>
      </c>
      <c r="J6477" s="12" t="str">
        <f>HYPERLINK("https://www.boe.es/gazeta/dias/1800/09/09/pdfs/GMD-1800-73.pdf#page=12","Abrir facsímil")</f>
        <v>Abrir facsímil</v>
      </c>
      <c r="K6477" s="15" t="s">
        <v>23</v>
      </c>
    </row>
    <row r="6478" spans="1:11" ht="42" customHeight="1">
      <c r="A6478" s="4" t="s">
        <v>14833</v>
      </c>
      <c r="B6478" s="5" t="s">
        <v>14833</v>
      </c>
      <c r="C6478" s="5" t="s">
        <v>18</v>
      </c>
      <c r="D6478" s="5" t="s">
        <v>19</v>
      </c>
      <c r="E6478" s="5" t="s">
        <v>836</v>
      </c>
      <c r="F6478" s="9">
        <v>71</v>
      </c>
      <c r="G6478" s="9">
        <v>789</v>
      </c>
      <c r="H6478" s="5" t="s">
        <v>21</v>
      </c>
      <c r="I6478" s="5" t="s">
        <v>14834</v>
      </c>
      <c r="J6478" s="12" t="str">
        <f>HYPERLINK("https://www.boe.es/gazeta/dias/1800/09/02/pdfs/GMD-1800-71.pdf#page=7","Abrir facsímil")</f>
        <v>Abrir facsímil</v>
      </c>
      <c r="K6478" s="15" t="s">
        <v>23</v>
      </c>
    </row>
    <row r="6479" spans="1:11" ht="42" customHeight="1">
      <c r="A6479" s="4" t="s">
        <v>14835</v>
      </c>
      <c r="B6479" s="5" t="s">
        <v>14836</v>
      </c>
      <c r="C6479" s="5" t="s">
        <v>25</v>
      </c>
      <c r="D6479" s="5" t="s">
        <v>26</v>
      </c>
      <c r="E6479" s="5" t="s">
        <v>116</v>
      </c>
      <c r="F6479" s="9">
        <v>86</v>
      </c>
      <c r="G6479" s="9">
        <v>997</v>
      </c>
      <c r="H6479" s="5" t="s">
        <v>21</v>
      </c>
      <c r="I6479" s="5" t="s">
        <v>14837</v>
      </c>
      <c r="J6479" s="12" t="str">
        <f>HYPERLINK("https://www.boe.es/gazeta/dias/1800/10/24/pdfs/GMD-1800-86.pdf#page=7","Abrir facsímil")</f>
        <v>Abrir facsímil</v>
      </c>
      <c r="K6479" s="15" t="s">
        <v>23</v>
      </c>
    </row>
    <row r="6480" spans="1:11" ht="42" customHeight="1">
      <c r="A6480" s="4" t="s">
        <v>14838</v>
      </c>
      <c r="B6480" s="5" t="s">
        <v>14839</v>
      </c>
      <c r="C6480" s="5" t="s">
        <v>18</v>
      </c>
      <c r="D6480" s="5" t="s">
        <v>19</v>
      </c>
      <c r="E6480" s="5" t="s">
        <v>314</v>
      </c>
      <c r="F6480" s="9">
        <v>74</v>
      </c>
      <c r="G6480" s="9">
        <v>833</v>
      </c>
      <c r="H6480" s="5" t="s">
        <v>21</v>
      </c>
      <c r="I6480" s="5" t="s">
        <v>14840</v>
      </c>
      <c r="J6480" s="12" t="str">
        <f>HYPERLINK("https://www.boe.es/gazeta/dias/1800/09/12/pdfs/GMD-1800-74.pdf#page=11","Abrir facsímil")</f>
        <v>Abrir facsímil</v>
      </c>
      <c r="K6480" s="15" t="s">
        <v>23</v>
      </c>
    </row>
    <row r="6481" spans="1:11" ht="42" customHeight="1">
      <c r="A6481" s="4" t="s">
        <v>14841</v>
      </c>
      <c r="B6481" s="5" t="s">
        <v>14842</v>
      </c>
      <c r="C6481" s="5" t="s">
        <v>18</v>
      </c>
      <c r="D6481" s="5" t="s">
        <v>19</v>
      </c>
      <c r="E6481" s="5" t="s">
        <v>79</v>
      </c>
      <c r="F6481" s="9">
        <v>7</v>
      </c>
      <c r="G6481" s="9">
        <v>66</v>
      </c>
      <c r="H6481" s="5" t="s">
        <v>21</v>
      </c>
      <c r="I6481" s="5" t="s">
        <v>14843</v>
      </c>
      <c r="J6481" s="12" t="str">
        <f>HYPERLINK("https://www.boe.es/gazeta/dias/1800/01/24/pdfs/GMD-1800-7.pdf#page=6","Abrir facsímil")</f>
        <v>Abrir facsímil</v>
      </c>
      <c r="K6481" s="15" t="s">
        <v>23</v>
      </c>
    </row>
    <row r="6482" spans="1:11" ht="42" customHeight="1">
      <c r="A6482" s="4" t="s">
        <v>14841</v>
      </c>
      <c r="B6482" s="5" t="s">
        <v>14842</v>
      </c>
      <c r="C6482" s="5" t="s">
        <v>18</v>
      </c>
      <c r="D6482" s="5" t="s">
        <v>19</v>
      </c>
      <c r="E6482" s="5" t="s">
        <v>176</v>
      </c>
      <c r="F6482" s="9">
        <v>88</v>
      </c>
      <c r="G6482" s="9">
        <v>1031</v>
      </c>
      <c r="H6482" s="5" t="s">
        <v>21</v>
      </c>
      <c r="I6482" s="5" t="s">
        <v>14844</v>
      </c>
      <c r="J6482" s="12" t="str">
        <f>HYPERLINK("https://www.boe.es/gazeta/dias/1800/10/31/pdfs/GMD-1800-88.pdf#page=13","Abrir facsímil")</f>
        <v>Abrir facsímil</v>
      </c>
      <c r="K6482" s="15" t="s">
        <v>23</v>
      </c>
    </row>
    <row r="6483" spans="1:11" ht="42" customHeight="1">
      <c r="A6483" s="4" t="s">
        <v>14845</v>
      </c>
      <c r="B6483" s="5" t="s">
        <v>14846</v>
      </c>
      <c r="C6483" s="5" t="s">
        <v>207</v>
      </c>
      <c r="D6483" s="5" t="s">
        <v>55</v>
      </c>
      <c r="E6483" s="5" t="s">
        <v>299</v>
      </c>
      <c r="F6483" s="9">
        <v>40</v>
      </c>
      <c r="G6483" s="9">
        <v>412</v>
      </c>
      <c r="H6483" s="5" t="s">
        <v>21</v>
      </c>
      <c r="I6483" s="5" t="s">
        <v>14847</v>
      </c>
      <c r="J6483" s="12" t="str">
        <f>HYPERLINK("https://www.boe.es/gazeta/dias/1800/05/20/pdfs/GMD-1800-40.pdf#page=8","Abrir facsímil")</f>
        <v>Abrir facsímil</v>
      </c>
      <c r="K6483" s="15" t="s">
        <v>23</v>
      </c>
    </row>
    <row r="6484" spans="1:11" ht="42" customHeight="1">
      <c r="A6484" s="4" t="s">
        <v>14848</v>
      </c>
      <c r="B6484" s="5" t="s">
        <v>14849</v>
      </c>
      <c r="C6484" s="5" t="s">
        <v>25</v>
      </c>
      <c r="D6484" s="5" t="s">
        <v>26</v>
      </c>
      <c r="E6484" s="5" t="s">
        <v>116</v>
      </c>
      <c r="F6484" s="9">
        <v>86</v>
      </c>
      <c r="G6484" s="9">
        <v>997</v>
      </c>
      <c r="H6484" s="5" t="s">
        <v>21</v>
      </c>
      <c r="I6484" s="5" t="s">
        <v>14850</v>
      </c>
      <c r="J6484" s="12" t="str">
        <f>HYPERLINK("https://www.boe.es/gazeta/dias/1800/10/24/pdfs/GMD-1800-86.pdf#page=7","Abrir facsímil")</f>
        <v>Abrir facsímil</v>
      </c>
      <c r="K6484" s="15" t="s">
        <v>23</v>
      </c>
    </row>
    <row r="6485" spans="1:11" ht="42" customHeight="1">
      <c r="A6485" s="4" t="s">
        <v>14851</v>
      </c>
      <c r="B6485" s="5" t="s">
        <v>14852</v>
      </c>
      <c r="C6485" s="5" t="s">
        <v>207</v>
      </c>
      <c r="D6485" s="5" t="s">
        <v>55</v>
      </c>
      <c r="E6485" s="5" t="s">
        <v>445</v>
      </c>
      <c r="F6485" s="9">
        <v>96</v>
      </c>
      <c r="G6485" s="9">
        <v>1105</v>
      </c>
      <c r="H6485" s="5" t="s">
        <v>21</v>
      </c>
      <c r="I6485" s="5" t="s">
        <v>14853</v>
      </c>
      <c r="J6485" s="12" t="str">
        <f>HYPERLINK("https://www.boe.es/gazeta/dias/1800/11/28/pdfs/GMD-1800-96.pdf#page=9","Abrir facsímil")</f>
        <v>Abrir facsímil</v>
      </c>
      <c r="K6485" s="15" t="s">
        <v>23</v>
      </c>
    </row>
    <row r="6486" spans="1:11" ht="42" customHeight="1">
      <c r="A6486" s="4" t="s">
        <v>14854</v>
      </c>
      <c r="B6486" s="5" t="s">
        <v>14855</v>
      </c>
      <c r="C6486" s="5" t="s">
        <v>25</v>
      </c>
      <c r="D6486" s="5" t="s">
        <v>26</v>
      </c>
      <c r="E6486" s="5" t="s">
        <v>314</v>
      </c>
      <c r="F6486" s="9">
        <v>74</v>
      </c>
      <c r="G6486" s="9">
        <v>830</v>
      </c>
      <c r="H6486" s="5" t="s">
        <v>21</v>
      </c>
      <c r="I6486" s="5" t="s">
        <v>14856</v>
      </c>
      <c r="J6486" s="12" t="str">
        <f>HYPERLINK("https://www.boe.es/gazeta/dias/1800/09/12/pdfs/GMD-1800-74.pdf#page=8","Abrir facsímil")</f>
        <v>Abrir facsímil</v>
      </c>
      <c r="K6486" s="15" t="s">
        <v>23</v>
      </c>
    </row>
    <row r="6487" spans="1:11" ht="42" customHeight="1">
      <c r="A6487" s="4" t="s">
        <v>14857</v>
      </c>
      <c r="B6487" s="5" t="s">
        <v>14858</v>
      </c>
      <c r="C6487" s="5" t="s">
        <v>18</v>
      </c>
      <c r="D6487" s="5" t="s">
        <v>19</v>
      </c>
      <c r="E6487" s="5" t="s">
        <v>454</v>
      </c>
      <c r="F6487" s="9">
        <v>63</v>
      </c>
      <c r="G6487" s="9">
        <v>720</v>
      </c>
      <c r="H6487" s="5" t="s">
        <v>21</v>
      </c>
      <c r="I6487" s="5" t="s">
        <v>14859</v>
      </c>
      <c r="J6487" s="12" t="str">
        <f>HYPERLINK("https://www.boe.es/gazeta/dias/1800/08/08/pdfs/GMD-1800-63.pdf#page=8","Abrir facsímil")</f>
        <v>Abrir facsímil</v>
      </c>
      <c r="K6487" s="15" t="s">
        <v>23</v>
      </c>
    </row>
    <row r="6488" spans="1:11" ht="42" customHeight="1">
      <c r="A6488" s="4" t="s">
        <v>14860</v>
      </c>
      <c r="B6488" s="5" t="s">
        <v>14861</v>
      </c>
      <c r="C6488" s="5" t="s">
        <v>171</v>
      </c>
      <c r="D6488" s="5" t="s">
        <v>172</v>
      </c>
      <c r="E6488" s="5" t="s">
        <v>461</v>
      </c>
      <c r="F6488" s="9">
        <v>18</v>
      </c>
      <c r="G6488" s="9">
        <v>173</v>
      </c>
      <c r="H6488" s="5" t="s">
        <v>21</v>
      </c>
      <c r="I6488" s="5" t="s">
        <v>14862</v>
      </c>
      <c r="J6488" s="12" t="str">
        <f>HYPERLINK("https://www.boe.es/datos/pdfs/BOE//1800/018/C00173-00176.pdf#page=1","Abrir facsímil")</f>
        <v>Abrir facsímil</v>
      </c>
      <c r="K6488" s="15" t="s">
        <v>23</v>
      </c>
    </row>
    <row r="6489" spans="1:11" ht="42" customHeight="1">
      <c r="A6489" s="4" t="s">
        <v>14863</v>
      </c>
      <c r="B6489" s="5" t="s">
        <v>14864</v>
      </c>
      <c r="C6489" s="5" t="s">
        <v>18</v>
      </c>
      <c r="D6489" s="5" t="s">
        <v>19</v>
      </c>
      <c r="E6489" s="5" t="s">
        <v>491</v>
      </c>
      <c r="F6489" s="9">
        <v>29</v>
      </c>
      <c r="G6489" s="9">
        <v>300</v>
      </c>
      <c r="H6489" s="5" t="s">
        <v>21</v>
      </c>
      <c r="I6489" s="5" t="s">
        <v>14865</v>
      </c>
      <c r="J6489" s="12" t="str">
        <f>HYPERLINK("https://www.boe.es/gazeta/dias/1800/04/11/pdfs/GMD-1800-29.pdf#page=8","Abrir facsímil")</f>
        <v>Abrir facsímil</v>
      </c>
      <c r="K6489" s="15" t="s">
        <v>23</v>
      </c>
    </row>
    <row r="6490" spans="1:11" ht="42" customHeight="1">
      <c r="A6490" s="4" t="s">
        <v>14866</v>
      </c>
      <c r="B6490" s="5" t="s">
        <v>14867</v>
      </c>
      <c r="C6490" s="5" t="s">
        <v>84</v>
      </c>
      <c r="D6490" s="5" t="s">
        <v>85</v>
      </c>
      <c r="E6490" s="5" t="s">
        <v>255</v>
      </c>
      <c r="F6490" s="9">
        <v>75</v>
      </c>
      <c r="G6490" s="9">
        <v>856</v>
      </c>
      <c r="H6490" s="5" t="s">
        <v>21</v>
      </c>
      <c r="I6490" s="5" t="s">
        <v>14868</v>
      </c>
      <c r="J6490" s="12" t="str">
        <f>HYPERLINK("https://www.boe.es/gazeta/dias/1800/09/16/pdfs/GMD-1800-75.pdf#page=10","Abrir facsímil")</f>
        <v>Abrir facsímil</v>
      </c>
      <c r="K6490" s="15" t="s">
        <v>23</v>
      </c>
    </row>
    <row r="6491" spans="1:11" ht="42" customHeight="1">
      <c r="A6491" s="4" t="s">
        <v>14869</v>
      </c>
      <c r="B6491" s="5" t="s">
        <v>14870</v>
      </c>
      <c r="C6491" s="5" t="s">
        <v>54</v>
      </c>
      <c r="D6491" s="5" t="s">
        <v>55</v>
      </c>
      <c r="E6491" s="5" t="s">
        <v>478</v>
      </c>
      <c r="F6491" s="9">
        <v>34</v>
      </c>
      <c r="G6491" s="9">
        <v>347</v>
      </c>
      <c r="H6491" s="5" t="s">
        <v>21</v>
      </c>
      <c r="I6491" s="5" t="s">
        <v>14871</v>
      </c>
      <c r="J6491" s="12" t="str">
        <f>HYPERLINK("https://www.boe.es/gazeta/dias/1800/04/29/pdfs/GMD-1800-34.pdf#page=11","Abrir facsímil")</f>
        <v>Abrir facsímil</v>
      </c>
      <c r="K6491" s="15" t="s">
        <v>23</v>
      </c>
    </row>
    <row r="6492" spans="1:11" ht="42" customHeight="1">
      <c r="A6492" s="4" t="s">
        <v>14872</v>
      </c>
      <c r="B6492" s="5" t="s">
        <v>14873</v>
      </c>
      <c r="C6492" s="5" t="s">
        <v>18</v>
      </c>
      <c r="D6492" s="5" t="s">
        <v>19</v>
      </c>
      <c r="E6492" s="5" t="s">
        <v>454</v>
      </c>
      <c r="F6492" s="9">
        <v>63</v>
      </c>
      <c r="G6492" s="9">
        <v>720</v>
      </c>
      <c r="H6492" s="5" t="s">
        <v>21</v>
      </c>
      <c r="I6492" s="5" t="s">
        <v>14874</v>
      </c>
      <c r="J6492" s="12" t="str">
        <f>HYPERLINK("https://www.boe.es/gazeta/dias/1800/08/08/pdfs/GMD-1800-63.pdf#page=8","Abrir facsímil")</f>
        <v>Abrir facsímil</v>
      </c>
      <c r="K6492" s="15" t="s">
        <v>23</v>
      </c>
    </row>
    <row r="6493" spans="1:11" ht="42" customHeight="1">
      <c r="A6493" s="4" t="s">
        <v>14875</v>
      </c>
      <c r="B6493" s="5" t="s">
        <v>14876</v>
      </c>
      <c r="C6493" s="5" t="s">
        <v>25</v>
      </c>
      <c r="D6493" s="5" t="s">
        <v>26</v>
      </c>
      <c r="E6493" s="5" t="s">
        <v>1294</v>
      </c>
      <c r="F6493" s="9">
        <v>59</v>
      </c>
      <c r="G6493" s="9">
        <v>678</v>
      </c>
      <c r="H6493" s="5" t="s">
        <v>21</v>
      </c>
      <c r="I6493" s="5" t="s">
        <v>14877</v>
      </c>
      <c r="J6493" s="12" t="str">
        <f>HYPERLINK("https://www.boe.es/gazeta/dias/1800/07/25/pdfs/GMD-1800-59.pdf#page=10","Abrir facsímil")</f>
        <v>Abrir facsímil</v>
      </c>
      <c r="K6493" s="15" t="s">
        <v>23</v>
      </c>
    </row>
    <row r="6494" spans="1:11" ht="42" customHeight="1">
      <c r="A6494" s="4" t="s">
        <v>14878</v>
      </c>
      <c r="B6494" s="5" t="s">
        <v>14879</v>
      </c>
      <c r="C6494" s="5" t="s">
        <v>18</v>
      </c>
      <c r="D6494" s="5" t="s">
        <v>19</v>
      </c>
      <c r="E6494" s="5" t="s">
        <v>64</v>
      </c>
      <c r="F6494" s="9">
        <v>54</v>
      </c>
      <c r="G6494" s="9">
        <v>606</v>
      </c>
      <c r="H6494" s="5" t="s">
        <v>21</v>
      </c>
      <c r="I6494" s="5" t="s">
        <v>14880</v>
      </c>
      <c r="J6494" s="12" t="str">
        <f>HYPERLINK("https://www.boe.es/gazeta/dias/1800/07/08/pdfs/GMD-1800-54.pdf#page=10","Abrir facsímil")</f>
        <v>Abrir facsímil</v>
      </c>
      <c r="K6494" s="15" t="s">
        <v>23</v>
      </c>
    </row>
    <row r="6495" spans="1:11" ht="42" customHeight="1">
      <c r="A6495" s="4" t="s">
        <v>14881</v>
      </c>
      <c r="B6495" s="5" t="s">
        <v>14882</v>
      </c>
      <c r="C6495" s="5" t="s">
        <v>18</v>
      </c>
      <c r="D6495" s="5" t="s">
        <v>19</v>
      </c>
      <c r="E6495" s="5" t="s">
        <v>445</v>
      </c>
      <c r="F6495" s="9">
        <v>96</v>
      </c>
      <c r="G6495" s="9">
        <v>1097</v>
      </c>
      <c r="H6495" s="5" t="s">
        <v>21</v>
      </c>
      <c r="I6495" s="5" t="s">
        <v>14883</v>
      </c>
      <c r="J6495" s="12" t="str">
        <f>HYPERLINK("https://www.boe.es/gazeta/dias/1800/11/28/pdfs/GMD-1800-96.pdf#page=1","Abrir facsímil")</f>
        <v>Abrir facsímil</v>
      </c>
      <c r="K6495" s="15" t="s">
        <v>23</v>
      </c>
    </row>
    <row r="6496" spans="1:11" ht="42" customHeight="1">
      <c r="A6496" s="4" t="s">
        <v>14884</v>
      </c>
      <c r="B6496" s="5" t="s">
        <v>14884</v>
      </c>
      <c r="C6496" s="5" t="s">
        <v>18</v>
      </c>
      <c r="D6496" s="5" t="s">
        <v>19</v>
      </c>
      <c r="E6496" s="5" t="s">
        <v>203</v>
      </c>
      <c r="F6496" s="9">
        <v>94</v>
      </c>
      <c r="G6496" s="9">
        <v>1078</v>
      </c>
      <c r="H6496" s="5" t="s">
        <v>21</v>
      </c>
      <c r="I6496" s="5" t="s">
        <v>14885</v>
      </c>
      <c r="J6496" s="12" t="str">
        <f>HYPERLINK("https://www.boe.es/gazeta/dias/1800/11/21/pdfs/GMD-1800-94.pdf#page=8","Abrir facsímil")</f>
        <v>Abrir facsímil</v>
      </c>
      <c r="K6496" s="15" t="s">
        <v>23</v>
      </c>
    </row>
    <row r="6497" spans="1:11" ht="42" customHeight="1">
      <c r="A6497" s="4" t="s">
        <v>14886</v>
      </c>
      <c r="B6497" s="5" t="s">
        <v>14886</v>
      </c>
      <c r="C6497" s="5" t="s">
        <v>18</v>
      </c>
      <c r="D6497" s="5" t="s">
        <v>19</v>
      </c>
      <c r="E6497" s="5" t="s">
        <v>240</v>
      </c>
      <c r="F6497" s="9">
        <v>26</v>
      </c>
      <c r="G6497" s="9">
        <v>269</v>
      </c>
      <c r="H6497" s="5" t="s">
        <v>21</v>
      </c>
      <c r="I6497" s="5" t="s">
        <v>14887</v>
      </c>
      <c r="J6497" s="12" t="str">
        <f>HYPERLINK("https://www.boe.es/gazeta/dias/1800/04/01/pdfs/GMD-1800-26.pdf#page=9","Abrir facsímil")</f>
        <v>Abrir facsímil</v>
      </c>
      <c r="K6497" s="15" t="s">
        <v>23</v>
      </c>
    </row>
    <row r="6498" spans="1:11" ht="42" customHeight="1">
      <c r="A6498" s="4" t="s">
        <v>14888</v>
      </c>
      <c r="B6498" s="5" t="s">
        <v>14888</v>
      </c>
      <c r="C6498" s="5" t="s">
        <v>18</v>
      </c>
      <c r="D6498" s="5" t="s">
        <v>19</v>
      </c>
      <c r="E6498" s="5" t="s">
        <v>39</v>
      </c>
      <c r="F6498" s="9">
        <v>43</v>
      </c>
      <c r="G6498" s="9">
        <v>449</v>
      </c>
      <c r="H6498" s="5" t="s">
        <v>21</v>
      </c>
      <c r="I6498" s="5" t="s">
        <v>14889</v>
      </c>
      <c r="J6498" s="12" t="str">
        <f>HYPERLINK("https://www.boe.es/gazeta/dias/1800/05/30/pdfs/GMD-1800-43.pdf#page=9","Abrir facsímil")</f>
        <v>Abrir facsímil</v>
      </c>
      <c r="K6498" s="15" t="s">
        <v>23</v>
      </c>
    </row>
    <row r="6499" spans="1:11" ht="42" customHeight="1">
      <c r="A6499" s="4" t="s">
        <v>14890</v>
      </c>
      <c r="B6499" s="5" t="s">
        <v>14890</v>
      </c>
      <c r="C6499" s="5" t="s">
        <v>25</v>
      </c>
      <c r="D6499" s="5" t="s">
        <v>26</v>
      </c>
      <c r="E6499" s="5" t="s">
        <v>534</v>
      </c>
      <c r="F6499" s="9">
        <v>100</v>
      </c>
      <c r="G6499" s="9">
        <v>1159</v>
      </c>
      <c r="H6499" s="5" t="s">
        <v>21</v>
      </c>
      <c r="I6499" s="5" t="s">
        <v>14891</v>
      </c>
      <c r="J6499" s="12" t="str">
        <f>HYPERLINK("https://www.boe.es/gazeta/dias/1800/12/12/pdfs/GMD-1800-100.pdf#page=11","Abrir facsímil")</f>
        <v>Abrir facsímil</v>
      </c>
      <c r="K6499" s="15" t="s">
        <v>23</v>
      </c>
    </row>
    <row r="6500" spans="1:11" ht="42" customHeight="1">
      <c r="A6500" s="4" t="s">
        <v>14892</v>
      </c>
      <c r="B6500" s="5" t="s">
        <v>14892</v>
      </c>
      <c r="C6500" s="5" t="s">
        <v>114</v>
      </c>
      <c r="D6500" s="5" t="s">
        <v>115</v>
      </c>
      <c r="E6500" s="5" t="s">
        <v>116</v>
      </c>
      <c r="F6500" s="9">
        <v>86</v>
      </c>
      <c r="G6500" s="9" t="s">
        <v>1501</v>
      </c>
      <c r="H6500" s="5" t="s">
        <v>21</v>
      </c>
      <c r="I6500" s="5" t="s">
        <v>14893</v>
      </c>
      <c r="J6500" s="12" t="str">
        <f>HYPERLINK("https://www.boe.es/gazeta/dias/1800/10/24/pdfs/GMD-D-1800-86.pdf#page=2","Abrir facsímil")</f>
        <v>Abrir facsímil</v>
      </c>
      <c r="K6500" s="15" t="s">
        <v>23</v>
      </c>
    </row>
    <row r="6501" spans="1:11" ht="42" customHeight="1">
      <c r="A6501" s="4" t="s">
        <v>14894</v>
      </c>
      <c r="B6501" s="5" t="s">
        <v>14895</v>
      </c>
      <c r="C6501" s="5" t="s">
        <v>18</v>
      </c>
      <c r="D6501" s="5" t="s">
        <v>19</v>
      </c>
      <c r="E6501" s="5" t="s">
        <v>598</v>
      </c>
      <c r="F6501" s="9">
        <v>32</v>
      </c>
      <c r="G6501" s="9">
        <v>323</v>
      </c>
      <c r="H6501" s="5" t="s">
        <v>21</v>
      </c>
      <c r="I6501" s="5" t="s">
        <v>14896</v>
      </c>
      <c r="J6501" s="12" t="str">
        <f>HYPERLINK("https://www.boe.es/gazeta/dias/1800/04/22/pdfs/GMD-1800-32.pdf#page=7","Abrir facsímil")</f>
        <v>Abrir facsímil</v>
      </c>
      <c r="K6501" s="15" t="s">
        <v>23</v>
      </c>
    </row>
    <row r="6502" spans="1:11" ht="42" customHeight="1">
      <c r="A6502" s="4" t="s">
        <v>14897</v>
      </c>
      <c r="B6502" s="5" t="s">
        <v>14898</v>
      </c>
      <c r="C6502" s="5" t="s">
        <v>25</v>
      </c>
      <c r="D6502" s="5" t="s">
        <v>26</v>
      </c>
      <c r="E6502" s="5" t="s">
        <v>60</v>
      </c>
      <c r="F6502" s="9">
        <v>105</v>
      </c>
      <c r="G6502" s="9">
        <v>1226</v>
      </c>
      <c r="H6502" s="5" t="s">
        <v>21</v>
      </c>
      <c r="I6502" s="5" t="s">
        <v>14899</v>
      </c>
      <c r="J6502" s="12" t="str">
        <f>HYPERLINK("https://www.boe.es/gazeta/dias/1800/12/30/pdfs/GMD-1800-105.pdf#page=10","Abrir facsímil")</f>
        <v>Abrir facsímil</v>
      </c>
      <c r="K6502" s="15" t="s">
        <v>23</v>
      </c>
    </row>
    <row r="6503" spans="1:11" ht="42" customHeight="1">
      <c r="A6503" s="4" t="s">
        <v>14900</v>
      </c>
      <c r="B6503" s="5" t="s">
        <v>14901</v>
      </c>
      <c r="C6503" s="5" t="s">
        <v>18</v>
      </c>
      <c r="D6503" s="5" t="s">
        <v>19</v>
      </c>
      <c r="E6503" s="5" t="s">
        <v>534</v>
      </c>
      <c r="F6503" s="9">
        <v>100</v>
      </c>
      <c r="G6503" s="9">
        <v>1160</v>
      </c>
      <c r="H6503" s="5" t="s">
        <v>21</v>
      </c>
      <c r="I6503" s="5" t="s">
        <v>14902</v>
      </c>
      <c r="J6503" s="12" t="str">
        <f>HYPERLINK("https://www.boe.es/gazeta/dias/1800/12/12/pdfs/GMD-1800-100.pdf#page=12","Abrir facsímil")</f>
        <v>Abrir facsímil</v>
      </c>
      <c r="K6503" s="15" t="s">
        <v>23</v>
      </c>
    </row>
    <row r="6504" spans="1:11" ht="42" customHeight="1">
      <c r="A6504" s="4" t="s">
        <v>14903</v>
      </c>
      <c r="B6504" s="5" t="s">
        <v>14904</v>
      </c>
      <c r="C6504" s="5" t="s">
        <v>18</v>
      </c>
      <c r="D6504" s="5" t="s">
        <v>19</v>
      </c>
      <c r="E6504" s="5" t="s">
        <v>534</v>
      </c>
      <c r="F6504" s="9">
        <v>100</v>
      </c>
      <c r="G6504" s="9">
        <v>1160</v>
      </c>
      <c r="H6504" s="5" t="s">
        <v>21</v>
      </c>
      <c r="I6504" s="5" t="s">
        <v>14905</v>
      </c>
      <c r="J6504" s="12" t="str">
        <f>HYPERLINK("https://www.boe.es/gazeta/dias/1800/12/12/pdfs/GMD-1800-100.pdf#page=12","Abrir facsímil")</f>
        <v>Abrir facsímil</v>
      </c>
      <c r="K6504" s="15" t="s">
        <v>23</v>
      </c>
    </row>
    <row r="6505" spans="1:11" ht="42" customHeight="1">
      <c r="A6505" s="4" t="s">
        <v>14906</v>
      </c>
      <c r="B6505" s="5" t="s">
        <v>14907</v>
      </c>
      <c r="C6505" s="5" t="s">
        <v>25</v>
      </c>
      <c r="D6505" s="5" t="s">
        <v>26</v>
      </c>
      <c r="E6505" s="5" t="s">
        <v>154</v>
      </c>
      <c r="F6505" s="9">
        <v>61</v>
      </c>
      <c r="G6505" s="9">
        <v>700</v>
      </c>
      <c r="H6505" s="5" t="s">
        <v>21</v>
      </c>
      <c r="I6505" s="5" t="s">
        <v>14908</v>
      </c>
      <c r="J6505" s="12" t="str">
        <f>HYPERLINK("https://www.boe.es/gazeta/dias/1800/08/01/pdfs/GMD-1800-61.pdf#page=12","Abrir facsímil")</f>
        <v>Abrir facsímil</v>
      </c>
      <c r="K6505" s="15" t="s">
        <v>23</v>
      </c>
    </row>
    <row r="6506" spans="1:11" ht="42" customHeight="1">
      <c r="A6506" s="4" t="s">
        <v>14909</v>
      </c>
      <c r="B6506" s="5" t="s">
        <v>14910</v>
      </c>
      <c r="C6506" s="5" t="s">
        <v>18</v>
      </c>
      <c r="D6506" s="5" t="s">
        <v>19</v>
      </c>
      <c r="E6506" s="5" t="s">
        <v>88</v>
      </c>
      <c r="F6506" s="9">
        <v>23</v>
      </c>
      <c r="G6506" s="9">
        <v>236</v>
      </c>
      <c r="H6506" s="5" t="s">
        <v>21</v>
      </c>
      <c r="I6506" s="5" t="s">
        <v>14911</v>
      </c>
      <c r="J6506" s="12" t="str">
        <f>HYPERLINK("https://www.boe.es/gazeta/dias/1800/03/21/pdfs/GMD-1800-23.pdf#page=12","Abrir facsímil")</f>
        <v>Abrir facsímil</v>
      </c>
      <c r="K6506" s="15" t="s">
        <v>23</v>
      </c>
    </row>
    <row r="6507" spans="1:11" ht="42" customHeight="1">
      <c r="A6507" s="4" t="s">
        <v>14912</v>
      </c>
      <c r="B6507" s="5" t="s">
        <v>14913</v>
      </c>
      <c r="C6507" s="5" t="s">
        <v>41</v>
      </c>
      <c r="D6507" s="5" t="s">
        <v>42</v>
      </c>
      <c r="E6507" s="5" t="s">
        <v>244</v>
      </c>
      <c r="F6507" s="9">
        <v>9</v>
      </c>
      <c r="G6507" s="9">
        <v>78</v>
      </c>
      <c r="H6507" s="5" t="s">
        <v>21</v>
      </c>
      <c r="I6507" s="5" t="s">
        <v>14914</v>
      </c>
      <c r="J6507" s="12" t="str">
        <f>HYPERLINK("https://www.boe.es/gazeta/dias/1800/01/31/pdfs/GMD-1800-9.pdf#page=2","Abrir facsímil")</f>
        <v>Abrir facsímil</v>
      </c>
      <c r="K6507" s="15" t="s">
        <v>23</v>
      </c>
    </row>
    <row r="6508" spans="1:11" ht="42" customHeight="1">
      <c r="A6508" s="4" t="s">
        <v>14915</v>
      </c>
      <c r="B6508" s="5" t="s">
        <v>14915</v>
      </c>
      <c r="C6508" s="5" t="s">
        <v>18</v>
      </c>
      <c r="D6508" s="5" t="s">
        <v>19</v>
      </c>
      <c r="E6508" s="5" t="s">
        <v>35</v>
      </c>
      <c r="F6508" s="9">
        <v>21</v>
      </c>
      <c r="G6508" s="9">
        <v>206</v>
      </c>
      <c r="H6508" s="5" t="s">
        <v>21</v>
      </c>
      <c r="I6508" s="5" t="s">
        <v>14916</v>
      </c>
      <c r="J6508" s="12" t="str">
        <f>HYPERLINK("https://www.boe.es/gazeta/dias/1800/03/14/pdfs/GMD-1800-21.pdf#page=10","Abrir facsímil")</f>
        <v>Abrir facsímil</v>
      </c>
      <c r="K6508" s="15" t="s">
        <v>23</v>
      </c>
    </row>
    <row r="6509" spans="1:11" ht="42" customHeight="1">
      <c r="A6509" s="4" t="s">
        <v>14917</v>
      </c>
      <c r="B6509" s="5" t="s">
        <v>14918</v>
      </c>
      <c r="C6509" s="5" t="s">
        <v>41</v>
      </c>
      <c r="D6509" s="5" t="s">
        <v>42</v>
      </c>
      <c r="E6509" s="5" t="s">
        <v>825</v>
      </c>
      <c r="F6509" s="9">
        <v>51</v>
      </c>
      <c r="G6509" s="9">
        <v>552</v>
      </c>
      <c r="H6509" s="5" t="s">
        <v>21</v>
      </c>
      <c r="I6509" s="5" t="s">
        <v>14919</v>
      </c>
      <c r="J6509" s="12" t="str">
        <f>HYPERLINK("https://www.boe.es/gazeta/dias/1800/06/27/pdfs/GMD-1800-51.pdf#page=4","Abrir facsímil")</f>
        <v>Abrir facsímil</v>
      </c>
      <c r="K6509" s="15" t="s">
        <v>23</v>
      </c>
    </row>
    <row r="6510" spans="1:11" ht="42" customHeight="1">
      <c r="A6510" s="4" t="s">
        <v>14920</v>
      </c>
      <c r="B6510" s="5" t="s">
        <v>14921</v>
      </c>
      <c r="C6510" s="5" t="s">
        <v>18</v>
      </c>
      <c r="D6510" s="5" t="s">
        <v>19</v>
      </c>
      <c r="E6510" s="5" t="s">
        <v>48</v>
      </c>
      <c r="F6510" s="9">
        <v>66</v>
      </c>
      <c r="G6510" s="9">
        <v>747</v>
      </c>
      <c r="H6510" s="5" t="s">
        <v>21</v>
      </c>
      <c r="I6510" s="5" t="s">
        <v>14922</v>
      </c>
      <c r="J6510" s="12" t="str">
        <f>HYPERLINK("https://www.boe.es/gazeta/dias/1800/08/19/pdfs/GMD-1800-66.pdf#page=11","Abrir facsímil")</f>
        <v>Abrir facsímil</v>
      </c>
      <c r="K6510" s="15" t="s">
        <v>23</v>
      </c>
    </row>
    <row r="6511" spans="1:11" ht="42" customHeight="1">
      <c r="A6511" s="4" t="s">
        <v>14923</v>
      </c>
      <c r="B6511" s="5" t="s">
        <v>14923</v>
      </c>
      <c r="C6511" s="5" t="s">
        <v>41</v>
      </c>
      <c r="D6511" s="5" t="s">
        <v>42</v>
      </c>
      <c r="E6511" s="5" t="s">
        <v>1127</v>
      </c>
      <c r="F6511" s="9">
        <v>11</v>
      </c>
      <c r="G6511" s="9">
        <v>102</v>
      </c>
      <c r="H6511" s="5" t="s">
        <v>21</v>
      </c>
      <c r="I6511" s="5" t="s">
        <v>14924</v>
      </c>
      <c r="J6511" s="12" t="str">
        <f>HYPERLINK("https://www.boe.es/gazeta/dias/1800/02/07/pdfs/GMD-1800-11.pdf#page=2","Abrir facsímil")</f>
        <v>Abrir facsímil</v>
      </c>
      <c r="K6511" s="15" t="s">
        <v>23</v>
      </c>
    </row>
    <row r="6512" spans="1:11" ht="42" customHeight="1">
      <c r="A6512" s="4" t="s">
        <v>14925</v>
      </c>
      <c r="B6512" s="5" t="s">
        <v>14926</v>
      </c>
      <c r="C6512" s="5" t="s">
        <v>18</v>
      </c>
      <c r="D6512" s="5" t="s">
        <v>19</v>
      </c>
      <c r="E6512" s="5" t="s">
        <v>836</v>
      </c>
      <c r="F6512" s="9">
        <v>71</v>
      </c>
      <c r="G6512" s="9">
        <v>789</v>
      </c>
      <c r="H6512" s="5" t="s">
        <v>21</v>
      </c>
      <c r="I6512" s="5" t="s">
        <v>14927</v>
      </c>
      <c r="J6512" s="12" t="str">
        <f>HYPERLINK("https://www.boe.es/gazeta/dias/1800/09/02/pdfs/GMD-1800-71.pdf#page=7","Abrir facsímil")</f>
        <v>Abrir facsímil</v>
      </c>
      <c r="K6512" s="15" t="s">
        <v>23</v>
      </c>
    </row>
    <row r="6513" spans="1:11" ht="42" customHeight="1">
      <c r="A6513" s="4" t="s">
        <v>14928</v>
      </c>
      <c r="B6513" s="5" t="s">
        <v>14928</v>
      </c>
      <c r="C6513" s="5" t="s">
        <v>41</v>
      </c>
      <c r="D6513" s="5" t="s">
        <v>42</v>
      </c>
      <c r="E6513" s="5" t="s">
        <v>843</v>
      </c>
      <c r="F6513" s="9">
        <v>78</v>
      </c>
      <c r="G6513" s="9">
        <v>885</v>
      </c>
      <c r="H6513" s="5" t="s">
        <v>21</v>
      </c>
      <c r="I6513" s="5" t="s">
        <v>14929</v>
      </c>
      <c r="J6513" s="12" t="str">
        <f>HYPERLINK("https://www.boe.es/gazeta/dias/1800/09/26/pdfs/GMD-1800-78.pdf#page=3","Abrir facsímil")</f>
        <v>Abrir facsímil</v>
      </c>
      <c r="K6513" s="15" t="s">
        <v>23</v>
      </c>
    </row>
    <row r="6514" spans="1:11" ht="42" customHeight="1">
      <c r="A6514" s="4" t="s">
        <v>14930</v>
      </c>
      <c r="B6514" s="5" t="s">
        <v>14930</v>
      </c>
      <c r="C6514" s="5" t="s">
        <v>41</v>
      </c>
      <c r="D6514" s="5" t="s">
        <v>42</v>
      </c>
      <c r="E6514" s="5" t="s">
        <v>590</v>
      </c>
      <c r="F6514" s="9">
        <v>69</v>
      </c>
      <c r="G6514" s="9">
        <v>773</v>
      </c>
      <c r="H6514" s="5" t="s">
        <v>21</v>
      </c>
      <c r="I6514" s="5" t="s">
        <v>14931</v>
      </c>
      <c r="J6514" s="12" t="str">
        <f>HYPERLINK("https://www.boe.es/gazeta/dias/1800/08/29/pdfs/GMD-1800-69.pdf#page=5","Abrir facsímil")</f>
        <v>Abrir facsímil</v>
      </c>
      <c r="K6514" s="15" t="s">
        <v>23</v>
      </c>
    </row>
    <row r="6515" spans="1:11" ht="42" customHeight="1">
      <c r="A6515" s="4" t="s">
        <v>14932</v>
      </c>
      <c r="B6515" s="5" t="s">
        <v>14933</v>
      </c>
      <c r="C6515" s="5" t="s">
        <v>18</v>
      </c>
      <c r="D6515" s="5" t="s">
        <v>19</v>
      </c>
      <c r="E6515" s="5" t="s">
        <v>314</v>
      </c>
      <c r="F6515" s="9">
        <v>74</v>
      </c>
      <c r="G6515" s="9">
        <v>832</v>
      </c>
      <c r="H6515" s="5" t="s">
        <v>21</v>
      </c>
      <c r="I6515" s="5" t="s">
        <v>14934</v>
      </c>
      <c r="J6515" s="12" t="str">
        <f>HYPERLINK("https://www.boe.es/gazeta/dias/1800/09/12/pdfs/GMD-1800-74.pdf#page=10","Abrir facsímil")</f>
        <v>Abrir facsímil</v>
      </c>
      <c r="K6515" s="15" t="s">
        <v>23</v>
      </c>
    </row>
    <row r="6516" spans="1:11" ht="42" customHeight="1">
      <c r="A6516" s="4" t="s">
        <v>14935</v>
      </c>
      <c r="B6516" s="5" t="s">
        <v>14936</v>
      </c>
      <c r="C6516" s="5" t="s">
        <v>25</v>
      </c>
      <c r="D6516" s="5" t="s">
        <v>26</v>
      </c>
      <c r="E6516" s="5" t="s">
        <v>843</v>
      </c>
      <c r="F6516" s="9">
        <v>78</v>
      </c>
      <c r="G6516" s="9">
        <v>889</v>
      </c>
      <c r="H6516" s="5" t="s">
        <v>21</v>
      </c>
      <c r="I6516" s="5" t="s">
        <v>14937</v>
      </c>
      <c r="J6516" s="12" t="str">
        <f>HYPERLINK("https://www.boe.es/gazeta/dias/1800/09/26/pdfs/GMD-1800-78.pdf#page=7","Abrir facsímil")</f>
        <v>Abrir facsímil</v>
      </c>
      <c r="K6516" s="15" t="s">
        <v>23</v>
      </c>
    </row>
    <row r="6517" spans="1:11" ht="42" customHeight="1">
      <c r="A6517" s="4" t="s">
        <v>14938</v>
      </c>
      <c r="B6517" s="5" t="s">
        <v>14939</v>
      </c>
      <c r="C6517" s="5" t="s">
        <v>41</v>
      </c>
      <c r="D6517" s="5" t="s">
        <v>42</v>
      </c>
      <c r="E6517" s="5" t="s">
        <v>406</v>
      </c>
      <c r="F6517" s="9">
        <v>44</v>
      </c>
      <c r="G6517" s="9">
        <v>458</v>
      </c>
      <c r="H6517" s="5" t="s">
        <v>21</v>
      </c>
      <c r="I6517" s="5" t="s">
        <v>14940</v>
      </c>
      <c r="J6517" s="12" t="str">
        <f>HYPERLINK("https://www.boe.es/gazeta/dias/1800/06/03/pdfs/GMD-1800-44.pdf#page=6","Abrir facsímil")</f>
        <v>Abrir facsímil</v>
      </c>
      <c r="K6517" s="15" t="s">
        <v>23</v>
      </c>
    </row>
    <row r="6518" spans="1:11" ht="42" customHeight="1">
      <c r="A6518" s="4" t="s">
        <v>14938</v>
      </c>
      <c r="B6518" s="5" t="s">
        <v>14939</v>
      </c>
      <c r="C6518" s="5" t="s">
        <v>41</v>
      </c>
      <c r="D6518" s="5" t="s">
        <v>42</v>
      </c>
      <c r="E6518" s="5" t="s">
        <v>406</v>
      </c>
      <c r="F6518" s="9">
        <v>44</v>
      </c>
      <c r="G6518" s="9">
        <v>459</v>
      </c>
      <c r="H6518" s="5" t="s">
        <v>21</v>
      </c>
      <c r="I6518" s="5" t="s">
        <v>14941</v>
      </c>
      <c r="J6518" s="12" t="str">
        <f>HYPERLINK("https://www.boe.es/gazeta/dias/1800/06/03/pdfs/GMD-1800-44.pdf#page=7","Abrir facsímil")</f>
        <v>Abrir facsímil</v>
      </c>
      <c r="K6518" s="15" t="s">
        <v>23</v>
      </c>
    </row>
    <row r="6519" spans="1:11" ht="42" customHeight="1">
      <c r="A6519" s="4" t="s">
        <v>14942</v>
      </c>
      <c r="B6519" s="5" t="s">
        <v>14942</v>
      </c>
      <c r="C6519" s="5" t="s">
        <v>41</v>
      </c>
      <c r="D6519" s="5" t="s">
        <v>42</v>
      </c>
      <c r="E6519" s="5" t="s">
        <v>319</v>
      </c>
      <c r="F6519" s="9">
        <v>62</v>
      </c>
      <c r="G6519" s="9">
        <v>703</v>
      </c>
      <c r="H6519" s="5" t="s">
        <v>21</v>
      </c>
      <c r="I6519" s="5" t="s">
        <v>14943</v>
      </c>
      <c r="J6519" s="12" t="str">
        <f>HYPERLINK("https://www.boe.es/gazeta/dias/1800/08/05/pdfs/GMD-1800-62.pdf#page=3","Abrir facsímil")</f>
        <v>Abrir facsímil</v>
      </c>
      <c r="K6519" s="15" t="s">
        <v>23</v>
      </c>
    </row>
    <row r="6520" spans="1:11" ht="42" customHeight="1">
      <c r="A6520" s="4" t="s">
        <v>14944</v>
      </c>
      <c r="B6520" s="5" t="s">
        <v>14945</v>
      </c>
      <c r="C6520" s="5" t="s">
        <v>18</v>
      </c>
      <c r="D6520" s="5" t="s">
        <v>19</v>
      </c>
      <c r="E6520" s="5" t="s">
        <v>230</v>
      </c>
      <c r="F6520" s="9">
        <v>35</v>
      </c>
      <c r="G6520" s="9">
        <v>353</v>
      </c>
      <c r="H6520" s="5" t="s">
        <v>21</v>
      </c>
      <c r="I6520" s="5" t="s">
        <v>14946</v>
      </c>
      <c r="J6520" s="12" t="str">
        <f>HYPERLINK("https://www.boe.es/gazeta/dias/1800/05/02/pdfs/GMD-1800-35.pdf#page=5","Abrir facsímil")</f>
        <v>Abrir facsímil</v>
      </c>
      <c r="K6520" s="15" t="s">
        <v>23</v>
      </c>
    </row>
    <row r="6521" spans="1:11" ht="42" customHeight="1">
      <c r="A6521" s="4" t="s">
        <v>14947</v>
      </c>
      <c r="B6521" s="5" t="s">
        <v>14948</v>
      </c>
      <c r="C6521" s="5" t="s">
        <v>171</v>
      </c>
      <c r="D6521" s="5" t="s">
        <v>172</v>
      </c>
      <c r="E6521" s="5" t="s">
        <v>422</v>
      </c>
      <c r="F6521" s="9">
        <v>85</v>
      </c>
      <c r="G6521" s="9">
        <v>987</v>
      </c>
      <c r="H6521" s="5" t="s">
        <v>21</v>
      </c>
      <c r="I6521" s="5" t="s">
        <v>14949</v>
      </c>
      <c r="J6521" s="12" t="str">
        <f>HYPERLINK("https://www.boe.es/gazeta/dias/1800/10/21/pdfs/GMD-C-1800-85.pdf#page=1","Abrir facsímil")</f>
        <v>Abrir facsímil</v>
      </c>
      <c r="K6521" s="15" t="s">
        <v>23</v>
      </c>
    </row>
    <row r="6522" spans="1:11" ht="42" customHeight="1">
      <c r="A6522" s="4" t="s">
        <v>14950</v>
      </c>
      <c r="B6522" s="5" t="s">
        <v>14951</v>
      </c>
      <c r="C6522" s="5" t="s">
        <v>18</v>
      </c>
      <c r="D6522" s="5" t="s">
        <v>19</v>
      </c>
      <c r="E6522" s="5" t="s">
        <v>45</v>
      </c>
      <c r="F6522" s="9">
        <v>47</v>
      </c>
      <c r="G6522" s="9">
        <v>501</v>
      </c>
      <c r="H6522" s="5" t="s">
        <v>21</v>
      </c>
      <c r="I6522" s="5" t="s">
        <v>14952</v>
      </c>
      <c r="J6522" s="12" t="str">
        <f>HYPERLINK("https://www.boe.es/gazeta/dias/1800/06/13/pdfs/GMD-1800-47.pdf#page=9","Abrir facsímil")</f>
        <v>Abrir facsímil</v>
      </c>
      <c r="K6522" s="15" t="s">
        <v>23</v>
      </c>
    </row>
    <row r="6523" spans="1:11" ht="42" customHeight="1">
      <c r="A6523" s="4" t="s">
        <v>14953</v>
      </c>
      <c r="B6523" s="5" t="s">
        <v>14954</v>
      </c>
      <c r="C6523" s="5" t="s">
        <v>41</v>
      </c>
      <c r="D6523" s="5" t="s">
        <v>42</v>
      </c>
      <c r="E6523" s="5" t="s">
        <v>194</v>
      </c>
      <c r="F6523" s="9">
        <v>48</v>
      </c>
      <c r="G6523" s="9">
        <v>517</v>
      </c>
      <c r="H6523" s="5" t="s">
        <v>21</v>
      </c>
      <c r="I6523" s="5" t="s">
        <v>14955</v>
      </c>
      <c r="J6523" s="12" t="str">
        <f>HYPERLINK("https://www.boe.es/gazeta/dias/1800/06/17/pdfs/GMD-1800-48.pdf#page=9","Abrir facsímil")</f>
        <v>Abrir facsímil</v>
      </c>
      <c r="K6523" s="15" t="s">
        <v>23</v>
      </c>
    </row>
    <row r="6524" spans="1:11" ht="42" customHeight="1">
      <c r="A6524" s="4" t="s">
        <v>14956</v>
      </c>
      <c r="B6524" s="5" t="s">
        <v>14957</v>
      </c>
      <c r="C6524" s="5" t="s">
        <v>18</v>
      </c>
      <c r="D6524" s="5" t="s">
        <v>19</v>
      </c>
      <c r="E6524" s="5" t="s">
        <v>135</v>
      </c>
      <c r="F6524" s="9">
        <v>73</v>
      </c>
      <c r="G6524" s="9">
        <v>815</v>
      </c>
      <c r="H6524" s="5" t="s">
        <v>21</v>
      </c>
      <c r="I6524" s="5" t="s">
        <v>14958</v>
      </c>
      <c r="J6524" s="12" t="str">
        <f>HYPERLINK("https://www.boe.es/gazeta/dias/1800/09/09/pdfs/GMD-1800-73.pdf#page=9","Abrir facsímil")</f>
        <v>Abrir facsímil</v>
      </c>
      <c r="K6524" s="15" t="s">
        <v>23</v>
      </c>
    </row>
    <row r="6525" spans="1:11" ht="42" customHeight="1">
      <c r="A6525" s="4" t="s">
        <v>14959</v>
      </c>
      <c r="B6525" s="5" t="s">
        <v>14960</v>
      </c>
      <c r="C6525" s="5" t="s">
        <v>84</v>
      </c>
      <c r="D6525" s="5" t="s">
        <v>85</v>
      </c>
      <c r="E6525" s="5" t="s">
        <v>194</v>
      </c>
      <c r="F6525" s="9">
        <v>48</v>
      </c>
      <c r="G6525" s="9">
        <v>516</v>
      </c>
      <c r="H6525" s="5" t="s">
        <v>21</v>
      </c>
      <c r="I6525" s="5" t="s">
        <v>14961</v>
      </c>
      <c r="J6525" s="12" t="str">
        <f>HYPERLINK("https://www.boe.es/gazeta/dias/1800/06/17/pdfs/GMD-1800-48.pdf#page=8","Abrir facsímil")</f>
        <v>Abrir facsímil</v>
      </c>
      <c r="K6525" s="15" t="s">
        <v>23</v>
      </c>
    </row>
    <row r="6526" spans="1:11" ht="42" customHeight="1">
      <c r="A6526" s="4" t="s">
        <v>14962</v>
      </c>
      <c r="B6526" s="5" t="s">
        <v>14963</v>
      </c>
      <c r="C6526" s="5" t="s">
        <v>25</v>
      </c>
      <c r="D6526" s="5" t="s">
        <v>26</v>
      </c>
      <c r="E6526" s="5" t="s">
        <v>465</v>
      </c>
      <c r="F6526" s="9">
        <v>49</v>
      </c>
      <c r="G6526" s="9">
        <v>531</v>
      </c>
      <c r="H6526" s="5" t="s">
        <v>21</v>
      </c>
      <c r="I6526" s="5" t="s">
        <v>14964</v>
      </c>
      <c r="J6526" s="12" t="str">
        <f>HYPERLINK("https://www.boe.es/gazeta/dias/1800/06/20/pdfs/GMD-1800-49.pdf#page=7","Abrir facsímil")</f>
        <v>Abrir facsímil</v>
      </c>
      <c r="K6526" s="15" t="s">
        <v>23</v>
      </c>
    </row>
    <row r="6527" spans="1:11" ht="42" customHeight="1">
      <c r="A6527" s="4" t="s">
        <v>14965</v>
      </c>
      <c r="B6527" s="5" t="s">
        <v>14965</v>
      </c>
      <c r="C6527" s="5" t="s">
        <v>18</v>
      </c>
      <c r="D6527" s="5" t="s">
        <v>19</v>
      </c>
      <c r="E6527" s="5" t="s">
        <v>20</v>
      </c>
      <c r="F6527" s="9">
        <v>104</v>
      </c>
      <c r="G6527" s="9">
        <v>1209</v>
      </c>
      <c r="H6527" s="5" t="s">
        <v>21</v>
      </c>
      <c r="I6527" s="5" t="s">
        <v>14966</v>
      </c>
      <c r="J6527" s="12" t="str">
        <f>HYPERLINK("https://www.boe.es/gazeta/dias/1800/12/26/pdfs/GMD-1800-104.pdf#page=9","Abrir facsímil")</f>
        <v>Abrir facsímil</v>
      </c>
      <c r="K6527" s="15" t="s">
        <v>23</v>
      </c>
    </row>
    <row r="6528" spans="1:11" ht="42" customHeight="1">
      <c r="A6528" s="4" t="s">
        <v>14967</v>
      </c>
      <c r="B6528" s="5" t="s">
        <v>14968</v>
      </c>
      <c r="C6528" s="5" t="s">
        <v>18</v>
      </c>
      <c r="D6528" s="5" t="s">
        <v>19</v>
      </c>
      <c r="E6528" s="5" t="s">
        <v>461</v>
      </c>
      <c r="F6528" s="9">
        <v>18</v>
      </c>
      <c r="G6528" s="9">
        <v>170</v>
      </c>
      <c r="H6528" s="5" t="s">
        <v>21</v>
      </c>
      <c r="I6528" s="5" t="s">
        <v>14969</v>
      </c>
      <c r="J6528" s="12" t="str">
        <f>HYPERLINK("https://www.boe.es/datos/pdfs/BOE//1800/018/C00173-00176.pdf#page=6","Abrir facsímil")</f>
        <v>Abrir facsímil</v>
      </c>
      <c r="K6528" s="15" t="s">
        <v>23</v>
      </c>
    </row>
    <row r="6529" spans="1:11" ht="42" customHeight="1">
      <c r="A6529" s="4" t="s">
        <v>14970</v>
      </c>
      <c r="B6529" s="5" t="s">
        <v>14971</v>
      </c>
      <c r="C6529" s="5" t="s">
        <v>18</v>
      </c>
      <c r="D6529" s="5" t="s">
        <v>19</v>
      </c>
      <c r="E6529" s="5" t="s">
        <v>139</v>
      </c>
      <c r="F6529" s="9">
        <v>2</v>
      </c>
      <c r="G6529" s="9">
        <v>17</v>
      </c>
      <c r="H6529" s="5" t="s">
        <v>21</v>
      </c>
      <c r="I6529" s="5" t="s">
        <v>14972</v>
      </c>
      <c r="J6529" s="12" t="str">
        <f>HYPERLINK("https://www.boe.es/gazeta/dias/1800/01/07/pdfs/GMD-1800-2.pdf#page=9","Abrir facsímil")</f>
        <v>Abrir facsímil</v>
      </c>
      <c r="K6529" s="15" t="s">
        <v>23</v>
      </c>
    </row>
    <row r="6530" spans="1:11" ht="42" customHeight="1">
      <c r="A6530" s="4" t="s">
        <v>14973</v>
      </c>
      <c r="B6530" s="5" t="s">
        <v>14974</v>
      </c>
      <c r="C6530" s="5" t="s">
        <v>18</v>
      </c>
      <c r="D6530" s="5" t="s">
        <v>19</v>
      </c>
      <c r="E6530" s="5" t="s">
        <v>56</v>
      </c>
      <c r="F6530" s="9">
        <v>90</v>
      </c>
      <c r="G6530" s="9">
        <v>1056</v>
      </c>
      <c r="H6530" s="5" t="s">
        <v>21</v>
      </c>
      <c r="I6530" s="5" t="s">
        <v>14975</v>
      </c>
      <c r="J6530" s="12" t="str">
        <f>HYPERLINK("https://www.boe.es/gazeta/dias/1800/11/07/pdfs/GMD-1800-90.pdf#page=10","Abrir facsímil")</f>
        <v>Abrir facsímil</v>
      </c>
      <c r="K6530" s="15" t="s">
        <v>23</v>
      </c>
    </row>
    <row r="6531" spans="1:11" ht="42" customHeight="1">
      <c r="A6531" s="4" t="s">
        <v>14976</v>
      </c>
      <c r="B6531" s="5" t="s">
        <v>14977</v>
      </c>
      <c r="C6531" s="5" t="s">
        <v>18</v>
      </c>
      <c r="D6531" s="5" t="s">
        <v>19</v>
      </c>
      <c r="E6531" s="5" t="s">
        <v>154</v>
      </c>
      <c r="F6531" s="9">
        <v>61</v>
      </c>
      <c r="G6531" s="9">
        <v>696</v>
      </c>
      <c r="H6531" s="5" t="s">
        <v>21</v>
      </c>
      <c r="I6531" s="5" t="s">
        <v>14978</v>
      </c>
      <c r="J6531" s="12" t="str">
        <f>HYPERLINK("https://www.boe.es/gazeta/dias/1800/08/01/pdfs/GMD-1800-61.pdf#page=8","Abrir facsímil")</f>
        <v>Abrir facsímil</v>
      </c>
      <c r="K6531" s="15" t="s">
        <v>23</v>
      </c>
    </row>
    <row r="6532" spans="1:11" ht="42" customHeight="1">
      <c r="A6532" s="4" t="s">
        <v>14979</v>
      </c>
      <c r="B6532" s="5" t="s">
        <v>14980</v>
      </c>
      <c r="C6532" s="5" t="s">
        <v>84</v>
      </c>
      <c r="D6532" s="5" t="s">
        <v>85</v>
      </c>
      <c r="E6532" s="5" t="s">
        <v>39</v>
      </c>
      <c r="F6532" s="9">
        <v>43</v>
      </c>
      <c r="G6532" s="9">
        <v>451</v>
      </c>
      <c r="H6532" s="5" t="s">
        <v>21</v>
      </c>
      <c r="I6532" s="5" t="s">
        <v>14981</v>
      </c>
      <c r="J6532" s="12" t="str">
        <f>HYPERLINK("https://www.boe.es/gazeta/dias/1800/05/30/pdfs/GMD-1800-43.pdf#page=11","Abrir facsímil")</f>
        <v>Abrir facsímil</v>
      </c>
      <c r="K6532" s="15" t="s">
        <v>23</v>
      </c>
    </row>
    <row r="6533" spans="1:11" ht="42" customHeight="1">
      <c r="A6533" s="4" t="s">
        <v>14979</v>
      </c>
      <c r="B6533" s="5" t="s">
        <v>14980</v>
      </c>
      <c r="C6533" s="5" t="s">
        <v>25</v>
      </c>
      <c r="D6533" s="5" t="s">
        <v>26</v>
      </c>
      <c r="E6533" s="5" t="s">
        <v>27</v>
      </c>
      <c r="F6533" s="9">
        <v>65</v>
      </c>
      <c r="G6533" s="9">
        <v>735</v>
      </c>
      <c r="H6533" s="5" t="s">
        <v>21</v>
      </c>
      <c r="I6533" s="5" t="s">
        <v>14982</v>
      </c>
      <c r="J6533" s="12" t="str">
        <f>HYPERLINK("https://www.boe.es/gazeta/dias/1800/08/15/pdfs/GMD-1800-65.pdf#page=11","Abrir facsímil")</f>
        <v>Abrir facsímil</v>
      </c>
      <c r="K6533" s="15" t="s">
        <v>23</v>
      </c>
    </row>
    <row r="6534" spans="1:11" ht="42" customHeight="1">
      <c r="A6534" s="4" t="s">
        <v>14979</v>
      </c>
      <c r="B6534" s="5" t="s">
        <v>14980</v>
      </c>
      <c r="C6534" s="5" t="s">
        <v>18</v>
      </c>
      <c r="D6534" s="5" t="s">
        <v>19</v>
      </c>
      <c r="E6534" s="5" t="s">
        <v>180</v>
      </c>
      <c r="F6534" s="9">
        <v>102</v>
      </c>
      <c r="G6534" s="9">
        <v>1186</v>
      </c>
      <c r="H6534" s="5" t="s">
        <v>21</v>
      </c>
      <c r="I6534" s="5" t="s">
        <v>14983</v>
      </c>
      <c r="J6534" s="12" t="str">
        <f>HYPERLINK("https://www.boe.es/gazeta/dias/1800/12/19/pdfs/GMD-1800-102.pdf#page=10","Abrir facsímil")</f>
        <v>Abrir facsímil</v>
      </c>
      <c r="K6534" s="15" t="s">
        <v>23</v>
      </c>
    </row>
    <row r="6535" spans="1:11" ht="42" customHeight="1">
      <c r="A6535" s="4" t="s">
        <v>14984</v>
      </c>
      <c r="B6535" s="5" t="s">
        <v>14985</v>
      </c>
      <c r="C6535" s="5" t="s">
        <v>25</v>
      </c>
      <c r="D6535" s="5" t="s">
        <v>26</v>
      </c>
      <c r="E6535" s="5" t="s">
        <v>45</v>
      </c>
      <c r="F6535" s="9">
        <v>47</v>
      </c>
      <c r="G6535" s="9">
        <v>503</v>
      </c>
      <c r="H6535" s="5" t="s">
        <v>21</v>
      </c>
      <c r="I6535" s="5" t="s">
        <v>14986</v>
      </c>
      <c r="J6535" s="12" t="str">
        <f>HYPERLINK("https://www.boe.es/gazeta/dias/1800/06/13/pdfs/GMD-1800-47.pdf#page=11","Abrir facsímil")</f>
        <v>Abrir facsímil</v>
      </c>
      <c r="K6535" s="15" t="s">
        <v>23</v>
      </c>
    </row>
    <row r="6536" spans="1:11" ht="42" customHeight="1">
      <c r="A6536" s="4" t="s">
        <v>14987</v>
      </c>
      <c r="B6536" s="5" t="s">
        <v>14988</v>
      </c>
      <c r="C6536" s="5" t="s">
        <v>25</v>
      </c>
      <c r="D6536" s="5" t="s">
        <v>26</v>
      </c>
      <c r="E6536" s="5" t="s">
        <v>45</v>
      </c>
      <c r="F6536" s="9">
        <v>47</v>
      </c>
      <c r="G6536" s="9">
        <v>502</v>
      </c>
      <c r="H6536" s="5" t="s">
        <v>21</v>
      </c>
      <c r="I6536" s="5" t="s">
        <v>14989</v>
      </c>
      <c r="J6536" s="12" t="str">
        <f>HYPERLINK("https://www.boe.es/gazeta/dias/1800/06/13/pdfs/GMD-1800-47.pdf#page=10","Abrir facsímil")</f>
        <v>Abrir facsímil</v>
      </c>
      <c r="K6536" s="15" t="s">
        <v>23</v>
      </c>
    </row>
    <row r="6537" spans="1:11" ht="42" customHeight="1">
      <c r="A6537" s="4" t="s">
        <v>14990</v>
      </c>
      <c r="B6537" s="5" t="s">
        <v>14991</v>
      </c>
      <c r="C6537" s="5" t="s">
        <v>114</v>
      </c>
      <c r="D6537" s="5" t="s">
        <v>115</v>
      </c>
      <c r="E6537" s="5" t="s">
        <v>116</v>
      </c>
      <c r="F6537" s="9">
        <v>86</v>
      </c>
      <c r="G6537" s="9" t="s">
        <v>991</v>
      </c>
      <c r="H6537" s="5" t="s">
        <v>21</v>
      </c>
      <c r="I6537" s="5" t="s">
        <v>14992</v>
      </c>
      <c r="J6537" s="12" t="str">
        <f>HYPERLINK("https://www.boe.es/gazeta/dias/1800/10/24/pdfs/GMD-D-1800-86.pdf#page=4","Abrir facsímil")</f>
        <v>Abrir facsímil</v>
      </c>
      <c r="K6537" s="15" t="s">
        <v>23</v>
      </c>
    </row>
    <row r="6538" spans="1:11" ht="42" customHeight="1">
      <c r="A6538" s="4" t="s">
        <v>14993</v>
      </c>
      <c r="B6538" s="5" t="s">
        <v>14994</v>
      </c>
      <c r="C6538" s="5" t="s">
        <v>41</v>
      </c>
      <c r="D6538" s="5" t="s">
        <v>42</v>
      </c>
      <c r="E6538" s="5" t="s">
        <v>190</v>
      </c>
      <c r="F6538" s="9">
        <v>93</v>
      </c>
      <c r="G6538" s="9">
        <v>1058</v>
      </c>
      <c r="H6538" s="5" t="s">
        <v>21</v>
      </c>
      <c r="I6538" s="5" t="s">
        <v>14995</v>
      </c>
      <c r="J6538" s="12" t="str">
        <f>HYPERLINK("https://www.boe.es/gazeta/dias/1800/11/18/pdfs/GMD-1800-93.pdf#page=4","Abrir facsímil")</f>
        <v>Abrir facsímil</v>
      </c>
      <c r="K6538" s="15" t="s">
        <v>23</v>
      </c>
    </row>
    <row r="6539" spans="1:11" ht="42" customHeight="1">
      <c r="A6539" s="4" t="s">
        <v>14996</v>
      </c>
      <c r="B6539" s="5" t="s">
        <v>14997</v>
      </c>
      <c r="C6539" s="5" t="s">
        <v>41</v>
      </c>
      <c r="D6539" s="5" t="s">
        <v>42</v>
      </c>
      <c r="E6539" s="5" t="s">
        <v>576</v>
      </c>
      <c r="F6539" s="9">
        <v>91</v>
      </c>
      <c r="G6539" s="9">
        <v>1062</v>
      </c>
      <c r="H6539" s="5" t="s">
        <v>21</v>
      </c>
      <c r="I6539" s="5" t="s">
        <v>14998</v>
      </c>
      <c r="J6539" s="12" t="str">
        <f>HYPERLINK("https://www.boe.es/gazeta/dias/1800/11/11/pdfs/GMD-1800-91.pdf#page=4","Abrir facsímil")</f>
        <v>Abrir facsímil</v>
      </c>
      <c r="K6539" s="15" t="s">
        <v>23</v>
      </c>
    </row>
    <row r="6540" spans="1:11" ht="42" customHeight="1">
      <c r="A6540" s="4" t="s">
        <v>14999</v>
      </c>
      <c r="B6540" s="5" t="s">
        <v>15000</v>
      </c>
      <c r="C6540" s="5" t="s">
        <v>41</v>
      </c>
      <c r="D6540" s="5" t="s">
        <v>42</v>
      </c>
      <c r="E6540" s="5" t="s">
        <v>48</v>
      </c>
      <c r="F6540" s="9">
        <v>66</v>
      </c>
      <c r="G6540" s="9">
        <v>745</v>
      </c>
      <c r="H6540" s="5" t="s">
        <v>21</v>
      </c>
      <c r="I6540" s="5" t="s">
        <v>15001</v>
      </c>
      <c r="J6540" s="12" t="str">
        <f>HYPERLINK("https://www.boe.es/gazeta/dias/1800/08/19/pdfs/GMD-1800-66.pdf#page=9","Abrir facsímil")</f>
        <v>Abrir facsímil</v>
      </c>
      <c r="K6540" s="15" t="s">
        <v>23</v>
      </c>
    </row>
    <row r="6541" spans="1:11" ht="42" customHeight="1">
      <c r="A6541" s="4" t="s">
        <v>14999</v>
      </c>
      <c r="B6541" s="5" t="s">
        <v>15000</v>
      </c>
      <c r="C6541" s="5" t="s">
        <v>41</v>
      </c>
      <c r="D6541" s="5" t="s">
        <v>42</v>
      </c>
      <c r="E6541" s="5" t="s">
        <v>615</v>
      </c>
      <c r="F6541" s="9">
        <v>95</v>
      </c>
      <c r="G6541" s="9">
        <v>1086</v>
      </c>
      <c r="H6541" s="5" t="s">
        <v>21</v>
      </c>
      <c r="I6541" s="5" t="s">
        <v>15002</v>
      </c>
      <c r="J6541" s="12" t="str">
        <f>HYPERLINK("https://www.boe.es/gazeta/dias/1800/11/25/pdfs/GMD-1800-95.pdf#page=4","Abrir facsímil")</f>
        <v>Abrir facsímil</v>
      </c>
      <c r="K6541" s="15" t="s">
        <v>23</v>
      </c>
    </row>
    <row r="6542" spans="1:11" ht="42" customHeight="1">
      <c r="A6542" s="4" t="s">
        <v>15003</v>
      </c>
      <c r="B6542" s="5" t="s">
        <v>15003</v>
      </c>
      <c r="C6542" s="5" t="s">
        <v>41</v>
      </c>
      <c r="D6542" s="5" t="s">
        <v>42</v>
      </c>
      <c r="E6542" s="5" t="s">
        <v>101</v>
      </c>
      <c r="F6542" s="9">
        <v>37</v>
      </c>
      <c r="G6542" s="9">
        <v>376</v>
      </c>
      <c r="H6542" s="5" t="s">
        <v>21</v>
      </c>
      <c r="I6542" s="5" t="s">
        <v>15004</v>
      </c>
      <c r="J6542" s="12" t="str">
        <f>HYPERLINK("https://www.boe.es/gazeta/dias/1800/05/09/pdfs/GMD-1800-37.pdf#page=8","Abrir facsímil")</f>
        <v>Abrir facsímil</v>
      </c>
      <c r="K6542" s="15" t="s">
        <v>23</v>
      </c>
    </row>
    <row r="6543" spans="1:11" ht="42" customHeight="1">
      <c r="A6543" s="4" t="s">
        <v>15005</v>
      </c>
      <c r="B6543" s="5" t="s">
        <v>15006</v>
      </c>
      <c r="C6543" s="5" t="s">
        <v>18</v>
      </c>
      <c r="D6543" s="5" t="s">
        <v>19</v>
      </c>
      <c r="E6543" s="5" t="s">
        <v>576</v>
      </c>
      <c r="F6543" s="9">
        <v>91</v>
      </c>
      <c r="G6543" s="9">
        <v>1067</v>
      </c>
      <c r="H6543" s="5" t="s">
        <v>21</v>
      </c>
      <c r="I6543" s="5" t="s">
        <v>15007</v>
      </c>
      <c r="J6543" s="12" t="str">
        <f>HYPERLINK("https://www.boe.es/gazeta/dias/1800/11/11/pdfs/GMD-1800-91.pdf#page=9","Abrir facsímil")</f>
        <v>Abrir facsímil</v>
      </c>
      <c r="K6543" s="15" t="s">
        <v>23</v>
      </c>
    </row>
    <row r="6544" spans="1:11" ht="42" customHeight="1">
      <c r="A6544" s="4" t="s">
        <v>15008</v>
      </c>
      <c r="B6544" s="5" t="s">
        <v>15009</v>
      </c>
      <c r="C6544" s="5" t="s">
        <v>18</v>
      </c>
      <c r="D6544" s="5" t="s">
        <v>19</v>
      </c>
      <c r="E6544" s="5" t="s">
        <v>56</v>
      </c>
      <c r="F6544" s="9">
        <v>90</v>
      </c>
      <c r="G6544" s="9">
        <v>1056</v>
      </c>
      <c r="H6544" s="5" t="s">
        <v>21</v>
      </c>
      <c r="I6544" s="5" t="s">
        <v>15010</v>
      </c>
      <c r="J6544" s="12" t="str">
        <f>HYPERLINK("https://www.boe.es/gazeta/dias/1800/11/07/pdfs/GMD-1800-90.pdf#page=10","Abrir facsímil")</f>
        <v>Abrir facsímil</v>
      </c>
      <c r="K6544" s="15" t="s">
        <v>23</v>
      </c>
    </row>
    <row r="6545" spans="1:11" ht="42" customHeight="1">
      <c r="A6545" s="4" t="s">
        <v>15011</v>
      </c>
      <c r="B6545" s="5" t="s">
        <v>15012</v>
      </c>
      <c r="C6545" s="5" t="s">
        <v>25</v>
      </c>
      <c r="D6545" s="5" t="s">
        <v>26</v>
      </c>
      <c r="E6545" s="5" t="s">
        <v>310</v>
      </c>
      <c r="F6545" s="9">
        <v>56</v>
      </c>
      <c r="G6545" s="9">
        <v>633</v>
      </c>
      <c r="H6545" s="5" t="s">
        <v>21</v>
      </c>
      <c r="I6545" s="5" t="s">
        <v>15013</v>
      </c>
      <c r="J6545" s="12" t="str">
        <f>HYPERLINK("https://www.boe.es/gazeta/dias/1800/07/15/pdfs/GMD-1800-56.pdf#page=9","Abrir facsímil")</f>
        <v>Abrir facsímil</v>
      </c>
      <c r="K6545" s="15" t="s">
        <v>23</v>
      </c>
    </row>
    <row r="6546" spans="1:11" ht="42" customHeight="1">
      <c r="A6546" s="4" t="s">
        <v>15014</v>
      </c>
      <c r="B6546" s="5" t="s">
        <v>15015</v>
      </c>
      <c r="C6546" s="5" t="s">
        <v>54</v>
      </c>
      <c r="D6546" s="5" t="s">
        <v>55</v>
      </c>
      <c r="E6546" s="5" t="s">
        <v>255</v>
      </c>
      <c r="F6546" s="9">
        <v>75</v>
      </c>
      <c r="G6546" s="9">
        <v>856</v>
      </c>
      <c r="H6546" s="5" t="s">
        <v>21</v>
      </c>
      <c r="I6546" s="5" t="s">
        <v>15016</v>
      </c>
      <c r="J6546" s="12" t="str">
        <f>HYPERLINK("https://www.boe.es/gazeta/dias/1800/09/16/pdfs/GMD-1800-75.pdf#page=10","Abrir facsímil")</f>
        <v>Abrir facsímil</v>
      </c>
      <c r="K6546" s="15" t="s">
        <v>23</v>
      </c>
    </row>
    <row r="6547" spans="1:11" ht="42" customHeight="1">
      <c r="A6547" s="4" t="s">
        <v>15017</v>
      </c>
      <c r="B6547" s="5" t="s">
        <v>15018</v>
      </c>
      <c r="C6547" s="5" t="s">
        <v>18</v>
      </c>
      <c r="D6547" s="5" t="s">
        <v>19</v>
      </c>
      <c r="E6547" s="5" t="s">
        <v>422</v>
      </c>
      <c r="F6547" s="9">
        <v>85</v>
      </c>
      <c r="G6547" s="9">
        <v>985</v>
      </c>
      <c r="H6547" s="5" t="s">
        <v>21</v>
      </c>
      <c r="I6547" s="5" t="s">
        <v>15019</v>
      </c>
      <c r="J6547" s="12" t="str">
        <f>HYPERLINK("https://www.boe.es/gazeta/dias/1800/10/21/pdfs/GMD-1800-85.pdf#page=7","Abrir facsímil")</f>
        <v>Abrir facsímil</v>
      </c>
      <c r="K6547" s="15" t="s">
        <v>23</v>
      </c>
    </row>
    <row r="6548" spans="1:11" ht="42" customHeight="1">
      <c r="A6548" s="4" t="s">
        <v>15020</v>
      </c>
      <c r="B6548" s="5" t="s">
        <v>15021</v>
      </c>
      <c r="C6548" s="5" t="s">
        <v>18</v>
      </c>
      <c r="D6548" s="5" t="s">
        <v>19</v>
      </c>
      <c r="E6548" s="5" t="s">
        <v>590</v>
      </c>
      <c r="F6548" s="9">
        <v>69</v>
      </c>
      <c r="G6548" s="9">
        <v>775</v>
      </c>
      <c r="H6548" s="5" t="s">
        <v>21</v>
      </c>
      <c r="I6548" s="5" t="s">
        <v>15022</v>
      </c>
      <c r="J6548" s="12" t="str">
        <f>HYPERLINK("https://www.boe.es/gazeta/dias/1800/08/29/pdfs/GMD-1800-69.pdf#page=7","Abrir facsímil")</f>
        <v>Abrir facsímil</v>
      </c>
      <c r="K6548" s="15" t="s">
        <v>23</v>
      </c>
    </row>
    <row r="6549" spans="1:11" ht="42" customHeight="1">
      <c r="A6549" s="4" t="s">
        <v>15023</v>
      </c>
      <c r="B6549" s="5" t="s">
        <v>15024</v>
      </c>
      <c r="C6549" s="5" t="s">
        <v>18</v>
      </c>
      <c r="D6549" s="5" t="s">
        <v>19</v>
      </c>
      <c r="E6549" s="5" t="s">
        <v>43</v>
      </c>
      <c r="F6549" s="9">
        <v>46</v>
      </c>
      <c r="G6549" s="9">
        <v>487</v>
      </c>
      <c r="H6549" s="5" t="s">
        <v>21</v>
      </c>
      <c r="I6549" s="5" t="s">
        <v>15025</v>
      </c>
      <c r="J6549" s="12" t="str">
        <f>HYPERLINK("https://www.boe.es/gazeta/dias/1800/06/10/pdfs/GMD-1800-46.pdf#page=11","Abrir facsímil")</f>
        <v>Abrir facsímil</v>
      </c>
      <c r="K6549" s="15" t="s">
        <v>23</v>
      </c>
    </row>
    <row r="6550" spans="1:11" ht="42" customHeight="1">
      <c r="A6550" s="4" t="s">
        <v>15026</v>
      </c>
      <c r="B6550" s="5" t="s">
        <v>15027</v>
      </c>
      <c r="C6550" s="5" t="s">
        <v>18</v>
      </c>
      <c r="D6550" s="5" t="s">
        <v>19</v>
      </c>
      <c r="E6550" s="5" t="s">
        <v>31</v>
      </c>
      <c r="F6550" s="9">
        <v>20</v>
      </c>
      <c r="G6550" s="9">
        <v>192</v>
      </c>
      <c r="H6550" s="5" t="s">
        <v>21</v>
      </c>
      <c r="I6550" s="5" t="s">
        <v>15028</v>
      </c>
      <c r="J6550" s="12" t="str">
        <f>HYPERLINK("https://www.boe.es/gazeta/dias/1800/03/11/pdfs/GMD-1800-20.pdf#page=8","Abrir facsímil")</f>
        <v>Abrir facsímil</v>
      </c>
      <c r="K6550" s="15" t="s">
        <v>23</v>
      </c>
    </row>
    <row r="6551" spans="1:11" ht="42" customHeight="1">
      <c r="A6551" s="4" t="s">
        <v>15029</v>
      </c>
      <c r="B6551" s="5" t="s">
        <v>15030</v>
      </c>
      <c r="C6551" s="5" t="s">
        <v>207</v>
      </c>
      <c r="D6551" s="5" t="s">
        <v>55</v>
      </c>
      <c r="E6551" s="5" t="s">
        <v>56</v>
      </c>
      <c r="F6551" s="9">
        <v>90</v>
      </c>
      <c r="G6551" s="9">
        <v>1057</v>
      </c>
      <c r="H6551" s="5" t="s">
        <v>21</v>
      </c>
      <c r="I6551" s="5" t="s">
        <v>15031</v>
      </c>
      <c r="J6551" s="12" t="str">
        <f>HYPERLINK("https://www.boe.es/gazeta/dias/1800/11/07/pdfs/GMD-1800-90.pdf#page=11","Abrir facsímil")</f>
        <v>Abrir facsímil</v>
      </c>
      <c r="K6551" s="15" t="s">
        <v>23</v>
      </c>
    </row>
    <row r="6552" spans="1:11" ht="42" customHeight="1">
      <c r="A6552" s="4" t="s">
        <v>15032</v>
      </c>
      <c r="B6552" s="5" t="s">
        <v>15033</v>
      </c>
      <c r="C6552" s="5" t="s">
        <v>18</v>
      </c>
      <c r="D6552" s="5" t="s">
        <v>19</v>
      </c>
      <c r="E6552" s="5" t="s">
        <v>1294</v>
      </c>
      <c r="F6552" s="9">
        <v>59</v>
      </c>
      <c r="G6552" s="9">
        <v>678</v>
      </c>
      <c r="H6552" s="5" t="s">
        <v>21</v>
      </c>
      <c r="I6552" s="5" t="s">
        <v>15034</v>
      </c>
      <c r="J6552" s="12" t="str">
        <f>HYPERLINK("https://www.boe.es/gazeta/dias/1800/07/25/pdfs/GMD-1800-59.pdf#page=10","Abrir facsímil")</f>
        <v>Abrir facsímil</v>
      </c>
      <c r="K6552" s="15" t="s">
        <v>23</v>
      </c>
    </row>
    <row r="6553" spans="1:11" ht="42" customHeight="1">
      <c r="A6553" s="4" t="s">
        <v>15035</v>
      </c>
      <c r="B6553" s="5" t="s">
        <v>15036</v>
      </c>
      <c r="C6553" s="5" t="s">
        <v>18</v>
      </c>
      <c r="D6553" s="5" t="s">
        <v>19</v>
      </c>
      <c r="E6553" s="5" t="s">
        <v>534</v>
      </c>
      <c r="F6553" s="9">
        <v>100</v>
      </c>
      <c r="G6553" s="9">
        <v>1160</v>
      </c>
      <c r="H6553" s="5" t="s">
        <v>21</v>
      </c>
      <c r="I6553" s="5" t="s">
        <v>15037</v>
      </c>
      <c r="J6553" s="12" t="str">
        <f>HYPERLINK("https://www.boe.es/gazeta/dias/1800/12/12/pdfs/GMD-1800-100.pdf#page=12","Abrir facsímil")</f>
        <v>Abrir facsímil</v>
      </c>
      <c r="K6553" s="15" t="s">
        <v>23</v>
      </c>
    </row>
    <row r="6554" spans="1:11" ht="42" customHeight="1">
      <c r="A6554" s="4" t="s">
        <v>15038</v>
      </c>
      <c r="B6554" s="5" t="s">
        <v>15039</v>
      </c>
      <c r="C6554" s="5" t="s">
        <v>18</v>
      </c>
      <c r="D6554" s="5" t="s">
        <v>19</v>
      </c>
      <c r="E6554" s="5" t="s">
        <v>590</v>
      </c>
      <c r="F6554" s="9">
        <v>69</v>
      </c>
      <c r="G6554" s="9">
        <v>775</v>
      </c>
      <c r="H6554" s="5" t="s">
        <v>21</v>
      </c>
      <c r="I6554" s="5" t="s">
        <v>15040</v>
      </c>
      <c r="J6554" s="12" t="str">
        <f>HYPERLINK("https://www.boe.es/gazeta/dias/1800/08/29/pdfs/GMD-1800-69.pdf#page=7","Abrir facsímil")</f>
        <v>Abrir facsímil</v>
      </c>
      <c r="K6554" s="15" t="s">
        <v>23</v>
      </c>
    </row>
    <row r="6555" spans="1:11" ht="42" customHeight="1">
      <c r="A6555" s="4" t="s">
        <v>15041</v>
      </c>
      <c r="B6555" s="5" t="s">
        <v>15042</v>
      </c>
      <c r="C6555" s="5" t="s">
        <v>25</v>
      </c>
      <c r="D6555" s="5" t="s">
        <v>26</v>
      </c>
      <c r="E6555" s="5" t="s">
        <v>1213</v>
      </c>
      <c r="F6555" s="9">
        <v>4</v>
      </c>
      <c r="G6555" s="9">
        <v>38</v>
      </c>
      <c r="H6555" s="5" t="s">
        <v>21</v>
      </c>
      <c r="I6555" s="5" t="s">
        <v>15043</v>
      </c>
      <c r="J6555" s="12" t="str">
        <f>HYPERLINK("https://www.boe.es/gazeta/dias/1800/01/14/pdfs/GMD-1800-4.pdf#page=10","Abrir facsímil")</f>
        <v>Abrir facsímil</v>
      </c>
      <c r="K6555" s="15" t="s">
        <v>23</v>
      </c>
    </row>
    <row r="6556" spans="1:11" ht="42" customHeight="1">
      <c r="A6556" s="4" t="s">
        <v>15044</v>
      </c>
      <c r="B6556" s="5" t="s">
        <v>15045</v>
      </c>
      <c r="C6556" s="5" t="s">
        <v>25</v>
      </c>
      <c r="D6556" s="5" t="s">
        <v>26</v>
      </c>
      <c r="E6556" s="5" t="s">
        <v>1287</v>
      </c>
      <c r="F6556" s="9">
        <v>57</v>
      </c>
      <c r="G6556" s="9">
        <v>650</v>
      </c>
      <c r="H6556" s="5" t="s">
        <v>21</v>
      </c>
      <c r="I6556" s="5" t="s">
        <v>15046</v>
      </c>
      <c r="J6556" s="12" t="str">
        <f>HYPERLINK("https://www.boe.es/gazeta/dias/1800/07/18/pdfs/GMD-1800-57.pdf#page=14","Abrir facsímil")</f>
        <v>Abrir facsímil</v>
      </c>
      <c r="K6556" s="15" t="s">
        <v>23</v>
      </c>
    </row>
    <row r="6557" spans="1:11" ht="42" customHeight="1">
      <c r="A6557" s="4" t="s">
        <v>15047</v>
      </c>
      <c r="B6557" s="5" t="s">
        <v>15048</v>
      </c>
      <c r="C6557" s="5" t="s">
        <v>207</v>
      </c>
      <c r="D6557" s="5" t="s">
        <v>55</v>
      </c>
      <c r="E6557" s="5" t="s">
        <v>184</v>
      </c>
      <c r="F6557" s="9">
        <v>82</v>
      </c>
      <c r="G6557" s="9">
        <v>951</v>
      </c>
      <c r="H6557" s="5" t="s">
        <v>21</v>
      </c>
      <c r="I6557" s="5" t="s">
        <v>15049</v>
      </c>
      <c r="J6557" s="12" t="str">
        <f>HYPERLINK("https://www.boe.es/gazeta/dias/1800/10/10/pdfs/GMD-1800-82.pdf#page=9","Abrir facsímil")</f>
        <v>Abrir facsímil</v>
      </c>
      <c r="K6557" s="15" t="s">
        <v>23</v>
      </c>
    </row>
    <row r="6558" spans="1:11" ht="42" customHeight="1">
      <c r="A6558" s="4" t="s">
        <v>15050</v>
      </c>
      <c r="B6558" s="5" t="s">
        <v>15051</v>
      </c>
      <c r="C6558" s="5" t="s">
        <v>18</v>
      </c>
      <c r="D6558" s="5" t="s">
        <v>19</v>
      </c>
      <c r="E6558" s="5" t="s">
        <v>154</v>
      </c>
      <c r="F6558" s="9">
        <v>61</v>
      </c>
      <c r="G6558" s="9">
        <v>697</v>
      </c>
      <c r="H6558" s="5" t="s">
        <v>21</v>
      </c>
      <c r="I6558" s="5" t="s">
        <v>15052</v>
      </c>
      <c r="J6558" s="12" t="str">
        <f>HYPERLINK("https://www.boe.es/gazeta/dias/1800/08/01/pdfs/GMD-1800-61.pdf#page=9","Abrir facsímil")</f>
        <v>Abrir facsímil</v>
      </c>
      <c r="K6558" s="15" t="s">
        <v>23</v>
      </c>
    </row>
    <row r="6559" spans="1:11" ht="42" customHeight="1">
      <c r="A6559" s="4" t="s">
        <v>15053</v>
      </c>
      <c r="B6559" s="5" t="s">
        <v>15054</v>
      </c>
      <c r="C6559" s="5" t="s">
        <v>84</v>
      </c>
      <c r="D6559" s="5" t="s">
        <v>85</v>
      </c>
      <c r="E6559" s="5" t="s">
        <v>143</v>
      </c>
      <c r="F6559" s="9">
        <v>22</v>
      </c>
      <c r="G6559" s="9">
        <v>223</v>
      </c>
      <c r="H6559" s="5" t="s">
        <v>21</v>
      </c>
      <c r="I6559" s="5" t="s">
        <v>15055</v>
      </c>
      <c r="J6559" s="12" t="str">
        <f>HYPERLINK("https://www.boe.es/gazeta/dias/1800/03/18/pdfs/GMD-1800-22.pdf#page=15","Abrir facsímil")</f>
        <v>Abrir facsímil</v>
      </c>
      <c r="K6559" s="15" t="s">
        <v>23</v>
      </c>
    </row>
    <row r="6560" spans="1:11" ht="42" customHeight="1">
      <c r="A6560" s="4" t="s">
        <v>15056</v>
      </c>
      <c r="B6560" s="5" t="s">
        <v>15057</v>
      </c>
      <c r="C6560" s="5" t="s">
        <v>25</v>
      </c>
      <c r="D6560" s="5" t="s">
        <v>26</v>
      </c>
      <c r="E6560" s="5" t="s">
        <v>45</v>
      </c>
      <c r="F6560" s="9">
        <v>47</v>
      </c>
      <c r="G6560" s="9">
        <v>502</v>
      </c>
      <c r="H6560" s="5" t="s">
        <v>21</v>
      </c>
      <c r="I6560" s="5" t="s">
        <v>15058</v>
      </c>
      <c r="J6560" s="12" t="str">
        <f>HYPERLINK("https://www.boe.es/gazeta/dias/1800/06/13/pdfs/GMD-1800-47.pdf#page=10","Abrir facsímil")</f>
        <v>Abrir facsímil</v>
      </c>
      <c r="K6560" s="15" t="s">
        <v>23</v>
      </c>
    </row>
    <row r="6561" spans="1:11" ht="42" customHeight="1">
      <c r="A6561" s="4" t="s">
        <v>15059</v>
      </c>
      <c r="B6561" s="5" t="s">
        <v>15060</v>
      </c>
      <c r="C6561" s="5" t="s">
        <v>18</v>
      </c>
      <c r="D6561" s="5" t="s">
        <v>19</v>
      </c>
      <c r="E6561" s="5" t="s">
        <v>75</v>
      </c>
      <c r="F6561" s="9">
        <v>64</v>
      </c>
      <c r="G6561" s="9">
        <v>733</v>
      </c>
      <c r="H6561" s="5" t="s">
        <v>21</v>
      </c>
      <c r="I6561" s="5" t="s">
        <v>15061</v>
      </c>
      <c r="J6561" s="12" t="str">
        <f>HYPERLINK("https://www.boe.es/gazeta/dias/1800/08/12/pdfs/GMD-1800-64.pdf#page=9","Abrir facsímil")</f>
        <v>Abrir facsímil</v>
      </c>
      <c r="K6561" s="15" t="s">
        <v>23</v>
      </c>
    </row>
    <row r="6562" spans="1:11" ht="42" customHeight="1">
      <c r="A6562" s="4" t="s">
        <v>15062</v>
      </c>
      <c r="B6562" s="5" t="s">
        <v>15063</v>
      </c>
      <c r="C6562" s="5" t="s">
        <v>18</v>
      </c>
      <c r="D6562" s="5" t="s">
        <v>19</v>
      </c>
      <c r="E6562" s="5" t="s">
        <v>255</v>
      </c>
      <c r="F6562" s="9">
        <v>75</v>
      </c>
      <c r="G6562" s="9">
        <v>855</v>
      </c>
      <c r="H6562" s="5" t="s">
        <v>21</v>
      </c>
      <c r="I6562" s="5" t="s">
        <v>15064</v>
      </c>
      <c r="J6562" s="12" t="str">
        <f>HYPERLINK("https://www.boe.es/gazeta/dias/1800/09/16/pdfs/GMD-1800-75.pdf#page=9","Abrir facsímil")</f>
        <v>Abrir facsímil</v>
      </c>
      <c r="K6562" s="15" t="s">
        <v>23</v>
      </c>
    </row>
    <row r="6563" spans="1:11" ht="42" customHeight="1">
      <c r="A6563" s="4" t="s">
        <v>15065</v>
      </c>
      <c r="B6563" s="5" t="s">
        <v>15066</v>
      </c>
      <c r="C6563" s="5" t="s">
        <v>18</v>
      </c>
      <c r="D6563" s="5" t="s">
        <v>19</v>
      </c>
      <c r="E6563" s="5" t="s">
        <v>190</v>
      </c>
      <c r="F6563" s="9">
        <v>93</v>
      </c>
      <c r="G6563" s="9">
        <v>1066</v>
      </c>
      <c r="H6563" s="5" t="s">
        <v>21</v>
      </c>
      <c r="I6563" s="5" t="s">
        <v>15067</v>
      </c>
      <c r="J6563" s="12" t="str">
        <f>HYPERLINK("https://www.boe.es/gazeta/dias/1800/11/18/pdfs/GMD-1800-93.pdf#page=12","Abrir facsímil")</f>
        <v>Abrir facsímil</v>
      </c>
      <c r="K6563" s="15" t="s">
        <v>23</v>
      </c>
    </row>
    <row r="6564" spans="1:11" ht="42" customHeight="1">
      <c r="A6564" s="4" t="s">
        <v>15068</v>
      </c>
      <c r="B6564" s="5" t="s">
        <v>15069</v>
      </c>
      <c r="C6564" s="5" t="s">
        <v>18</v>
      </c>
      <c r="D6564" s="5" t="s">
        <v>19</v>
      </c>
      <c r="E6564" s="5" t="s">
        <v>176</v>
      </c>
      <c r="F6564" s="9">
        <v>88</v>
      </c>
      <c r="G6564" s="9">
        <v>1031</v>
      </c>
      <c r="H6564" s="5" t="s">
        <v>21</v>
      </c>
      <c r="I6564" s="5" t="s">
        <v>15070</v>
      </c>
      <c r="J6564" s="12" t="str">
        <f>HYPERLINK("https://www.boe.es/gazeta/dias/1800/10/31/pdfs/GMD-1800-88.pdf#page=13","Abrir facsímil")</f>
        <v>Abrir facsímil</v>
      </c>
      <c r="K6564" s="15" t="s">
        <v>23</v>
      </c>
    </row>
    <row r="6565" spans="1:11" ht="42" customHeight="1">
      <c r="A6565" s="4" t="s">
        <v>15071</v>
      </c>
      <c r="B6565" s="5" t="s">
        <v>15072</v>
      </c>
      <c r="C6565" s="5" t="s">
        <v>18</v>
      </c>
      <c r="D6565" s="5" t="s">
        <v>19</v>
      </c>
      <c r="E6565" s="5" t="s">
        <v>131</v>
      </c>
      <c r="F6565" s="9">
        <v>8</v>
      </c>
      <c r="G6565" s="9">
        <v>75</v>
      </c>
      <c r="H6565" s="5" t="s">
        <v>21</v>
      </c>
      <c r="I6565" s="5" t="s">
        <v>15073</v>
      </c>
      <c r="J6565" s="12" t="str">
        <f>HYPERLINK("https://www.boe.es/gazeta/dias/1800/01/28/pdfs/GMD-1800-8.pdf#page=7","Abrir facsímil")</f>
        <v>Abrir facsímil</v>
      </c>
      <c r="K6565" s="15" t="s">
        <v>23</v>
      </c>
    </row>
    <row r="6566" spans="1:11" ht="42" customHeight="1">
      <c r="A6566" s="4" t="s">
        <v>15074</v>
      </c>
      <c r="B6566" s="5" t="s">
        <v>15075</v>
      </c>
      <c r="C6566" s="5" t="s">
        <v>18</v>
      </c>
      <c r="D6566" s="5" t="s">
        <v>19</v>
      </c>
      <c r="E6566" s="5" t="s">
        <v>240</v>
      </c>
      <c r="F6566" s="9">
        <v>26</v>
      </c>
      <c r="G6566" s="9">
        <v>269</v>
      </c>
      <c r="H6566" s="5" t="s">
        <v>21</v>
      </c>
      <c r="I6566" s="5" t="s">
        <v>15076</v>
      </c>
      <c r="J6566" s="12" t="str">
        <f>HYPERLINK("https://www.boe.es/gazeta/dias/1800/04/01/pdfs/GMD-1800-26.pdf#page=9","Abrir facsímil")</f>
        <v>Abrir facsímil</v>
      </c>
      <c r="K6566" s="15" t="s">
        <v>23</v>
      </c>
    </row>
    <row r="6567" spans="1:11" ht="42" customHeight="1">
      <c r="A6567" s="4" t="s">
        <v>15074</v>
      </c>
      <c r="B6567" s="5" t="s">
        <v>15075</v>
      </c>
      <c r="C6567" s="5" t="s">
        <v>18</v>
      </c>
      <c r="D6567" s="5" t="s">
        <v>19</v>
      </c>
      <c r="E6567" s="5" t="s">
        <v>262</v>
      </c>
      <c r="F6567" s="9">
        <v>39</v>
      </c>
      <c r="G6567" s="9">
        <v>401</v>
      </c>
      <c r="H6567" s="5" t="s">
        <v>21</v>
      </c>
      <c r="I6567" s="5" t="s">
        <v>15077</v>
      </c>
      <c r="J6567" s="12" t="str">
        <f>HYPERLINK("https://www.boe.es/gazeta/dias/1800/05/16/pdfs/GMD-1800-39.pdf#page=9","Abrir facsímil")</f>
        <v>Abrir facsímil</v>
      </c>
      <c r="K6567" s="15" t="s">
        <v>23</v>
      </c>
    </row>
    <row r="6568" spans="1:11" ht="42" customHeight="1">
      <c r="A6568" s="4" t="s">
        <v>15078</v>
      </c>
      <c r="B6568" s="5" t="s">
        <v>15079</v>
      </c>
      <c r="C6568" s="5" t="s">
        <v>25</v>
      </c>
      <c r="D6568" s="5" t="s">
        <v>26</v>
      </c>
      <c r="E6568" s="5" t="s">
        <v>454</v>
      </c>
      <c r="F6568" s="9">
        <v>63</v>
      </c>
      <c r="G6568" s="9">
        <v>723</v>
      </c>
      <c r="H6568" s="5" t="s">
        <v>21</v>
      </c>
      <c r="I6568" s="5" t="s">
        <v>15080</v>
      </c>
      <c r="J6568" s="12" t="str">
        <f>HYPERLINK("https://www.boe.es/gazeta/dias/1800/08/08/pdfs/GMD-1800-63.pdf#page=11","Abrir facsímil")</f>
        <v>Abrir facsímil</v>
      </c>
      <c r="K6568" s="15" t="s">
        <v>23</v>
      </c>
    </row>
    <row r="6569" spans="1:11" ht="42" customHeight="1">
      <c r="A6569" s="4" t="s">
        <v>15081</v>
      </c>
      <c r="B6569" s="5" t="s">
        <v>15082</v>
      </c>
      <c r="C6569" s="5" t="s">
        <v>18</v>
      </c>
      <c r="D6569" s="5" t="s">
        <v>19</v>
      </c>
      <c r="E6569" s="5" t="s">
        <v>135</v>
      </c>
      <c r="F6569" s="9">
        <v>73</v>
      </c>
      <c r="G6569" s="9">
        <v>813</v>
      </c>
      <c r="H6569" s="5" t="s">
        <v>21</v>
      </c>
      <c r="I6569" s="5" t="s">
        <v>15083</v>
      </c>
      <c r="J6569" s="12" t="str">
        <f>HYPERLINK("https://www.boe.es/gazeta/dias/1800/09/09/pdfs/GMD-1800-73.pdf#page=7","Abrir facsímil")</f>
        <v>Abrir facsímil</v>
      </c>
      <c r="K6569" s="15" t="s">
        <v>23</v>
      </c>
    </row>
    <row r="6570" spans="1:11" ht="42" customHeight="1">
      <c r="A6570" s="4" t="s">
        <v>15084</v>
      </c>
      <c r="B6570" s="5" t="s">
        <v>15085</v>
      </c>
      <c r="C6570" s="5" t="s">
        <v>18</v>
      </c>
      <c r="D6570" s="5" t="s">
        <v>19</v>
      </c>
      <c r="E6570" s="5" t="s">
        <v>64</v>
      </c>
      <c r="F6570" s="9">
        <v>54</v>
      </c>
      <c r="G6570" s="9">
        <v>606</v>
      </c>
      <c r="H6570" s="5" t="s">
        <v>21</v>
      </c>
      <c r="I6570" s="5" t="s">
        <v>15086</v>
      </c>
      <c r="J6570" s="12" t="str">
        <f>HYPERLINK("https://www.boe.es/gazeta/dias/1800/07/08/pdfs/GMD-1800-54.pdf#page=10","Abrir facsímil")</f>
        <v>Abrir facsímil</v>
      </c>
      <c r="K6570" s="15" t="s">
        <v>23</v>
      </c>
    </row>
    <row r="6571" spans="1:11" ht="42" customHeight="1">
      <c r="A6571" s="4" t="s">
        <v>15087</v>
      </c>
      <c r="B6571" s="5" t="s">
        <v>15088</v>
      </c>
      <c r="C6571" s="5" t="s">
        <v>18</v>
      </c>
      <c r="D6571" s="5" t="s">
        <v>19</v>
      </c>
      <c r="E6571" s="5" t="s">
        <v>75</v>
      </c>
      <c r="F6571" s="9">
        <v>64</v>
      </c>
      <c r="G6571" s="9">
        <v>733</v>
      </c>
      <c r="H6571" s="5" t="s">
        <v>21</v>
      </c>
      <c r="I6571" s="5" t="s">
        <v>15089</v>
      </c>
      <c r="J6571" s="12" t="str">
        <f>HYPERLINK("https://www.boe.es/gazeta/dias/1800/08/12/pdfs/GMD-1800-64.pdf#page=9","Abrir facsímil")</f>
        <v>Abrir facsímil</v>
      </c>
      <c r="K6571" s="15" t="s">
        <v>23</v>
      </c>
    </row>
    <row r="6572" spans="1:11" ht="42" customHeight="1">
      <c r="A6572" s="4" t="s">
        <v>15090</v>
      </c>
      <c r="B6572" s="5" t="s">
        <v>15091</v>
      </c>
      <c r="C6572" s="5" t="s">
        <v>41</v>
      </c>
      <c r="D6572" s="5" t="s">
        <v>42</v>
      </c>
      <c r="E6572" s="5" t="s">
        <v>218</v>
      </c>
      <c r="F6572" s="9">
        <v>5</v>
      </c>
      <c r="G6572" s="9">
        <v>43</v>
      </c>
      <c r="H6572" s="5" t="s">
        <v>21</v>
      </c>
      <c r="I6572" s="5" t="s">
        <v>15092</v>
      </c>
      <c r="J6572" s="12" t="str">
        <f>HYPERLINK("https://www.boe.es/gazeta/dias/1800/01/17/pdfs/GMD-1800-5.pdf#page=3","Abrir facsímil")</f>
        <v>Abrir facsímil</v>
      </c>
      <c r="K6572" s="15" t="s">
        <v>23</v>
      </c>
    </row>
    <row r="6573" spans="1:11" ht="42" customHeight="1">
      <c r="A6573" s="4" t="s">
        <v>15093</v>
      </c>
      <c r="B6573" s="5" t="s">
        <v>15094</v>
      </c>
      <c r="C6573" s="5" t="s">
        <v>18</v>
      </c>
      <c r="D6573" s="5" t="s">
        <v>19</v>
      </c>
      <c r="E6573" s="5" t="s">
        <v>20</v>
      </c>
      <c r="F6573" s="9">
        <v>104</v>
      </c>
      <c r="G6573" s="9">
        <v>1209</v>
      </c>
      <c r="H6573" s="5" t="s">
        <v>21</v>
      </c>
      <c r="I6573" s="5" t="s">
        <v>15095</v>
      </c>
      <c r="J6573" s="12" t="str">
        <f>HYPERLINK("https://www.boe.es/gazeta/dias/1800/12/26/pdfs/GMD-1800-104.pdf#page=9","Abrir facsímil")</f>
        <v>Abrir facsímil</v>
      </c>
      <c r="K6573" s="15" t="s">
        <v>23</v>
      </c>
    </row>
    <row r="6574" spans="1:11" ht="42" customHeight="1">
      <c r="A6574" s="4" t="s">
        <v>15096</v>
      </c>
      <c r="B6574" s="5" t="s">
        <v>15097</v>
      </c>
      <c r="C6574" s="5" t="s">
        <v>207</v>
      </c>
      <c r="D6574" s="5" t="s">
        <v>55</v>
      </c>
      <c r="E6574" s="5" t="s">
        <v>176</v>
      </c>
      <c r="F6574" s="9">
        <v>88</v>
      </c>
      <c r="G6574" s="9">
        <v>1031</v>
      </c>
      <c r="H6574" s="5" t="s">
        <v>21</v>
      </c>
      <c r="I6574" s="5" t="s">
        <v>15098</v>
      </c>
      <c r="J6574" s="12" t="str">
        <f>HYPERLINK("https://www.boe.es/gazeta/dias/1800/10/31/pdfs/GMD-1800-88.pdf#page=13","Abrir facsímil")</f>
        <v>Abrir facsímil</v>
      </c>
      <c r="K6574" s="15" t="s">
        <v>23</v>
      </c>
    </row>
    <row r="6575" spans="1:11" ht="42" customHeight="1">
      <c r="A6575" s="4" t="s">
        <v>15099</v>
      </c>
      <c r="B6575" s="5" t="s">
        <v>15100</v>
      </c>
      <c r="C6575" s="5" t="s">
        <v>41</v>
      </c>
      <c r="D6575" s="5" t="s">
        <v>42</v>
      </c>
      <c r="E6575" s="5" t="s">
        <v>1213</v>
      </c>
      <c r="F6575" s="9">
        <v>4</v>
      </c>
      <c r="G6575" s="9">
        <v>33</v>
      </c>
      <c r="H6575" s="5" t="s">
        <v>21</v>
      </c>
      <c r="I6575" s="5" t="s">
        <v>15101</v>
      </c>
      <c r="J6575" s="12" t="str">
        <f>HYPERLINK("https://www.boe.es/gazeta/dias/1800/01/14/pdfs/GMD-1800-4.pdf#page=5","Abrir facsímil")</f>
        <v>Abrir facsímil</v>
      </c>
      <c r="K6575" s="15" t="s">
        <v>23</v>
      </c>
    </row>
    <row r="6576" spans="1:11" ht="42" customHeight="1">
      <c r="A6576" s="4" t="s">
        <v>15102</v>
      </c>
      <c r="B6576" s="5" t="s">
        <v>15103</v>
      </c>
      <c r="C6576" s="5" t="s">
        <v>18</v>
      </c>
      <c r="D6576" s="5" t="s">
        <v>19</v>
      </c>
      <c r="E6576" s="5" t="s">
        <v>454</v>
      </c>
      <c r="F6576" s="9">
        <v>63</v>
      </c>
      <c r="G6576" s="9">
        <v>720</v>
      </c>
      <c r="H6576" s="5" t="s">
        <v>21</v>
      </c>
      <c r="I6576" s="5" t="s">
        <v>15104</v>
      </c>
      <c r="J6576" s="12" t="str">
        <f>HYPERLINK("https://www.boe.es/gazeta/dias/1800/08/08/pdfs/GMD-1800-63.pdf#page=8","Abrir facsímil")</f>
        <v>Abrir facsímil</v>
      </c>
      <c r="K6576" s="15" t="s">
        <v>23</v>
      </c>
    </row>
    <row r="6577" spans="1:11" ht="42" customHeight="1">
      <c r="A6577" s="4" t="s">
        <v>15105</v>
      </c>
      <c r="B6577" s="5" t="s">
        <v>15106</v>
      </c>
      <c r="C6577" s="5" t="s">
        <v>18</v>
      </c>
      <c r="D6577" s="5" t="s">
        <v>19</v>
      </c>
      <c r="E6577" s="5" t="s">
        <v>196</v>
      </c>
      <c r="F6577" s="9">
        <v>97</v>
      </c>
      <c r="G6577" s="9">
        <v>1117</v>
      </c>
      <c r="H6577" s="5" t="s">
        <v>21</v>
      </c>
      <c r="I6577" s="5" t="s">
        <v>15107</v>
      </c>
      <c r="J6577" s="12" t="str">
        <f>HYPERLINK("https://www.boe.es/gazeta/dias/1800/12/02/pdfs/GMD-1800-97.pdf#page=9","Abrir facsímil")</f>
        <v>Abrir facsímil</v>
      </c>
      <c r="K6577" s="15" t="s">
        <v>23</v>
      </c>
    </row>
    <row r="6578" spans="1:11" ht="42" customHeight="1">
      <c r="A6578" s="4" t="s">
        <v>15108</v>
      </c>
      <c r="B6578" s="5" t="s">
        <v>15109</v>
      </c>
      <c r="C6578" s="5" t="s">
        <v>18</v>
      </c>
      <c r="D6578" s="5" t="s">
        <v>19</v>
      </c>
      <c r="E6578" s="5" t="s">
        <v>139</v>
      </c>
      <c r="F6578" s="9">
        <v>2</v>
      </c>
      <c r="G6578" s="9">
        <v>17</v>
      </c>
      <c r="H6578" s="5" t="s">
        <v>21</v>
      </c>
      <c r="I6578" s="5" t="s">
        <v>15110</v>
      </c>
      <c r="J6578" s="12" t="str">
        <f>HYPERLINK("https://www.boe.es/gazeta/dias/1800/01/07/pdfs/GMD-1800-2.pdf#page=9","Abrir facsímil")</f>
        <v>Abrir facsímil</v>
      </c>
      <c r="K6578" s="15" t="s">
        <v>23</v>
      </c>
    </row>
    <row r="6579" spans="1:11" ht="42" customHeight="1">
      <c r="A6579" s="4" t="s">
        <v>15111</v>
      </c>
      <c r="B6579" s="5" t="s">
        <v>15112</v>
      </c>
      <c r="C6579" s="5" t="s">
        <v>18</v>
      </c>
      <c r="D6579" s="5" t="s">
        <v>19</v>
      </c>
      <c r="E6579" s="5" t="s">
        <v>90</v>
      </c>
      <c r="F6579" s="9">
        <v>58</v>
      </c>
      <c r="G6579" s="9">
        <v>663</v>
      </c>
      <c r="H6579" s="5" t="s">
        <v>21</v>
      </c>
      <c r="I6579" s="5" t="s">
        <v>15113</v>
      </c>
      <c r="J6579" s="12" t="str">
        <f>HYPERLINK("https://www.boe.es/gazeta/dias/1800/07/22/pdfs/GMD-1800-58.pdf#page=11","Abrir facsímil")</f>
        <v>Abrir facsímil</v>
      </c>
      <c r="K6579" s="15" t="s">
        <v>23</v>
      </c>
    </row>
    <row r="6580" spans="1:11" ht="42" customHeight="1">
      <c r="A6580" s="4" t="s">
        <v>15114</v>
      </c>
      <c r="B6580" s="5" t="s">
        <v>15115</v>
      </c>
      <c r="C6580" s="5" t="s">
        <v>25</v>
      </c>
      <c r="D6580" s="5" t="s">
        <v>26</v>
      </c>
      <c r="E6580" s="5" t="s">
        <v>1127</v>
      </c>
      <c r="F6580" s="9">
        <v>11</v>
      </c>
      <c r="G6580" s="9">
        <v>108</v>
      </c>
      <c r="H6580" s="5" t="s">
        <v>21</v>
      </c>
      <c r="I6580" s="5" t="s">
        <v>15116</v>
      </c>
      <c r="J6580" s="12" t="str">
        <f>HYPERLINK("https://www.boe.es/gazeta/dias/1800/02/07/pdfs/GMD-1800-11.pdf#page=8","Abrir facsímil")</f>
        <v>Abrir facsímil</v>
      </c>
      <c r="K6580" s="15" t="s">
        <v>23</v>
      </c>
    </row>
    <row r="6581" spans="1:11" ht="42" customHeight="1">
      <c r="A6581" s="4" t="s">
        <v>15117</v>
      </c>
      <c r="B6581" s="5" t="s">
        <v>15118</v>
      </c>
      <c r="C6581" s="5" t="s">
        <v>41</v>
      </c>
      <c r="D6581" s="5" t="s">
        <v>42</v>
      </c>
      <c r="E6581" s="5" t="s">
        <v>64</v>
      </c>
      <c r="F6581" s="9">
        <v>54</v>
      </c>
      <c r="G6581" s="9">
        <v>604</v>
      </c>
      <c r="H6581" s="5" t="s">
        <v>21</v>
      </c>
      <c r="I6581" s="5" t="s">
        <v>15119</v>
      </c>
      <c r="J6581" s="12" t="str">
        <f>HYPERLINK("https://www.boe.es/gazeta/dias/1800/07/08/pdfs/GMD-1800-54.pdf#page=8","Abrir facsímil")</f>
        <v>Abrir facsímil</v>
      </c>
      <c r="K6581" s="15" t="s">
        <v>23</v>
      </c>
    </row>
    <row r="6582" spans="1:11" ht="42" customHeight="1">
      <c r="A6582" s="4" t="s">
        <v>15120</v>
      </c>
      <c r="B6582" s="5" t="s">
        <v>15121</v>
      </c>
      <c r="C6582" s="5" t="s">
        <v>41</v>
      </c>
      <c r="D6582" s="5" t="s">
        <v>42</v>
      </c>
      <c r="E6582" s="5" t="s">
        <v>64</v>
      </c>
      <c r="F6582" s="9">
        <v>54</v>
      </c>
      <c r="G6582" s="9">
        <v>604</v>
      </c>
      <c r="H6582" s="5" t="s">
        <v>21</v>
      </c>
      <c r="I6582" s="5" t="s">
        <v>15122</v>
      </c>
      <c r="J6582" s="12" t="str">
        <f>HYPERLINK("https://www.boe.es/gazeta/dias/1800/07/08/pdfs/GMD-1800-54.pdf#page=8","Abrir facsímil")</f>
        <v>Abrir facsímil</v>
      </c>
      <c r="K6582" s="15" t="s">
        <v>23</v>
      </c>
    </row>
    <row r="6583" spans="1:11" ht="42" customHeight="1">
      <c r="A6583" s="4" t="s">
        <v>15123</v>
      </c>
      <c r="B6583" s="5" t="s">
        <v>15124</v>
      </c>
      <c r="C6583" s="5" t="s">
        <v>41</v>
      </c>
      <c r="D6583" s="5" t="s">
        <v>42</v>
      </c>
      <c r="E6583" s="5" t="s">
        <v>620</v>
      </c>
      <c r="F6583" s="9">
        <v>19</v>
      </c>
      <c r="G6583" s="9">
        <v>181</v>
      </c>
      <c r="H6583" s="5" t="s">
        <v>21</v>
      </c>
      <c r="I6583" s="5" t="s">
        <v>15125</v>
      </c>
      <c r="J6583" s="12" t="str">
        <f>HYPERLINK("https://www.boe.es/gazeta/dias/1800/03/07/pdfs/GMD-1800-19.pdf#page=5","Abrir facsímil")</f>
        <v>Abrir facsímil</v>
      </c>
      <c r="K6583" s="15" t="s">
        <v>23</v>
      </c>
    </row>
    <row r="6584" spans="1:11" ht="42" customHeight="1">
      <c r="A6584" s="4" t="s">
        <v>15123</v>
      </c>
      <c r="B6584" s="5" t="s">
        <v>15124</v>
      </c>
      <c r="C6584" s="5" t="s">
        <v>41</v>
      </c>
      <c r="D6584" s="5" t="s">
        <v>42</v>
      </c>
      <c r="E6584" s="5" t="s">
        <v>64</v>
      </c>
      <c r="F6584" s="9">
        <v>54</v>
      </c>
      <c r="G6584" s="9">
        <v>601</v>
      </c>
      <c r="H6584" s="5" t="s">
        <v>21</v>
      </c>
      <c r="I6584" s="5" t="s">
        <v>15126</v>
      </c>
      <c r="J6584" s="12" t="str">
        <f>HYPERLINK("https://www.boe.es/gazeta/dias/1800/07/08/pdfs/GMD-1800-54.pdf#page=5","Abrir facsímil")</f>
        <v>Abrir facsímil</v>
      </c>
      <c r="K6584" s="15" t="s">
        <v>23</v>
      </c>
    </row>
    <row r="6585" spans="1:11" ht="42" customHeight="1">
      <c r="A6585" s="4" t="s">
        <v>15123</v>
      </c>
      <c r="B6585" s="5" t="s">
        <v>15124</v>
      </c>
      <c r="C6585" s="5" t="s">
        <v>25</v>
      </c>
      <c r="D6585" s="5" t="s">
        <v>26</v>
      </c>
      <c r="E6585" s="5" t="s">
        <v>615</v>
      </c>
      <c r="F6585" s="9">
        <v>95</v>
      </c>
      <c r="G6585" s="9">
        <v>1088</v>
      </c>
      <c r="H6585" s="5" t="s">
        <v>21</v>
      </c>
      <c r="I6585" s="5" t="s">
        <v>15127</v>
      </c>
      <c r="J6585" s="12" t="str">
        <f>HYPERLINK("https://www.boe.es/gazeta/dias/1800/11/25/pdfs/GMD-1800-95.pdf#page=6","Abrir facsímil")</f>
        <v>Abrir facsímil</v>
      </c>
      <c r="K6585" s="15" t="s">
        <v>23</v>
      </c>
    </row>
    <row r="6586" spans="1:11" ht="42" customHeight="1">
      <c r="A6586" s="4" t="s">
        <v>15128</v>
      </c>
      <c r="B6586" s="5" t="s">
        <v>15129</v>
      </c>
      <c r="C6586" s="5" t="s">
        <v>41</v>
      </c>
      <c r="D6586" s="5" t="s">
        <v>42</v>
      </c>
      <c r="E6586" s="5" t="s">
        <v>787</v>
      </c>
      <c r="F6586" s="9">
        <v>6</v>
      </c>
      <c r="G6586" s="9">
        <v>53</v>
      </c>
      <c r="H6586" s="5" t="s">
        <v>21</v>
      </c>
      <c r="I6586" s="5" t="s">
        <v>15130</v>
      </c>
      <c r="J6586" s="12" t="str">
        <f>HYPERLINK("https://www.boe.es/gazeta/dias/1800/01/21/pdfs/GMD-1800-6.pdf#page=5","Abrir facsímil")</f>
        <v>Abrir facsímil</v>
      </c>
      <c r="K6586" s="15" t="s">
        <v>23</v>
      </c>
    </row>
    <row r="6587" spans="1:11" ht="42" customHeight="1">
      <c r="A6587" s="4" t="s">
        <v>15131</v>
      </c>
      <c r="B6587" s="5" t="s">
        <v>15131</v>
      </c>
      <c r="C6587" s="5" t="s">
        <v>18</v>
      </c>
      <c r="D6587" s="5" t="s">
        <v>19</v>
      </c>
      <c r="E6587" s="5" t="s">
        <v>39</v>
      </c>
      <c r="F6587" s="9">
        <v>43</v>
      </c>
      <c r="G6587" s="9">
        <v>445</v>
      </c>
      <c r="H6587" s="5" t="s">
        <v>21</v>
      </c>
      <c r="I6587" s="5" t="s">
        <v>15132</v>
      </c>
      <c r="J6587" s="12" t="str">
        <f>HYPERLINK("https://www.boe.es/gazeta/dias/1800/05/30/pdfs/GMD-1800-43.pdf#page=5","Abrir facsímil")</f>
        <v>Abrir facsímil</v>
      </c>
      <c r="K6587" s="15" t="s">
        <v>23</v>
      </c>
    </row>
    <row r="6588" spans="1:11" ht="42" customHeight="1">
      <c r="A6588" s="4" t="s">
        <v>15133</v>
      </c>
      <c r="B6588" s="5" t="s">
        <v>15134</v>
      </c>
      <c r="C6588" s="5" t="s">
        <v>18</v>
      </c>
      <c r="D6588" s="5" t="s">
        <v>19</v>
      </c>
      <c r="E6588" s="5" t="s">
        <v>402</v>
      </c>
      <c r="F6588" s="9">
        <v>101</v>
      </c>
      <c r="G6588" s="9">
        <v>1172</v>
      </c>
      <c r="H6588" s="5" t="s">
        <v>21</v>
      </c>
      <c r="I6588" s="5" t="s">
        <v>15135</v>
      </c>
      <c r="J6588" s="12" t="str">
        <f>HYPERLINK("https://www.boe.es/gazeta/dias/1800/12/16/pdfs/GMD-1800-101.pdf#page=8","Abrir facsímil")</f>
        <v>Abrir facsímil</v>
      </c>
      <c r="K6588" s="15" t="s">
        <v>23</v>
      </c>
    </row>
    <row r="6589" spans="1:11" ht="42" customHeight="1">
      <c r="A6589" s="4" t="s">
        <v>15136</v>
      </c>
      <c r="B6589" s="5" t="s">
        <v>15137</v>
      </c>
      <c r="C6589" s="5" t="s">
        <v>41</v>
      </c>
      <c r="D6589" s="5" t="s">
        <v>42</v>
      </c>
      <c r="E6589" s="5" t="s">
        <v>244</v>
      </c>
      <c r="F6589" s="9">
        <v>9</v>
      </c>
      <c r="G6589" s="9">
        <v>82</v>
      </c>
      <c r="H6589" s="5" t="s">
        <v>21</v>
      </c>
      <c r="I6589" s="5" t="s">
        <v>15138</v>
      </c>
      <c r="J6589" s="12" t="str">
        <f>HYPERLINK("https://www.boe.es/gazeta/dias/1800/01/31/pdfs/GMD-1800-9.pdf#page=6","Abrir facsímil")</f>
        <v>Abrir facsímil</v>
      </c>
      <c r="K6589" s="15" t="s">
        <v>23</v>
      </c>
    </row>
    <row r="6590" spans="1:11" ht="42" customHeight="1">
      <c r="A6590" s="4" t="s">
        <v>15136</v>
      </c>
      <c r="B6590" s="5" t="s">
        <v>15137</v>
      </c>
      <c r="C6590" s="5" t="s">
        <v>41</v>
      </c>
      <c r="D6590" s="5" t="s">
        <v>42</v>
      </c>
      <c r="E6590" s="5" t="s">
        <v>244</v>
      </c>
      <c r="F6590" s="9">
        <v>9</v>
      </c>
      <c r="G6590" s="9">
        <v>83</v>
      </c>
      <c r="H6590" s="5" t="s">
        <v>21</v>
      </c>
      <c r="I6590" s="5" t="s">
        <v>15139</v>
      </c>
      <c r="J6590" s="12" t="str">
        <f>HYPERLINK("https://www.boe.es/gazeta/dias/1800/01/31/pdfs/GMD-1800-9.pdf#page=7","Abrir facsímil")</f>
        <v>Abrir facsímil</v>
      </c>
      <c r="K6590" s="15" t="s">
        <v>23</v>
      </c>
    </row>
    <row r="6591" spans="1:11" ht="42" customHeight="1">
      <c r="A6591" s="4" t="s">
        <v>15140</v>
      </c>
      <c r="B6591" s="5" t="s">
        <v>15141</v>
      </c>
      <c r="C6591" s="5" t="s">
        <v>41</v>
      </c>
      <c r="D6591" s="5" t="s">
        <v>42</v>
      </c>
      <c r="E6591" s="5" t="s">
        <v>79</v>
      </c>
      <c r="F6591" s="9">
        <v>7</v>
      </c>
      <c r="G6591" s="9">
        <v>64</v>
      </c>
      <c r="H6591" s="5" t="s">
        <v>21</v>
      </c>
      <c r="I6591" s="5" t="s">
        <v>15142</v>
      </c>
      <c r="J6591" s="12" t="str">
        <f>HYPERLINK("https://www.boe.es/gazeta/dias/1800/01/24/pdfs/GMD-1800-7.pdf#page=4","Abrir facsímil")</f>
        <v>Abrir facsímil</v>
      </c>
      <c r="K6591" s="15" t="s">
        <v>23</v>
      </c>
    </row>
    <row r="6592" spans="1:11" ht="42" customHeight="1">
      <c r="A6592" s="4" t="s">
        <v>15140</v>
      </c>
      <c r="B6592" s="5" t="s">
        <v>15141</v>
      </c>
      <c r="C6592" s="5" t="s">
        <v>41</v>
      </c>
      <c r="D6592" s="5" t="s">
        <v>42</v>
      </c>
      <c r="E6592" s="5" t="s">
        <v>1108</v>
      </c>
      <c r="F6592" s="9">
        <v>30</v>
      </c>
      <c r="G6592" s="9">
        <v>305</v>
      </c>
      <c r="H6592" s="5" t="s">
        <v>21</v>
      </c>
      <c r="I6592" s="5" t="s">
        <v>15143</v>
      </c>
      <c r="J6592" s="12" t="str">
        <f>HYPERLINK("https://www.boe.es/gazeta/dias/1800/04/15/pdfs/GMD-1800-30.pdf#page=5","Abrir facsímil")</f>
        <v>Abrir facsímil</v>
      </c>
      <c r="K6592" s="15" t="s">
        <v>23</v>
      </c>
    </row>
    <row r="6593" spans="1:11" ht="42" customHeight="1">
      <c r="A6593" s="4" t="s">
        <v>15140</v>
      </c>
      <c r="B6593" s="5" t="s">
        <v>15141</v>
      </c>
      <c r="C6593" s="5" t="s">
        <v>25</v>
      </c>
      <c r="D6593" s="5" t="s">
        <v>26</v>
      </c>
      <c r="E6593" s="5" t="s">
        <v>356</v>
      </c>
      <c r="F6593" s="9">
        <v>31</v>
      </c>
      <c r="G6593" s="9">
        <v>314</v>
      </c>
      <c r="H6593" s="5" t="s">
        <v>21</v>
      </c>
      <c r="I6593" s="5" t="s">
        <v>15144</v>
      </c>
      <c r="J6593" s="12" t="str">
        <f>HYPERLINK("https://www.boe.es/gazeta/dias/1800/04/18/pdfs/GMD-1800-31.pdf#page=6","Abrir facsímil")</f>
        <v>Abrir facsímil</v>
      </c>
      <c r="K6593" s="15" t="s">
        <v>23</v>
      </c>
    </row>
    <row r="6594" spans="1:11" ht="42" customHeight="1">
      <c r="A6594" s="4" t="s">
        <v>15140</v>
      </c>
      <c r="B6594" s="5" t="s">
        <v>15141</v>
      </c>
      <c r="C6594" s="5" t="s">
        <v>41</v>
      </c>
      <c r="D6594" s="5" t="s">
        <v>42</v>
      </c>
      <c r="E6594" s="5" t="s">
        <v>299</v>
      </c>
      <c r="F6594" s="9">
        <v>40</v>
      </c>
      <c r="G6594" s="9">
        <v>409</v>
      </c>
      <c r="H6594" s="5" t="s">
        <v>21</v>
      </c>
      <c r="I6594" s="5" t="s">
        <v>15145</v>
      </c>
      <c r="J6594" s="12" t="str">
        <f>HYPERLINK("https://www.boe.es/gazeta/dias/1800/05/20/pdfs/GMD-1800-40.pdf#page=5","Abrir facsímil")</f>
        <v>Abrir facsímil</v>
      </c>
      <c r="K6594" s="15" t="s">
        <v>23</v>
      </c>
    </row>
    <row r="6595" spans="1:11" ht="42" customHeight="1">
      <c r="A6595" s="4" t="s">
        <v>15140</v>
      </c>
      <c r="B6595" s="5" t="s">
        <v>15141</v>
      </c>
      <c r="C6595" s="5" t="s">
        <v>41</v>
      </c>
      <c r="D6595" s="5" t="s">
        <v>42</v>
      </c>
      <c r="E6595" s="5" t="s">
        <v>2338</v>
      </c>
      <c r="F6595" s="9">
        <v>42</v>
      </c>
      <c r="G6595" s="9">
        <v>432</v>
      </c>
      <c r="H6595" s="5" t="s">
        <v>21</v>
      </c>
      <c r="I6595" s="5" t="s">
        <v>15146</v>
      </c>
      <c r="J6595" s="12" t="str">
        <f>HYPERLINK("https://www.boe.es/gazeta/dias/1800/05/27/pdfs/GMD-1800-42.pdf#page=4","Abrir facsímil")</f>
        <v>Abrir facsímil</v>
      </c>
      <c r="K6595" s="15" t="s">
        <v>23</v>
      </c>
    </row>
    <row r="6596" spans="1:11" ht="42" customHeight="1">
      <c r="A6596" s="4" t="s">
        <v>15140</v>
      </c>
      <c r="B6596" s="5" t="s">
        <v>15141</v>
      </c>
      <c r="C6596" s="5" t="s">
        <v>41</v>
      </c>
      <c r="D6596" s="5" t="s">
        <v>42</v>
      </c>
      <c r="E6596" s="5" t="s">
        <v>2338</v>
      </c>
      <c r="F6596" s="9">
        <v>42</v>
      </c>
      <c r="G6596" s="9">
        <v>433</v>
      </c>
      <c r="H6596" s="5" t="s">
        <v>21</v>
      </c>
      <c r="I6596" s="5" t="s">
        <v>15147</v>
      </c>
      <c r="J6596" s="12" t="str">
        <f>HYPERLINK("https://www.boe.es/gazeta/dias/1800/05/27/pdfs/GMD-1800-42.pdf#page=5","Abrir facsímil")</f>
        <v>Abrir facsímil</v>
      </c>
      <c r="K6596" s="15" t="s">
        <v>23</v>
      </c>
    </row>
    <row r="6597" spans="1:11" ht="42" customHeight="1">
      <c r="A6597" s="4" t="s">
        <v>15140</v>
      </c>
      <c r="B6597" s="5" t="s">
        <v>15141</v>
      </c>
      <c r="C6597" s="5" t="s">
        <v>41</v>
      </c>
      <c r="D6597" s="5" t="s">
        <v>42</v>
      </c>
      <c r="E6597" s="5" t="s">
        <v>39</v>
      </c>
      <c r="F6597" s="9">
        <v>43</v>
      </c>
      <c r="G6597" s="9">
        <v>445</v>
      </c>
      <c r="H6597" s="5" t="s">
        <v>21</v>
      </c>
      <c r="I6597" s="5" t="s">
        <v>15148</v>
      </c>
      <c r="J6597" s="12" t="str">
        <f>HYPERLINK("https://www.boe.es/gazeta/dias/1800/05/30/pdfs/GMD-1800-43.pdf#page=5","Abrir facsímil")</f>
        <v>Abrir facsímil</v>
      </c>
      <c r="K6597" s="15" t="s">
        <v>23</v>
      </c>
    </row>
    <row r="6598" spans="1:11" ht="42" customHeight="1">
      <c r="A6598" s="4" t="s">
        <v>15140</v>
      </c>
      <c r="B6598" s="5" t="s">
        <v>15141</v>
      </c>
      <c r="C6598" s="5" t="s">
        <v>41</v>
      </c>
      <c r="D6598" s="5" t="s">
        <v>42</v>
      </c>
      <c r="E6598" s="5" t="s">
        <v>39</v>
      </c>
      <c r="F6598" s="9">
        <v>43</v>
      </c>
      <c r="G6598" s="9">
        <v>446</v>
      </c>
      <c r="H6598" s="5" t="s">
        <v>21</v>
      </c>
      <c r="I6598" s="5" t="s">
        <v>15149</v>
      </c>
      <c r="J6598" s="12" t="str">
        <f>HYPERLINK("https://www.boe.es/gazeta/dias/1800/05/30/pdfs/GMD-1800-43.pdf#page=6","Abrir facsímil")</f>
        <v>Abrir facsímil</v>
      </c>
      <c r="K6598" s="15" t="s">
        <v>23</v>
      </c>
    </row>
    <row r="6599" spans="1:11" ht="42" customHeight="1">
      <c r="A6599" s="4" t="s">
        <v>15140</v>
      </c>
      <c r="B6599" s="5" t="s">
        <v>15141</v>
      </c>
      <c r="C6599" s="5" t="s">
        <v>41</v>
      </c>
      <c r="D6599" s="5" t="s">
        <v>42</v>
      </c>
      <c r="E6599" s="5" t="s">
        <v>406</v>
      </c>
      <c r="F6599" s="9">
        <v>44</v>
      </c>
      <c r="G6599" s="9">
        <v>458</v>
      </c>
      <c r="H6599" s="5" t="s">
        <v>21</v>
      </c>
      <c r="I6599" s="5" t="s">
        <v>15150</v>
      </c>
      <c r="J6599" s="12" t="str">
        <f>HYPERLINK("https://www.boe.es/gazeta/dias/1800/06/03/pdfs/GMD-1800-44.pdf#page=6","Abrir facsímil")</f>
        <v>Abrir facsímil</v>
      </c>
      <c r="K6599" s="15" t="s">
        <v>23</v>
      </c>
    </row>
    <row r="6600" spans="1:11" ht="42" customHeight="1">
      <c r="A6600" s="4" t="s">
        <v>15140</v>
      </c>
      <c r="B6600" s="5" t="s">
        <v>15141</v>
      </c>
      <c r="C6600" s="5" t="s">
        <v>18</v>
      </c>
      <c r="D6600" s="5" t="s">
        <v>19</v>
      </c>
      <c r="E6600" s="5" t="s">
        <v>406</v>
      </c>
      <c r="F6600" s="9">
        <v>44</v>
      </c>
      <c r="G6600" s="9">
        <v>459</v>
      </c>
      <c r="H6600" s="5" t="s">
        <v>21</v>
      </c>
      <c r="I6600" s="5" t="s">
        <v>15151</v>
      </c>
      <c r="J6600" s="12" t="str">
        <f>HYPERLINK("https://www.boe.es/gazeta/dias/1800/06/03/pdfs/GMD-1800-44.pdf#page=7","Abrir facsímil")</f>
        <v>Abrir facsímil</v>
      </c>
      <c r="K6600" s="15" t="s">
        <v>23</v>
      </c>
    </row>
    <row r="6601" spans="1:11" ht="42" customHeight="1">
      <c r="A6601" s="4" t="s">
        <v>15140</v>
      </c>
      <c r="B6601" s="5" t="s">
        <v>15141</v>
      </c>
      <c r="C6601" s="5" t="s">
        <v>41</v>
      </c>
      <c r="D6601" s="5" t="s">
        <v>42</v>
      </c>
      <c r="E6601" s="5" t="s">
        <v>600</v>
      </c>
      <c r="F6601" s="9">
        <v>45</v>
      </c>
      <c r="G6601" s="9">
        <v>468</v>
      </c>
      <c r="H6601" s="5" t="s">
        <v>21</v>
      </c>
      <c r="I6601" s="5" t="s">
        <v>15152</v>
      </c>
      <c r="J6601" s="12" t="str">
        <f>HYPERLINK("https://www.boe.es/gazeta/dias/1800/06/06/pdfs/GMD-1800-45.pdf#page=4","Abrir facsímil")</f>
        <v>Abrir facsímil</v>
      </c>
      <c r="K6601" s="15" t="s">
        <v>23</v>
      </c>
    </row>
    <row r="6602" spans="1:11" ht="42" customHeight="1">
      <c r="A6602" s="4" t="s">
        <v>15140</v>
      </c>
      <c r="B6602" s="5" t="s">
        <v>15141</v>
      </c>
      <c r="C6602" s="5" t="s">
        <v>41</v>
      </c>
      <c r="D6602" s="5" t="s">
        <v>42</v>
      </c>
      <c r="E6602" s="5" t="s">
        <v>120</v>
      </c>
      <c r="F6602" s="9">
        <v>52</v>
      </c>
      <c r="G6602" s="9">
        <v>566</v>
      </c>
      <c r="H6602" s="5" t="s">
        <v>21</v>
      </c>
      <c r="I6602" s="5" t="s">
        <v>15153</v>
      </c>
      <c r="J6602" s="12" t="str">
        <f>HYPERLINK("https://www.boe.es/gazeta/dias/1800/07/01/pdfs/GMD-1800-52.pdf#page=2","Abrir facsímil")</f>
        <v>Abrir facsímil</v>
      </c>
      <c r="K6602" s="15" t="s">
        <v>23</v>
      </c>
    </row>
    <row r="6603" spans="1:11" ht="42" customHeight="1">
      <c r="A6603" s="4" t="s">
        <v>15140</v>
      </c>
      <c r="B6603" s="5" t="s">
        <v>15141</v>
      </c>
      <c r="C6603" s="5" t="s">
        <v>41</v>
      </c>
      <c r="D6603" s="5" t="s">
        <v>42</v>
      </c>
      <c r="E6603" s="5" t="s">
        <v>828</v>
      </c>
      <c r="F6603" s="9">
        <v>53</v>
      </c>
      <c r="G6603" s="9">
        <v>584</v>
      </c>
      <c r="H6603" s="5" t="s">
        <v>21</v>
      </c>
      <c r="I6603" s="5" t="s">
        <v>15154</v>
      </c>
      <c r="J6603" s="12" t="str">
        <f>HYPERLINK("https://www.boe.es/gazeta/dias/1800/07/04/pdfs/GMD-1800-53.pdf#page=4","Abrir facsímil")</f>
        <v>Abrir facsímil</v>
      </c>
      <c r="K6603" s="15" t="s">
        <v>23</v>
      </c>
    </row>
    <row r="6604" spans="1:11" ht="42" customHeight="1">
      <c r="A6604" s="4" t="s">
        <v>15140</v>
      </c>
      <c r="B6604" s="5" t="s">
        <v>15141</v>
      </c>
      <c r="C6604" s="5" t="s">
        <v>18</v>
      </c>
      <c r="D6604" s="5" t="s">
        <v>19</v>
      </c>
      <c r="E6604" s="5" t="s">
        <v>64</v>
      </c>
      <c r="F6604" s="9">
        <v>54</v>
      </c>
      <c r="G6604" s="9">
        <v>603</v>
      </c>
      <c r="H6604" s="5" t="s">
        <v>21</v>
      </c>
      <c r="I6604" s="5" t="s">
        <v>15155</v>
      </c>
      <c r="J6604" s="12" t="str">
        <f>HYPERLINK("https://www.boe.es/gazeta/dias/1800/07/08/pdfs/GMD-1800-54.pdf#page=7","Abrir facsímil")</f>
        <v>Abrir facsímil</v>
      </c>
      <c r="K6604" s="15" t="s">
        <v>23</v>
      </c>
    </row>
    <row r="6605" spans="1:11" ht="42" customHeight="1">
      <c r="A6605" s="4" t="s">
        <v>15140</v>
      </c>
      <c r="B6605" s="5" t="s">
        <v>15141</v>
      </c>
      <c r="C6605" s="5" t="s">
        <v>41</v>
      </c>
      <c r="D6605" s="5" t="s">
        <v>42</v>
      </c>
      <c r="E6605" s="5" t="s">
        <v>530</v>
      </c>
      <c r="F6605" s="9">
        <v>55</v>
      </c>
      <c r="G6605" s="9">
        <v>617</v>
      </c>
      <c r="H6605" s="5" t="s">
        <v>21</v>
      </c>
      <c r="I6605" s="5" t="s">
        <v>15156</v>
      </c>
      <c r="J6605" s="12" t="str">
        <f>HYPERLINK("https://www.boe.es/gazeta/dias/1800/07/11/pdfs/GMD-1800-55.pdf#page=5","Abrir facsímil")</f>
        <v>Abrir facsímil</v>
      </c>
      <c r="K6605" s="15" t="s">
        <v>23</v>
      </c>
    </row>
    <row r="6606" spans="1:11" ht="42" customHeight="1">
      <c r="A6606" s="4" t="s">
        <v>15140</v>
      </c>
      <c r="B6606" s="5" t="s">
        <v>15141</v>
      </c>
      <c r="C6606" s="5" t="s">
        <v>41</v>
      </c>
      <c r="D6606" s="5" t="s">
        <v>42</v>
      </c>
      <c r="E6606" s="5" t="s">
        <v>111</v>
      </c>
      <c r="F6606" s="9">
        <v>98</v>
      </c>
      <c r="G6606" s="9">
        <v>1125</v>
      </c>
      <c r="H6606" s="5" t="s">
        <v>21</v>
      </c>
      <c r="I6606" s="5" t="s">
        <v>15157</v>
      </c>
      <c r="J6606" s="12" t="str">
        <f>HYPERLINK("https://www.boe.es/gazeta/dias/1800/12/05/pdfs/GMD-1800-98.pdf#page=5","Abrir facsímil")</f>
        <v>Abrir facsímil</v>
      </c>
      <c r="K6606" s="15" t="s">
        <v>23</v>
      </c>
    </row>
    <row r="6607" spans="1:11" ht="42" customHeight="1">
      <c r="A6607" s="4" t="s">
        <v>15158</v>
      </c>
      <c r="B6607" s="5" t="s">
        <v>15159</v>
      </c>
      <c r="C6607" s="5" t="s">
        <v>18</v>
      </c>
      <c r="D6607" s="5" t="s">
        <v>19</v>
      </c>
      <c r="E6607" s="5" t="s">
        <v>310</v>
      </c>
      <c r="F6607" s="9">
        <v>56</v>
      </c>
      <c r="G6607" s="9">
        <v>627</v>
      </c>
      <c r="H6607" s="5" t="s">
        <v>21</v>
      </c>
      <c r="I6607" s="5" t="s">
        <v>15160</v>
      </c>
      <c r="J6607" s="12" t="str">
        <f>HYPERLINK("https://www.boe.es/gazeta/dias/1800/07/15/pdfs/GMD-1800-56.pdf#page=3","Abrir facsímil")</f>
        <v>Abrir facsímil</v>
      </c>
      <c r="K6607" s="15" t="s">
        <v>23</v>
      </c>
    </row>
    <row r="6608" spans="1:11" ht="42" customHeight="1">
      <c r="A6608" s="4" t="s">
        <v>15161</v>
      </c>
      <c r="B6608" s="5" t="s">
        <v>15162</v>
      </c>
      <c r="C6608" s="5" t="s">
        <v>41</v>
      </c>
      <c r="D6608" s="5" t="s">
        <v>42</v>
      </c>
      <c r="E6608" s="5" t="s">
        <v>825</v>
      </c>
      <c r="F6608" s="9">
        <v>51</v>
      </c>
      <c r="G6608" s="9">
        <v>560</v>
      </c>
      <c r="H6608" s="5" t="s">
        <v>21</v>
      </c>
      <c r="I6608" s="5" t="s">
        <v>15163</v>
      </c>
      <c r="J6608" s="12" t="str">
        <f>HYPERLINK("https://www.boe.es/gazeta/dias/1800/06/27/pdfs/GMD-1800-51.pdf#page=12","Abrir facsímil")</f>
        <v>Abrir facsímil</v>
      </c>
      <c r="K6608" s="15" t="s">
        <v>23</v>
      </c>
    </row>
    <row r="6609" spans="1:11" ht="42" customHeight="1">
      <c r="A6609" s="4" t="s">
        <v>15164</v>
      </c>
      <c r="B6609" s="5" t="s">
        <v>15165</v>
      </c>
      <c r="C6609" s="5" t="s">
        <v>41</v>
      </c>
      <c r="D6609" s="5" t="s">
        <v>42</v>
      </c>
      <c r="E6609" s="5" t="s">
        <v>406</v>
      </c>
      <c r="F6609" s="9">
        <v>44</v>
      </c>
      <c r="G6609" s="9">
        <v>460</v>
      </c>
      <c r="H6609" s="5" t="s">
        <v>21</v>
      </c>
      <c r="I6609" s="5" t="s">
        <v>15166</v>
      </c>
      <c r="J6609" s="12" t="str">
        <f>HYPERLINK("https://www.boe.es/gazeta/dias/1800/06/03/pdfs/GMD-1800-44.pdf#page=8","Abrir facsímil")</f>
        <v>Abrir facsímil</v>
      </c>
      <c r="K6609" s="15" t="s">
        <v>23</v>
      </c>
    </row>
    <row r="6610" spans="1:11" ht="42" customHeight="1">
      <c r="A6610" s="4" t="s">
        <v>15167</v>
      </c>
      <c r="B6610" s="5" t="s">
        <v>15167</v>
      </c>
      <c r="C6610" s="5" t="s">
        <v>25</v>
      </c>
      <c r="D6610" s="5" t="s">
        <v>26</v>
      </c>
      <c r="E6610" s="5" t="s">
        <v>50</v>
      </c>
      <c r="F6610" s="9">
        <v>81</v>
      </c>
      <c r="G6610" s="9">
        <v>917</v>
      </c>
      <c r="H6610" s="5" t="s">
        <v>21</v>
      </c>
      <c r="I6610" s="5" t="s">
        <v>15168</v>
      </c>
      <c r="J6610" s="12" t="str">
        <f>HYPERLINK("https://www.boe.es/gazeta/dias/1800/10/07/pdfs/GMD-1800-81.pdf#page=7","Abrir facsímil")</f>
        <v>Abrir facsímil</v>
      </c>
      <c r="K6610" s="15" t="s">
        <v>23</v>
      </c>
    </row>
    <row r="6611" spans="1:11" ht="42" customHeight="1">
      <c r="A6611" s="4" t="s">
        <v>15169</v>
      </c>
      <c r="B6611" s="5" t="s">
        <v>15170</v>
      </c>
      <c r="C6611" s="5" t="s">
        <v>41</v>
      </c>
      <c r="D6611" s="5" t="s">
        <v>42</v>
      </c>
      <c r="E6611" s="5" t="s">
        <v>1287</v>
      </c>
      <c r="F6611" s="9">
        <v>57</v>
      </c>
      <c r="G6611" s="9">
        <v>645</v>
      </c>
      <c r="H6611" s="5" t="s">
        <v>21</v>
      </c>
      <c r="I6611" s="5" t="s">
        <v>15171</v>
      </c>
      <c r="J6611" s="12" t="str">
        <f>HYPERLINK("https://www.boe.es/gazeta/dias/1800/07/18/pdfs/GMD-1800-57.pdf#page=9","Abrir facsímil")</f>
        <v>Abrir facsímil</v>
      </c>
      <c r="K6611" s="15" t="s">
        <v>23</v>
      </c>
    </row>
    <row r="6612" spans="1:11" ht="42" customHeight="1">
      <c r="A6612" s="4" t="s">
        <v>15172</v>
      </c>
      <c r="B6612" s="5" t="s">
        <v>15173</v>
      </c>
      <c r="C6612" s="5" t="s">
        <v>41</v>
      </c>
      <c r="D6612" s="5" t="s">
        <v>42</v>
      </c>
      <c r="E6612" s="5" t="s">
        <v>314</v>
      </c>
      <c r="F6612" s="9">
        <v>74</v>
      </c>
      <c r="G6612" s="9">
        <v>825</v>
      </c>
      <c r="H6612" s="5" t="s">
        <v>21</v>
      </c>
      <c r="I6612" s="5" t="s">
        <v>15174</v>
      </c>
      <c r="J6612" s="12" t="str">
        <f>HYPERLINK("https://www.boe.es/gazeta/dias/1800/09/12/pdfs/GMD-1800-74.pdf#page=3","Abrir facsímil")</f>
        <v>Abrir facsímil</v>
      </c>
      <c r="K6612" s="15" t="s">
        <v>23</v>
      </c>
    </row>
    <row r="6613" spans="1:11" ht="42" customHeight="1">
      <c r="A6613" s="4" t="s">
        <v>15175</v>
      </c>
      <c r="B6613" s="5" t="s">
        <v>15176</v>
      </c>
      <c r="C6613" s="5" t="s">
        <v>41</v>
      </c>
      <c r="D6613" s="5" t="s">
        <v>42</v>
      </c>
      <c r="E6613" s="5" t="s">
        <v>43</v>
      </c>
      <c r="F6613" s="9">
        <v>46</v>
      </c>
      <c r="G6613" s="9">
        <v>479</v>
      </c>
      <c r="H6613" s="5" t="s">
        <v>21</v>
      </c>
      <c r="I6613" s="5" t="s">
        <v>15177</v>
      </c>
      <c r="J6613" s="12" t="str">
        <f>HYPERLINK("https://www.boe.es/gazeta/dias/1800/06/10/pdfs/GMD-1800-46.pdf#page=3","Abrir facsímil")</f>
        <v>Abrir facsímil</v>
      </c>
      <c r="K6613" s="15" t="s">
        <v>23</v>
      </c>
    </row>
    <row r="6614" spans="1:11" ht="42" customHeight="1">
      <c r="A6614" s="4" t="s">
        <v>15178</v>
      </c>
      <c r="B6614" s="5" t="s">
        <v>15178</v>
      </c>
      <c r="C6614" s="5" t="s">
        <v>41</v>
      </c>
      <c r="D6614" s="5" t="s">
        <v>42</v>
      </c>
      <c r="E6614" s="5" t="s">
        <v>75</v>
      </c>
      <c r="F6614" s="9">
        <v>64</v>
      </c>
      <c r="G6614" s="9">
        <v>730</v>
      </c>
      <c r="H6614" s="5" t="s">
        <v>21</v>
      </c>
      <c r="I6614" s="5" t="s">
        <v>15179</v>
      </c>
      <c r="J6614" s="12" t="str">
        <f>HYPERLINK("https://www.boe.es/gazeta/dias/1800/08/12/pdfs/GMD-1800-64.pdf#page=6","Abrir facsímil")</f>
        <v>Abrir facsímil</v>
      </c>
      <c r="K6614" s="15" t="s">
        <v>23</v>
      </c>
    </row>
    <row r="6615" spans="1:11" ht="42" customHeight="1">
      <c r="A6615" s="4" t="s">
        <v>15178</v>
      </c>
      <c r="B6615" s="5" t="s">
        <v>15178</v>
      </c>
      <c r="C6615" s="5" t="s">
        <v>41</v>
      </c>
      <c r="D6615" s="5" t="s">
        <v>42</v>
      </c>
      <c r="E6615" s="5" t="s">
        <v>75</v>
      </c>
      <c r="F6615" s="9">
        <v>64</v>
      </c>
      <c r="G6615" s="9">
        <v>731</v>
      </c>
      <c r="H6615" s="5" t="s">
        <v>21</v>
      </c>
      <c r="I6615" s="5" t="s">
        <v>15180</v>
      </c>
      <c r="J6615" s="12" t="str">
        <f>HYPERLINK("https://www.boe.es/gazeta/dias/1800/08/12/pdfs/GMD-1800-64.pdf#page=7","Abrir facsímil")</f>
        <v>Abrir facsímil</v>
      </c>
      <c r="K6615" s="15" t="s">
        <v>23</v>
      </c>
    </row>
    <row r="6616" spans="1:11" ht="42" customHeight="1">
      <c r="A6616" s="4" t="s">
        <v>15181</v>
      </c>
      <c r="B6616" s="5" t="s">
        <v>15182</v>
      </c>
      <c r="C6616" s="5" t="s">
        <v>41</v>
      </c>
      <c r="D6616" s="5" t="s">
        <v>42</v>
      </c>
      <c r="E6616" s="5" t="s">
        <v>226</v>
      </c>
      <c r="F6616" s="9">
        <v>27</v>
      </c>
      <c r="G6616" s="9">
        <v>279</v>
      </c>
      <c r="H6616" s="5" t="s">
        <v>21</v>
      </c>
      <c r="I6616" s="5" t="s">
        <v>15183</v>
      </c>
      <c r="J6616" s="12" t="str">
        <f>HYPERLINK("https://www.boe.es/gazeta/dias/1800/04/04/pdfs/GMD-1800-27.pdf#page=7","Abrir facsímil")</f>
        <v>Abrir facsímil</v>
      </c>
      <c r="K6616" s="15" t="s">
        <v>23</v>
      </c>
    </row>
    <row r="6617" spans="1:11" ht="42" customHeight="1">
      <c r="A6617" s="4" t="s">
        <v>15184</v>
      </c>
      <c r="B6617" s="5" t="s">
        <v>15185</v>
      </c>
      <c r="C6617" s="5" t="s">
        <v>41</v>
      </c>
      <c r="D6617" s="5" t="s">
        <v>42</v>
      </c>
      <c r="E6617" s="5" t="s">
        <v>135</v>
      </c>
      <c r="F6617" s="9">
        <v>73</v>
      </c>
      <c r="G6617" s="9">
        <v>811</v>
      </c>
      <c r="H6617" s="5" t="s">
        <v>21</v>
      </c>
      <c r="I6617" s="5" t="s">
        <v>15186</v>
      </c>
      <c r="J6617" s="12" t="str">
        <f>HYPERLINK("https://www.boe.es/gazeta/dias/1800/09/09/pdfs/GMD-1800-73.pdf#page=5","Abrir facsímil")</f>
        <v>Abrir facsímil</v>
      </c>
      <c r="K6617" s="15" t="s">
        <v>23</v>
      </c>
    </row>
    <row r="6618" spans="1:11" ht="42" customHeight="1">
      <c r="A6618" s="4" t="s">
        <v>15187</v>
      </c>
      <c r="B6618" s="5" t="s">
        <v>15188</v>
      </c>
      <c r="C6618" s="5" t="s">
        <v>41</v>
      </c>
      <c r="D6618" s="5" t="s">
        <v>42</v>
      </c>
      <c r="E6618" s="5" t="s">
        <v>465</v>
      </c>
      <c r="F6618" s="9">
        <v>49</v>
      </c>
      <c r="G6618" s="9">
        <v>529</v>
      </c>
      <c r="H6618" s="5" t="s">
        <v>21</v>
      </c>
      <c r="I6618" s="5" t="s">
        <v>15189</v>
      </c>
      <c r="J6618" s="12" t="str">
        <f>HYPERLINK("https://www.boe.es/gazeta/dias/1800/06/20/pdfs/GMD-1800-49.pdf#page=5","Abrir facsímil")</f>
        <v>Abrir facsímil</v>
      </c>
      <c r="K6618" s="15" t="s">
        <v>23</v>
      </c>
    </row>
    <row r="6619" spans="1:11" ht="42" customHeight="1">
      <c r="A6619" s="4" t="s">
        <v>15190</v>
      </c>
      <c r="B6619" s="5" t="s">
        <v>15191</v>
      </c>
      <c r="C6619" s="5" t="s">
        <v>41</v>
      </c>
      <c r="D6619" s="5" t="s">
        <v>42</v>
      </c>
      <c r="E6619" s="5" t="s">
        <v>68</v>
      </c>
      <c r="F6619" s="9">
        <v>67</v>
      </c>
      <c r="G6619" s="9">
        <v>753</v>
      </c>
      <c r="H6619" s="5" t="s">
        <v>21</v>
      </c>
      <c r="I6619" s="5" t="s">
        <v>15192</v>
      </c>
      <c r="J6619" s="12" t="str">
        <f>HYPERLINK("https://www.boe.es/gazeta/dias/1800/08/22/pdfs/GMD-1800-67.pdf#page=5","Abrir facsímil")</f>
        <v>Abrir facsímil</v>
      </c>
      <c r="K6619" s="15" t="s">
        <v>23</v>
      </c>
    </row>
    <row r="6620" spans="1:11" ht="42" customHeight="1">
      <c r="A6620" s="4" t="s">
        <v>15193</v>
      </c>
      <c r="B6620" s="5" t="s">
        <v>15193</v>
      </c>
      <c r="C6620" s="5" t="s">
        <v>18</v>
      </c>
      <c r="D6620" s="5" t="s">
        <v>19</v>
      </c>
      <c r="E6620" s="5" t="s">
        <v>154</v>
      </c>
      <c r="F6620" s="9">
        <v>61</v>
      </c>
      <c r="G6620" s="9">
        <v>693</v>
      </c>
      <c r="H6620" s="5" t="s">
        <v>21</v>
      </c>
      <c r="I6620" s="5" t="s">
        <v>15194</v>
      </c>
      <c r="J6620" s="12" t="str">
        <f>HYPERLINK("https://www.boe.es/gazeta/dias/1800/08/01/pdfs/GMD-1800-61.pdf#page=5","Abrir facsímil")</f>
        <v>Abrir facsímil</v>
      </c>
      <c r="K6620" s="15" t="s">
        <v>23</v>
      </c>
    </row>
    <row r="6621" spans="1:11" ht="42" customHeight="1">
      <c r="A6621" s="4" t="s">
        <v>15195</v>
      </c>
      <c r="B6621" s="5" t="s">
        <v>15196</v>
      </c>
      <c r="C6621" s="5" t="s">
        <v>41</v>
      </c>
      <c r="D6621" s="5" t="s">
        <v>42</v>
      </c>
      <c r="E6621" s="5" t="s">
        <v>595</v>
      </c>
      <c r="F6621" s="9">
        <v>72</v>
      </c>
      <c r="G6621" s="9">
        <v>795</v>
      </c>
      <c r="H6621" s="5" t="s">
        <v>21</v>
      </c>
      <c r="I6621" s="5" t="s">
        <v>15197</v>
      </c>
      <c r="J6621" s="12" t="str">
        <f>HYPERLINK("https://www.boe.es/gazeta/dias/1800/09/05/pdfs/GMD-1800-72.pdf#page=5","Abrir facsímil")</f>
        <v>Abrir facsímil</v>
      </c>
      <c r="K6621" s="15" t="s">
        <v>23</v>
      </c>
    </row>
    <row r="6622" spans="1:11" ht="42" customHeight="1">
      <c r="A6622" s="4" t="s">
        <v>15198</v>
      </c>
      <c r="B6622" s="5" t="s">
        <v>15198</v>
      </c>
      <c r="C6622" s="5" t="s">
        <v>18</v>
      </c>
      <c r="D6622" s="5" t="s">
        <v>19</v>
      </c>
      <c r="E6622" s="5" t="s">
        <v>39</v>
      </c>
      <c r="F6622" s="9">
        <v>43</v>
      </c>
      <c r="G6622" s="9">
        <v>445</v>
      </c>
      <c r="H6622" s="5" t="s">
        <v>21</v>
      </c>
      <c r="I6622" s="5" t="s">
        <v>15132</v>
      </c>
      <c r="J6622" s="12" t="str">
        <f>HYPERLINK("https://www.boe.es/gazeta/dias/1800/05/30/pdfs/GMD-1800-43.pdf#page=5","Abrir facsímil")</f>
        <v>Abrir facsímil</v>
      </c>
      <c r="K6622" s="15" t="s">
        <v>23</v>
      </c>
    </row>
    <row r="6623" spans="1:11" ht="42" customHeight="1">
      <c r="A6623" s="4" t="s">
        <v>15198</v>
      </c>
      <c r="B6623" s="5" t="s">
        <v>15198</v>
      </c>
      <c r="C6623" s="5" t="s">
        <v>41</v>
      </c>
      <c r="D6623" s="5" t="s">
        <v>42</v>
      </c>
      <c r="E6623" s="5" t="s">
        <v>64</v>
      </c>
      <c r="F6623" s="9">
        <v>54</v>
      </c>
      <c r="G6623" s="9">
        <v>600</v>
      </c>
      <c r="H6623" s="5" t="s">
        <v>21</v>
      </c>
      <c r="I6623" s="5" t="s">
        <v>15199</v>
      </c>
      <c r="J6623" s="12" t="str">
        <f>HYPERLINK("https://www.boe.es/gazeta/dias/1800/07/08/pdfs/GMD-1800-54.pdf#page=4","Abrir facsímil")</f>
        <v>Abrir facsímil</v>
      </c>
      <c r="K6623" s="15" t="s">
        <v>23</v>
      </c>
    </row>
    <row r="6624" spans="1:11" ht="42" customHeight="1">
      <c r="A6624" s="4" t="s">
        <v>15198</v>
      </c>
      <c r="B6624" s="5" t="s">
        <v>15198</v>
      </c>
      <c r="C6624" s="5" t="s">
        <v>41</v>
      </c>
      <c r="D6624" s="5" t="s">
        <v>42</v>
      </c>
      <c r="E6624" s="5" t="s">
        <v>454</v>
      </c>
      <c r="F6624" s="9">
        <v>63</v>
      </c>
      <c r="G6624" s="9">
        <v>716</v>
      </c>
      <c r="H6624" s="5" t="s">
        <v>21</v>
      </c>
      <c r="I6624" s="5" t="s">
        <v>2449</v>
      </c>
      <c r="J6624" s="12" t="str">
        <f>HYPERLINK("https://www.boe.es/gazeta/dias/1800/08/08/pdfs/GMD-1800-63.pdf#page=4","Abrir facsímil")</f>
        <v>Abrir facsímil</v>
      </c>
      <c r="K6624" s="15" t="s">
        <v>23</v>
      </c>
    </row>
    <row r="6625" spans="1:11" ht="42" customHeight="1">
      <c r="A6625" s="4" t="s">
        <v>15200</v>
      </c>
      <c r="B6625" s="5" t="s">
        <v>15201</v>
      </c>
      <c r="C6625" s="5" t="s">
        <v>41</v>
      </c>
      <c r="D6625" s="5" t="s">
        <v>42</v>
      </c>
      <c r="E6625" s="5" t="s">
        <v>1108</v>
      </c>
      <c r="F6625" s="9">
        <v>30</v>
      </c>
      <c r="G6625" s="9">
        <v>305</v>
      </c>
      <c r="H6625" s="5" t="s">
        <v>21</v>
      </c>
      <c r="I6625" s="5" t="s">
        <v>15202</v>
      </c>
      <c r="J6625" s="12" t="str">
        <f>HYPERLINK("https://www.boe.es/gazeta/dias/1800/04/15/pdfs/GMD-1800-30.pdf#page=5","Abrir facsímil")</f>
        <v>Abrir facsímil</v>
      </c>
      <c r="K6625" s="15" t="s">
        <v>23</v>
      </c>
    </row>
    <row r="6626" spans="1:11" ht="42" customHeight="1">
      <c r="A6626" s="4" t="s">
        <v>15200</v>
      </c>
      <c r="B6626" s="5" t="s">
        <v>15201</v>
      </c>
      <c r="C6626" s="5" t="s">
        <v>41</v>
      </c>
      <c r="D6626" s="5" t="s">
        <v>42</v>
      </c>
      <c r="E6626" s="5" t="s">
        <v>2338</v>
      </c>
      <c r="F6626" s="9">
        <v>42</v>
      </c>
      <c r="G6626" s="9">
        <v>432</v>
      </c>
      <c r="H6626" s="5" t="s">
        <v>21</v>
      </c>
      <c r="I6626" s="5" t="s">
        <v>15203</v>
      </c>
      <c r="J6626" s="12" t="str">
        <f>HYPERLINK("https://www.boe.es/gazeta/dias/1800/05/27/pdfs/GMD-1800-42.pdf#page=4","Abrir facsímil")</f>
        <v>Abrir facsímil</v>
      </c>
      <c r="K6626" s="15" t="s">
        <v>23</v>
      </c>
    </row>
    <row r="6627" spans="1:11" ht="42" customHeight="1">
      <c r="A6627" s="4" t="s">
        <v>15200</v>
      </c>
      <c r="B6627" s="5" t="s">
        <v>15201</v>
      </c>
      <c r="C6627" s="5" t="s">
        <v>41</v>
      </c>
      <c r="D6627" s="5" t="s">
        <v>42</v>
      </c>
      <c r="E6627" s="5" t="s">
        <v>2338</v>
      </c>
      <c r="F6627" s="9">
        <v>42</v>
      </c>
      <c r="G6627" s="9">
        <v>433</v>
      </c>
      <c r="H6627" s="5" t="s">
        <v>21</v>
      </c>
      <c r="I6627" s="5" t="s">
        <v>15204</v>
      </c>
      <c r="J6627" s="12" t="str">
        <f>HYPERLINK("https://www.boe.es/gazeta/dias/1800/05/27/pdfs/GMD-1800-42.pdf#page=5","Abrir facsímil")</f>
        <v>Abrir facsímil</v>
      </c>
      <c r="K6627" s="15" t="s">
        <v>23</v>
      </c>
    </row>
    <row r="6628" spans="1:11" ht="42" customHeight="1">
      <c r="A6628" s="4" t="s">
        <v>15200</v>
      </c>
      <c r="B6628" s="5" t="s">
        <v>15201</v>
      </c>
      <c r="C6628" s="5" t="s">
        <v>41</v>
      </c>
      <c r="D6628" s="5" t="s">
        <v>42</v>
      </c>
      <c r="E6628" s="5" t="s">
        <v>39</v>
      </c>
      <c r="F6628" s="9">
        <v>43</v>
      </c>
      <c r="G6628" s="9">
        <v>445</v>
      </c>
      <c r="H6628" s="5" t="s">
        <v>21</v>
      </c>
      <c r="I6628" s="5" t="s">
        <v>15205</v>
      </c>
      <c r="J6628" s="12" t="str">
        <f>HYPERLINK("https://www.boe.es/gazeta/dias/1800/05/30/pdfs/GMD-1800-43.pdf#page=5","Abrir facsímil")</f>
        <v>Abrir facsímil</v>
      </c>
      <c r="K6628" s="15" t="s">
        <v>23</v>
      </c>
    </row>
    <row r="6629" spans="1:11" ht="42" customHeight="1">
      <c r="A6629" s="4" t="s">
        <v>15200</v>
      </c>
      <c r="B6629" s="5" t="s">
        <v>15201</v>
      </c>
      <c r="C6629" s="5" t="s">
        <v>41</v>
      </c>
      <c r="D6629" s="5" t="s">
        <v>42</v>
      </c>
      <c r="E6629" s="5" t="s">
        <v>39</v>
      </c>
      <c r="F6629" s="9">
        <v>43</v>
      </c>
      <c r="G6629" s="9">
        <v>446</v>
      </c>
      <c r="H6629" s="5" t="s">
        <v>21</v>
      </c>
      <c r="I6629" s="5" t="s">
        <v>15206</v>
      </c>
      <c r="J6629" s="12" t="str">
        <f>HYPERLINK("https://www.boe.es/gazeta/dias/1800/05/30/pdfs/GMD-1800-43.pdf#page=6","Abrir facsímil")</f>
        <v>Abrir facsímil</v>
      </c>
      <c r="K6629" s="15" t="s">
        <v>23</v>
      </c>
    </row>
    <row r="6630" spans="1:11" ht="42" customHeight="1">
      <c r="A6630" s="4" t="s">
        <v>15200</v>
      </c>
      <c r="B6630" s="5" t="s">
        <v>15201</v>
      </c>
      <c r="C6630" s="5" t="s">
        <v>41</v>
      </c>
      <c r="D6630" s="5" t="s">
        <v>42</v>
      </c>
      <c r="E6630" s="5" t="s">
        <v>43</v>
      </c>
      <c r="F6630" s="9">
        <v>46</v>
      </c>
      <c r="G6630" s="9">
        <v>482</v>
      </c>
      <c r="H6630" s="5" t="s">
        <v>21</v>
      </c>
      <c r="I6630" s="5" t="s">
        <v>15207</v>
      </c>
      <c r="J6630" s="12" t="str">
        <f>HYPERLINK("https://www.boe.es/gazeta/dias/1800/06/10/pdfs/GMD-1800-46.pdf#page=6","Abrir facsímil")</f>
        <v>Abrir facsímil</v>
      </c>
      <c r="K6630" s="15" t="s">
        <v>23</v>
      </c>
    </row>
    <row r="6631" spans="1:11" ht="42" customHeight="1">
      <c r="A6631" s="4" t="s">
        <v>15200</v>
      </c>
      <c r="B6631" s="5" t="s">
        <v>15201</v>
      </c>
      <c r="C6631" s="5" t="s">
        <v>41</v>
      </c>
      <c r="D6631" s="5" t="s">
        <v>42</v>
      </c>
      <c r="E6631" s="5" t="s">
        <v>43</v>
      </c>
      <c r="F6631" s="9">
        <v>46</v>
      </c>
      <c r="G6631" s="9">
        <v>483</v>
      </c>
      <c r="H6631" s="5" t="s">
        <v>21</v>
      </c>
      <c r="I6631" s="5" t="s">
        <v>15208</v>
      </c>
      <c r="J6631" s="12" t="str">
        <f>HYPERLINK("https://www.boe.es/gazeta/dias/1800/06/10/pdfs/GMD-1800-46.pdf#page=7","Abrir facsímil")</f>
        <v>Abrir facsímil</v>
      </c>
      <c r="K6631" s="15" t="s">
        <v>23</v>
      </c>
    </row>
    <row r="6632" spans="1:11" ht="42" customHeight="1">
      <c r="A6632" s="4" t="s">
        <v>15200</v>
      </c>
      <c r="B6632" s="5" t="s">
        <v>15201</v>
      </c>
      <c r="C6632" s="5" t="s">
        <v>41</v>
      </c>
      <c r="D6632" s="5" t="s">
        <v>42</v>
      </c>
      <c r="E6632" s="5" t="s">
        <v>465</v>
      </c>
      <c r="F6632" s="9">
        <v>49</v>
      </c>
      <c r="G6632" s="9">
        <v>529</v>
      </c>
      <c r="H6632" s="5" t="s">
        <v>21</v>
      </c>
      <c r="I6632" s="5" t="s">
        <v>15209</v>
      </c>
      <c r="J6632" s="12" t="str">
        <f>HYPERLINK("https://www.boe.es/gazeta/dias/1800/06/20/pdfs/GMD-1800-49.pdf#page=5","Abrir facsímil")</f>
        <v>Abrir facsímil</v>
      </c>
      <c r="K6632" s="15" t="s">
        <v>23</v>
      </c>
    </row>
    <row r="6633" spans="1:11" ht="42" customHeight="1">
      <c r="A6633" s="4" t="s">
        <v>15200</v>
      </c>
      <c r="B6633" s="5" t="s">
        <v>15201</v>
      </c>
      <c r="C6633" s="5" t="s">
        <v>18</v>
      </c>
      <c r="D6633" s="5" t="s">
        <v>19</v>
      </c>
      <c r="E6633" s="5" t="s">
        <v>823</v>
      </c>
      <c r="F6633" s="9">
        <v>50</v>
      </c>
      <c r="G6633" s="9">
        <v>540</v>
      </c>
      <c r="H6633" s="5" t="s">
        <v>21</v>
      </c>
      <c r="I6633" s="5" t="s">
        <v>15210</v>
      </c>
      <c r="J6633" s="12" t="str">
        <f>HYPERLINK("https://www.boe.es/gazeta/dias/1800/06/24/pdfs/GMD-1800-50.pdf#page=4","Abrir facsímil")</f>
        <v>Abrir facsímil</v>
      </c>
      <c r="K6633" s="15" t="s">
        <v>23</v>
      </c>
    </row>
    <row r="6634" spans="1:11" ht="42" customHeight="1">
      <c r="A6634" s="4" t="s">
        <v>15200</v>
      </c>
      <c r="B6634" s="5" t="s">
        <v>15201</v>
      </c>
      <c r="C6634" s="5" t="s">
        <v>41</v>
      </c>
      <c r="D6634" s="5" t="s">
        <v>42</v>
      </c>
      <c r="E6634" s="5" t="s">
        <v>828</v>
      </c>
      <c r="F6634" s="9">
        <v>53</v>
      </c>
      <c r="G6634" s="9">
        <v>585</v>
      </c>
      <c r="H6634" s="5" t="s">
        <v>21</v>
      </c>
      <c r="I6634" s="5" t="s">
        <v>15211</v>
      </c>
      <c r="J6634" s="12" t="str">
        <f>HYPERLINK("https://www.boe.es/gazeta/dias/1800/07/04/pdfs/GMD-1800-53.pdf#page=5","Abrir facsímil")</f>
        <v>Abrir facsímil</v>
      </c>
      <c r="K6634" s="15" t="s">
        <v>23</v>
      </c>
    </row>
    <row r="6635" spans="1:11" ht="42" customHeight="1">
      <c r="A6635" s="4" t="s">
        <v>15200</v>
      </c>
      <c r="B6635" s="5" t="s">
        <v>15201</v>
      </c>
      <c r="C6635" s="5" t="s">
        <v>54</v>
      </c>
      <c r="D6635" s="5" t="s">
        <v>55</v>
      </c>
      <c r="E6635" s="5" t="s">
        <v>319</v>
      </c>
      <c r="F6635" s="9">
        <v>62</v>
      </c>
      <c r="G6635" s="9">
        <v>705</v>
      </c>
      <c r="H6635" s="5" t="s">
        <v>21</v>
      </c>
      <c r="I6635" s="5" t="s">
        <v>15212</v>
      </c>
      <c r="J6635" s="12" t="str">
        <f>HYPERLINK("https://www.boe.es/gazeta/dias/1800/08/05/pdfs/GMD-1800-62.pdf#page=5","Abrir facsímil")</f>
        <v>Abrir facsímil</v>
      </c>
      <c r="K6635" s="15" t="s">
        <v>23</v>
      </c>
    </row>
    <row r="6636" spans="1:11" ht="42" customHeight="1">
      <c r="A6636" s="4" t="s">
        <v>15200</v>
      </c>
      <c r="B6636" s="5" t="s">
        <v>15201</v>
      </c>
      <c r="C6636" s="5" t="s">
        <v>41</v>
      </c>
      <c r="D6636" s="5" t="s">
        <v>42</v>
      </c>
      <c r="E6636" s="5" t="s">
        <v>454</v>
      </c>
      <c r="F6636" s="9">
        <v>63</v>
      </c>
      <c r="G6636" s="9">
        <v>718</v>
      </c>
      <c r="H6636" s="5" t="s">
        <v>21</v>
      </c>
      <c r="I6636" s="5" t="s">
        <v>15213</v>
      </c>
      <c r="J6636" s="12" t="str">
        <f>HYPERLINK("https://www.boe.es/gazeta/dias/1800/08/08/pdfs/GMD-1800-63.pdf#page=6","Abrir facsímil")</f>
        <v>Abrir facsímil</v>
      </c>
      <c r="K6636" s="15" t="s">
        <v>23</v>
      </c>
    </row>
    <row r="6637" spans="1:11" ht="42" customHeight="1">
      <c r="A6637" s="4" t="s">
        <v>15200</v>
      </c>
      <c r="B6637" s="5" t="s">
        <v>15201</v>
      </c>
      <c r="C6637" s="5" t="s">
        <v>41</v>
      </c>
      <c r="D6637" s="5" t="s">
        <v>42</v>
      </c>
      <c r="E6637" s="5" t="s">
        <v>27</v>
      </c>
      <c r="F6637" s="9">
        <v>65</v>
      </c>
      <c r="G6637" s="9">
        <v>727</v>
      </c>
      <c r="H6637" s="5" t="s">
        <v>21</v>
      </c>
      <c r="I6637" s="5" t="s">
        <v>15214</v>
      </c>
      <c r="J6637" s="12" t="str">
        <f>HYPERLINK("https://www.boe.es/gazeta/dias/1800/08/15/pdfs/GMD-1800-65.pdf#page=3","Abrir facsímil")</f>
        <v>Abrir facsímil</v>
      </c>
      <c r="K6637" s="15" t="s">
        <v>23</v>
      </c>
    </row>
    <row r="6638" spans="1:11" ht="42" customHeight="1">
      <c r="A6638" s="4" t="s">
        <v>15200</v>
      </c>
      <c r="B6638" s="5" t="s">
        <v>15201</v>
      </c>
      <c r="C6638" s="5" t="s">
        <v>41</v>
      </c>
      <c r="D6638" s="5" t="s">
        <v>42</v>
      </c>
      <c r="E6638" s="5" t="s">
        <v>843</v>
      </c>
      <c r="F6638" s="9">
        <v>78</v>
      </c>
      <c r="G6638" s="9">
        <v>886</v>
      </c>
      <c r="H6638" s="5" t="s">
        <v>21</v>
      </c>
      <c r="I6638" s="5" t="s">
        <v>15215</v>
      </c>
      <c r="J6638" s="12" t="str">
        <f>HYPERLINK("https://www.boe.es/gazeta/dias/1800/09/26/pdfs/GMD-1800-78.pdf#page=4","Abrir facsímil")</f>
        <v>Abrir facsímil</v>
      </c>
      <c r="K6638" s="15" t="s">
        <v>23</v>
      </c>
    </row>
    <row r="6639" spans="1:11" ht="42" customHeight="1">
      <c r="A6639" s="4" t="s">
        <v>15200</v>
      </c>
      <c r="B6639" s="5" t="s">
        <v>15201</v>
      </c>
      <c r="C6639" s="5" t="s">
        <v>41</v>
      </c>
      <c r="D6639" s="5" t="s">
        <v>42</v>
      </c>
      <c r="E6639" s="5" t="s">
        <v>50</v>
      </c>
      <c r="F6639" s="9">
        <v>81</v>
      </c>
      <c r="G6639" s="9">
        <v>914</v>
      </c>
      <c r="H6639" s="5" t="s">
        <v>21</v>
      </c>
      <c r="I6639" s="5" t="s">
        <v>15216</v>
      </c>
      <c r="J6639" s="12" t="str">
        <f>HYPERLINK("https://www.boe.es/gazeta/dias/1800/10/07/pdfs/GMD-1800-81.pdf#page=4","Abrir facsímil")</f>
        <v>Abrir facsímil</v>
      </c>
      <c r="K6639" s="15" t="s">
        <v>23</v>
      </c>
    </row>
    <row r="6640" spans="1:11" ht="42" customHeight="1">
      <c r="A6640" s="4" t="s">
        <v>15200</v>
      </c>
      <c r="B6640" s="5" t="s">
        <v>15201</v>
      </c>
      <c r="C6640" s="5" t="s">
        <v>41</v>
      </c>
      <c r="D6640" s="5" t="s">
        <v>42</v>
      </c>
      <c r="E6640" s="5" t="s">
        <v>56</v>
      </c>
      <c r="F6640" s="9">
        <v>90</v>
      </c>
      <c r="G6640" s="9">
        <v>1049</v>
      </c>
      <c r="H6640" s="5" t="s">
        <v>21</v>
      </c>
      <c r="I6640" s="5" t="s">
        <v>15217</v>
      </c>
      <c r="J6640" s="12" t="str">
        <f>HYPERLINK("https://www.boe.es/gazeta/dias/1800/11/07/pdfs/GMD-1800-90.pdf#page=3","Abrir facsímil")</f>
        <v>Abrir facsímil</v>
      </c>
      <c r="K6640" s="15" t="s">
        <v>23</v>
      </c>
    </row>
    <row r="6641" spans="1:11" ht="42" customHeight="1">
      <c r="A6641" s="4" t="s">
        <v>15218</v>
      </c>
      <c r="B6641" s="5" t="s">
        <v>15219</v>
      </c>
      <c r="C6641" s="5" t="s">
        <v>18</v>
      </c>
      <c r="D6641" s="5" t="s">
        <v>19</v>
      </c>
      <c r="E6641" s="5" t="s">
        <v>90</v>
      </c>
      <c r="F6641" s="9">
        <v>58</v>
      </c>
      <c r="G6641" s="9">
        <v>657</v>
      </c>
      <c r="H6641" s="5" t="s">
        <v>21</v>
      </c>
      <c r="I6641" s="5" t="s">
        <v>15220</v>
      </c>
      <c r="J6641" s="12" t="str">
        <f>HYPERLINK("https://www.boe.es/gazeta/dias/1800/07/22/pdfs/GMD-1800-58.pdf#page=5","Abrir facsímil")</f>
        <v>Abrir facsímil</v>
      </c>
      <c r="K6641" s="15" t="s">
        <v>23</v>
      </c>
    </row>
    <row r="6642" spans="1:11" ht="42" customHeight="1">
      <c r="A6642" s="4" t="s">
        <v>15218</v>
      </c>
      <c r="B6642" s="5" t="s">
        <v>15219</v>
      </c>
      <c r="C6642" s="5" t="s">
        <v>18</v>
      </c>
      <c r="D6642" s="5" t="s">
        <v>19</v>
      </c>
      <c r="E6642" s="5" t="s">
        <v>184</v>
      </c>
      <c r="F6642" s="9">
        <v>82</v>
      </c>
      <c r="G6642" s="9">
        <v>945</v>
      </c>
      <c r="H6642" s="5" t="s">
        <v>21</v>
      </c>
      <c r="I6642" s="5" t="s">
        <v>15221</v>
      </c>
      <c r="J6642" s="12" t="str">
        <f>HYPERLINK("https://www.boe.es/gazeta/dias/1800/10/10/pdfs/GMD-1800-82.pdf#page=3","Abrir facsímil")</f>
        <v>Abrir facsímil</v>
      </c>
      <c r="K6642" s="15" t="s">
        <v>23</v>
      </c>
    </row>
    <row r="6643" spans="1:11" ht="42" customHeight="1">
      <c r="A6643" s="4" t="s">
        <v>15218</v>
      </c>
      <c r="B6643" s="5" t="s">
        <v>15219</v>
      </c>
      <c r="C6643" s="5" t="s">
        <v>18</v>
      </c>
      <c r="D6643" s="5" t="s">
        <v>19</v>
      </c>
      <c r="E6643" s="5" t="s">
        <v>190</v>
      </c>
      <c r="F6643" s="9">
        <v>93</v>
      </c>
      <c r="G6643" s="9">
        <v>1063</v>
      </c>
      <c r="H6643" s="5" t="s">
        <v>21</v>
      </c>
      <c r="I6643" s="5" t="s">
        <v>15222</v>
      </c>
      <c r="J6643" s="12" t="str">
        <f>HYPERLINK("https://www.boe.es/gazeta/dias/1800/11/18/pdfs/GMD-1800-93.pdf#page=9","Abrir facsímil")</f>
        <v>Abrir facsímil</v>
      </c>
      <c r="K6643" s="15" t="s">
        <v>23</v>
      </c>
    </row>
    <row r="6644" spans="1:11" ht="42" customHeight="1">
      <c r="A6644" s="4" t="s">
        <v>15218</v>
      </c>
      <c r="B6644" s="5" t="s">
        <v>15219</v>
      </c>
      <c r="C6644" s="5" t="s">
        <v>18</v>
      </c>
      <c r="D6644" s="5" t="s">
        <v>19</v>
      </c>
      <c r="E6644" s="5" t="s">
        <v>279</v>
      </c>
      <c r="F6644" s="9">
        <v>103</v>
      </c>
      <c r="G6644" s="9">
        <v>1191</v>
      </c>
      <c r="H6644" s="5" t="s">
        <v>21</v>
      </c>
      <c r="I6644" s="5" t="s">
        <v>15223</v>
      </c>
      <c r="J6644" s="12" t="str">
        <f>HYPERLINK("https://www.boe.es/gazeta/dias/1800/12/23/pdfs/GMD-1800-103.pdf#page=3","Abrir facsímil")</f>
        <v>Abrir facsímil</v>
      </c>
      <c r="K6644" s="15" t="s">
        <v>23</v>
      </c>
    </row>
    <row r="6645" spans="1:11" ht="42" customHeight="1">
      <c r="A6645" s="4" t="s">
        <v>15218</v>
      </c>
      <c r="B6645" s="5" t="s">
        <v>15219</v>
      </c>
      <c r="C6645" s="5" t="s">
        <v>18</v>
      </c>
      <c r="D6645" s="5" t="s">
        <v>19</v>
      </c>
      <c r="E6645" s="5" t="s">
        <v>279</v>
      </c>
      <c r="F6645" s="9">
        <v>103</v>
      </c>
      <c r="G6645" s="9">
        <v>1192</v>
      </c>
      <c r="H6645" s="5" t="s">
        <v>21</v>
      </c>
      <c r="I6645" s="5" t="s">
        <v>15224</v>
      </c>
      <c r="J6645" s="12" t="str">
        <f>HYPERLINK("https://www.boe.es/gazeta/dias/1800/12/23/pdfs/GMD-1800-103.pdf#page=4","Abrir facsímil")</f>
        <v>Abrir facsímil</v>
      </c>
      <c r="K6645" s="15" t="s">
        <v>23</v>
      </c>
    </row>
    <row r="6646" spans="1:11" ht="42" customHeight="1">
      <c r="A6646" s="4" t="s">
        <v>15218</v>
      </c>
      <c r="B6646" s="5" t="s">
        <v>15219</v>
      </c>
      <c r="C6646" s="5" t="s">
        <v>18</v>
      </c>
      <c r="D6646" s="5" t="s">
        <v>19</v>
      </c>
      <c r="E6646" s="5" t="s">
        <v>60</v>
      </c>
      <c r="F6646" s="9">
        <v>105</v>
      </c>
      <c r="G6646" s="9">
        <v>1219</v>
      </c>
      <c r="H6646" s="5" t="s">
        <v>21</v>
      </c>
      <c r="I6646" s="5" t="s">
        <v>15225</v>
      </c>
      <c r="J6646" s="12" t="str">
        <f>HYPERLINK("https://www.boe.es/gazeta/dias/1800/12/30/pdfs/GMD-1800-105.pdf#page=3","Abrir facsímil")</f>
        <v>Abrir facsímil</v>
      </c>
      <c r="K6646" s="15" t="s">
        <v>23</v>
      </c>
    </row>
    <row r="6647" spans="1:11" ht="42" customHeight="1">
      <c r="A6647" s="4" t="s">
        <v>15226</v>
      </c>
      <c r="B6647" s="5" t="s">
        <v>15227</v>
      </c>
      <c r="C6647" s="5" t="s">
        <v>41</v>
      </c>
      <c r="D6647" s="5" t="s">
        <v>42</v>
      </c>
      <c r="E6647" s="5" t="s">
        <v>828</v>
      </c>
      <c r="F6647" s="9">
        <v>53</v>
      </c>
      <c r="G6647" s="9">
        <v>584</v>
      </c>
      <c r="H6647" s="5" t="s">
        <v>21</v>
      </c>
      <c r="I6647" s="5" t="s">
        <v>15228</v>
      </c>
      <c r="J6647" s="12" t="str">
        <f>HYPERLINK("https://www.boe.es/gazeta/dias/1800/07/04/pdfs/GMD-1800-53.pdf#page=4","Abrir facsímil")</f>
        <v>Abrir facsímil</v>
      </c>
      <c r="K6647" s="15" t="s">
        <v>23</v>
      </c>
    </row>
    <row r="6648" spans="1:11" ht="42" customHeight="1">
      <c r="A6648" s="4" t="s">
        <v>15229</v>
      </c>
      <c r="B6648" s="5" t="s">
        <v>15230</v>
      </c>
      <c r="C6648" s="5" t="s">
        <v>41</v>
      </c>
      <c r="D6648" s="5" t="s">
        <v>42</v>
      </c>
      <c r="E6648" s="5" t="s">
        <v>27</v>
      </c>
      <c r="F6648" s="9">
        <v>65</v>
      </c>
      <c r="G6648" s="9">
        <v>729</v>
      </c>
      <c r="H6648" s="5" t="s">
        <v>21</v>
      </c>
      <c r="I6648" s="5" t="s">
        <v>15231</v>
      </c>
      <c r="J6648" s="12" t="str">
        <f>HYPERLINK("https://www.boe.es/gazeta/dias/1800/08/15/pdfs/GMD-1800-65.pdf#page=5","Abrir facsímil")</f>
        <v>Abrir facsímil</v>
      </c>
      <c r="K6648" s="15" t="s">
        <v>23</v>
      </c>
    </row>
    <row r="6649" spans="1:11" ht="42" customHeight="1">
      <c r="A6649" s="4" t="s">
        <v>15232</v>
      </c>
      <c r="B6649" s="5" t="s">
        <v>15233</v>
      </c>
      <c r="C6649" s="5" t="s">
        <v>41</v>
      </c>
      <c r="D6649" s="5" t="s">
        <v>42</v>
      </c>
      <c r="E6649" s="5" t="s">
        <v>595</v>
      </c>
      <c r="F6649" s="9">
        <v>72</v>
      </c>
      <c r="G6649" s="9">
        <v>795</v>
      </c>
      <c r="H6649" s="5" t="s">
        <v>21</v>
      </c>
      <c r="I6649" s="5" t="s">
        <v>15234</v>
      </c>
      <c r="J6649" s="12" t="str">
        <f>HYPERLINK("https://www.boe.es/gazeta/dias/1800/09/05/pdfs/GMD-1800-72.pdf#page=5","Abrir facsímil")</f>
        <v>Abrir facsímil</v>
      </c>
      <c r="K6649" s="15" t="s">
        <v>23</v>
      </c>
    </row>
    <row r="6650" spans="1:11" ht="42" customHeight="1">
      <c r="A6650" s="4" t="s">
        <v>15235</v>
      </c>
      <c r="B6650" s="5" t="s">
        <v>15236</v>
      </c>
      <c r="C6650" s="5" t="s">
        <v>18</v>
      </c>
      <c r="D6650" s="5" t="s">
        <v>19</v>
      </c>
      <c r="E6650" s="5" t="s">
        <v>43</v>
      </c>
      <c r="F6650" s="9">
        <v>46</v>
      </c>
      <c r="G6650" s="9">
        <v>488</v>
      </c>
      <c r="H6650" s="5" t="s">
        <v>21</v>
      </c>
      <c r="I6650" s="5" t="s">
        <v>15237</v>
      </c>
      <c r="J6650" s="12" t="str">
        <f>HYPERLINK("https://www.boe.es/gazeta/dias/1800/06/10/pdfs/GMD-1800-46.pdf#page=12","Abrir facsímil")</f>
        <v>Abrir facsímil</v>
      </c>
      <c r="K6650" s="15" t="s">
        <v>23</v>
      </c>
    </row>
    <row r="6651" spans="1:11" ht="42" customHeight="1">
      <c r="A6651" s="4" t="s">
        <v>15238</v>
      </c>
      <c r="B6651" s="5" t="s">
        <v>15239</v>
      </c>
      <c r="C6651" s="5" t="s">
        <v>25</v>
      </c>
      <c r="D6651" s="5" t="s">
        <v>26</v>
      </c>
      <c r="E6651" s="5" t="s">
        <v>45</v>
      </c>
      <c r="F6651" s="9">
        <v>47</v>
      </c>
      <c r="G6651" s="9">
        <v>502</v>
      </c>
      <c r="H6651" s="5" t="s">
        <v>21</v>
      </c>
      <c r="I6651" s="5" t="s">
        <v>15240</v>
      </c>
      <c r="J6651" s="12" t="str">
        <f>HYPERLINK("https://www.boe.es/gazeta/dias/1800/06/13/pdfs/GMD-1800-47.pdf#page=10","Abrir facsímil")</f>
        <v>Abrir facsímil</v>
      </c>
      <c r="K6651" s="15" t="s">
        <v>23</v>
      </c>
    </row>
    <row r="6652" spans="1:11" ht="42" customHeight="1">
      <c r="A6652" s="4" t="s">
        <v>15241</v>
      </c>
      <c r="B6652" s="5" t="s">
        <v>15242</v>
      </c>
      <c r="C6652" s="5" t="s">
        <v>25</v>
      </c>
      <c r="D6652" s="5" t="s">
        <v>26</v>
      </c>
      <c r="E6652" s="5" t="s">
        <v>45</v>
      </c>
      <c r="F6652" s="9">
        <v>47</v>
      </c>
      <c r="G6652" s="9">
        <v>502</v>
      </c>
      <c r="H6652" s="5" t="s">
        <v>21</v>
      </c>
      <c r="I6652" s="5" t="s">
        <v>15243</v>
      </c>
      <c r="J6652" s="12" t="str">
        <f>HYPERLINK("https://www.boe.es/gazeta/dias/1800/06/13/pdfs/GMD-1800-47.pdf#page=10","Abrir facsímil")</f>
        <v>Abrir facsímil</v>
      </c>
      <c r="K6652" s="15" t="s">
        <v>23</v>
      </c>
    </row>
    <row r="6653" spans="1:11" ht="42" customHeight="1">
      <c r="A6653" s="4" t="s">
        <v>15244</v>
      </c>
      <c r="B6653" s="5" t="s">
        <v>15245</v>
      </c>
      <c r="C6653" s="5" t="s">
        <v>25</v>
      </c>
      <c r="D6653" s="5" t="s">
        <v>26</v>
      </c>
      <c r="E6653" s="5" t="s">
        <v>356</v>
      </c>
      <c r="F6653" s="9">
        <v>31</v>
      </c>
      <c r="G6653" s="9">
        <v>315</v>
      </c>
      <c r="H6653" s="5" t="s">
        <v>21</v>
      </c>
      <c r="I6653" s="5" t="s">
        <v>15246</v>
      </c>
      <c r="J6653" s="12" t="str">
        <f>HYPERLINK("https://www.boe.es/gazeta/dias/1800/04/18/pdfs/GMD-1800-31.pdf#page=7","Abrir facsímil")</f>
        <v>Abrir facsímil</v>
      </c>
      <c r="K6653" s="15" t="s">
        <v>23</v>
      </c>
    </row>
    <row r="6654" spans="1:11" ht="42" customHeight="1">
      <c r="A6654" s="4" t="s">
        <v>15247</v>
      </c>
      <c r="B6654" s="5" t="s">
        <v>15248</v>
      </c>
      <c r="C6654" s="5" t="s">
        <v>25</v>
      </c>
      <c r="D6654" s="5" t="s">
        <v>26</v>
      </c>
      <c r="E6654" s="5" t="s">
        <v>1213</v>
      </c>
      <c r="F6654" s="9">
        <v>4</v>
      </c>
      <c r="G6654" s="9">
        <v>36</v>
      </c>
      <c r="H6654" s="5" t="s">
        <v>21</v>
      </c>
      <c r="I6654" s="5" t="s">
        <v>15249</v>
      </c>
      <c r="J6654" s="12" t="str">
        <f>HYPERLINK("https://www.boe.es/gazeta/dias/1800/01/14/pdfs/GMD-1800-4.pdf#page=8","Abrir facsímil")</f>
        <v>Abrir facsímil</v>
      </c>
      <c r="K6654" s="15" t="s">
        <v>23</v>
      </c>
    </row>
    <row r="6655" spans="1:11" ht="42" customHeight="1">
      <c r="A6655" s="4" t="s">
        <v>15250</v>
      </c>
      <c r="B6655" s="5" t="s">
        <v>15251</v>
      </c>
      <c r="C6655" s="5" t="s">
        <v>25</v>
      </c>
      <c r="D6655" s="5" t="s">
        <v>26</v>
      </c>
      <c r="E6655" s="5" t="s">
        <v>90</v>
      </c>
      <c r="F6655" s="9">
        <v>58</v>
      </c>
      <c r="G6655" s="9">
        <v>663</v>
      </c>
      <c r="H6655" s="5" t="s">
        <v>21</v>
      </c>
      <c r="I6655" s="5" t="s">
        <v>15252</v>
      </c>
      <c r="J6655" s="12" t="str">
        <f>HYPERLINK("https://www.boe.es/gazeta/dias/1800/07/22/pdfs/GMD-1800-58.pdf#page=11","Abrir facsímil")</f>
        <v>Abrir facsímil</v>
      </c>
      <c r="K6655" s="15" t="s">
        <v>23</v>
      </c>
    </row>
    <row r="6656" spans="1:11" ht="42" customHeight="1">
      <c r="A6656" s="4" t="s">
        <v>15253</v>
      </c>
      <c r="B6656" s="5" t="s">
        <v>15254</v>
      </c>
      <c r="C6656" s="5" t="s">
        <v>18</v>
      </c>
      <c r="D6656" s="5" t="s">
        <v>19</v>
      </c>
      <c r="E6656" s="5" t="s">
        <v>139</v>
      </c>
      <c r="F6656" s="9">
        <v>2</v>
      </c>
      <c r="G6656" s="9">
        <v>18</v>
      </c>
      <c r="H6656" s="5" t="s">
        <v>21</v>
      </c>
      <c r="I6656" s="5" t="s">
        <v>15255</v>
      </c>
      <c r="J6656" s="12" t="str">
        <f>HYPERLINK("https://www.boe.es/gazeta/dias/1800/01/07/pdfs/GMD-1800-2.pdf#page=10","Abrir facsímil")</f>
        <v>Abrir facsímil</v>
      </c>
      <c r="K6656" s="15" t="s">
        <v>23</v>
      </c>
    </row>
    <row r="6657" spans="1:11" ht="42" customHeight="1">
      <c r="A6657" s="4" t="s">
        <v>15256</v>
      </c>
      <c r="B6657" s="5" t="s">
        <v>15257</v>
      </c>
      <c r="C6657" s="5" t="s">
        <v>18</v>
      </c>
      <c r="D6657" s="5" t="s">
        <v>19</v>
      </c>
      <c r="E6657" s="5" t="s">
        <v>787</v>
      </c>
      <c r="F6657" s="9">
        <v>6</v>
      </c>
      <c r="G6657" s="9">
        <v>58</v>
      </c>
      <c r="H6657" s="5" t="s">
        <v>21</v>
      </c>
      <c r="I6657" s="5" t="s">
        <v>15258</v>
      </c>
      <c r="J6657" s="12" t="str">
        <f>HYPERLINK("https://www.boe.es/gazeta/dias/1800/01/21/pdfs/GMD-1800-6.pdf#page=10","Abrir facsímil")</f>
        <v>Abrir facsímil</v>
      </c>
      <c r="K6657" s="15" t="s">
        <v>23</v>
      </c>
    </row>
    <row r="6658" spans="1:11" ht="42" customHeight="1">
      <c r="A6658" s="4" t="s">
        <v>15259</v>
      </c>
      <c r="B6658" s="5" t="s">
        <v>15260</v>
      </c>
      <c r="C6658" s="5" t="s">
        <v>207</v>
      </c>
      <c r="D6658" s="5" t="s">
        <v>55</v>
      </c>
      <c r="E6658" s="5" t="s">
        <v>190</v>
      </c>
      <c r="F6658" s="9">
        <v>93</v>
      </c>
      <c r="G6658" s="9">
        <v>1066</v>
      </c>
      <c r="H6658" s="5" t="s">
        <v>21</v>
      </c>
      <c r="I6658" s="5" t="s">
        <v>15261</v>
      </c>
      <c r="J6658" s="12" t="str">
        <f>HYPERLINK("https://www.boe.es/gazeta/dias/1800/11/18/pdfs/GMD-1800-93.pdf#page=12","Abrir facsímil")</f>
        <v>Abrir facsímil</v>
      </c>
      <c r="K6658" s="15" t="s">
        <v>23</v>
      </c>
    </row>
    <row r="6659" spans="1:11" ht="42" customHeight="1">
      <c r="A6659" s="4" t="s">
        <v>15262</v>
      </c>
      <c r="B6659" s="5" t="s">
        <v>15263</v>
      </c>
      <c r="C6659" s="5" t="s">
        <v>18</v>
      </c>
      <c r="D6659" s="5" t="s">
        <v>19</v>
      </c>
      <c r="E6659" s="5" t="s">
        <v>583</v>
      </c>
      <c r="F6659" s="9">
        <v>77</v>
      </c>
      <c r="G6659" s="9">
        <v>878</v>
      </c>
      <c r="H6659" s="5" t="s">
        <v>21</v>
      </c>
      <c r="I6659" s="5" t="s">
        <v>15264</v>
      </c>
      <c r="J6659" s="12" t="str">
        <f>HYPERLINK("https://www.boe.es/gazeta/dias/1800/09/23/pdfs/GMD-1800-77.pdf#page=8","Abrir facsímil")</f>
        <v>Abrir facsímil</v>
      </c>
      <c r="K6659" s="15" t="s">
        <v>23</v>
      </c>
    </row>
    <row r="6660" spans="1:11" ht="42" customHeight="1">
      <c r="A6660" s="4" t="s">
        <v>15265</v>
      </c>
      <c r="B6660" s="5" t="s">
        <v>15266</v>
      </c>
      <c r="C6660" s="5" t="s">
        <v>18</v>
      </c>
      <c r="D6660" s="5" t="s">
        <v>19</v>
      </c>
      <c r="E6660" s="5" t="s">
        <v>194</v>
      </c>
      <c r="F6660" s="9">
        <v>48</v>
      </c>
      <c r="G6660" s="9">
        <v>518</v>
      </c>
      <c r="H6660" s="5" t="s">
        <v>21</v>
      </c>
      <c r="I6660" s="5" t="s">
        <v>15267</v>
      </c>
      <c r="J6660" s="12" t="str">
        <f>HYPERLINK("https://www.boe.es/gazeta/dias/1800/06/17/pdfs/GMD-1800-48.pdf#page=10","Abrir facsímil")</f>
        <v>Abrir facsímil</v>
      </c>
      <c r="K6660" s="15" t="s">
        <v>23</v>
      </c>
    </row>
    <row r="6661" spans="1:11" ht="42" customHeight="1">
      <c r="A6661" s="4" t="s">
        <v>15268</v>
      </c>
      <c r="B6661" s="5" t="s">
        <v>15269</v>
      </c>
      <c r="C6661" s="5" t="s">
        <v>1035</v>
      </c>
      <c r="D6661" s="5" t="s">
        <v>1036</v>
      </c>
      <c r="E6661" s="5" t="s">
        <v>50</v>
      </c>
      <c r="F6661" s="9">
        <v>81</v>
      </c>
      <c r="G6661" s="9">
        <v>942</v>
      </c>
      <c r="H6661" s="5" t="s">
        <v>21</v>
      </c>
      <c r="I6661" s="5" t="s">
        <v>15270</v>
      </c>
      <c r="J6661" s="12" t="str">
        <f>HYPERLINK("https://www.boe.es/gazeta/dias/1800/10/07/pdfs/GMD-C-1800-81.pdf#page=24","Abrir facsímil")</f>
        <v>Abrir facsímil</v>
      </c>
      <c r="K6661" s="15" t="s">
        <v>23</v>
      </c>
    </row>
    <row r="6662" spans="1:11" ht="42" customHeight="1">
      <c r="A6662" s="4" t="s">
        <v>15271</v>
      </c>
      <c r="B6662" s="5" t="s">
        <v>15272</v>
      </c>
      <c r="C6662" s="5" t="s">
        <v>18</v>
      </c>
      <c r="D6662" s="5" t="s">
        <v>19</v>
      </c>
      <c r="E6662" s="5" t="s">
        <v>135</v>
      </c>
      <c r="F6662" s="9">
        <v>73</v>
      </c>
      <c r="G6662" s="9">
        <v>815</v>
      </c>
      <c r="H6662" s="5" t="s">
        <v>21</v>
      </c>
      <c r="I6662" s="5" t="s">
        <v>15273</v>
      </c>
      <c r="J6662" s="12" t="str">
        <f>HYPERLINK("https://www.boe.es/gazeta/dias/1800/09/09/pdfs/GMD-1800-73.pdf#page=9","Abrir facsímil")</f>
        <v>Abrir facsímil</v>
      </c>
      <c r="K6662" s="15" t="s">
        <v>23</v>
      </c>
    </row>
    <row r="6663" spans="1:11" ht="42" customHeight="1">
      <c r="A6663" s="4" t="s">
        <v>15274</v>
      </c>
      <c r="B6663" s="5" t="s">
        <v>15274</v>
      </c>
      <c r="C6663" s="5" t="s">
        <v>18</v>
      </c>
      <c r="D6663" s="5" t="s">
        <v>19</v>
      </c>
      <c r="E6663" s="5" t="s">
        <v>598</v>
      </c>
      <c r="F6663" s="9">
        <v>32</v>
      </c>
      <c r="G6663" s="9">
        <v>322</v>
      </c>
      <c r="H6663" s="5" t="s">
        <v>21</v>
      </c>
      <c r="I6663" s="5" t="s">
        <v>15275</v>
      </c>
      <c r="J6663" s="12" t="str">
        <f>HYPERLINK("https://www.boe.es/gazeta/dias/1800/04/22/pdfs/GMD-1800-32.pdf#page=6","Abrir facsímil")</f>
        <v>Abrir facsímil</v>
      </c>
      <c r="K6663" s="15" t="s">
        <v>23</v>
      </c>
    </row>
    <row r="6664" spans="1:11" ht="42" customHeight="1">
      <c r="A6664" s="4" t="s">
        <v>15276</v>
      </c>
      <c r="B6664" s="5" t="s">
        <v>15277</v>
      </c>
      <c r="C6664" s="5" t="s">
        <v>18</v>
      </c>
      <c r="D6664" s="5" t="s">
        <v>19</v>
      </c>
      <c r="E6664" s="5" t="s">
        <v>410</v>
      </c>
      <c r="F6664" s="9">
        <v>87</v>
      </c>
      <c r="G6664" s="9">
        <v>1008</v>
      </c>
      <c r="H6664" s="5" t="s">
        <v>21</v>
      </c>
      <c r="I6664" s="5" t="s">
        <v>15278</v>
      </c>
      <c r="J6664" s="12" t="str">
        <f>HYPERLINK("https://www.boe.es/gazeta/dias/1800/10/28/pdfs/GMD-1800-87.pdf#page=6","Abrir facsímil")</f>
        <v>Abrir facsímil</v>
      </c>
      <c r="K6664" s="15" t="s">
        <v>23</v>
      </c>
    </row>
    <row r="6665" spans="1:11" ht="42" customHeight="1">
      <c r="A6665" s="4" t="s">
        <v>15279</v>
      </c>
      <c r="B6665" s="5" t="s">
        <v>15280</v>
      </c>
      <c r="C6665" s="5" t="s">
        <v>18</v>
      </c>
      <c r="D6665" s="5" t="s">
        <v>19</v>
      </c>
      <c r="E6665" s="5" t="s">
        <v>184</v>
      </c>
      <c r="F6665" s="9">
        <v>82</v>
      </c>
      <c r="G6665" s="9">
        <v>950</v>
      </c>
      <c r="H6665" s="5" t="s">
        <v>21</v>
      </c>
      <c r="I6665" s="5" t="s">
        <v>15281</v>
      </c>
      <c r="J6665" s="12" t="str">
        <f>HYPERLINK("https://www.boe.es/gazeta/dias/1800/10/10/pdfs/GMD-1800-82.pdf#page=8","Abrir facsímil")</f>
        <v>Abrir facsímil</v>
      </c>
      <c r="K6665" s="15" t="s">
        <v>23</v>
      </c>
    </row>
    <row r="6666" spans="1:11" ht="42" customHeight="1">
      <c r="A6666" s="4" t="s">
        <v>15282</v>
      </c>
      <c r="B6666" s="5" t="s">
        <v>15283</v>
      </c>
      <c r="C6666" s="5" t="s">
        <v>18</v>
      </c>
      <c r="D6666" s="5" t="s">
        <v>19</v>
      </c>
      <c r="E6666" s="5" t="s">
        <v>139</v>
      </c>
      <c r="F6666" s="9">
        <v>2</v>
      </c>
      <c r="G6666" s="9">
        <v>18</v>
      </c>
      <c r="H6666" s="5" t="s">
        <v>21</v>
      </c>
      <c r="I6666" s="5" t="s">
        <v>15284</v>
      </c>
      <c r="J6666" s="12" t="str">
        <f>HYPERLINK("https://www.boe.es/gazeta/dias/1800/01/07/pdfs/GMD-1800-2.pdf#page=10","Abrir facsímil")</f>
        <v>Abrir facsímil</v>
      </c>
      <c r="K6666" s="15" t="s">
        <v>23</v>
      </c>
    </row>
    <row r="6667" spans="1:11" ht="42" customHeight="1">
      <c r="A6667" s="4" t="s">
        <v>15285</v>
      </c>
      <c r="B6667" s="5" t="s">
        <v>15285</v>
      </c>
      <c r="C6667" s="5" t="s">
        <v>114</v>
      </c>
      <c r="D6667" s="5" t="s">
        <v>115</v>
      </c>
      <c r="E6667" s="5" t="s">
        <v>116</v>
      </c>
      <c r="F6667" s="9">
        <v>86</v>
      </c>
      <c r="G6667" s="9" t="s">
        <v>991</v>
      </c>
      <c r="H6667" s="5" t="s">
        <v>21</v>
      </c>
      <c r="I6667" s="5" t="s">
        <v>15286</v>
      </c>
      <c r="J6667" s="12" t="str">
        <f>HYPERLINK("https://www.boe.es/gazeta/dias/1800/10/24/pdfs/GMD-D-1800-86.pdf#page=4","Abrir facsímil")</f>
        <v>Abrir facsímil</v>
      </c>
      <c r="K6667" s="15" t="s">
        <v>23</v>
      </c>
    </row>
    <row r="6668" spans="1:11" ht="42" customHeight="1">
      <c r="A6668" s="4" t="s">
        <v>15287</v>
      </c>
      <c r="B6668" s="5" t="s">
        <v>15288</v>
      </c>
      <c r="C6668" s="5" t="s">
        <v>84</v>
      </c>
      <c r="D6668" s="5" t="s">
        <v>85</v>
      </c>
      <c r="E6668" s="5" t="s">
        <v>52</v>
      </c>
      <c r="F6668" s="9">
        <v>83</v>
      </c>
      <c r="G6668" s="9">
        <v>966</v>
      </c>
      <c r="H6668" s="5" t="s">
        <v>21</v>
      </c>
      <c r="I6668" s="5" t="s">
        <v>15289</v>
      </c>
      <c r="J6668" s="12" t="str">
        <f>HYPERLINK("https://www.boe.es/gazeta/dias/1800/10/14/pdfs/GMD-1800-83.pdf#page=12","Abrir facsímil")</f>
        <v>Abrir facsímil</v>
      </c>
      <c r="K6668" s="15" t="s">
        <v>23</v>
      </c>
    </row>
    <row r="6669" spans="1:11" ht="42" customHeight="1">
      <c r="A6669" s="4" t="s">
        <v>15290</v>
      </c>
      <c r="B6669" s="5" t="s">
        <v>15291</v>
      </c>
      <c r="C6669" s="5" t="s">
        <v>18</v>
      </c>
      <c r="D6669" s="5" t="s">
        <v>19</v>
      </c>
      <c r="E6669" s="5" t="s">
        <v>283</v>
      </c>
      <c r="F6669" s="9">
        <v>68</v>
      </c>
      <c r="G6669" s="9">
        <v>766</v>
      </c>
      <c r="H6669" s="5" t="s">
        <v>21</v>
      </c>
      <c r="I6669" s="5" t="s">
        <v>15292</v>
      </c>
      <c r="J6669" s="12" t="str">
        <f>HYPERLINK("https://www.boe.es/gazeta/dias/1800/08/26/pdfs/GMD-1800-68.pdf#page=10","Abrir facsímil")</f>
        <v>Abrir facsímil</v>
      </c>
      <c r="K6669" s="15" t="s">
        <v>23</v>
      </c>
    </row>
    <row r="6670" spans="1:11" ht="42" customHeight="1">
      <c r="A6670" s="4" t="s">
        <v>15293</v>
      </c>
      <c r="B6670" s="5" t="s">
        <v>15294</v>
      </c>
      <c r="C6670" s="5" t="s">
        <v>84</v>
      </c>
      <c r="D6670" s="5" t="s">
        <v>85</v>
      </c>
      <c r="E6670" s="5" t="s">
        <v>124</v>
      </c>
      <c r="F6670" s="9">
        <v>16</v>
      </c>
      <c r="G6670" s="9">
        <v>152</v>
      </c>
      <c r="H6670" s="5" t="s">
        <v>21</v>
      </c>
      <c r="I6670" s="5" t="s">
        <v>15295</v>
      </c>
      <c r="J6670" s="12" t="str">
        <f>HYPERLINK("https://www.boe.es/gazeta/dias/1800/02/25/pdfs/GMD-1800-16.pdf#page=8","Abrir facsímil")</f>
        <v>Abrir facsímil</v>
      </c>
      <c r="K6670" s="15" t="s">
        <v>23</v>
      </c>
    </row>
    <row r="6671" spans="1:11" ht="42" customHeight="1">
      <c r="A6671" s="4" t="s">
        <v>15296</v>
      </c>
      <c r="B6671" s="5" t="s">
        <v>15296</v>
      </c>
      <c r="C6671" s="5" t="s">
        <v>18</v>
      </c>
      <c r="D6671" s="5" t="s">
        <v>19</v>
      </c>
      <c r="E6671" s="5" t="s">
        <v>82</v>
      </c>
      <c r="F6671" s="9">
        <v>10</v>
      </c>
      <c r="G6671" s="9">
        <v>100</v>
      </c>
      <c r="H6671" s="5" t="s">
        <v>21</v>
      </c>
      <c r="I6671" s="5" t="s">
        <v>15297</v>
      </c>
      <c r="J6671" s="12" t="str">
        <f>HYPERLINK("https://www.boe.es/gazeta/dias/1800/02/04/pdfs/GMD-1800-10.pdf#page=12","Abrir facsímil")</f>
        <v>Abrir facsímil</v>
      </c>
      <c r="K6671" s="15" t="s">
        <v>23</v>
      </c>
    </row>
    <row r="6672" spans="1:11" ht="42" customHeight="1">
      <c r="A6672" s="4" t="s">
        <v>15298</v>
      </c>
      <c r="B6672" s="5" t="s">
        <v>15299</v>
      </c>
      <c r="C6672" s="5" t="s">
        <v>41</v>
      </c>
      <c r="D6672" s="5" t="s">
        <v>42</v>
      </c>
      <c r="E6672" s="5" t="s">
        <v>279</v>
      </c>
      <c r="F6672" s="9">
        <v>103</v>
      </c>
      <c r="G6672" s="9">
        <v>1192</v>
      </c>
      <c r="H6672" s="5" t="s">
        <v>21</v>
      </c>
      <c r="I6672" s="5" t="s">
        <v>15300</v>
      </c>
      <c r="J6672" s="12" t="str">
        <f>HYPERLINK("https://www.boe.es/gazeta/dias/1800/12/23/pdfs/GMD-1800-103.pdf#page=4","Abrir facsímil")</f>
        <v>Abrir facsímil</v>
      </c>
      <c r="K6672" s="15" t="s">
        <v>23</v>
      </c>
    </row>
    <row r="6673" spans="1:11" ht="42" customHeight="1">
      <c r="A6673" s="4" t="s">
        <v>15301</v>
      </c>
      <c r="B6673" s="5" t="s">
        <v>15302</v>
      </c>
      <c r="C6673" s="5" t="s">
        <v>41</v>
      </c>
      <c r="D6673" s="5" t="s">
        <v>42</v>
      </c>
      <c r="E6673" s="5" t="s">
        <v>615</v>
      </c>
      <c r="F6673" s="9">
        <v>95</v>
      </c>
      <c r="G6673" s="9">
        <v>1085</v>
      </c>
      <c r="H6673" s="5" t="s">
        <v>21</v>
      </c>
      <c r="I6673" s="5" t="s">
        <v>15303</v>
      </c>
      <c r="J6673" s="12" t="str">
        <f>HYPERLINK("https://www.boe.es/gazeta/dias/1800/11/25/pdfs/GMD-1800-95.pdf#page=3","Abrir facsímil")</f>
        <v>Abrir facsímil</v>
      </c>
      <c r="K6673" s="15" t="s">
        <v>23</v>
      </c>
    </row>
    <row r="6674" spans="1:11" ht="42" customHeight="1">
      <c r="A6674" s="4" t="s">
        <v>15304</v>
      </c>
      <c r="B6674" s="5" t="s">
        <v>15305</v>
      </c>
      <c r="C6674" s="5" t="s">
        <v>171</v>
      </c>
      <c r="D6674" s="5" t="s">
        <v>172</v>
      </c>
      <c r="E6674" s="5" t="s">
        <v>120</v>
      </c>
      <c r="F6674" s="9">
        <v>52</v>
      </c>
      <c r="G6674" s="9">
        <v>577</v>
      </c>
      <c r="H6674" s="5" t="s">
        <v>21</v>
      </c>
      <c r="I6674" s="5" t="s">
        <v>15306</v>
      </c>
      <c r="J6674" s="12" t="str">
        <f>HYPERLINK("https://www.boe.es/gazeta/dias/1800/07/01/pdfs/GMD-C-1800-52.pdf#page=1","Abrir facsímil")</f>
        <v>Abrir facsímil</v>
      </c>
      <c r="K6674" s="15" t="s">
        <v>23</v>
      </c>
    </row>
    <row r="6675" spans="1:11" ht="42" customHeight="1">
      <c r="A6675" s="4" t="s">
        <v>15307</v>
      </c>
      <c r="B6675" s="5" t="s">
        <v>15308</v>
      </c>
      <c r="C6675" s="5" t="s">
        <v>18</v>
      </c>
      <c r="D6675" s="5" t="s">
        <v>19</v>
      </c>
      <c r="E6675" s="5" t="s">
        <v>190</v>
      </c>
      <c r="F6675" s="9">
        <v>93</v>
      </c>
      <c r="G6675" s="9">
        <v>1066</v>
      </c>
      <c r="H6675" s="5" t="s">
        <v>21</v>
      </c>
      <c r="I6675" s="5" t="s">
        <v>15309</v>
      </c>
      <c r="J6675" s="12" t="str">
        <f>HYPERLINK("https://www.boe.es/gazeta/dias/1800/11/18/pdfs/GMD-1800-93.pdf#page=12","Abrir facsímil")</f>
        <v>Abrir facsímil</v>
      </c>
      <c r="K6675" s="15" t="s">
        <v>23</v>
      </c>
    </row>
    <row r="6676" spans="1:11" ht="42" customHeight="1">
      <c r="A6676" s="4" t="s">
        <v>15310</v>
      </c>
      <c r="B6676" s="5" t="s">
        <v>15311</v>
      </c>
      <c r="C6676" s="5" t="s">
        <v>18</v>
      </c>
      <c r="D6676" s="5" t="s">
        <v>19</v>
      </c>
      <c r="E6676" s="5" t="s">
        <v>79</v>
      </c>
      <c r="F6676" s="9">
        <v>7</v>
      </c>
      <c r="G6676" s="9">
        <v>66</v>
      </c>
      <c r="H6676" s="5" t="s">
        <v>21</v>
      </c>
      <c r="I6676" s="5" t="s">
        <v>15312</v>
      </c>
      <c r="J6676" s="12" t="str">
        <f>HYPERLINK("https://www.boe.es/gazeta/dias/1800/01/24/pdfs/GMD-1800-7.pdf#page=6","Abrir facsímil")</f>
        <v>Abrir facsímil</v>
      </c>
      <c r="K6676" s="15" t="s">
        <v>23</v>
      </c>
    </row>
    <row r="6677" spans="1:11" ht="42" customHeight="1">
      <c r="A6677" s="4" t="s">
        <v>15313</v>
      </c>
      <c r="B6677" s="5" t="s">
        <v>15313</v>
      </c>
      <c r="C6677" s="5" t="s">
        <v>84</v>
      </c>
      <c r="D6677" s="5" t="s">
        <v>85</v>
      </c>
      <c r="E6677" s="5" t="s">
        <v>583</v>
      </c>
      <c r="F6677" s="9">
        <v>77</v>
      </c>
      <c r="G6677" s="9">
        <v>882</v>
      </c>
      <c r="H6677" s="5" t="s">
        <v>21</v>
      </c>
      <c r="I6677" s="5" t="s">
        <v>15314</v>
      </c>
      <c r="J6677" s="12" t="str">
        <f>HYPERLINK("https://www.boe.es/gazeta/dias/1800/09/23/pdfs/GMD-1800-77.pdf#page=12","Abrir facsímil")</f>
        <v>Abrir facsímil</v>
      </c>
      <c r="K6677" s="15" t="s">
        <v>23</v>
      </c>
    </row>
    <row r="6678" spans="1:11" ht="42" customHeight="1">
      <c r="A6678" s="4" t="s">
        <v>15315</v>
      </c>
      <c r="B6678" s="5" t="s">
        <v>15316</v>
      </c>
      <c r="C6678" s="5" t="s">
        <v>54</v>
      </c>
      <c r="D6678" s="5" t="s">
        <v>55</v>
      </c>
      <c r="E6678" s="5" t="s">
        <v>823</v>
      </c>
      <c r="F6678" s="9">
        <v>50</v>
      </c>
      <c r="G6678" s="9">
        <v>548</v>
      </c>
      <c r="H6678" s="5" t="s">
        <v>21</v>
      </c>
      <c r="I6678" s="5" t="s">
        <v>15317</v>
      </c>
      <c r="J6678" s="12" t="str">
        <f>HYPERLINK("https://www.boe.es/gazeta/dias/1800/06/24/pdfs/GMD-1800-50.pdf#page=12","Abrir facsímil")</f>
        <v>Abrir facsímil</v>
      </c>
      <c r="K6678" s="15" t="s">
        <v>23</v>
      </c>
    </row>
    <row r="6679" spans="1:11" ht="42" customHeight="1">
      <c r="A6679" s="4" t="s">
        <v>15318</v>
      </c>
      <c r="B6679" s="5" t="s">
        <v>15319</v>
      </c>
      <c r="C6679" s="5" t="s">
        <v>207</v>
      </c>
      <c r="D6679" s="5" t="s">
        <v>55</v>
      </c>
      <c r="E6679" s="5" t="s">
        <v>111</v>
      </c>
      <c r="F6679" s="9">
        <v>98</v>
      </c>
      <c r="G6679" s="9">
        <v>1128</v>
      </c>
      <c r="H6679" s="5" t="s">
        <v>21</v>
      </c>
      <c r="I6679" s="5" t="s">
        <v>15320</v>
      </c>
      <c r="J6679" s="12" t="str">
        <f>HYPERLINK("https://www.boe.es/gazeta/dias/1800/12/05/pdfs/GMD-1800-98.pdf#page=8","Abrir facsímil")</f>
        <v>Abrir facsímil</v>
      </c>
      <c r="K6679" s="15" t="s">
        <v>23</v>
      </c>
    </row>
    <row r="6680" spans="1:11" ht="42" customHeight="1">
      <c r="A6680" s="4" t="s">
        <v>15321</v>
      </c>
      <c r="B6680" s="5" t="s">
        <v>15322</v>
      </c>
      <c r="C6680" s="5" t="s">
        <v>18</v>
      </c>
      <c r="D6680" s="5" t="s">
        <v>19</v>
      </c>
      <c r="E6680" s="5" t="s">
        <v>583</v>
      </c>
      <c r="F6680" s="9">
        <v>77</v>
      </c>
      <c r="G6680" s="9">
        <v>879</v>
      </c>
      <c r="H6680" s="5" t="s">
        <v>21</v>
      </c>
      <c r="I6680" s="5" t="s">
        <v>15323</v>
      </c>
      <c r="J6680" s="12" t="str">
        <f>HYPERLINK("https://www.boe.es/gazeta/dias/1800/09/23/pdfs/GMD-1800-77.pdf#page=9","Abrir facsímil")</f>
        <v>Abrir facsímil</v>
      </c>
      <c r="K6680" s="15" t="s">
        <v>23</v>
      </c>
    </row>
    <row r="6681" spans="1:11" ht="42" customHeight="1">
      <c r="A6681" s="4" t="s">
        <v>15324</v>
      </c>
      <c r="B6681" s="5" t="s">
        <v>15325</v>
      </c>
      <c r="C6681" s="5" t="s">
        <v>207</v>
      </c>
      <c r="D6681" s="5" t="s">
        <v>55</v>
      </c>
      <c r="E6681" s="5" t="s">
        <v>478</v>
      </c>
      <c r="F6681" s="9">
        <v>34</v>
      </c>
      <c r="G6681" s="9">
        <v>346</v>
      </c>
      <c r="H6681" s="5" t="s">
        <v>21</v>
      </c>
      <c r="I6681" s="5" t="s">
        <v>15326</v>
      </c>
      <c r="J6681" s="12" t="str">
        <f>HYPERLINK("https://www.boe.es/gazeta/dias/1800/04/29/pdfs/GMD-1800-34.pdf#page=10","Abrir facsímil")</f>
        <v>Abrir facsímil</v>
      </c>
      <c r="K6681" s="15" t="s">
        <v>23</v>
      </c>
    </row>
    <row r="6682" spans="1:11" ht="42" customHeight="1">
      <c r="A6682" s="4" t="s">
        <v>15327</v>
      </c>
      <c r="B6682" s="5" t="s">
        <v>15328</v>
      </c>
      <c r="C6682" s="5" t="s">
        <v>18</v>
      </c>
      <c r="D6682" s="5" t="s">
        <v>19</v>
      </c>
      <c r="E6682" s="5" t="s">
        <v>124</v>
      </c>
      <c r="F6682" s="9">
        <v>16</v>
      </c>
      <c r="G6682" s="9">
        <v>151</v>
      </c>
      <c r="H6682" s="5" t="s">
        <v>21</v>
      </c>
      <c r="I6682" s="5" t="s">
        <v>15329</v>
      </c>
      <c r="J6682" s="12" t="str">
        <f>HYPERLINK("https://www.boe.es/gazeta/dias/1800/02/25/pdfs/GMD-1800-16.pdf#page=7","Abrir facsímil")</f>
        <v>Abrir facsímil</v>
      </c>
      <c r="K6682" s="15" t="s">
        <v>23</v>
      </c>
    </row>
    <row r="6683" spans="1:11" ht="42" customHeight="1">
      <c r="A6683" s="4" t="s">
        <v>15330</v>
      </c>
      <c r="B6683" s="5" t="s">
        <v>15331</v>
      </c>
      <c r="C6683" s="5" t="s">
        <v>18</v>
      </c>
      <c r="D6683" s="5" t="s">
        <v>19</v>
      </c>
      <c r="E6683" s="5" t="s">
        <v>154</v>
      </c>
      <c r="F6683" s="9">
        <v>61</v>
      </c>
      <c r="G6683" s="9">
        <v>697</v>
      </c>
      <c r="H6683" s="5" t="s">
        <v>21</v>
      </c>
      <c r="I6683" s="5" t="s">
        <v>15332</v>
      </c>
      <c r="J6683" s="12" t="str">
        <f>HYPERLINK("https://www.boe.es/gazeta/dias/1800/08/01/pdfs/GMD-1800-61.pdf#page=9","Abrir facsímil")</f>
        <v>Abrir facsímil</v>
      </c>
      <c r="K6683" s="15" t="s">
        <v>23</v>
      </c>
    </row>
    <row r="6684" spans="1:11" ht="42" customHeight="1">
      <c r="A6684" s="4" t="s">
        <v>15333</v>
      </c>
      <c r="B6684" s="5" t="s">
        <v>15334</v>
      </c>
      <c r="C6684" s="5" t="s">
        <v>18</v>
      </c>
      <c r="D6684" s="5" t="s">
        <v>19</v>
      </c>
      <c r="E6684" s="5" t="s">
        <v>240</v>
      </c>
      <c r="F6684" s="9">
        <v>26</v>
      </c>
      <c r="G6684" s="9">
        <v>272</v>
      </c>
      <c r="H6684" s="5" t="s">
        <v>21</v>
      </c>
      <c r="I6684" s="5" t="s">
        <v>15335</v>
      </c>
      <c r="J6684" s="12" t="str">
        <f>HYPERLINK("https://www.boe.es/gazeta/dias/1800/04/01/pdfs/GMD-1800-26.pdf#page=12","Abrir facsímil")</f>
        <v>Abrir facsímil</v>
      </c>
      <c r="K6684" s="15" t="s">
        <v>23</v>
      </c>
    </row>
    <row r="6685" spans="1:11" ht="42" customHeight="1">
      <c r="A6685" s="4" t="s">
        <v>15336</v>
      </c>
      <c r="B6685" s="5" t="s">
        <v>15337</v>
      </c>
      <c r="C6685" s="5" t="s">
        <v>54</v>
      </c>
      <c r="D6685" s="5" t="s">
        <v>55</v>
      </c>
      <c r="E6685" s="5" t="s">
        <v>79</v>
      </c>
      <c r="F6685" s="9">
        <v>7</v>
      </c>
      <c r="G6685" s="9">
        <v>67</v>
      </c>
      <c r="H6685" s="5" t="s">
        <v>21</v>
      </c>
      <c r="I6685" s="5" t="s">
        <v>15338</v>
      </c>
      <c r="J6685" s="12" t="str">
        <f>HYPERLINK("https://www.boe.es/gazeta/dias/1800/01/24/pdfs/GMD-1800-7.pdf#page=7","Abrir facsímil")</f>
        <v>Abrir facsímil</v>
      </c>
      <c r="K6685" s="15" t="s">
        <v>23</v>
      </c>
    </row>
    <row r="6686" spans="1:11" ht="42" customHeight="1">
      <c r="A6686" s="4" t="s">
        <v>15339</v>
      </c>
      <c r="B6686" s="5" t="s">
        <v>15340</v>
      </c>
      <c r="C6686" s="5" t="s">
        <v>18</v>
      </c>
      <c r="D6686" s="5" t="s">
        <v>19</v>
      </c>
      <c r="E6686" s="5" t="s">
        <v>787</v>
      </c>
      <c r="F6686" s="9">
        <v>6</v>
      </c>
      <c r="G6686" s="9">
        <v>58</v>
      </c>
      <c r="H6686" s="5" t="s">
        <v>21</v>
      </c>
      <c r="I6686" s="5" t="s">
        <v>15341</v>
      </c>
      <c r="J6686" s="12" t="str">
        <f>HYPERLINK("https://www.boe.es/gazeta/dias/1800/01/21/pdfs/GMD-1800-6.pdf#page=10","Abrir facsímil")</f>
        <v>Abrir facsímil</v>
      </c>
      <c r="K6686" s="15" t="s">
        <v>23</v>
      </c>
    </row>
    <row r="6687" spans="1:11" ht="42" customHeight="1">
      <c r="A6687" s="4" t="s">
        <v>15342</v>
      </c>
      <c r="B6687" s="5" t="s">
        <v>15343</v>
      </c>
      <c r="C6687" s="5" t="s">
        <v>207</v>
      </c>
      <c r="D6687" s="5" t="s">
        <v>55</v>
      </c>
      <c r="E6687" s="5" t="s">
        <v>576</v>
      </c>
      <c r="F6687" s="9">
        <v>91</v>
      </c>
      <c r="G6687" s="9">
        <v>1067</v>
      </c>
      <c r="H6687" s="5" t="s">
        <v>21</v>
      </c>
      <c r="I6687" s="5" t="s">
        <v>15344</v>
      </c>
      <c r="J6687" s="12" t="str">
        <f>HYPERLINK("https://www.boe.es/gazeta/dias/1800/11/11/pdfs/GMD-1800-91.pdf#page=9","Abrir facsímil")</f>
        <v>Abrir facsímil</v>
      </c>
      <c r="K6687" s="15" t="s">
        <v>23</v>
      </c>
    </row>
    <row r="6688" spans="1:11" ht="42" customHeight="1">
      <c r="A6688" s="4" t="s">
        <v>15345</v>
      </c>
      <c r="B6688" s="5" t="s">
        <v>15346</v>
      </c>
      <c r="C6688" s="5" t="s">
        <v>18</v>
      </c>
      <c r="D6688" s="5" t="s">
        <v>19</v>
      </c>
      <c r="E6688" s="5" t="s">
        <v>595</v>
      </c>
      <c r="F6688" s="9">
        <v>72</v>
      </c>
      <c r="G6688" s="9">
        <v>797</v>
      </c>
      <c r="H6688" s="5" t="s">
        <v>21</v>
      </c>
      <c r="I6688" s="5" t="s">
        <v>15347</v>
      </c>
      <c r="J6688" s="12" t="str">
        <f>HYPERLINK("https://www.boe.es/gazeta/dias/1800/09/05/pdfs/GMD-1800-72.pdf#page=7","Abrir facsímil")</f>
        <v>Abrir facsímil</v>
      </c>
      <c r="K6688" s="15" t="s">
        <v>23</v>
      </c>
    </row>
    <row r="6689" spans="1:11" ht="42" customHeight="1">
      <c r="A6689" s="4" t="s">
        <v>15348</v>
      </c>
      <c r="B6689" s="5" t="s">
        <v>15349</v>
      </c>
      <c r="C6689" s="5" t="s">
        <v>18</v>
      </c>
      <c r="D6689" s="5" t="s">
        <v>19</v>
      </c>
      <c r="E6689" s="5" t="s">
        <v>48</v>
      </c>
      <c r="F6689" s="9">
        <v>66</v>
      </c>
      <c r="G6689" s="9">
        <v>747</v>
      </c>
      <c r="H6689" s="5" t="s">
        <v>21</v>
      </c>
      <c r="I6689" s="5" t="s">
        <v>15350</v>
      </c>
      <c r="J6689" s="12" t="str">
        <f>HYPERLINK("https://www.boe.es/gazeta/dias/1800/08/19/pdfs/GMD-1800-66.pdf#page=11","Abrir facsímil")</f>
        <v>Abrir facsímil</v>
      </c>
      <c r="K6689" s="15" t="s">
        <v>23</v>
      </c>
    </row>
    <row r="6690" spans="1:11" ht="42" customHeight="1">
      <c r="A6690" s="4" t="s">
        <v>15351</v>
      </c>
      <c r="B6690" s="5" t="s">
        <v>15352</v>
      </c>
      <c r="C6690" s="5" t="s">
        <v>54</v>
      </c>
      <c r="D6690" s="5" t="s">
        <v>55</v>
      </c>
      <c r="E6690" s="5" t="s">
        <v>124</v>
      </c>
      <c r="F6690" s="9">
        <v>16</v>
      </c>
      <c r="G6690" s="9">
        <v>152</v>
      </c>
      <c r="H6690" s="5" t="s">
        <v>21</v>
      </c>
      <c r="I6690" s="5" t="s">
        <v>15353</v>
      </c>
      <c r="J6690" s="12" t="str">
        <f>HYPERLINK("https://www.boe.es/gazeta/dias/1800/02/25/pdfs/GMD-1800-16.pdf#page=8","Abrir facsímil")</f>
        <v>Abrir facsímil</v>
      </c>
      <c r="K6690" s="15" t="s">
        <v>23</v>
      </c>
    </row>
    <row r="6691" spans="1:11" ht="42" customHeight="1">
      <c r="A6691" s="4" t="s">
        <v>15354</v>
      </c>
      <c r="B6691" s="5" t="s">
        <v>15355</v>
      </c>
      <c r="C6691" s="5" t="s">
        <v>207</v>
      </c>
      <c r="D6691" s="5" t="s">
        <v>55</v>
      </c>
      <c r="E6691" s="5" t="s">
        <v>43</v>
      </c>
      <c r="F6691" s="9">
        <v>46</v>
      </c>
      <c r="G6691" s="9">
        <v>487</v>
      </c>
      <c r="H6691" s="5" t="s">
        <v>21</v>
      </c>
      <c r="I6691" s="5" t="s">
        <v>15356</v>
      </c>
      <c r="J6691" s="12" t="str">
        <f>HYPERLINK("https://www.boe.es/gazeta/dias/1800/06/10/pdfs/GMD-1800-46.pdf#page=11","Abrir facsímil")</f>
        <v>Abrir facsímil</v>
      </c>
      <c r="K6691" s="15" t="s">
        <v>23</v>
      </c>
    </row>
    <row r="6692" spans="1:11" ht="42" customHeight="1">
      <c r="A6692" s="4" t="s">
        <v>15357</v>
      </c>
      <c r="B6692" s="5" t="s">
        <v>15358</v>
      </c>
      <c r="C6692" s="5" t="s">
        <v>207</v>
      </c>
      <c r="D6692" s="5" t="s">
        <v>55</v>
      </c>
      <c r="E6692" s="5" t="s">
        <v>116</v>
      </c>
      <c r="F6692" s="9">
        <v>86</v>
      </c>
      <c r="G6692" s="9">
        <v>997</v>
      </c>
      <c r="H6692" s="5" t="s">
        <v>21</v>
      </c>
      <c r="I6692" s="5" t="s">
        <v>15359</v>
      </c>
      <c r="J6692" s="12" t="str">
        <f>HYPERLINK("https://www.boe.es/gazeta/dias/1800/10/24/pdfs/GMD-1800-86.pdf#page=7","Abrir facsímil")</f>
        <v>Abrir facsímil</v>
      </c>
      <c r="K6692" s="15" t="s">
        <v>23</v>
      </c>
    </row>
    <row r="6693" spans="1:11" ht="42" customHeight="1">
      <c r="A6693" s="4" t="s">
        <v>15360</v>
      </c>
      <c r="B6693" s="5" t="s">
        <v>15361</v>
      </c>
      <c r="C6693" s="5" t="s">
        <v>84</v>
      </c>
      <c r="D6693" s="5" t="s">
        <v>85</v>
      </c>
      <c r="E6693" s="5" t="s">
        <v>90</v>
      </c>
      <c r="F6693" s="9">
        <v>58</v>
      </c>
      <c r="G6693" s="9">
        <v>664</v>
      </c>
      <c r="H6693" s="5" t="s">
        <v>21</v>
      </c>
      <c r="I6693" s="5" t="s">
        <v>15362</v>
      </c>
      <c r="J6693" s="12" t="str">
        <f>HYPERLINK("https://www.boe.es/gazeta/dias/1800/07/22/pdfs/GMD-1800-58.pdf#page=12","Abrir facsímil")</f>
        <v>Abrir facsímil</v>
      </c>
      <c r="K6693" s="15" t="s">
        <v>23</v>
      </c>
    </row>
    <row r="6694" spans="1:11" ht="42" customHeight="1">
      <c r="A6694" s="4" t="s">
        <v>15363</v>
      </c>
      <c r="B6694" s="5" t="s">
        <v>15364</v>
      </c>
      <c r="C6694" s="5" t="s">
        <v>207</v>
      </c>
      <c r="D6694" s="5" t="s">
        <v>55</v>
      </c>
      <c r="E6694" s="5" t="s">
        <v>116</v>
      </c>
      <c r="F6694" s="9">
        <v>86</v>
      </c>
      <c r="G6694" s="9">
        <v>998</v>
      </c>
      <c r="H6694" s="5" t="s">
        <v>21</v>
      </c>
      <c r="I6694" s="5" t="s">
        <v>15365</v>
      </c>
      <c r="J6694" s="12" t="str">
        <f>HYPERLINK("https://www.boe.es/gazeta/dias/1800/10/24/pdfs/GMD-1800-86.pdf#page=8","Abrir facsímil")</f>
        <v>Abrir facsímil</v>
      </c>
      <c r="K6694" s="15" t="s">
        <v>23</v>
      </c>
    </row>
    <row r="6695" spans="1:11" ht="42" customHeight="1">
      <c r="A6695" s="4" t="s">
        <v>15366</v>
      </c>
      <c r="B6695" s="5" t="s">
        <v>15367</v>
      </c>
      <c r="C6695" s="5" t="s">
        <v>207</v>
      </c>
      <c r="D6695" s="5" t="s">
        <v>55</v>
      </c>
      <c r="E6695" s="5" t="s">
        <v>39</v>
      </c>
      <c r="F6695" s="9">
        <v>43</v>
      </c>
      <c r="G6695" s="9">
        <v>450</v>
      </c>
      <c r="H6695" s="5" t="s">
        <v>21</v>
      </c>
      <c r="I6695" s="5" t="s">
        <v>15368</v>
      </c>
      <c r="J6695" s="12" t="str">
        <f>HYPERLINK("https://www.boe.es/gazeta/dias/1800/05/30/pdfs/GMD-1800-43.pdf#page=10","Abrir facsímil")</f>
        <v>Abrir facsímil</v>
      </c>
      <c r="K6695" s="15" t="s">
        <v>23</v>
      </c>
    </row>
    <row r="6696" spans="1:11" ht="42" customHeight="1">
      <c r="A6696" s="4" t="s">
        <v>15366</v>
      </c>
      <c r="B6696" s="5" t="s">
        <v>15367</v>
      </c>
      <c r="C6696" s="5" t="s">
        <v>207</v>
      </c>
      <c r="D6696" s="5" t="s">
        <v>55</v>
      </c>
      <c r="E6696" s="5" t="s">
        <v>180</v>
      </c>
      <c r="F6696" s="9">
        <v>102</v>
      </c>
      <c r="G6696" s="9">
        <v>1187</v>
      </c>
      <c r="H6696" s="5" t="s">
        <v>21</v>
      </c>
      <c r="I6696" s="5" t="s">
        <v>15369</v>
      </c>
      <c r="J6696" s="12" t="str">
        <f>HYPERLINK("https://www.boe.es/gazeta/dias/1800/12/19/pdfs/GMD-1800-102.pdf#page=11","Abrir facsímil")</f>
        <v>Abrir facsímil</v>
      </c>
      <c r="K6696" s="15" t="s">
        <v>23</v>
      </c>
    </row>
    <row r="6697" spans="1:11" ht="42" customHeight="1">
      <c r="A6697" s="4" t="s">
        <v>15370</v>
      </c>
      <c r="B6697" s="5" t="s">
        <v>15371</v>
      </c>
      <c r="C6697" s="5" t="s">
        <v>18</v>
      </c>
      <c r="D6697" s="5" t="s">
        <v>19</v>
      </c>
      <c r="E6697" s="5" t="s">
        <v>836</v>
      </c>
      <c r="F6697" s="9">
        <v>71</v>
      </c>
      <c r="G6697" s="9">
        <v>790</v>
      </c>
      <c r="H6697" s="5" t="s">
        <v>21</v>
      </c>
      <c r="I6697" s="5" t="s">
        <v>15372</v>
      </c>
      <c r="J6697" s="12" t="str">
        <f>HYPERLINK("https://www.boe.es/gazeta/dias/1800/09/02/pdfs/GMD-1800-71.pdf#page=8","Abrir facsímil")</f>
        <v>Abrir facsímil</v>
      </c>
      <c r="K6697" s="15" t="s">
        <v>23</v>
      </c>
    </row>
    <row r="6698" spans="1:11" ht="42" customHeight="1">
      <c r="A6698" s="4" t="s">
        <v>15373</v>
      </c>
      <c r="B6698" s="5" t="s">
        <v>15374</v>
      </c>
      <c r="C6698" s="5" t="s">
        <v>84</v>
      </c>
      <c r="D6698" s="5" t="s">
        <v>85</v>
      </c>
      <c r="E6698" s="5" t="s">
        <v>203</v>
      </c>
      <c r="F6698" s="9">
        <v>94</v>
      </c>
      <c r="G6698" s="9">
        <v>1082</v>
      </c>
      <c r="H6698" s="5" t="s">
        <v>21</v>
      </c>
      <c r="I6698" s="5" t="s">
        <v>15375</v>
      </c>
      <c r="J6698" s="12" t="str">
        <f>HYPERLINK("https://www.boe.es/gazeta/dias/1800/11/21/pdfs/GMD-1800-94.pdf#page=12","Abrir facsímil")</f>
        <v>Abrir facsímil</v>
      </c>
      <c r="K6698" s="15" t="s">
        <v>23</v>
      </c>
    </row>
    <row r="6699" spans="1:11" ht="42" customHeight="1">
      <c r="A6699" s="4" t="s">
        <v>15376</v>
      </c>
      <c r="B6699" s="5" t="s">
        <v>15377</v>
      </c>
      <c r="C6699" s="5" t="s">
        <v>18</v>
      </c>
      <c r="D6699" s="5" t="s">
        <v>19</v>
      </c>
      <c r="E6699" s="5" t="s">
        <v>314</v>
      </c>
      <c r="F6699" s="9">
        <v>74</v>
      </c>
      <c r="G6699" s="9">
        <v>831</v>
      </c>
      <c r="H6699" s="5" t="s">
        <v>21</v>
      </c>
      <c r="I6699" s="5" t="s">
        <v>15378</v>
      </c>
      <c r="J6699" s="12" t="str">
        <f>HYPERLINK("https://www.boe.es/gazeta/dias/1800/09/12/pdfs/GMD-1800-74.pdf#page=9","Abrir facsímil")</f>
        <v>Abrir facsímil</v>
      </c>
      <c r="K6699" s="15" t="s">
        <v>23</v>
      </c>
    </row>
    <row r="6700" spans="1:11" ht="42" customHeight="1">
      <c r="A6700" s="4" t="s">
        <v>15379</v>
      </c>
      <c r="B6700" s="5" t="s">
        <v>15380</v>
      </c>
      <c r="C6700" s="5" t="s">
        <v>18</v>
      </c>
      <c r="D6700" s="5" t="s">
        <v>19</v>
      </c>
      <c r="E6700" s="5" t="s">
        <v>158</v>
      </c>
      <c r="F6700" s="9">
        <v>25</v>
      </c>
      <c r="G6700" s="9">
        <v>256</v>
      </c>
      <c r="H6700" s="5" t="s">
        <v>21</v>
      </c>
      <c r="I6700" s="5" t="s">
        <v>15381</v>
      </c>
      <c r="J6700" s="12" t="str">
        <f>HYPERLINK("https://www.boe.es/gazeta/dias/1800/03/28/pdfs/GMD-1800-25.pdf#page=8","Abrir facsímil")</f>
        <v>Abrir facsímil</v>
      </c>
      <c r="K6700" s="15" t="s">
        <v>23</v>
      </c>
    </row>
    <row r="6701" spans="1:11" ht="42" customHeight="1">
      <c r="A6701" s="4" t="s">
        <v>15382</v>
      </c>
      <c r="B6701" s="5" t="s">
        <v>15383</v>
      </c>
      <c r="C6701" s="5" t="s">
        <v>171</v>
      </c>
      <c r="D6701" s="5" t="s">
        <v>172</v>
      </c>
      <c r="E6701" s="5" t="s">
        <v>214</v>
      </c>
      <c r="F6701" s="9">
        <v>41</v>
      </c>
      <c r="G6701" s="9">
        <v>425</v>
      </c>
      <c r="H6701" s="5" t="s">
        <v>21</v>
      </c>
      <c r="I6701" s="5" t="s">
        <v>15384</v>
      </c>
      <c r="J6701" s="12" t="str">
        <f>HYPERLINK("https://www.boe.es/gazeta/dias/1800/05/23/pdfs/GMD-C-1800-41.pdf#page=1","Abrir facsímil")</f>
        <v>Abrir facsímil</v>
      </c>
      <c r="K6701" s="15" t="s">
        <v>23</v>
      </c>
    </row>
    <row r="6702" spans="1:11" ht="42" customHeight="1">
      <c r="A6702" s="4" t="s">
        <v>15385</v>
      </c>
      <c r="B6702" s="5" t="s">
        <v>15386</v>
      </c>
      <c r="C6702" s="5" t="s">
        <v>18</v>
      </c>
      <c r="D6702" s="5" t="s">
        <v>19</v>
      </c>
      <c r="E6702" s="5" t="s">
        <v>135</v>
      </c>
      <c r="F6702" s="9">
        <v>73</v>
      </c>
      <c r="G6702" s="9">
        <v>816</v>
      </c>
      <c r="H6702" s="5" t="s">
        <v>21</v>
      </c>
      <c r="I6702" s="5" t="s">
        <v>15387</v>
      </c>
      <c r="J6702" s="12" t="str">
        <f>HYPERLINK("https://www.boe.es/gazeta/dias/1800/09/09/pdfs/GMD-1800-73.pdf#page=10","Abrir facsímil")</f>
        <v>Abrir facsímil</v>
      </c>
      <c r="K6702" s="15" t="s">
        <v>23</v>
      </c>
    </row>
    <row r="6703" spans="1:11" ht="42" customHeight="1">
      <c r="A6703" s="4" t="s">
        <v>15388</v>
      </c>
      <c r="B6703" s="5" t="s">
        <v>15389</v>
      </c>
      <c r="C6703" s="5" t="s">
        <v>25</v>
      </c>
      <c r="D6703" s="5" t="s">
        <v>26</v>
      </c>
      <c r="E6703" s="5" t="s">
        <v>39</v>
      </c>
      <c r="F6703" s="9">
        <v>43</v>
      </c>
      <c r="G6703" s="9">
        <v>452</v>
      </c>
      <c r="H6703" s="5" t="s">
        <v>21</v>
      </c>
      <c r="I6703" s="5" t="s">
        <v>15390</v>
      </c>
      <c r="J6703" s="12" t="str">
        <f>HYPERLINK("https://www.boe.es/gazeta/dias/1800/05/30/pdfs/GMD-1800-43.pdf#page=12","Abrir facsímil")</f>
        <v>Abrir facsímil</v>
      </c>
      <c r="K6703" s="15" t="s">
        <v>23</v>
      </c>
    </row>
    <row r="6704" spans="1:11" ht="42" customHeight="1">
      <c r="A6704" s="4" t="s">
        <v>15388</v>
      </c>
      <c r="B6704" s="5" t="s">
        <v>15389</v>
      </c>
      <c r="C6704" s="5" t="s">
        <v>18</v>
      </c>
      <c r="D6704" s="5" t="s">
        <v>19</v>
      </c>
      <c r="E6704" s="5" t="s">
        <v>194</v>
      </c>
      <c r="F6704" s="9">
        <v>48</v>
      </c>
      <c r="G6704" s="9">
        <v>519</v>
      </c>
      <c r="H6704" s="5" t="s">
        <v>21</v>
      </c>
      <c r="I6704" s="5" t="s">
        <v>15391</v>
      </c>
      <c r="J6704" s="12" t="str">
        <f>HYPERLINK("https://www.boe.es/gazeta/dias/1800/06/17/pdfs/GMD-1800-48.pdf#page=11","Abrir facsímil")</f>
        <v>Abrir facsímil</v>
      </c>
      <c r="K6704" s="15" t="s">
        <v>23</v>
      </c>
    </row>
    <row r="6705" spans="1:11" ht="42" customHeight="1">
      <c r="A6705" s="4" t="s">
        <v>15388</v>
      </c>
      <c r="B6705" s="5" t="s">
        <v>15389</v>
      </c>
      <c r="C6705" s="5" t="s">
        <v>25</v>
      </c>
      <c r="D6705" s="5" t="s">
        <v>26</v>
      </c>
      <c r="E6705" s="5" t="s">
        <v>64</v>
      </c>
      <c r="F6705" s="9">
        <v>54</v>
      </c>
      <c r="G6705" s="9">
        <v>606</v>
      </c>
      <c r="H6705" s="5" t="s">
        <v>21</v>
      </c>
      <c r="I6705" s="5" t="s">
        <v>15392</v>
      </c>
      <c r="J6705" s="12" t="str">
        <f>HYPERLINK("https://www.boe.es/gazeta/dias/1800/07/08/pdfs/GMD-1800-54.pdf#page=10","Abrir facsímil")</f>
        <v>Abrir facsímil</v>
      </c>
      <c r="K6705" s="15" t="s">
        <v>23</v>
      </c>
    </row>
    <row r="6706" spans="1:11" ht="42" customHeight="1">
      <c r="A6706" s="4" t="s">
        <v>15393</v>
      </c>
      <c r="B6706" s="5" t="s">
        <v>15394</v>
      </c>
      <c r="C6706" s="5" t="s">
        <v>25</v>
      </c>
      <c r="D6706" s="5" t="s">
        <v>26</v>
      </c>
      <c r="E6706" s="5" t="s">
        <v>478</v>
      </c>
      <c r="F6706" s="9">
        <v>34</v>
      </c>
      <c r="G6706" s="9">
        <v>346</v>
      </c>
      <c r="H6706" s="5" t="s">
        <v>21</v>
      </c>
      <c r="I6706" s="5" t="s">
        <v>15395</v>
      </c>
      <c r="J6706" s="12" t="str">
        <f>HYPERLINK("https://www.boe.es/gazeta/dias/1800/04/29/pdfs/GMD-1800-34.pdf#page=10","Abrir facsímil")</f>
        <v>Abrir facsímil</v>
      </c>
      <c r="K6706" s="15" t="s">
        <v>23</v>
      </c>
    </row>
    <row r="6707" spans="1:11" ht="42" customHeight="1">
      <c r="A6707" s="4" t="s">
        <v>15393</v>
      </c>
      <c r="B6707" s="5" t="s">
        <v>15394</v>
      </c>
      <c r="C6707" s="5" t="s">
        <v>18</v>
      </c>
      <c r="D6707" s="5" t="s">
        <v>19</v>
      </c>
      <c r="E6707" s="5" t="s">
        <v>420</v>
      </c>
      <c r="F6707" s="9">
        <v>38</v>
      </c>
      <c r="G6707" s="9">
        <v>388</v>
      </c>
      <c r="H6707" s="5" t="s">
        <v>21</v>
      </c>
      <c r="I6707" s="5" t="s">
        <v>15396</v>
      </c>
      <c r="J6707" s="12" t="str">
        <f>HYPERLINK("https://www.boe.es/gazeta/dias/1800/05/13/pdfs/GMD-1800-38.pdf#page=8","Abrir facsímil")</f>
        <v>Abrir facsímil</v>
      </c>
      <c r="K6707" s="15" t="s">
        <v>23</v>
      </c>
    </row>
    <row r="6708" spans="1:11" ht="42" customHeight="1">
      <c r="A6708" s="4" t="s">
        <v>15397</v>
      </c>
      <c r="B6708" s="5" t="s">
        <v>15398</v>
      </c>
      <c r="C6708" s="5" t="s">
        <v>18</v>
      </c>
      <c r="D6708" s="5" t="s">
        <v>19</v>
      </c>
      <c r="E6708" s="5" t="s">
        <v>491</v>
      </c>
      <c r="F6708" s="9">
        <v>29</v>
      </c>
      <c r="G6708" s="9">
        <v>298</v>
      </c>
      <c r="H6708" s="5" t="s">
        <v>21</v>
      </c>
      <c r="I6708" s="5" t="s">
        <v>15399</v>
      </c>
      <c r="J6708" s="12" t="str">
        <f>HYPERLINK("https://www.boe.es/gazeta/dias/1800/04/11/pdfs/GMD-1800-29.pdf#page=6","Abrir facsímil")</f>
        <v>Abrir facsímil</v>
      </c>
      <c r="K6708" s="15" t="s">
        <v>23</v>
      </c>
    </row>
    <row r="6709" spans="1:11" ht="42" customHeight="1">
      <c r="A6709" s="4" t="s">
        <v>15397</v>
      </c>
      <c r="B6709" s="5" t="s">
        <v>15398</v>
      </c>
      <c r="C6709" s="5" t="s">
        <v>54</v>
      </c>
      <c r="D6709" s="5" t="s">
        <v>55</v>
      </c>
      <c r="E6709" s="5" t="s">
        <v>135</v>
      </c>
      <c r="F6709" s="9">
        <v>73</v>
      </c>
      <c r="G6709" s="9">
        <v>817</v>
      </c>
      <c r="H6709" s="5" t="s">
        <v>21</v>
      </c>
      <c r="I6709" s="5" t="s">
        <v>15400</v>
      </c>
      <c r="J6709" s="12" t="str">
        <f>HYPERLINK("https://www.boe.es/gazeta/dias/1800/09/09/pdfs/GMD-1800-73.pdf#page=11","Abrir facsímil")</f>
        <v>Abrir facsímil</v>
      </c>
      <c r="K6709" s="15" t="s">
        <v>23</v>
      </c>
    </row>
    <row r="6710" spans="1:11" ht="42" customHeight="1">
      <c r="A6710" s="4" t="s">
        <v>15401</v>
      </c>
      <c r="B6710" s="5" t="s">
        <v>15402</v>
      </c>
      <c r="C6710" s="5" t="s">
        <v>18</v>
      </c>
      <c r="D6710" s="5" t="s">
        <v>19</v>
      </c>
      <c r="E6710" s="5" t="s">
        <v>158</v>
      </c>
      <c r="F6710" s="9">
        <v>25</v>
      </c>
      <c r="G6710" s="9">
        <v>256</v>
      </c>
      <c r="H6710" s="5" t="s">
        <v>21</v>
      </c>
      <c r="I6710" s="5" t="s">
        <v>15403</v>
      </c>
      <c r="J6710" s="12" t="str">
        <f>HYPERLINK("https://www.boe.es/gazeta/dias/1800/03/28/pdfs/GMD-1800-25.pdf#page=8","Abrir facsímil")</f>
        <v>Abrir facsímil</v>
      </c>
      <c r="K6710" s="15" t="s">
        <v>23</v>
      </c>
    </row>
    <row r="6711" spans="1:11" ht="42" customHeight="1">
      <c r="A6711" s="4" t="s">
        <v>15404</v>
      </c>
      <c r="B6711" s="5" t="s">
        <v>15405</v>
      </c>
      <c r="C6711" s="5" t="s">
        <v>171</v>
      </c>
      <c r="D6711" s="5" t="s">
        <v>172</v>
      </c>
      <c r="E6711" s="5" t="s">
        <v>422</v>
      </c>
      <c r="F6711" s="9">
        <v>85</v>
      </c>
      <c r="G6711" s="9">
        <v>988</v>
      </c>
      <c r="H6711" s="5" t="s">
        <v>21</v>
      </c>
      <c r="I6711" s="5" t="s">
        <v>15406</v>
      </c>
      <c r="J6711" s="12" t="str">
        <f>HYPERLINK("https://www.boe.es/gazeta/dias/1800/10/21/pdfs/GMD-C-1800-85.pdf#page=2","Abrir facsímil")</f>
        <v>Abrir facsímil</v>
      </c>
      <c r="K6711" s="15" t="s">
        <v>23</v>
      </c>
    </row>
    <row r="6712" spans="1:11" ht="42" customHeight="1">
      <c r="A6712" s="4" t="s">
        <v>15407</v>
      </c>
      <c r="B6712" s="5" t="s">
        <v>15408</v>
      </c>
      <c r="C6712" s="5" t="s">
        <v>84</v>
      </c>
      <c r="D6712" s="5" t="s">
        <v>85</v>
      </c>
      <c r="E6712" s="5" t="s">
        <v>598</v>
      </c>
      <c r="F6712" s="9">
        <v>32</v>
      </c>
      <c r="G6712" s="9">
        <v>324</v>
      </c>
      <c r="H6712" s="5" t="s">
        <v>21</v>
      </c>
      <c r="I6712" s="5" t="s">
        <v>15409</v>
      </c>
      <c r="J6712" s="12" t="str">
        <f>HYPERLINK("https://www.boe.es/gazeta/dias/1800/04/22/pdfs/GMD-1800-32.pdf#page=8","Abrir facsímil")</f>
        <v>Abrir facsímil</v>
      </c>
      <c r="K6712" s="15" t="s">
        <v>23</v>
      </c>
    </row>
    <row r="6713" spans="1:11" ht="42" customHeight="1">
      <c r="A6713" s="4" t="s">
        <v>15410</v>
      </c>
      <c r="B6713" s="5" t="s">
        <v>15411</v>
      </c>
      <c r="C6713" s="5" t="s">
        <v>18</v>
      </c>
      <c r="D6713" s="5" t="s">
        <v>19</v>
      </c>
      <c r="E6713" s="5" t="s">
        <v>75</v>
      </c>
      <c r="F6713" s="9">
        <v>64</v>
      </c>
      <c r="G6713" s="9">
        <v>733</v>
      </c>
      <c r="H6713" s="5" t="s">
        <v>21</v>
      </c>
      <c r="I6713" s="5" t="s">
        <v>15412</v>
      </c>
      <c r="J6713" s="12" t="str">
        <f>HYPERLINK("https://www.boe.es/gazeta/dias/1800/08/12/pdfs/GMD-1800-64.pdf#page=9","Abrir facsímil")</f>
        <v>Abrir facsímil</v>
      </c>
      <c r="K6713" s="15" t="s">
        <v>23</v>
      </c>
    </row>
    <row r="6714" spans="1:11" ht="42" customHeight="1">
      <c r="A6714" s="4" t="s">
        <v>15413</v>
      </c>
      <c r="B6714" s="5" t="s">
        <v>15414</v>
      </c>
      <c r="C6714" s="5" t="s">
        <v>18</v>
      </c>
      <c r="D6714" s="5" t="s">
        <v>19</v>
      </c>
      <c r="E6714" s="5" t="s">
        <v>1294</v>
      </c>
      <c r="F6714" s="9">
        <v>59</v>
      </c>
      <c r="G6714" s="9">
        <v>678</v>
      </c>
      <c r="H6714" s="5" t="s">
        <v>21</v>
      </c>
      <c r="I6714" s="5" t="s">
        <v>15415</v>
      </c>
      <c r="J6714" s="12" t="str">
        <f>HYPERLINK("https://www.boe.es/gazeta/dias/1800/07/25/pdfs/GMD-1800-59.pdf#page=10","Abrir facsímil")</f>
        <v>Abrir facsímil</v>
      </c>
      <c r="K6714" s="15" t="s">
        <v>23</v>
      </c>
    </row>
    <row r="6715" spans="1:11" ht="42" customHeight="1">
      <c r="A6715" s="4" t="s">
        <v>15416</v>
      </c>
      <c r="B6715" s="5" t="s">
        <v>15417</v>
      </c>
      <c r="C6715" s="5" t="s">
        <v>18</v>
      </c>
      <c r="D6715" s="5" t="s">
        <v>19</v>
      </c>
      <c r="E6715" s="5" t="s">
        <v>1294</v>
      </c>
      <c r="F6715" s="9">
        <v>59</v>
      </c>
      <c r="G6715" s="9">
        <v>678</v>
      </c>
      <c r="H6715" s="5" t="s">
        <v>21</v>
      </c>
      <c r="I6715" s="5" t="s">
        <v>15418</v>
      </c>
      <c r="J6715" s="12" t="str">
        <f>HYPERLINK("https://www.boe.es/gazeta/dias/1800/07/25/pdfs/GMD-1800-59.pdf#page=10","Abrir facsímil")</f>
        <v>Abrir facsímil</v>
      </c>
      <c r="K6715" s="15" t="s">
        <v>23</v>
      </c>
    </row>
    <row r="6716" spans="1:11" ht="42" customHeight="1">
      <c r="A6716" s="4" t="s">
        <v>15419</v>
      </c>
      <c r="B6716" s="5" t="s">
        <v>15420</v>
      </c>
      <c r="C6716" s="5" t="s">
        <v>171</v>
      </c>
      <c r="D6716" s="5" t="s">
        <v>172</v>
      </c>
      <c r="E6716" s="5" t="s">
        <v>214</v>
      </c>
      <c r="F6716" s="9">
        <v>41</v>
      </c>
      <c r="G6716" s="9">
        <v>426</v>
      </c>
      <c r="H6716" s="5" t="s">
        <v>21</v>
      </c>
      <c r="I6716" s="5" t="s">
        <v>15421</v>
      </c>
      <c r="J6716" s="12" t="str">
        <f>HYPERLINK("https://www.boe.es/gazeta/dias/1800/05/23/pdfs/GMD-C-1800-41.pdf#page=2","Abrir facsímil")</f>
        <v>Abrir facsímil</v>
      </c>
      <c r="K6716" s="15" t="s">
        <v>23</v>
      </c>
    </row>
    <row r="6717" spans="1:11" ht="42" customHeight="1">
      <c r="A6717" s="4" t="s">
        <v>15422</v>
      </c>
      <c r="B6717" s="5" t="s">
        <v>15423</v>
      </c>
      <c r="C6717" s="5" t="s">
        <v>18</v>
      </c>
      <c r="D6717" s="5" t="s">
        <v>19</v>
      </c>
      <c r="E6717" s="5" t="s">
        <v>176</v>
      </c>
      <c r="F6717" s="9">
        <v>88</v>
      </c>
      <c r="G6717" s="9">
        <v>1031</v>
      </c>
      <c r="H6717" s="5" t="s">
        <v>21</v>
      </c>
      <c r="I6717" s="5" t="s">
        <v>15424</v>
      </c>
      <c r="J6717" s="12" t="str">
        <f>HYPERLINK("https://www.boe.es/gazeta/dias/1800/10/31/pdfs/GMD-1800-88.pdf#page=13","Abrir facsímil")</f>
        <v>Abrir facsímil</v>
      </c>
      <c r="K6717" s="15" t="s">
        <v>23</v>
      </c>
    </row>
    <row r="6718" spans="1:11" ht="42" customHeight="1">
      <c r="A6718" s="4" t="s">
        <v>15425</v>
      </c>
      <c r="B6718" s="5" t="s">
        <v>15426</v>
      </c>
      <c r="C6718" s="5" t="s">
        <v>25</v>
      </c>
      <c r="D6718" s="5" t="s">
        <v>26</v>
      </c>
      <c r="E6718" s="5" t="s">
        <v>139</v>
      </c>
      <c r="F6718" s="9">
        <v>2</v>
      </c>
      <c r="G6718" s="9">
        <v>17</v>
      </c>
      <c r="H6718" s="5" t="s">
        <v>21</v>
      </c>
      <c r="I6718" s="5" t="s">
        <v>15427</v>
      </c>
      <c r="J6718" s="12" t="str">
        <f>HYPERLINK("https://www.boe.es/gazeta/dias/1800/01/07/pdfs/GMD-1800-2.pdf#page=9","Abrir facsímil")</f>
        <v>Abrir facsímil</v>
      </c>
      <c r="K6718" s="15" t="s">
        <v>23</v>
      </c>
    </row>
    <row r="6719" spans="1:11" ht="42" customHeight="1">
      <c r="A6719" s="4" t="s">
        <v>15428</v>
      </c>
      <c r="B6719" s="5" t="s">
        <v>15429</v>
      </c>
      <c r="C6719" s="5" t="s">
        <v>114</v>
      </c>
      <c r="D6719" s="5" t="s">
        <v>115</v>
      </c>
      <c r="E6719" s="5" t="s">
        <v>116</v>
      </c>
      <c r="F6719" s="9">
        <v>86</v>
      </c>
      <c r="G6719" s="9" t="s">
        <v>991</v>
      </c>
      <c r="H6719" s="5" t="s">
        <v>21</v>
      </c>
      <c r="I6719" s="5" t="s">
        <v>15430</v>
      </c>
      <c r="J6719" s="12" t="str">
        <f>HYPERLINK("https://www.boe.es/gazeta/dias/1800/10/24/pdfs/GMD-D-1800-86.pdf#page=4","Abrir facsímil")</f>
        <v>Abrir facsímil</v>
      </c>
      <c r="K6719" s="15" t="s">
        <v>23</v>
      </c>
    </row>
    <row r="6720" spans="1:11" ht="42" customHeight="1">
      <c r="A6720" s="4" t="s">
        <v>15428</v>
      </c>
      <c r="B6720" s="5" t="s">
        <v>15429</v>
      </c>
      <c r="C6720" s="5" t="s">
        <v>18</v>
      </c>
      <c r="D6720" s="5" t="s">
        <v>19</v>
      </c>
      <c r="E6720" s="5" t="s">
        <v>576</v>
      </c>
      <c r="F6720" s="9">
        <v>91</v>
      </c>
      <c r="G6720" s="9">
        <v>1067</v>
      </c>
      <c r="H6720" s="5" t="s">
        <v>21</v>
      </c>
      <c r="I6720" s="5" t="s">
        <v>15431</v>
      </c>
      <c r="J6720" s="12" t="str">
        <f>HYPERLINK("https://www.boe.es/gazeta/dias/1800/11/11/pdfs/GMD-1800-91.pdf#page=9","Abrir facsímil")</f>
        <v>Abrir facsímil</v>
      </c>
      <c r="K6720" s="15" t="s">
        <v>23</v>
      </c>
    </row>
    <row r="6721" spans="1:11" ht="42" customHeight="1">
      <c r="A6721" s="4" t="s">
        <v>15432</v>
      </c>
      <c r="B6721" s="5" t="s">
        <v>15432</v>
      </c>
      <c r="C6721" s="5" t="s">
        <v>18</v>
      </c>
      <c r="D6721" s="5" t="s">
        <v>19</v>
      </c>
      <c r="E6721" s="5" t="s">
        <v>445</v>
      </c>
      <c r="F6721" s="9">
        <v>96</v>
      </c>
      <c r="G6721" s="9">
        <v>1103</v>
      </c>
      <c r="H6721" s="5" t="s">
        <v>21</v>
      </c>
      <c r="I6721" s="5" t="s">
        <v>15433</v>
      </c>
      <c r="J6721" s="12" t="str">
        <f>HYPERLINK("https://www.boe.es/gazeta/dias/1800/11/28/pdfs/GMD-1800-96.pdf#page=7","Abrir facsímil")</f>
        <v>Abrir facsímil</v>
      </c>
      <c r="K6721" s="15" t="s">
        <v>23</v>
      </c>
    </row>
    <row r="6722" spans="1:11" ht="42" customHeight="1">
      <c r="A6722" s="4" t="s">
        <v>15434</v>
      </c>
      <c r="B6722" s="5" t="s">
        <v>15435</v>
      </c>
      <c r="C6722" s="5" t="s">
        <v>18</v>
      </c>
      <c r="D6722" s="5" t="s">
        <v>19</v>
      </c>
      <c r="E6722" s="5" t="s">
        <v>56</v>
      </c>
      <c r="F6722" s="9">
        <v>90</v>
      </c>
      <c r="G6722" s="9">
        <v>1056</v>
      </c>
      <c r="H6722" s="5" t="s">
        <v>21</v>
      </c>
      <c r="I6722" s="5" t="s">
        <v>15436</v>
      </c>
      <c r="J6722" s="12" t="str">
        <f>HYPERLINK("https://www.boe.es/gazeta/dias/1800/11/07/pdfs/GMD-1800-90.pdf#page=10","Abrir facsímil")</f>
        <v>Abrir facsímil</v>
      </c>
      <c r="K6722" s="15" t="s">
        <v>23</v>
      </c>
    </row>
    <row r="6723" spans="1:11" ht="42" customHeight="1">
      <c r="A6723" s="4" t="s">
        <v>15437</v>
      </c>
      <c r="B6723" s="5" t="s">
        <v>15438</v>
      </c>
      <c r="C6723" s="5" t="s">
        <v>207</v>
      </c>
      <c r="D6723" s="5" t="s">
        <v>55</v>
      </c>
      <c r="E6723" s="5" t="s">
        <v>184</v>
      </c>
      <c r="F6723" s="9">
        <v>82</v>
      </c>
      <c r="G6723" s="9">
        <v>949</v>
      </c>
      <c r="H6723" s="5" t="s">
        <v>21</v>
      </c>
      <c r="I6723" s="5" t="s">
        <v>15439</v>
      </c>
      <c r="J6723" s="12" t="str">
        <f>HYPERLINK("https://www.boe.es/gazeta/dias/1800/10/10/pdfs/GMD-1800-82.pdf#page=7","Abrir facsímil")</f>
        <v>Abrir facsímil</v>
      </c>
      <c r="K6723" s="15" t="s">
        <v>23</v>
      </c>
    </row>
    <row r="6724" spans="1:11" ht="42" customHeight="1">
      <c r="A6724" s="4" t="s">
        <v>15440</v>
      </c>
      <c r="B6724" s="5" t="s">
        <v>15441</v>
      </c>
      <c r="C6724" s="5" t="s">
        <v>18</v>
      </c>
      <c r="D6724" s="5" t="s">
        <v>19</v>
      </c>
      <c r="E6724" s="5" t="s">
        <v>176</v>
      </c>
      <c r="F6724" s="9">
        <v>88</v>
      </c>
      <c r="G6724" s="9">
        <v>1030</v>
      </c>
      <c r="H6724" s="5" t="s">
        <v>21</v>
      </c>
      <c r="I6724" s="5" t="s">
        <v>15442</v>
      </c>
      <c r="J6724" s="12" t="str">
        <f>HYPERLINK("https://www.boe.es/gazeta/dias/1800/10/31/pdfs/GMD-1800-88.pdf#page=12","Abrir facsímil")</f>
        <v>Abrir facsímil</v>
      </c>
      <c r="K6724" s="15" t="s">
        <v>23</v>
      </c>
    </row>
    <row r="6725" spans="1:11" ht="42" customHeight="1">
      <c r="A6725" s="4" t="s">
        <v>15443</v>
      </c>
      <c r="B6725" s="5" t="s">
        <v>15444</v>
      </c>
      <c r="C6725" s="5" t="s">
        <v>84</v>
      </c>
      <c r="D6725" s="5" t="s">
        <v>85</v>
      </c>
      <c r="E6725" s="5" t="s">
        <v>843</v>
      </c>
      <c r="F6725" s="9">
        <v>78</v>
      </c>
      <c r="G6725" s="9">
        <v>890</v>
      </c>
      <c r="H6725" s="5" t="s">
        <v>21</v>
      </c>
      <c r="I6725" s="5" t="s">
        <v>15445</v>
      </c>
      <c r="J6725" s="12" t="str">
        <f>HYPERLINK("https://www.boe.es/gazeta/dias/1800/09/26/pdfs/GMD-1800-78.pdf#page=8","Abrir facsímil")</f>
        <v>Abrir facsímil</v>
      </c>
      <c r="K6725" s="15" t="s">
        <v>23</v>
      </c>
    </row>
    <row r="6726" spans="1:11" ht="42" customHeight="1">
      <c r="A6726" s="4" t="s">
        <v>15446</v>
      </c>
      <c r="B6726" s="5" t="s">
        <v>15447</v>
      </c>
      <c r="C6726" s="5" t="s">
        <v>18</v>
      </c>
      <c r="D6726" s="5" t="s">
        <v>19</v>
      </c>
      <c r="E6726" s="5" t="s">
        <v>154</v>
      </c>
      <c r="F6726" s="9">
        <v>61</v>
      </c>
      <c r="G6726" s="9">
        <v>698</v>
      </c>
      <c r="H6726" s="5" t="s">
        <v>21</v>
      </c>
      <c r="I6726" s="5" t="s">
        <v>15448</v>
      </c>
      <c r="J6726" s="12" t="str">
        <f>HYPERLINK("https://www.boe.es/gazeta/dias/1800/08/01/pdfs/GMD-1800-61.pdf#page=10","Abrir facsímil")</f>
        <v>Abrir facsímil</v>
      </c>
      <c r="K6726" s="15" t="s">
        <v>23</v>
      </c>
    </row>
    <row r="6727" spans="1:11" ht="42" customHeight="1">
      <c r="A6727" s="4" t="s">
        <v>15449</v>
      </c>
      <c r="B6727" s="5" t="s">
        <v>15450</v>
      </c>
      <c r="C6727" s="5" t="s">
        <v>18</v>
      </c>
      <c r="D6727" s="5" t="s">
        <v>19</v>
      </c>
      <c r="E6727" s="5" t="s">
        <v>1213</v>
      </c>
      <c r="F6727" s="9">
        <v>4</v>
      </c>
      <c r="G6727" s="9">
        <v>39</v>
      </c>
      <c r="H6727" s="5" t="s">
        <v>21</v>
      </c>
      <c r="I6727" s="5" t="s">
        <v>15451</v>
      </c>
      <c r="J6727" s="12" t="str">
        <f>HYPERLINK("https://www.boe.es/gazeta/dias/1800/01/14/pdfs/GMD-1800-4.pdf#page=11","Abrir facsímil")</f>
        <v>Abrir facsímil</v>
      </c>
      <c r="K6727" s="15" t="s">
        <v>23</v>
      </c>
    </row>
    <row r="6728" spans="1:11" ht="42" customHeight="1">
      <c r="A6728" s="4" t="s">
        <v>15449</v>
      </c>
      <c r="B6728" s="5" t="s">
        <v>15450</v>
      </c>
      <c r="C6728" s="5" t="s">
        <v>18</v>
      </c>
      <c r="D6728" s="5" t="s">
        <v>19</v>
      </c>
      <c r="E6728" s="5" t="s">
        <v>218</v>
      </c>
      <c r="F6728" s="9">
        <v>5</v>
      </c>
      <c r="G6728" s="9">
        <v>48</v>
      </c>
      <c r="H6728" s="5" t="s">
        <v>21</v>
      </c>
      <c r="I6728" s="5" t="s">
        <v>15452</v>
      </c>
      <c r="J6728" s="12" t="str">
        <f>HYPERLINK("https://www.boe.es/gazeta/dias/1800/01/17/pdfs/GMD-1800-5.pdf#page=8","Abrir facsímil")</f>
        <v>Abrir facsímil</v>
      </c>
      <c r="K6728" s="15" t="s">
        <v>23</v>
      </c>
    </row>
    <row r="6729" spans="1:11" ht="42" customHeight="1">
      <c r="A6729" s="4" t="s">
        <v>15449</v>
      </c>
      <c r="B6729" s="5" t="s">
        <v>15450</v>
      </c>
      <c r="C6729" s="5" t="s">
        <v>18</v>
      </c>
      <c r="D6729" s="5" t="s">
        <v>19</v>
      </c>
      <c r="E6729" s="5" t="s">
        <v>131</v>
      </c>
      <c r="F6729" s="9">
        <v>8</v>
      </c>
      <c r="G6729" s="9">
        <v>76</v>
      </c>
      <c r="H6729" s="5" t="s">
        <v>21</v>
      </c>
      <c r="I6729" s="5" t="s">
        <v>15453</v>
      </c>
      <c r="J6729" s="12" t="str">
        <f>HYPERLINK("https://www.boe.es/gazeta/dias/1800/01/28/pdfs/GMD-1800-8.pdf#page=8","Abrir facsímil")</f>
        <v>Abrir facsímil</v>
      </c>
      <c r="K6729" s="15" t="s">
        <v>23</v>
      </c>
    </row>
    <row r="6730" spans="1:11" ht="42" customHeight="1">
      <c r="A6730" s="4" t="s">
        <v>15449</v>
      </c>
      <c r="B6730" s="5" t="s">
        <v>15450</v>
      </c>
      <c r="C6730" s="5" t="s">
        <v>18</v>
      </c>
      <c r="D6730" s="5" t="s">
        <v>19</v>
      </c>
      <c r="E6730" s="5" t="s">
        <v>244</v>
      </c>
      <c r="F6730" s="9">
        <v>9</v>
      </c>
      <c r="G6730" s="9">
        <v>87</v>
      </c>
      <c r="H6730" s="5" t="s">
        <v>21</v>
      </c>
      <c r="I6730" s="5" t="s">
        <v>15454</v>
      </c>
      <c r="J6730" s="12" t="str">
        <f>HYPERLINK("https://www.boe.es/gazeta/dias/1800/01/31/pdfs/GMD-1800-9.pdf#page=11","Abrir facsímil")</f>
        <v>Abrir facsímil</v>
      </c>
      <c r="K6730" s="15" t="s">
        <v>23</v>
      </c>
    </row>
    <row r="6731" spans="1:11" ht="42" customHeight="1">
      <c r="A6731" s="4" t="s">
        <v>15449</v>
      </c>
      <c r="B6731" s="5" t="s">
        <v>15450</v>
      </c>
      <c r="C6731" s="5" t="s">
        <v>18</v>
      </c>
      <c r="D6731" s="5" t="s">
        <v>19</v>
      </c>
      <c r="E6731" s="5" t="s">
        <v>82</v>
      </c>
      <c r="F6731" s="9">
        <v>10</v>
      </c>
      <c r="G6731" s="9">
        <v>98</v>
      </c>
      <c r="H6731" s="5" t="s">
        <v>21</v>
      </c>
      <c r="I6731" s="5" t="s">
        <v>15455</v>
      </c>
      <c r="J6731" s="12" t="str">
        <f>HYPERLINK("https://www.boe.es/gazeta/dias/1800/02/04/pdfs/GMD-1800-10.pdf#page=10","Abrir facsímil")</f>
        <v>Abrir facsímil</v>
      </c>
      <c r="K6731" s="15" t="s">
        <v>23</v>
      </c>
    </row>
    <row r="6732" spans="1:11" ht="42" customHeight="1">
      <c r="A6732" s="4" t="s">
        <v>15449</v>
      </c>
      <c r="B6732" s="5" t="s">
        <v>15450</v>
      </c>
      <c r="C6732" s="5" t="s">
        <v>18</v>
      </c>
      <c r="D6732" s="5" t="s">
        <v>19</v>
      </c>
      <c r="E6732" s="5" t="s">
        <v>1127</v>
      </c>
      <c r="F6732" s="9">
        <v>11</v>
      </c>
      <c r="G6732" s="9">
        <v>107</v>
      </c>
      <c r="H6732" s="5" t="s">
        <v>21</v>
      </c>
      <c r="I6732" s="5" t="s">
        <v>15456</v>
      </c>
      <c r="J6732" s="12" t="str">
        <f>HYPERLINK("https://www.boe.es/gazeta/dias/1800/02/07/pdfs/GMD-1800-11.pdf#page=7","Abrir facsímil")</f>
        <v>Abrir facsímil</v>
      </c>
      <c r="K6732" s="15" t="s">
        <v>23</v>
      </c>
    </row>
    <row r="6733" spans="1:11" ht="42" customHeight="1">
      <c r="A6733" s="4" t="s">
        <v>15449</v>
      </c>
      <c r="B6733" s="5" t="s">
        <v>15450</v>
      </c>
      <c r="C6733" s="5" t="s">
        <v>18</v>
      </c>
      <c r="D6733" s="5" t="s">
        <v>19</v>
      </c>
      <c r="E6733" s="5" t="s">
        <v>1433</v>
      </c>
      <c r="F6733" s="9">
        <v>12</v>
      </c>
      <c r="G6733" s="9">
        <v>116</v>
      </c>
      <c r="H6733" s="5" t="s">
        <v>21</v>
      </c>
      <c r="I6733" s="5" t="s">
        <v>15457</v>
      </c>
      <c r="J6733" s="12" t="str">
        <f>HYPERLINK("https://www.boe.es/gazeta/dias/1800/02/11/pdfs/GMD-1800-12.pdf#page=8","Abrir facsímil")</f>
        <v>Abrir facsímil</v>
      </c>
      <c r="K6733" s="15" t="s">
        <v>23</v>
      </c>
    </row>
    <row r="6734" spans="1:11" ht="42" customHeight="1">
      <c r="A6734" s="4" t="s">
        <v>15449</v>
      </c>
      <c r="B6734" s="5" t="s">
        <v>15450</v>
      </c>
      <c r="C6734" s="5" t="s">
        <v>25</v>
      </c>
      <c r="D6734" s="5" t="s">
        <v>26</v>
      </c>
      <c r="E6734" s="5" t="s">
        <v>545</v>
      </c>
      <c r="F6734" s="9">
        <v>14</v>
      </c>
      <c r="G6734" s="9">
        <v>135</v>
      </c>
      <c r="H6734" s="5" t="s">
        <v>21</v>
      </c>
      <c r="I6734" s="5" t="s">
        <v>15458</v>
      </c>
      <c r="J6734" s="12" t="str">
        <f>HYPERLINK("https://www.boe.es/gazeta/dias/1800/02/18/pdfs/GMD-1800-14.pdf#page=7","Abrir facsímil")</f>
        <v>Abrir facsímil</v>
      </c>
      <c r="K6734" s="15" t="s">
        <v>23</v>
      </c>
    </row>
    <row r="6735" spans="1:11" ht="42" customHeight="1">
      <c r="A6735" s="4" t="s">
        <v>15449</v>
      </c>
      <c r="B6735" s="5" t="s">
        <v>15450</v>
      </c>
      <c r="C6735" s="5" t="s">
        <v>18</v>
      </c>
      <c r="D6735" s="5" t="s">
        <v>19</v>
      </c>
      <c r="E6735" s="5" t="s">
        <v>162</v>
      </c>
      <c r="F6735" s="9">
        <v>15</v>
      </c>
      <c r="G6735" s="9">
        <v>143</v>
      </c>
      <c r="H6735" s="5" t="s">
        <v>21</v>
      </c>
      <c r="I6735" s="5" t="s">
        <v>15459</v>
      </c>
      <c r="J6735" s="12" t="str">
        <f>HYPERLINK("https://www.boe.es/gazeta/dias/1800/02/21/pdfs/GMD-1800-15.pdf#page=7","Abrir facsímil")</f>
        <v>Abrir facsímil</v>
      </c>
      <c r="K6735" s="15" t="s">
        <v>23</v>
      </c>
    </row>
    <row r="6736" spans="1:11" ht="42" customHeight="1">
      <c r="A6736" s="4" t="s">
        <v>15449</v>
      </c>
      <c r="B6736" s="5" t="s">
        <v>15450</v>
      </c>
      <c r="C6736" s="5" t="s">
        <v>18</v>
      </c>
      <c r="D6736" s="5" t="s">
        <v>19</v>
      </c>
      <c r="E6736" s="5" t="s">
        <v>124</v>
      </c>
      <c r="F6736" s="9">
        <v>16</v>
      </c>
      <c r="G6736" s="9">
        <v>152</v>
      </c>
      <c r="H6736" s="5" t="s">
        <v>21</v>
      </c>
      <c r="I6736" s="5" t="s">
        <v>15460</v>
      </c>
      <c r="J6736" s="12" t="str">
        <f>HYPERLINK("https://www.boe.es/gazeta/dias/1800/02/25/pdfs/GMD-1800-16.pdf#page=8","Abrir facsímil")</f>
        <v>Abrir facsímil</v>
      </c>
      <c r="K6736" s="15" t="s">
        <v>23</v>
      </c>
    </row>
    <row r="6737" spans="1:11" ht="42" customHeight="1">
      <c r="A6737" s="4" t="s">
        <v>15449</v>
      </c>
      <c r="B6737" s="5" t="s">
        <v>15450</v>
      </c>
      <c r="C6737" s="5" t="s">
        <v>18</v>
      </c>
      <c r="D6737" s="5" t="s">
        <v>19</v>
      </c>
      <c r="E6737" s="5" t="s">
        <v>461</v>
      </c>
      <c r="F6737" s="9">
        <v>18</v>
      </c>
      <c r="G6737" s="9">
        <v>171</v>
      </c>
      <c r="H6737" s="5" t="s">
        <v>21</v>
      </c>
      <c r="I6737" s="5" t="s">
        <v>15461</v>
      </c>
      <c r="J6737" s="12" t="str">
        <f>HYPERLINK("https://www.boe.es/datos/pdfs/BOE//1800/018/C00173-00176.pdf#page=7","Abrir facsímil")</f>
        <v>Abrir facsímil</v>
      </c>
      <c r="K6737" s="15" t="s">
        <v>23</v>
      </c>
    </row>
    <row r="6738" spans="1:11" ht="42" customHeight="1">
      <c r="A6738" s="4" t="s">
        <v>15449</v>
      </c>
      <c r="B6738" s="5" t="s">
        <v>15450</v>
      </c>
      <c r="C6738" s="5" t="s">
        <v>18</v>
      </c>
      <c r="D6738" s="5" t="s">
        <v>19</v>
      </c>
      <c r="E6738" s="5" t="s">
        <v>31</v>
      </c>
      <c r="F6738" s="9">
        <v>20</v>
      </c>
      <c r="G6738" s="9">
        <v>194</v>
      </c>
      <c r="H6738" s="5" t="s">
        <v>21</v>
      </c>
      <c r="I6738" s="5" t="s">
        <v>15462</v>
      </c>
      <c r="J6738" s="12" t="str">
        <f>HYPERLINK("https://www.boe.es/gazeta/dias/1800/03/11/pdfs/GMD-1800-20.pdf#page=10","Abrir facsímil")</f>
        <v>Abrir facsímil</v>
      </c>
      <c r="K6738" s="15" t="s">
        <v>23</v>
      </c>
    </row>
    <row r="6739" spans="1:11" ht="42" customHeight="1">
      <c r="A6739" s="4" t="s">
        <v>15449</v>
      </c>
      <c r="B6739" s="5" t="s">
        <v>15450</v>
      </c>
      <c r="C6739" s="5" t="s">
        <v>18</v>
      </c>
      <c r="D6739" s="5" t="s">
        <v>19</v>
      </c>
      <c r="E6739" s="5" t="s">
        <v>143</v>
      </c>
      <c r="F6739" s="9">
        <v>22</v>
      </c>
      <c r="G6739" s="9">
        <v>222</v>
      </c>
      <c r="H6739" s="5" t="s">
        <v>21</v>
      </c>
      <c r="I6739" s="5" t="s">
        <v>15463</v>
      </c>
      <c r="J6739" s="12" t="str">
        <f>HYPERLINK("https://www.boe.es/gazeta/dias/1800/03/18/pdfs/GMD-1800-22.pdf#page=14","Abrir facsímil")</f>
        <v>Abrir facsímil</v>
      </c>
      <c r="K6739" s="15" t="s">
        <v>23</v>
      </c>
    </row>
    <row r="6740" spans="1:11" ht="42" customHeight="1">
      <c r="A6740" s="4" t="s">
        <v>15449</v>
      </c>
      <c r="B6740" s="5" t="s">
        <v>15450</v>
      </c>
      <c r="C6740" s="5" t="s">
        <v>18</v>
      </c>
      <c r="D6740" s="5" t="s">
        <v>19</v>
      </c>
      <c r="E6740" s="5" t="s">
        <v>88</v>
      </c>
      <c r="F6740" s="9">
        <v>23</v>
      </c>
      <c r="G6740" s="9">
        <v>234</v>
      </c>
      <c r="H6740" s="5" t="s">
        <v>21</v>
      </c>
      <c r="I6740" s="5" t="s">
        <v>15464</v>
      </c>
      <c r="J6740" s="12" t="str">
        <f>HYPERLINK("https://www.boe.es/gazeta/dias/1800/03/21/pdfs/GMD-1800-23.pdf#page=10","Abrir facsímil")</f>
        <v>Abrir facsímil</v>
      </c>
      <c r="K6740" s="15" t="s">
        <v>23</v>
      </c>
    </row>
    <row r="6741" spans="1:11" ht="42" customHeight="1">
      <c r="A6741" s="4" t="s">
        <v>15449</v>
      </c>
      <c r="B6741" s="5" t="s">
        <v>15450</v>
      </c>
      <c r="C6741" s="5" t="s">
        <v>18</v>
      </c>
      <c r="D6741" s="5" t="s">
        <v>19</v>
      </c>
      <c r="E6741" s="5" t="s">
        <v>88</v>
      </c>
      <c r="F6741" s="9">
        <v>23</v>
      </c>
      <c r="G6741" s="9">
        <v>235</v>
      </c>
      <c r="H6741" s="5" t="s">
        <v>21</v>
      </c>
      <c r="I6741" s="5" t="s">
        <v>15465</v>
      </c>
      <c r="J6741" s="12" t="str">
        <f>HYPERLINK("https://www.boe.es/gazeta/dias/1800/03/21/pdfs/GMD-1800-23.pdf#page=11","Abrir facsímil")</f>
        <v>Abrir facsímil</v>
      </c>
      <c r="K6741" s="15" t="s">
        <v>23</v>
      </c>
    </row>
    <row r="6742" spans="1:11" ht="42" customHeight="1">
      <c r="A6742" s="4" t="s">
        <v>15449</v>
      </c>
      <c r="B6742" s="5" t="s">
        <v>15450</v>
      </c>
      <c r="C6742" s="5" t="s">
        <v>18</v>
      </c>
      <c r="D6742" s="5" t="s">
        <v>19</v>
      </c>
      <c r="E6742" s="5" t="s">
        <v>240</v>
      </c>
      <c r="F6742" s="9">
        <v>26</v>
      </c>
      <c r="G6742" s="9">
        <v>271</v>
      </c>
      <c r="H6742" s="5" t="s">
        <v>21</v>
      </c>
      <c r="I6742" s="5" t="s">
        <v>15466</v>
      </c>
      <c r="J6742" s="12" t="str">
        <f>HYPERLINK("https://www.boe.es/gazeta/dias/1800/04/01/pdfs/GMD-1800-26.pdf#page=11","Abrir facsímil")</f>
        <v>Abrir facsímil</v>
      </c>
      <c r="K6742" s="15" t="s">
        <v>23</v>
      </c>
    </row>
    <row r="6743" spans="1:11" ht="42" customHeight="1">
      <c r="A6743" s="4" t="s">
        <v>15449</v>
      </c>
      <c r="B6743" s="5" t="s">
        <v>15450</v>
      </c>
      <c r="C6743" s="5" t="s">
        <v>18</v>
      </c>
      <c r="D6743" s="5" t="s">
        <v>19</v>
      </c>
      <c r="E6743" s="5" t="s">
        <v>491</v>
      </c>
      <c r="F6743" s="9">
        <v>29</v>
      </c>
      <c r="G6743" s="9">
        <v>299</v>
      </c>
      <c r="H6743" s="5" t="s">
        <v>21</v>
      </c>
      <c r="I6743" s="5" t="s">
        <v>15467</v>
      </c>
      <c r="J6743" s="12" t="str">
        <f>HYPERLINK("https://www.boe.es/gazeta/dias/1800/04/11/pdfs/GMD-1800-29.pdf#page=7","Abrir facsímil")</f>
        <v>Abrir facsímil</v>
      </c>
      <c r="K6743" s="15" t="s">
        <v>23</v>
      </c>
    </row>
    <row r="6744" spans="1:11" ht="42" customHeight="1">
      <c r="A6744" s="4" t="s">
        <v>15449</v>
      </c>
      <c r="B6744" s="5" t="s">
        <v>15450</v>
      </c>
      <c r="C6744" s="5" t="s">
        <v>54</v>
      </c>
      <c r="D6744" s="5" t="s">
        <v>55</v>
      </c>
      <c r="E6744" s="5" t="s">
        <v>248</v>
      </c>
      <c r="F6744" s="9">
        <v>33</v>
      </c>
      <c r="G6744" s="9">
        <v>334</v>
      </c>
      <c r="H6744" s="5" t="s">
        <v>21</v>
      </c>
      <c r="I6744" s="5" t="s">
        <v>15468</v>
      </c>
      <c r="J6744" s="12" t="str">
        <f>HYPERLINK("https://www.boe.es/gazeta/dias/1800/04/25/pdfs/GMD-1800-33.pdf#page=10","Abrir facsímil")</f>
        <v>Abrir facsímil</v>
      </c>
      <c r="K6744" s="15" t="s">
        <v>23</v>
      </c>
    </row>
    <row r="6745" spans="1:11" ht="42" customHeight="1">
      <c r="A6745" s="4" t="s">
        <v>15449</v>
      </c>
      <c r="B6745" s="5" t="s">
        <v>15450</v>
      </c>
      <c r="C6745" s="5" t="s">
        <v>18</v>
      </c>
      <c r="D6745" s="5" t="s">
        <v>19</v>
      </c>
      <c r="E6745" s="5" t="s">
        <v>478</v>
      </c>
      <c r="F6745" s="9">
        <v>34</v>
      </c>
      <c r="G6745" s="9">
        <v>347</v>
      </c>
      <c r="H6745" s="5" t="s">
        <v>21</v>
      </c>
      <c r="I6745" s="5" t="s">
        <v>15469</v>
      </c>
      <c r="J6745" s="12" t="str">
        <f>HYPERLINK("https://www.boe.es/gazeta/dias/1800/04/29/pdfs/GMD-1800-34.pdf#page=11","Abrir facsímil")</f>
        <v>Abrir facsímil</v>
      </c>
      <c r="K6745" s="15" t="s">
        <v>23</v>
      </c>
    </row>
    <row r="6746" spans="1:11" ht="42" customHeight="1">
      <c r="A6746" s="4" t="s">
        <v>15449</v>
      </c>
      <c r="B6746" s="5" t="s">
        <v>15450</v>
      </c>
      <c r="C6746" s="5" t="s">
        <v>18</v>
      </c>
      <c r="D6746" s="5" t="s">
        <v>19</v>
      </c>
      <c r="E6746" s="5" t="s">
        <v>1231</v>
      </c>
      <c r="F6746" s="9">
        <v>36</v>
      </c>
      <c r="G6746" s="9">
        <v>367</v>
      </c>
      <c r="H6746" s="5" t="s">
        <v>21</v>
      </c>
      <c r="I6746" s="5" t="s">
        <v>15470</v>
      </c>
      <c r="J6746" s="12" t="str">
        <f>HYPERLINK("https://www.boe.es/gazeta/dias/1800/05/06/pdfs/GMD-1800-36.pdf#page=11","Abrir facsímil")</f>
        <v>Abrir facsímil</v>
      </c>
      <c r="K6746" s="15" t="s">
        <v>23</v>
      </c>
    </row>
    <row r="6747" spans="1:11" ht="42" customHeight="1">
      <c r="A6747" s="4" t="s">
        <v>15449</v>
      </c>
      <c r="B6747" s="5" t="s">
        <v>15450</v>
      </c>
      <c r="C6747" s="5" t="s">
        <v>84</v>
      </c>
      <c r="D6747" s="5" t="s">
        <v>85</v>
      </c>
      <c r="E6747" s="5" t="s">
        <v>101</v>
      </c>
      <c r="F6747" s="9">
        <v>37</v>
      </c>
      <c r="G6747" s="9">
        <v>379</v>
      </c>
      <c r="H6747" s="5" t="s">
        <v>21</v>
      </c>
      <c r="I6747" s="5" t="s">
        <v>15471</v>
      </c>
      <c r="J6747" s="12" t="str">
        <f>HYPERLINK("https://www.boe.es/gazeta/dias/1800/05/09/pdfs/GMD-1800-37.pdf#page=11","Abrir facsímil")</f>
        <v>Abrir facsímil</v>
      </c>
      <c r="K6747" s="15" t="s">
        <v>23</v>
      </c>
    </row>
    <row r="6748" spans="1:11" ht="42" customHeight="1">
      <c r="A6748" s="4" t="s">
        <v>15449</v>
      </c>
      <c r="B6748" s="5" t="s">
        <v>15450</v>
      </c>
      <c r="C6748" s="5" t="s">
        <v>18</v>
      </c>
      <c r="D6748" s="5" t="s">
        <v>19</v>
      </c>
      <c r="E6748" s="5" t="s">
        <v>262</v>
      </c>
      <c r="F6748" s="9">
        <v>39</v>
      </c>
      <c r="G6748" s="9">
        <v>404</v>
      </c>
      <c r="H6748" s="5" t="s">
        <v>21</v>
      </c>
      <c r="I6748" s="5" t="s">
        <v>15472</v>
      </c>
      <c r="J6748" s="12" t="str">
        <f>HYPERLINK("https://www.boe.es/gazeta/dias/1800/05/16/pdfs/GMD-1800-39.pdf#page=12","Abrir facsímil")</f>
        <v>Abrir facsímil</v>
      </c>
      <c r="K6748" s="15" t="s">
        <v>23</v>
      </c>
    </row>
    <row r="6749" spans="1:11" ht="42" customHeight="1">
      <c r="A6749" s="4" t="s">
        <v>15449</v>
      </c>
      <c r="B6749" s="5" t="s">
        <v>15450</v>
      </c>
      <c r="C6749" s="5" t="s">
        <v>54</v>
      </c>
      <c r="D6749" s="5" t="s">
        <v>55</v>
      </c>
      <c r="E6749" s="5" t="s">
        <v>299</v>
      </c>
      <c r="F6749" s="9">
        <v>40</v>
      </c>
      <c r="G6749" s="9">
        <v>416</v>
      </c>
      <c r="H6749" s="5" t="s">
        <v>21</v>
      </c>
      <c r="I6749" s="5" t="s">
        <v>15473</v>
      </c>
      <c r="J6749" s="12" t="str">
        <f>HYPERLINK("https://www.boe.es/gazeta/dias/1800/05/20/pdfs/GMD-1800-40.pdf#page=12","Abrir facsímil")</f>
        <v>Abrir facsímil</v>
      </c>
      <c r="K6749" s="15" t="s">
        <v>23</v>
      </c>
    </row>
    <row r="6750" spans="1:11" ht="42" customHeight="1">
      <c r="A6750" s="4" t="s">
        <v>15449</v>
      </c>
      <c r="B6750" s="5" t="s">
        <v>15450</v>
      </c>
      <c r="C6750" s="5" t="s">
        <v>84</v>
      </c>
      <c r="D6750" s="5" t="s">
        <v>85</v>
      </c>
      <c r="E6750" s="5" t="s">
        <v>214</v>
      </c>
      <c r="F6750" s="9">
        <v>41</v>
      </c>
      <c r="G6750" s="9">
        <v>424</v>
      </c>
      <c r="H6750" s="5" t="s">
        <v>21</v>
      </c>
      <c r="I6750" s="5" t="s">
        <v>15474</v>
      </c>
      <c r="J6750" s="12" t="str">
        <f>HYPERLINK("https://www.boe.es/gazeta/dias/1800/05/23/pdfs/GMD-1800-41.pdf#page=8","Abrir facsímil")</f>
        <v>Abrir facsímil</v>
      </c>
      <c r="K6750" s="15" t="s">
        <v>23</v>
      </c>
    </row>
    <row r="6751" spans="1:11" ht="42" customHeight="1">
      <c r="A6751" s="4" t="s">
        <v>15449</v>
      </c>
      <c r="B6751" s="5" t="s">
        <v>15450</v>
      </c>
      <c r="C6751" s="5" t="s">
        <v>171</v>
      </c>
      <c r="D6751" s="5" t="s">
        <v>172</v>
      </c>
      <c r="E6751" s="5" t="s">
        <v>2338</v>
      </c>
      <c r="F6751" s="9">
        <v>42</v>
      </c>
      <c r="G6751" s="9">
        <v>437</v>
      </c>
      <c r="H6751" s="5" t="s">
        <v>21</v>
      </c>
      <c r="I6751" s="5" t="s">
        <v>15475</v>
      </c>
      <c r="J6751" s="12" t="str">
        <f>HYPERLINK("https://www.boe.es/gazeta/dias/1800/05/27/pdfs/GMD-C-1800-42.pdf#page=1","Abrir facsímil")</f>
        <v>Abrir facsímil</v>
      </c>
      <c r="K6751" s="15" t="s">
        <v>23</v>
      </c>
    </row>
    <row r="6752" spans="1:11" ht="42" customHeight="1">
      <c r="A6752" s="4" t="s">
        <v>15449</v>
      </c>
      <c r="B6752" s="5" t="s">
        <v>15450</v>
      </c>
      <c r="C6752" s="5" t="s">
        <v>84</v>
      </c>
      <c r="D6752" s="5" t="s">
        <v>85</v>
      </c>
      <c r="E6752" s="5" t="s">
        <v>406</v>
      </c>
      <c r="F6752" s="9">
        <v>44</v>
      </c>
      <c r="G6752" s="9">
        <v>462</v>
      </c>
      <c r="H6752" s="5" t="s">
        <v>21</v>
      </c>
      <c r="I6752" s="5" t="s">
        <v>15476</v>
      </c>
      <c r="J6752" s="12" t="str">
        <f>HYPERLINK("https://www.boe.es/gazeta/dias/1800/06/03/pdfs/GMD-1800-44.pdf#page=10","Abrir facsímil")</f>
        <v>Abrir facsímil</v>
      </c>
      <c r="K6752" s="15" t="s">
        <v>23</v>
      </c>
    </row>
    <row r="6753" spans="1:11" ht="42" customHeight="1">
      <c r="A6753" s="4" t="s">
        <v>15449</v>
      </c>
      <c r="B6753" s="5" t="s">
        <v>15450</v>
      </c>
      <c r="C6753" s="5" t="s">
        <v>171</v>
      </c>
      <c r="D6753" s="5" t="s">
        <v>172</v>
      </c>
      <c r="E6753" s="5" t="s">
        <v>45</v>
      </c>
      <c r="F6753" s="9">
        <v>47</v>
      </c>
      <c r="G6753" s="9">
        <v>505</v>
      </c>
      <c r="H6753" s="5" t="s">
        <v>21</v>
      </c>
      <c r="I6753" s="5" t="s">
        <v>15477</v>
      </c>
      <c r="J6753" s="12" t="str">
        <f>HYPERLINK("https://www.boe.es/gazeta/dias/1800/06/13/pdfs/GMD-C-1800-47.pdf#page=1","Abrir facsímil")</f>
        <v>Abrir facsímil</v>
      </c>
      <c r="K6753" s="15" t="s">
        <v>23</v>
      </c>
    </row>
    <row r="6754" spans="1:11" ht="42" customHeight="1">
      <c r="A6754" s="4" t="s">
        <v>15449</v>
      </c>
      <c r="B6754" s="5" t="s">
        <v>15450</v>
      </c>
      <c r="C6754" s="5" t="s">
        <v>171</v>
      </c>
      <c r="D6754" s="5" t="s">
        <v>172</v>
      </c>
      <c r="E6754" s="5" t="s">
        <v>194</v>
      </c>
      <c r="F6754" s="9">
        <v>48</v>
      </c>
      <c r="G6754" s="9">
        <v>521</v>
      </c>
      <c r="H6754" s="5" t="s">
        <v>21</v>
      </c>
      <c r="I6754" s="5" t="s">
        <v>15478</v>
      </c>
      <c r="J6754" s="12" t="str">
        <f>HYPERLINK("https://www.boe.es/gazeta/dias/1800/06/17/pdfs/GMD-C-1800-48.pdf#page=1","Abrir facsímil")</f>
        <v>Abrir facsímil</v>
      </c>
      <c r="K6754" s="15" t="s">
        <v>23</v>
      </c>
    </row>
    <row r="6755" spans="1:11" ht="42" customHeight="1">
      <c r="A6755" s="4" t="s">
        <v>15449</v>
      </c>
      <c r="B6755" s="5" t="s">
        <v>15450</v>
      </c>
      <c r="C6755" s="5" t="s">
        <v>84</v>
      </c>
      <c r="D6755" s="5" t="s">
        <v>85</v>
      </c>
      <c r="E6755" s="5" t="s">
        <v>825</v>
      </c>
      <c r="F6755" s="9">
        <v>51</v>
      </c>
      <c r="G6755" s="9">
        <v>562</v>
      </c>
      <c r="H6755" s="5" t="s">
        <v>21</v>
      </c>
      <c r="I6755" s="5" t="s">
        <v>15479</v>
      </c>
      <c r="J6755" s="12" t="str">
        <f>HYPERLINK("https://www.boe.es/gazeta/dias/1800/06/27/pdfs/GMD-1800-51.pdf#page=14","Abrir facsímil")</f>
        <v>Abrir facsímil</v>
      </c>
      <c r="K6755" s="15" t="s">
        <v>23</v>
      </c>
    </row>
    <row r="6756" spans="1:11" ht="42" customHeight="1">
      <c r="A6756" s="4" t="s">
        <v>15449</v>
      </c>
      <c r="B6756" s="5" t="s">
        <v>15450</v>
      </c>
      <c r="C6756" s="5" t="s">
        <v>171</v>
      </c>
      <c r="D6756" s="5" t="s">
        <v>172</v>
      </c>
      <c r="E6756" s="5" t="s">
        <v>828</v>
      </c>
      <c r="F6756" s="9">
        <v>53</v>
      </c>
      <c r="G6756" s="9">
        <v>593</v>
      </c>
      <c r="H6756" s="5" t="s">
        <v>21</v>
      </c>
      <c r="I6756" s="5" t="s">
        <v>15480</v>
      </c>
      <c r="J6756" s="12" t="str">
        <f>HYPERLINK("https://www.boe.es/gazeta/dias/1800/07/04/pdfs/GMD-C-1800-53.pdf#page=1","Abrir facsímil")</f>
        <v>Abrir facsímil</v>
      </c>
      <c r="K6756" s="15" t="s">
        <v>23</v>
      </c>
    </row>
    <row r="6757" spans="1:11" ht="42" customHeight="1">
      <c r="A6757" s="4" t="s">
        <v>15449</v>
      </c>
      <c r="B6757" s="5" t="s">
        <v>15450</v>
      </c>
      <c r="C6757" s="5" t="s">
        <v>18</v>
      </c>
      <c r="D6757" s="5" t="s">
        <v>19</v>
      </c>
      <c r="E6757" s="5" t="s">
        <v>530</v>
      </c>
      <c r="F6757" s="9">
        <v>55</v>
      </c>
      <c r="G6757" s="9">
        <v>622</v>
      </c>
      <c r="H6757" s="5" t="s">
        <v>21</v>
      </c>
      <c r="I6757" s="5" t="s">
        <v>15481</v>
      </c>
      <c r="J6757" s="12" t="str">
        <f>HYPERLINK("https://www.boe.es/gazeta/dias/1800/07/11/pdfs/GMD-1800-55.pdf#page=10","Abrir facsímil")</f>
        <v>Abrir facsímil</v>
      </c>
      <c r="K6757" s="15" t="s">
        <v>23</v>
      </c>
    </row>
    <row r="6758" spans="1:11" ht="42" customHeight="1">
      <c r="A6758" s="4" t="s">
        <v>15449</v>
      </c>
      <c r="B6758" s="5" t="s">
        <v>15450</v>
      </c>
      <c r="C6758" s="5" t="s">
        <v>18</v>
      </c>
      <c r="D6758" s="5" t="s">
        <v>19</v>
      </c>
      <c r="E6758" s="5" t="s">
        <v>310</v>
      </c>
      <c r="F6758" s="9">
        <v>56</v>
      </c>
      <c r="G6758" s="9">
        <v>635</v>
      </c>
      <c r="H6758" s="5" t="s">
        <v>21</v>
      </c>
      <c r="I6758" s="5" t="s">
        <v>15482</v>
      </c>
      <c r="J6758" s="12" t="str">
        <f>HYPERLINK("https://www.boe.es/gazeta/dias/1800/07/15/pdfs/GMD-1800-56.pdf#page=11","Abrir facsímil")</f>
        <v>Abrir facsímil</v>
      </c>
      <c r="K6758" s="15" t="s">
        <v>23</v>
      </c>
    </row>
    <row r="6759" spans="1:11" ht="42" customHeight="1">
      <c r="A6759" s="4" t="s">
        <v>15449</v>
      </c>
      <c r="B6759" s="5" t="s">
        <v>15450</v>
      </c>
      <c r="C6759" s="5" t="s">
        <v>171</v>
      </c>
      <c r="D6759" s="5" t="s">
        <v>172</v>
      </c>
      <c r="E6759" s="5" t="s">
        <v>90</v>
      </c>
      <c r="F6759" s="9">
        <v>58</v>
      </c>
      <c r="G6759" s="9">
        <v>665</v>
      </c>
      <c r="H6759" s="5" t="s">
        <v>21</v>
      </c>
      <c r="I6759" s="5" t="s">
        <v>15483</v>
      </c>
      <c r="J6759" s="12" t="str">
        <f>HYPERLINK("https://www.boe.es/gazeta/dias/1800/07/22/pdfs/GMD-C-1800-58.pdf#page=1","Abrir facsímil")</f>
        <v>Abrir facsímil</v>
      </c>
      <c r="K6759" s="15" t="s">
        <v>23</v>
      </c>
    </row>
    <row r="6760" spans="1:11" ht="42" customHeight="1">
      <c r="A6760" s="4" t="s">
        <v>15449</v>
      </c>
      <c r="B6760" s="5" t="s">
        <v>15450</v>
      </c>
      <c r="C6760" s="5" t="s">
        <v>18</v>
      </c>
      <c r="D6760" s="5" t="s">
        <v>19</v>
      </c>
      <c r="E6760" s="5" t="s">
        <v>1294</v>
      </c>
      <c r="F6760" s="9">
        <v>59</v>
      </c>
      <c r="G6760" s="9">
        <v>679</v>
      </c>
      <c r="H6760" s="5" t="s">
        <v>21</v>
      </c>
      <c r="I6760" s="5" t="s">
        <v>15484</v>
      </c>
      <c r="J6760" s="12" t="str">
        <f>HYPERLINK("https://www.boe.es/gazeta/dias/1800/07/25/pdfs/GMD-1800-59.pdf#page=11","Abrir facsímil")</f>
        <v>Abrir facsímil</v>
      </c>
      <c r="K6760" s="15" t="s">
        <v>23</v>
      </c>
    </row>
    <row r="6761" spans="1:11" ht="42" customHeight="1">
      <c r="A6761" s="4" t="s">
        <v>15449</v>
      </c>
      <c r="B6761" s="5" t="s">
        <v>15450</v>
      </c>
      <c r="C6761" s="5" t="s">
        <v>84</v>
      </c>
      <c r="D6761" s="5" t="s">
        <v>85</v>
      </c>
      <c r="E6761" s="5" t="s">
        <v>319</v>
      </c>
      <c r="F6761" s="9">
        <v>62</v>
      </c>
      <c r="G6761" s="9">
        <v>709</v>
      </c>
      <c r="H6761" s="5" t="s">
        <v>21</v>
      </c>
      <c r="I6761" s="5" t="s">
        <v>15485</v>
      </c>
      <c r="J6761" s="12" t="str">
        <f>HYPERLINK("https://www.boe.es/gazeta/dias/1800/08/05/pdfs/GMD-1800-62.pdf#page=9","Abrir facsímil")</f>
        <v>Abrir facsímil</v>
      </c>
      <c r="K6761" s="15" t="s">
        <v>23</v>
      </c>
    </row>
    <row r="6762" spans="1:11" ht="42" customHeight="1">
      <c r="A6762" s="4" t="s">
        <v>15449</v>
      </c>
      <c r="B6762" s="5" t="s">
        <v>15450</v>
      </c>
      <c r="C6762" s="5" t="s">
        <v>18</v>
      </c>
      <c r="D6762" s="5" t="s">
        <v>19</v>
      </c>
      <c r="E6762" s="5" t="s">
        <v>454</v>
      </c>
      <c r="F6762" s="9">
        <v>63</v>
      </c>
      <c r="G6762" s="9">
        <v>722</v>
      </c>
      <c r="H6762" s="5" t="s">
        <v>21</v>
      </c>
      <c r="I6762" s="5" t="s">
        <v>15486</v>
      </c>
      <c r="J6762" s="12" t="str">
        <f>HYPERLINK("https://www.boe.es/gazeta/dias/1800/08/08/pdfs/GMD-1800-63.pdf#page=10","Abrir facsímil")</f>
        <v>Abrir facsímil</v>
      </c>
      <c r="K6762" s="15" t="s">
        <v>23</v>
      </c>
    </row>
    <row r="6763" spans="1:11" ht="42" customHeight="1">
      <c r="A6763" s="4" t="s">
        <v>15449</v>
      </c>
      <c r="B6763" s="5" t="s">
        <v>15450</v>
      </c>
      <c r="C6763" s="5" t="s">
        <v>54</v>
      </c>
      <c r="D6763" s="5" t="s">
        <v>55</v>
      </c>
      <c r="E6763" s="5" t="s">
        <v>75</v>
      </c>
      <c r="F6763" s="9">
        <v>64</v>
      </c>
      <c r="G6763" s="9">
        <v>734</v>
      </c>
      <c r="H6763" s="5" t="s">
        <v>21</v>
      </c>
      <c r="I6763" s="5" t="s">
        <v>15487</v>
      </c>
      <c r="J6763" s="12" t="str">
        <f>HYPERLINK("https://www.boe.es/gazeta/dias/1800/08/12/pdfs/GMD-1800-64.pdf#page=10","Abrir facsímil")</f>
        <v>Abrir facsímil</v>
      </c>
      <c r="K6763" s="15" t="s">
        <v>23</v>
      </c>
    </row>
    <row r="6764" spans="1:11" ht="42" customHeight="1">
      <c r="A6764" s="4" t="s">
        <v>15449</v>
      </c>
      <c r="B6764" s="5" t="s">
        <v>15450</v>
      </c>
      <c r="C6764" s="5" t="s">
        <v>171</v>
      </c>
      <c r="D6764" s="5" t="s">
        <v>172</v>
      </c>
      <c r="E6764" s="5" t="s">
        <v>135</v>
      </c>
      <c r="F6764" s="9">
        <v>73</v>
      </c>
      <c r="G6764" s="9">
        <v>819</v>
      </c>
      <c r="H6764" s="5" t="s">
        <v>21</v>
      </c>
      <c r="I6764" s="5" t="s">
        <v>15488</v>
      </c>
      <c r="J6764" s="12" t="str">
        <f>HYPERLINK("https://www.boe.es/gazeta/dias/1800/09/09/pdfs/GMD-C-1800-73.pdf#page=1","Abrir facsímil")</f>
        <v>Abrir facsímil</v>
      </c>
      <c r="K6764" s="15" t="s">
        <v>23</v>
      </c>
    </row>
    <row r="6765" spans="1:11" ht="42" customHeight="1">
      <c r="A6765" s="4" t="s">
        <v>15449</v>
      </c>
      <c r="B6765" s="5" t="s">
        <v>15450</v>
      </c>
      <c r="C6765" s="5" t="s">
        <v>18</v>
      </c>
      <c r="D6765" s="5" t="s">
        <v>19</v>
      </c>
      <c r="E6765" s="5" t="s">
        <v>572</v>
      </c>
      <c r="F6765" s="9">
        <v>76</v>
      </c>
      <c r="G6765" s="9">
        <v>868</v>
      </c>
      <c r="H6765" s="5" t="s">
        <v>21</v>
      </c>
      <c r="I6765" s="5" t="s">
        <v>15489</v>
      </c>
      <c r="J6765" s="12" t="str">
        <f>HYPERLINK("https://www.boe.es/gazeta/dias/1800/09/19/pdfs/GMD-1800-76.pdf#page=10","Abrir facsímil")</f>
        <v>Abrir facsímil</v>
      </c>
      <c r="K6765" s="15" t="s">
        <v>23</v>
      </c>
    </row>
    <row r="6766" spans="1:11" ht="42" customHeight="1">
      <c r="A6766" s="4" t="s">
        <v>15449</v>
      </c>
      <c r="B6766" s="5" t="s">
        <v>15450</v>
      </c>
      <c r="C6766" s="5" t="s">
        <v>18</v>
      </c>
      <c r="D6766" s="5" t="s">
        <v>19</v>
      </c>
      <c r="E6766" s="5" t="s">
        <v>583</v>
      </c>
      <c r="F6766" s="9">
        <v>77</v>
      </c>
      <c r="G6766" s="9">
        <v>880</v>
      </c>
      <c r="H6766" s="5" t="s">
        <v>21</v>
      </c>
      <c r="I6766" s="5" t="s">
        <v>15490</v>
      </c>
      <c r="J6766" s="12" t="str">
        <f>HYPERLINK("https://www.boe.es/gazeta/dias/1800/09/23/pdfs/GMD-1800-77.pdf#page=10","Abrir facsímil")</f>
        <v>Abrir facsímil</v>
      </c>
      <c r="K6766" s="15" t="s">
        <v>23</v>
      </c>
    </row>
    <row r="6767" spans="1:11" ht="42" customHeight="1">
      <c r="A6767" s="4" t="s">
        <v>15449</v>
      </c>
      <c r="B6767" s="5" t="s">
        <v>15450</v>
      </c>
      <c r="C6767" s="5" t="s">
        <v>18</v>
      </c>
      <c r="D6767" s="5" t="s">
        <v>19</v>
      </c>
      <c r="E6767" s="5" t="s">
        <v>843</v>
      </c>
      <c r="F6767" s="9">
        <v>78</v>
      </c>
      <c r="G6767" s="9">
        <v>889</v>
      </c>
      <c r="H6767" s="5" t="s">
        <v>21</v>
      </c>
      <c r="I6767" s="5" t="s">
        <v>15491</v>
      </c>
      <c r="J6767" s="12" t="str">
        <f>HYPERLINK("https://www.boe.es/gazeta/dias/1800/09/26/pdfs/GMD-1800-78.pdf#page=7","Abrir facsímil")</f>
        <v>Abrir facsímil</v>
      </c>
      <c r="K6767" s="15" t="s">
        <v>23</v>
      </c>
    </row>
    <row r="6768" spans="1:11" ht="42" customHeight="1">
      <c r="A6768" s="4" t="s">
        <v>15449</v>
      </c>
      <c r="B6768" s="5" t="s">
        <v>15450</v>
      </c>
      <c r="C6768" s="5" t="s">
        <v>18</v>
      </c>
      <c r="D6768" s="5" t="s">
        <v>19</v>
      </c>
      <c r="E6768" s="5" t="s">
        <v>410</v>
      </c>
      <c r="F6768" s="9">
        <v>87</v>
      </c>
      <c r="G6768" s="9">
        <v>1010</v>
      </c>
      <c r="H6768" s="5" t="s">
        <v>21</v>
      </c>
      <c r="I6768" s="5" t="s">
        <v>15492</v>
      </c>
      <c r="J6768" s="12" t="str">
        <f>HYPERLINK("https://www.boe.es/gazeta/dias/1800/10/28/pdfs/GMD-1800-87.pdf#page=8","Abrir facsímil")</f>
        <v>Abrir facsímil</v>
      </c>
      <c r="K6768" s="15" t="s">
        <v>23</v>
      </c>
    </row>
    <row r="6769" spans="1:11" ht="42" customHeight="1">
      <c r="A6769" s="4" t="s">
        <v>15449</v>
      </c>
      <c r="B6769" s="5" t="s">
        <v>15450</v>
      </c>
      <c r="C6769" s="5" t="s">
        <v>18</v>
      </c>
      <c r="D6769" s="5" t="s">
        <v>19</v>
      </c>
      <c r="E6769" s="5" t="s">
        <v>673</v>
      </c>
      <c r="F6769" s="9">
        <v>89</v>
      </c>
      <c r="G6769" s="9">
        <v>1044</v>
      </c>
      <c r="H6769" s="5" t="s">
        <v>21</v>
      </c>
      <c r="I6769" s="5" t="s">
        <v>15493</v>
      </c>
      <c r="J6769" s="12" t="str">
        <f>HYPERLINK("https://www.boe.es/gazeta/dias/1800/11/04/pdfs/GMD-1800-89.pdf#page=10","Abrir facsímil")</f>
        <v>Abrir facsímil</v>
      </c>
      <c r="K6769" s="15" t="s">
        <v>23</v>
      </c>
    </row>
    <row r="6770" spans="1:11" ht="42" customHeight="1">
      <c r="A6770" s="4" t="s">
        <v>15449</v>
      </c>
      <c r="B6770" s="5" t="s">
        <v>15450</v>
      </c>
      <c r="C6770" s="5" t="s">
        <v>18</v>
      </c>
      <c r="D6770" s="5" t="s">
        <v>19</v>
      </c>
      <c r="E6770" s="5" t="s">
        <v>190</v>
      </c>
      <c r="F6770" s="9">
        <v>93</v>
      </c>
      <c r="G6770" s="9">
        <v>1069</v>
      </c>
      <c r="H6770" s="5" t="s">
        <v>21</v>
      </c>
      <c r="I6770" s="5" t="s">
        <v>15494</v>
      </c>
      <c r="J6770" s="12" t="str">
        <f>HYPERLINK("https://www.boe.es/gazeta/dias/1800/11/18/pdfs/GMD-1800-93.pdf#page=15","Abrir facsímil")</f>
        <v>Abrir facsímil</v>
      </c>
      <c r="K6770" s="15" t="s">
        <v>23</v>
      </c>
    </row>
    <row r="6771" spans="1:11" ht="42" customHeight="1">
      <c r="A6771" s="4" t="s">
        <v>15449</v>
      </c>
      <c r="B6771" s="5" t="s">
        <v>15450</v>
      </c>
      <c r="C6771" s="5" t="s">
        <v>18</v>
      </c>
      <c r="D6771" s="5" t="s">
        <v>19</v>
      </c>
      <c r="E6771" s="5" t="s">
        <v>445</v>
      </c>
      <c r="F6771" s="9">
        <v>96</v>
      </c>
      <c r="G6771" s="9">
        <v>1108</v>
      </c>
      <c r="H6771" s="5" t="s">
        <v>21</v>
      </c>
      <c r="I6771" s="5" t="s">
        <v>15495</v>
      </c>
      <c r="J6771" s="12" t="str">
        <f>HYPERLINK("https://www.boe.es/gazeta/dias/1800/11/28/pdfs/GMD-1800-96.pdf#page=12","Abrir facsímil")</f>
        <v>Abrir facsímil</v>
      </c>
      <c r="K6771" s="15" t="s">
        <v>23</v>
      </c>
    </row>
    <row r="6772" spans="1:11" ht="42" customHeight="1">
      <c r="A6772" s="4" t="s">
        <v>15449</v>
      </c>
      <c r="B6772" s="5" t="s">
        <v>15450</v>
      </c>
      <c r="C6772" s="5" t="s">
        <v>54</v>
      </c>
      <c r="D6772" s="5" t="s">
        <v>55</v>
      </c>
      <c r="E6772" s="5" t="s">
        <v>196</v>
      </c>
      <c r="F6772" s="9">
        <v>97</v>
      </c>
      <c r="G6772" s="9">
        <v>1119</v>
      </c>
      <c r="H6772" s="5" t="s">
        <v>21</v>
      </c>
      <c r="I6772" s="5" t="s">
        <v>15496</v>
      </c>
      <c r="J6772" s="12" t="str">
        <f>HYPERLINK("https://www.boe.es/gazeta/dias/1800/12/02/pdfs/GMD-1800-97.pdf#page=11","Abrir facsímil")</f>
        <v>Abrir facsímil</v>
      </c>
      <c r="K6772" s="15" t="s">
        <v>23</v>
      </c>
    </row>
    <row r="6773" spans="1:11" ht="42" customHeight="1">
      <c r="A6773" s="4" t="s">
        <v>15449</v>
      </c>
      <c r="B6773" s="5" t="s">
        <v>15450</v>
      </c>
      <c r="C6773" s="5" t="s">
        <v>18</v>
      </c>
      <c r="D6773" s="5" t="s">
        <v>19</v>
      </c>
      <c r="E6773" s="5" t="s">
        <v>329</v>
      </c>
      <c r="F6773" s="9">
        <v>99</v>
      </c>
      <c r="G6773" s="9">
        <v>1139</v>
      </c>
      <c r="H6773" s="5" t="s">
        <v>21</v>
      </c>
      <c r="I6773" s="5" t="s">
        <v>15497</v>
      </c>
      <c r="J6773" s="12" t="str">
        <f>HYPERLINK("https://www.boe.es/gazeta/dias/1800/12/09/pdfs/GMD-1800-99.pdf#page=7","Abrir facsímil")</f>
        <v>Abrir facsímil</v>
      </c>
      <c r="K6773" s="15" t="s">
        <v>23</v>
      </c>
    </row>
    <row r="6774" spans="1:11" ht="42" customHeight="1">
      <c r="A6774" s="4" t="s">
        <v>15449</v>
      </c>
      <c r="B6774" s="5" t="s">
        <v>15450</v>
      </c>
      <c r="C6774" s="5" t="s">
        <v>18</v>
      </c>
      <c r="D6774" s="5" t="s">
        <v>19</v>
      </c>
      <c r="E6774" s="5" t="s">
        <v>534</v>
      </c>
      <c r="F6774" s="9">
        <v>100</v>
      </c>
      <c r="G6774" s="9">
        <v>1162</v>
      </c>
      <c r="H6774" s="5" t="s">
        <v>21</v>
      </c>
      <c r="I6774" s="5" t="s">
        <v>15498</v>
      </c>
      <c r="J6774" s="12" t="str">
        <f>HYPERLINK("https://www.boe.es/gazeta/dias/1800/12/12/pdfs/GMD-1800-100.pdf#page=14","Abrir facsímil")</f>
        <v>Abrir facsímil</v>
      </c>
      <c r="K6774" s="15" t="s">
        <v>23</v>
      </c>
    </row>
    <row r="6775" spans="1:11" ht="42" customHeight="1">
      <c r="A6775" s="4" t="s">
        <v>15449</v>
      </c>
      <c r="B6775" s="5" t="s">
        <v>15450</v>
      </c>
      <c r="C6775" s="5" t="s">
        <v>54</v>
      </c>
      <c r="D6775" s="5" t="s">
        <v>55</v>
      </c>
      <c r="E6775" s="5" t="s">
        <v>20</v>
      </c>
      <c r="F6775" s="9">
        <v>104</v>
      </c>
      <c r="G6775" s="9">
        <v>1211</v>
      </c>
      <c r="H6775" s="5" t="s">
        <v>21</v>
      </c>
      <c r="I6775" s="5" t="s">
        <v>15499</v>
      </c>
      <c r="J6775" s="12" t="str">
        <f>HYPERLINK("https://www.boe.es/gazeta/dias/1800/12/26/pdfs/GMD-1800-104.pdf#page=11","Abrir facsímil")</f>
        <v>Abrir facsímil</v>
      </c>
      <c r="K6775" s="15" t="s">
        <v>23</v>
      </c>
    </row>
    <row r="6776" spans="1:11" ht="42" customHeight="1">
      <c r="A6776" s="4" t="s">
        <v>15500</v>
      </c>
      <c r="B6776" s="5" t="s">
        <v>15500</v>
      </c>
      <c r="C6776" s="5" t="s">
        <v>18</v>
      </c>
      <c r="D6776" s="5" t="s">
        <v>19</v>
      </c>
      <c r="E6776" s="5" t="s">
        <v>135</v>
      </c>
      <c r="F6776" s="9">
        <v>73</v>
      </c>
      <c r="G6776" s="9">
        <v>815</v>
      </c>
      <c r="H6776" s="5" t="s">
        <v>21</v>
      </c>
      <c r="I6776" s="5" t="s">
        <v>15501</v>
      </c>
      <c r="J6776" s="12" t="str">
        <f>HYPERLINK("https://www.boe.es/gazeta/dias/1800/09/09/pdfs/GMD-1800-73.pdf#page=9","Abrir facsímil")</f>
        <v>Abrir facsímil</v>
      </c>
      <c r="K6776" s="15" t="s">
        <v>23</v>
      </c>
    </row>
    <row r="6777" spans="1:11" ht="42" customHeight="1">
      <c r="A6777" s="4" t="s">
        <v>15502</v>
      </c>
      <c r="B6777" s="5" t="s">
        <v>15502</v>
      </c>
      <c r="C6777" s="5" t="s">
        <v>18</v>
      </c>
      <c r="D6777" s="5" t="s">
        <v>19</v>
      </c>
      <c r="E6777" s="5" t="s">
        <v>39</v>
      </c>
      <c r="F6777" s="9">
        <v>43</v>
      </c>
      <c r="G6777" s="9">
        <v>450</v>
      </c>
      <c r="H6777" s="5" t="s">
        <v>21</v>
      </c>
      <c r="I6777" s="5" t="s">
        <v>15503</v>
      </c>
      <c r="J6777" s="12" t="str">
        <f>HYPERLINK("https://www.boe.es/gazeta/dias/1800/05/30/pdfs/GMD-1800-43.pdf#page=10","Abrir facsímil")</f>
        <v>Abrir facsímil</v>
      </c>
      <c r="K6777" s="15" t="s">
        <v>23</v>
      </c>
    </row>
    <row r="6778" spans="1:11" ht="42" customHeight="1">
      <c r="A6778" s="4" t="s">
        <v>15504</v>
      </c>
      <c r="B6778" s="5" t="s">
        <v>15505</v>
      </c>
      <c r="C6778" s="5" t="s">
        <v>18</v>
      </c>
      <c r="D6778" s="5" t="s">
        <v>19</v>
      </c>
      <c r="E6778" s="5" t="s">
        <v>283</v>
      </c>
      <c r="F6778" s="9">
        <v>68</v>
      </c>
      <c r="G6778" s="9">
        <v>765</v>
      </c>
      <c r="H6778" s="5" t="s">
        <v>21</v>
      </c>
      <c r="I6778" s="5" t="s">
        <v>15506</v>
      </c>
      <c r="J6778" s="12" t="str">
        <f>HYPERLINK("https://www.boe.es/gazeta/dias/1800/08/26/pdfs/GMD-1800-68.pdf#page=9","Abrir facsímil")</f>
        <v>Abrir facsímil</v>
      </c>
      <c r="K6778" s="15" t="s">
        <v>23</v>
      </c>
    </row>
    <row r="6779" spans="1:11" ht="42" customHeight="1">
      <c r="A6779" s="4" t="s">
        <v>15507</v>
      </c>
      <c r="B6779" s="5" t="s">
        <v>15507</v>
      </c>
      <c r="C6779" s="5" t="s">
        <v>18</v>
      </c>
      <c r="D6779" s="5" t="s">
        <v>19</v>
      </c>
      <c r="E6779" s="5" t="s">
        <v>576</v>
      </c>
      <c r="F6779" s="9">
        <v>91</v>
      </c>
      <c r="G6779" s="9">
        <v>1067</v>
      </c>
      <c r="H6779" s="5" t="s">
        <v>21</v>
      </c>
      <c r="I6779" s="5" t="s">
        <v>15508</v>
      </c>
      <c r="J6779" s="12" t="str">
        <f>HYPERLINK("https://www.boe.es/gazeta/dias/1800/11/11/pdfs/GMD-1800-91.pdf#page=9","Abrir facsímil")</f>
        <v>Abrir facsímil</v>
      </c>
      <c r="K6779" s="15" t="s">
        <v>23</v>
      </c>
    </row>
    <row r="6780" spans="1:11" ht="42" customHeight="1">
      <c r="A6780" s="4" t="s">
        <v>15509</v>
      </c>
      <c r="B6780" s="5" t="s">
        <v>15509</v>
      </c>
      <c r="C6780" s="5" t="s">
        <v>18</v>
      </c>
      <c r="D6780" s="5" t="s">
        <v>19</v>
      </c>
      <c r="E6780" s="5" t="s">
        <v>1213</v>
      </c>
      <c r="F6780" s="9">
        <v>4</v>
      </c>
      <c r="G6780" s="9">
        <v>35</v>
      </c>
      <c r="H6780" s="5" t="s">
        <v>21</v>
      </c>
      <c r="I6780" s="5" t="s">
        <v>15510</v>
      </c>
      <c r="J6780" s="12" t="str">
        <f>HYPERLINK("https://www.boe.es/gazeta/dias/1800/01/14/pdfs/GMD-1800-4.pdf#page=7","Abrir facsímil")</f>
        <v>Abrir facsímil</v>
      </c>
      <c r="K6780" s="15" t="s">
        <v>23</v>
      </c>
    </row>
    <row r="6781" spans="1:11" ht="42" customHeight="1">
      <c r="A6781" s="4" t="s">
        <v>15511</v>
      </c>
      <c r="B6781" s="5" t="s">
        <v>15512</v>
      </c>
      <c r="C6781" s="5" t="s">
        <v>18</v>
      </c>
      <c r="D6781" s="5" t="s">
        <v>19</v>
      </c>
      <c r="E6781" s="5" t="s">
        <v>184</v>
      </c>
      <c r="F6781" s="9">
        <v>82</v>
      </c>
      <c r="G6781" s="9">
        <v>951</v>
      </c>
      <c r="H6781" s="5" t="s">
        <v>21</v>
      </c>
      <c r="I6781" s="5" t="s">
        <v>15513</v>
      </c>
      <c r="J6781" s="12" t="str">
        <f>HYPERLINK("https://www.boe.es/gazeta/dias/1800/10/10/pdfs/GMD-1800-82.pdf#page=9","Abrir facsímil")</f>
        <v>Abrir facsímil</v>
      </c>
      <c r="K6781" s="15" t="s">
        <v>23</v>
      </c>
    </row>
    <row r="6782" spans="1:11" ht="42" customHeight="1">
      <c r="A6782" s="4" t="s">
        <v>15514</v>
      </c>
      <c r="B6782" s="5" t="s">
        <v>15515</v>
      </c>
      <c r="C6782" s="5" t="s">
        <v>18</v>
      </c>
      <c r="D6782" s="5" t="s">
        <v>19</v>
      </c>
      <c r="E6782" s="5" t="s">
        <v>79</v>
      </c>
      <c r="F6782" s="9">
        <v>7</v>
      </c>
      <c r="G6782" s="9">
        <v>67</v>
      </c>
      <c r="H6782" s="5" t="s">
        <v>21</v>
      </c>
      <c r="I6782" s="5" t="s">
        <v>15516</v>
      </c>
      <c r="J6782" s="12" t="str">
        <f>HYPERLINK("https://www.boe.es/gazeta/dias/1800/01/24/pdfs/GMD-1800-7.pdf#page=7","Abrir facsímil")</f>
        <v>Abrir facsímil</v>
      </c>
      <c r="K6782" s="15" t="s">
        <v>23</v>
      </c>
    </row>
    <row r="6783" spans="1:11" ht="42" customHeight="1">
      <c r="A6783" s="4" t="s">
        <v>15517</v>
      </c>
      <c r="B6783" s="5" t="s">
        <v>15518</v>
      </c>
      <c r="C6783" s="5" t="s">
        <v>18</v>
      </c>
      <c r="D6783" s="5" t="s">
        <v>19</v>
      </c>
      <c r="E6783" s="5" t="s">
        <v>314</v>
      </c>
      <c r="F6783" s="9">
        <v>74</v>
      </c>
      <c r="G6783" s="9">
        <v>832</v>
      </c>
      <c r="H6783" s="5" t="s">
        <v>21</v>
      </c>
      <c r="I6783" s="5" t="s">
        <v>15519</v>
      </c>
      <c r="J6783" s="12" t="str">
        <f>HYPERLINK("https://www.boe.es/gazeta/dias/1800/09/12/pdfs/GMD-1800-74.pdf#page=10","Abrir facsímil")</f>
        <v>Abrir facsímil</v>
      </c>
      <c r="K6783" s="15" t="s">
        <v>23</v>
      </c>
    </row>
    <row r="6784" spans="1:11" ht="42" customHeight="1">
      <c r="A6784" s="4" t="s">
        <v>15520</v>
      </c>
      <c r="B6784" s="5" t="s">
        <v>15521</v>
      </c>
      <c r="C6784" s="5" t="s">
        <v>54</v>
      </c>
      <c r="D6784" s="5" t="s">
        <v>55</v>
      </c>
      <c r="E6784" s="5" t="s">
        <v>101</v>
      </c>
      <c r="F6784" s="9">
        <v>37</v>
      </c>
      <c r="G6784" s="9">
        <v>378</v>
      </c>
      <c r="H6784" s="5" t="s">
        <v>21</v>
      </c>
      <c r="I6784" s="5" t="s">
        <v>15522</v>
      </c>
      <c r="J6784" s="12" t="str">
        <f>HYPERLINK("https://www.boe.es/gazeta/dias/1800/05/09/pdfs/GMD-1800-37.pdf#page=10","Abrir facsímil")</f>
        <v>Abrir facsímil</v>
      </c>
      <c r="K6784" s="15" t="s">
        <v>23</v>
      </c>
    </row>
    <row r="6785" spans="1:11" ht="42" customHeight="1">
      <c r="A6785" s="4" t="s">
        <v>15523</v>
      </c>
      <c r="B6785" s="5" t="s">
        <v>15524</v>
      </c>
      <c r="C6785" s="5" t="s">
        <v>18</v>
      </c>
      <c r="D6785" s="5" t="s">
        <v>19</v>
      </c>
      <c r="E6785" s="5" t="s">
        <v>90</v>
      </c>
      <c r="F6785" s="9">
        <v>58</v>
      </c>
      <c r="G6785" s="9">
        <v>663</v>
      </c>
      <c r="H6785" s="5" t="s">
        <v>21</v>
      </c>
      <c r="I6785" s="5" t="s">
        <v>15525</v>
      </c>
      <c r="J6785" s="12" t="str">
        <f>HYPERLINK("https://www.boe.es/gazeta/dias/1800/07/22/pdfs/GMD-1800-58.pdf#page=11","Abrir facsímil")</f>
        <v>Abrir facsímil</v>
      </c>
      <c r="K6785" s="15" t="s">
        <v>23</v>
      </c>
    </row>
    <row r="6786" spans="1:11" ht="42" customHeight="1">
      <c r="A6786" s="4" t="s">
        <v>15526</v>
      </c>
      <c r="B6786" s="5" t="s">
        <v>15527</v>
      </c>
      <c r="C6786" s="5" t="s">
        <v>54</v>
      </c>
      <c r="D6786" s="5" t="s">
        <v>55</v>
      </c>
      <c r="E6786" s="5" t="s">
        <v>319</v>
      </c>
      <c r="F6786" s="9">
        <v>62</v>
      </c>
      <c r="G6786" s="9">
        <v>708</v>
      </c>
      <c r="H6786" s="5" t="s">
        <v>21</v>
      </c>
      <c r="I6786" s="5" t="s">
        <v>15528</v>
      </c>
      <c r="J6786" s="12" t="str">
        <f>HYPERLINK("https://www.boe.es/gazeta/dias/1800/08/05/pdfs/GMD-1800-62.pdf#page=8","Abrir facsímil")</f>
        <v>Abrir facsímil</v>
      </c>
      <c r="K6786" s="15" t="s">
        <v>23</v>
      </c>
    </row>
    <row r="6787" spans="1:11" ht="42" customHeight="1">
      <c r="A6787" s="4" t="s">
        <v>15526</v>
      </c>
      <c r="B6787" s="5" t="s">
        <v>15527</v>
      </c>
      <c r="C6787" s="5" t="s">
        <v>18</v>
      </c>
      <c r="D6787" s="5" t="s">
        <v>19</v>
      </c>
      <c r="E6787" s="5" t="s">
        <v>319</v>
      </c>
      <c r="F6787" s="9">
        <v>62</v>
      </c>
      <c r="G6787" s="9">
        <v>709</v>
      </c>
      <c r="H6787" s="5" t="s">
        <v>21</v>
      </c>
      <c r="I6787" s="5" t="s">
        <v>15529</v>
      </c>
      <c r="J6787" s="12" t="str">
        <f>HYPERLINK("https://www.boe.es/gazeta/dias/1800/08/05/pdfs/GMD-1800-62.pdf#page=9","Abrir facsímil")</f>
        <v>Abrir facsímil</v>
      </c>
      <c r="K6787" s="15" t="s">
        <v>23</v>
      </c>
    </row>
    <row r="6788" spans="1:11" ht="42" customHeight="1">
      <c r="A6788" s="4" t="s">
        <v>15530</v>
      </c>
      <c r="B6788" s="5" t="s">
        <v>15531</v>
      </c>
      <c r="C6788" s="5" t="s">
        <v>18</v>
      </c>
      <c r="D6788" s="5" t="s">
        <v>19</v>
      </c>
      <c r="E6788" s="5" t="s">
        <v>240</v>
      </c>
      <c r="F6788" s="9">
        <v>26</v>
      </c>
      <c r="G6788" s="9">
        <v>269</v>
      </c>
      <c r="H6788" s="5" t="s">
        <v>21</v>
      </c>
      <c r="I6788" s="5" t="s">
        <v>15532</v>
      </c>
      <c r="J6788" s="12" t="str">
        <f>HYPERLINK("https://www.boe.es/gazeta/dias/1800/04/01/pdfs/GMD-1800-26.pdf#page=9","Abrir facsímil")</f>
        <v>Abrir facsímil</v>
      </c>
      <c r="K6788" s="15" t="s">
        <v>23</v>
      </c>
    </row>
    <row r="6789" spans="1:11" ht="42" customHeight="1">
      <c r="A6789" s="4" t="s">
        <v>15533</v>
      </c>
      <c r="B6789" s="5" t="s">
        <v>15533</v>
      </c>
      <c r="C6789" s="5" t="s">
        <v>18</v>
      </c>
      <c r="D6789" s="5" t="s">
        <v>19</v>
      </c>
      <c r="E6789" s="5" t="s">
        <v>88</v>
      </c>
      <c r="F6789" s="9">
        <v>23</v>
      </c>
      <c r="G6789" s="9">
        <v>231</v>
      </c>
      <c r="H6789" s="5" t="s">
        <v>21</v>
      </c>
      <c r="I6789" s="5" t="s">
        <v>15534</v>
      </c>
      <c r="J6789" s="12" t="str">
        <f>HYPERLINK("https://www.boe.es/gazeta/dias/1800/03/21/pdfs/GMD-1800-23.pdf#page=7","Abrir facsímil")</f>
        <v>Abrir facsímil</v>
      </c>
      <c r="K6789" s="15" t="s">
        <v>23</v>
      </c>
    </row>
    <row r="6790" spans="1:11" ht="42" customHeight="1">
      <c r="A6790" s="4" t="s">
        <v>15535</v>
      </c>
      <c r="B6790" s="5" t="s">
        <v>15535</v>
      </c>
      <c r="C6790" s="5" t="s">
        <v>84</v>
      </c>
      <c r="D6790" s="5" t="s">
        <v>85</v>
      </c>
      <c r="E6790" s="5" t="s">
        <v>111</v>
      </c>
      <c r="F6790" s="9">
        <v>98</v>
      </c>
      <c r="G6790" s="9">
        <v>1131</v>
      </c>
      <c r="H6790" s="5" t="s">
        <v>21</v>
      </c>
      <c r="I6790" s="5" t="s">
        <v>15536</v>
      </c>
      <c r="J6790" s="12" t="str">
        <f>HYPERLINK("https://www.boe.es/gazeta/dias/1800/12/05/pdfs/GMD-1800-98.pdf#page=11","Abrir facsímil")</f>
        <v>Abrir facsímil</v>
      </c>
      <c r="K6790" s="15" t="s">
        <v>23</v>
      </c>
    </row>
    <row r="6791" spans="1:11" ht="42" customHeight="1">
      <c r="A6791" s="4" t="s">
        <v>15537</v>
      </c>
      <c r="B6791" s="5" t="s">
        <v>15538</v>
      </c>
      <c r="C6791" s="5" t="s">
        <v>18</v>
      </c>
      <c r="D6791" s="5" t="s">
        <v>19</v>
      </c>
      <c r="E6791" s="5" t="s">
        <v>75</v>
      </c>
      <c r="F6791" s="9">
        <v>64</v>
      </c>
      <c r="G6791" s="9">
        <v>733</v>
      </c>
      <c r="H6791" s="5" t="s">
        <v>21</v>
      </c>
      <c r="I6791" s="5" t="s">
        <v>15539</v>
      </c>
      <c r="J6791" s="12" t="str">
        <f>HYPERLINK("https://www.boe.es/gazeta/dias/1800/08/12/pdfs/GMD-1800-64.pdf#page=9","Abrir facsímil")</f>
        <v>Abrir facsímil</v>
      </c>
      <c r="K6791" s="15" t="s">
        <v>23</v>
      </c>
    </row>
    <row r="6792" spans="1:11" ht="42" customHeight="1">
      <c r="A6792" s="4" t="s">
        <v>15540</v>
      </c>
      <c r="B6792" s="5" t="s">
        <v>15541</v>
      </c>
      <c r="C6792" s="5" t="s">
        <v>18</v>
      </c>
      <c r="D6792" s="5" t="s">
        <v>19</v>
      </c>
      <c r="E6792" s="5" t="s">
        <v>314</v>
      </c>
      <c r="F6792" s="9">
        <v>74</v>
      </c>
      <c r="G6792" s="9">
        <v>831</v>
      </c>
      <c r="H6792" s="5" t="s">
        <v>21</v>
      </c>
      <c r="I6792" s="5" t="s">
        <v>15542</v>
      </c>
      <c r="J6792" s="12" t="str">
        <f>HYPERLINK("https://www.boe.es/gazeta/dias/1800/09/12/pdfs/GMD-1800-74.pdf#page=9","Abrir facsímil")</f>
        <v>Abrir facsímil</v>
      </c>
      <c r="K6792" s="15" t="s">
        <v>23</v>
      </c>
    </row>
    <row r="6793" spans="1:11" ht="42" customHeight="1">
      <c r="A6793" s="4" t="s">
        <v>15543</v>
      </c>
      <c r="B6793" s="5" t="s">
        <v>15544</v>
      </c>
      <c r="C6793" s="5" t="s">
        <v>41</v>
      </c>
      <c r="D6793" s="5" t="s">
        <v>42</v>
      </c>
      <c r="E6793" s="5" t="s">
        <v>454</v>
      </c>
      <c r="F6793" s="9">
        <v>63</v>
      </c>
      <c r="G6793" s="9">
        <v>717</v>
      </c>
      <c r="H6793" s="5" t="s">
        <v>21</v>
      </c>
      <c r="I6793" s="5" t="s">
        <v>15545</v>
      </c>
      <c r="J6793" s="12" t="str">
        <f>HYPERLINK("https://www.boe.es/gazeta/dias/1800/08/08/pdfs/GMD-1800-63.pdf#page=5","Abrir facsímil")</f>
        <v>Abrir facsímil</v>
      </c>
      <c r="K6793" s="15" t="s">
        <v>23</v>
      </c>
    </row>
    <row r="6794" spans="1:11" ht="42" customHeight="1">
      <c r="A6794" s="4" t="s">
        <v>15546</v>
      </c>
      <c r="B6794" s="5" t="s">
        <v>15547</v>
      </c>
      <c r="C6794" s="5" t="s">
        <v>41</v>
      </c>
      <c r="D6794" s="5" t="s">
        <v>42</v>
      </c>
      <c r="E6794" s="5" t="s">
        <v>454</v>
      </c>
      <c r="F6794" s="9">
        <v>63</v>
      </c>
      <c r="G6794" s="9">
        <v>718</v>
      </c>
      <c r="H6794" s="5" t="s">
        <v>21</v>
      </c>
      <c r="I6794" s="5" t="s">
        <v>15548</v>
      </c>
      <c r="J6794" s="12" t="str">
        <f>HYPERLINK("https://www.boe.es/gazeta/dias/1800/08/08/pdfs/GMD-1800-63.pdf#page=6","Abrir facsímil")</f>
        <v>Abrir facsímil</v>
      </c>
      <c r="K6794" s="15" t="s">
        <v>23</v>
      </c>
    </row>
    <row r="6795" spans="1:11" ht="42" customHeight="1">
      <c r="A6795" s="4" t="s">
        <v>15546</v>
      </c>
      <c r="B6795" s="5" t="s">
        <v>15547</v>
      </c>
      <c r="C6795" s="5" t="s">
        <v>41</v>
      </c>
      <c r="D6795" s="5" t="s">
        <v>42</v>
      </c>
      <c r="E6795" s="5" t="s">
        <v>402</v>
      </c>
      <c r="F6795" s="9">
        <v>101</v>
      </c>
      <c r="G6795" s="9">
        <v>1170</v>
      </c>
      <c r="H6795" s="5" t="s">
        <v>21</v>
      </c>
      <c r="I6795" s="5" t="s">
        <v>15549</v>
      </c>
      <c r="J6795" s="12" t="str">
        <f>HYPERLINK("https://www.boe.es/gazeta/dias/1800/12/16/pdfs/GMD-1800-101.pdf#page=6","Abrir facsímil")</f>
        <v>Abrir facsímil</v>
      </c>
      <c r="K6795" s="15" t="s">
        <v>23</v>
      </c>
    </row>
    <row r="6796" spans="1:11" ht="42" customHeight="1">
      <c r="A6796" s="4" t="s">
        <v>15546</v>
      </c>
      <c r="B6796" s="5" t="s">
        <v>15547</v>
      </c>
      <c r="C6796" s="5" t="s">
        <v>41</v>
      </c>
      <c r="D6796" s="5" t="s">
        <v>42</v>
      </c>
      <c r="E6796" s="5" t="s">
        <v>60</v>
      </c>
      <c r="F6796" s="9">
        <v>105</v>
      </c>
      <c r="G6796" s="9">
        <v>1223</v>
      </c>
      <c r="H6796" s="5" t="s">
        <v>21</v>
      </c>
      <c r="I6796" s="5" t="s">
        <v>15550</v>
      </c>
      <c r="J6796" s="12" t="str">
        <f>HYPERLINK("https://www.boe.es/gazeta/dias/1800/12/30/pdfs/GMD-1800-105.pdf#page=7","Abrir facsímil")</f>
        <v>Abrir facsímil</v>
      </c>
      <c r="K6796" s="15" t="s">
        <v>23</v>
      </c>
    </row>
    <row r="6797" spans="1:11" ht="42" customHeight="1">
      <c r="A6797" s="4" t="s">
        <v>15551</v>
      </c>
      <c r="B6797" s="5" t="s">
        <v>15552</v>
      </c>
      <c r="C6797" s="5" t="s">
        <v>18</v>
      </c>
      <c r="D6797" s="5" t="s">
        <v>19</v>
      </c>
      <c r="E6797" s="5" t="s">
        <v>240</v>
      </c>
      <c r="F6797" s="9">
        <v>26</v>
      </c>
      <c r="G6797" s="9">
        <v>269</v>
      </c>
      <c r="H6797" s="5" t="s">
        <v>21</v>
      </c>
      <c r="I6797" s="5" t="s">
        <v>15553</v>
      </c>
      <c r="J6797" s="12" t="str">
        <f>HYPERLINK("https://www.boe.es/gazeta/dias/1800/04/01/pdfs/GMD-1800-26.pdf#page=9","Abrir facsímil")</f>
        <v>Abrir facsímil</v>
      </c>
      <c r="K6797" s="15" t="s">
        <v>23</v>
      </c>
    </row>
    <row r="6798" spans="1:11" ht="42" customHeight="1">
      <c r="A6798" s="4" t="s">
        <v>15554</v>
      </c>
      <c r="B6798" s="5" t="s">
        <v>15554</v>
      </c>
      <c r="C6798" s="5" t="s">
        <v>25</v>
      </c>
      <c r="D6798" s="5" t="s">
        <v>26</v>
      </c>
      <c r="E6798" s="5" t="s">
        <v>45</v>
      </c>
      <c r="F6798" s="9">
        <v>47</v>
      </c>
      <c r="G6798" s="9">
        <v>502</v>
      </c>
      <c r="H6798" s="5" t="s">
        <v>21</v>
      </c>
      <c r="I6798" s="5" t="s">
        <v>15555</v>
      </c>
      <c r="J6798" s="12" t="str">
        <f>HYPERLINK("https://www.boe.es/gazeta/dias/1800/06/13/pdfs/GMD-1800-47.pdf#page=10","Abrir facsímil")</f>
        <v>Abrir facsímil</v>
      </c>
      <c r="K6798" s="15" t="s">
        <v>23</v>
      </c>
    </row>
    <row r="6799" spans="1:11" ht="42" customHeight="1">
      <c r="A6799" s="4" t="s">
        <v>15556</v>
      </c>
      <c r="B6799" s="5" t="s">
        <v>15556</v>
      </c>
      <c r="C6799" s="5" t="s">
        <v>54</v>
      </c>
      <c r="D6799" s="5" t="s">
        <v>55</v>
      </c>
      <c r="E6799" s="5" t="s">
        <v>310</v>
      </c>
      <c r="F6799" s="9">
        <v>56</v>
      </c>
      <c r="G6799" s="9">
        <v>633</v>
      </c>
      <c r="H6799" s="5" t="s">
        <v>21</v>
      </c>
      <c r="I6799" s="5" t="s">
        <v>15557</v>
      </c>
      <c r="J6799" s="12" t="str">
        <f>HYPERLINK("https://www.boe.es/gazeta/dias/1800/07/15/pdfs/GMD-1800-56.pdf#page=9","Abrir facsímil")</f>
        <v>Abrir facsímil</v>
      </c>
      <c r="K6799" s="15" t="s">
        <v>23</v>
      </c>
    </row>
    <row r="6800" spans="1:11" ht="42" customHeight="1">
      <c r="A6800" s="4" t="s">
        <v>15558</v>
      </c>
      <c r="B6800" s="5" t="s">
        <v>15559</v>
      </c>
      <c r="C6800" s="5" t="s">
        <v>18</v>
      </c>
      <c r="D6800" s="5" t="s">
        <v>19</v>
      </c>
      <c r="E6800" s="5" t="s">
        <v>43</v>
      </c>
      <c r="F6800" s="9">
        <v>46</v>
      </c>
      <c r="G6800" s="9">
        <v>487</v>
      </c>
      <c r="H6800" s="5" t="s">
        <v>21</v>
      </c>
      <c r="I6800" s="5" t="s">
        <v>15560</v>
      </c>
      <c r="J6800" s="12" t="str">
        <f>HYPERLINK("https://www.boe.es/gazeta/dias/1800/06/10/pdfs/GMD-1800-46.pdf#page=11","Abrir facsímil")</f>
        <v>Abrir facsímil</v>
      </c>
      <c r="K6800" s="15" t="s">
        <v>23</v>
      </c>
    </row>
    <row r="6801" spans="1:11" ht="42" customHeight="1">
      <c r="A6801" s="4" t="s">
        <v>15561</v>
      </c>
      <c r="B6801" s="5" t="s">
        <v>15562</v>
      </c>
      <c r="C6801" s="5" t="s">
        <v>18</v>
      </c>
      <c r="D6801" s="5" t="s">
        <v>19</v>
      </c>
      <c r="E6801" s="5" t="s">
        <v>255</v>
      </c>
      <c r="F6801" s="9">
        <v>75</v>
      </c>
      <c r="G6801" s="9">
        <v>855</v>
      </c>
      <c r="H6801" s="5" t="s">
        <v>21</v>
      </c>
      <c r="I6801" s="5" t="s">
        <v>15563</v>
      </c>
      <c r="J6801" s="12" t="str">
        <f>HYPERLINK("https://www.boe.es/gazeta/dias/1800/09/16/pdfs/GMD-1800-75.pdf#page=9","Abrir facsímil")</f>
        <v>Abrir facsímil</v>
      </c>
      <c r="K6801" s="15" t="s">
        <v>23</v>
      </c>
    </row>
    <row r="6802" spans="1:11" ht="42" customHeight="1">
      <c r="A6802" s="4" t="s">
        <v>15564</v>
      </c>
      <c r="B6802" s="5" t="s">
        <v>15564</v>
      </c>
      <c r="C6802" s="5" t="s">
        <v>41</v>
      </c>
      <c r="D6802" s="5" t="s">
        <v>42</v>
      </c>
      <c r="E6802" s="5" t="s">
        <v>240</v>
      </c>
      <c r="F6802" s="9">
        <v>26</v>
      </c>
      <c r="G6802" s="9">
        <v>263</v>
      </c>
      <c r="H6802" s="5" t="s">
        <v>21</v>
      </c>
      <c r="I6802" s="5" t="s">
        <v>15565</v>
      </c>
      <c r="J6802" s="12" t="str">
        <f>HYPERLINK("https://www.boe.es/gazeta/dias/1800/04/01/pdfs/GMD-1800-26.pdf#page=3","Abrir facsímil")</f>
        <v>Abrir facsímil</v>
      </c>
      <c r="K6802" s="15" t="s">
        <v>23</v>
      </c>
    </row>
    <row r="6803" spans="1:11" ht="42" customHeight="1">
      <c r="A6803" s="4" t="s">
        <v>15566</v>
      </c>
      <c r="B6803" s="5" t="s">
        <v>15566</v>
      </c>
      <c r="C6803" s="5" t="s">
        <v>18</v>
      </c>
      <c r="D6803" s="5" t="s">
        <v>19</v>
      </c>
      <c r="E6803" s="5" t="s">
        <v>310</v>
      </c>
      <c r="F6803" s="9">
        <v>56</v>
      </c>
      <c r="G6803" s="9">
        <v>627</v>
      </c>
      <c r="H6803" s="5" t="s">
        <v>21</v>
      </c>
      <c r="I6803" s="5" t="s">
        <v>15567</v>
      </c>
      <c r="J6803" s="12" t="str">
        <f>HYPERLINK("https://www.boe.es/gazeta/dias/1800/07/15/pdfs/GMD-1800-56.pdf#page=3","Abrir facsímil")</f>
        <v>Abrir facsímil</v>
      </c>
      <c r="K6803" s="15" t="s">
        <v>23</v>
      </c>
    </row>
    <row r="6804" spans="1:11" ht="42" customHeight="1">
      <c r="A6804" s="4" t="s">
        <v>15568</v>
      </c>
      <c r="B6804" s="5" t="s">
        <v>15569</v>
      </c>
      <c r="C6804" s="5" t="s">
        <v>18</v>
      </c>
      <c r="D6804" s="5" t="s">
        <v>19</v>
      </c>
      <c r="E6804" s="5" t="s">
        <v>310</v>
      </c>
      <c r="F6804" s="9">
        <v>56</v>
      </c>
      <c r="G6804" s="9">
        <v>633</v>
      </c>
      <c r="H6804" s="5" t="s">
        <v>21</v>
      </c>
      <c r="I6804" s="5" t="s">
        <v>15570</v>
      </c>
      <c r="J6804" s="12" t="str">
        <f>HYPERLINK("https://www.boe.es/gazeta/dias/1800/07/15/pdfs/GMD-1800-56.pdf#page=9","Abrir facsímil")</f>
        <v>Abrir facsímil</v>
      </c>
      <c r="K6804" s="15" t="s">
        <v>23</v>
      </c>
    </row>
    <row r="6805" spans="1:11" ht="42" customHeight="1">
      <c r="A6805" s="4" t="s">
        <v>15571</v>
      </c>
      <c r="B6805" s="5" t="s">
        <v>15571</v>
      </c>
      <c r="C6805" s="5" t="s">
        <v>41</v>
      </c>
      <c r="D6805" s="5" t="s">
        <v>42</v>
      </c>
      <c r="E6805" s="5" t="s">
        <v>1127</v>
      </c>
      <c r="F6805" s="9">
        <v>11</v>
      </c>
      <c r="G6805" s="9">
        <v>103</v>
      </c>
      <c r="H6805" s="5" t="s">
        <v>21</v>
      </c>
      <c r="I6805" s="5" t="s">
        <v>6160</v>
      </c>
      <c r="J6805" s="12" t="str">
        <f>HYPERLINK("https://www.boe.es/gazeta/dias/1800/02/07/pdfs/GMD-1800-11.pdf#page=3","Abrir facsímil")</f>
        <v>Abrir facsímil</v>
      </c>
      <c r="K6805" s="15" t="s">
        <v>23</v>
      </c>
    </row>
    <row r="6806" spans="1:11" ht="42" customHeight="1">
      <c r="A6806" s="4" t="s">
        <v>15572</v>
      </c>
      <c r="B6806" s="5" t="s">
        <v>15573</v>
      </c>
      <c r="C6806" s="5" t="s">
        <v>54</v>
      </c>
      <c r="D6806" s="5" t="s">
        <v>55</v>
      </c>
      <c r="E6806" s="5" t="s">
        <v>135</v>
      </c>
      <c r="F6806" s="9">
        <v>73</v>
      </c>
      <c r="G6806" s="9">
        <v>817</v>
      </c>
      <c r="H6806" s="5" t="s">
        <v>21</v>
      </c>
      <c r="I6806" s="5" t="s">
        <v>15574</v>
      </c>
      <c r="J6806" s="12" t="str">
        <f>HYPERLINK("https://www.boe.es/gazeta/dias/1800/09/09/pdfs/GMD-1800-73.pdf#page=11","Abrir facsímil")</f>
        <v>Abrir facsímil</v>
      </c>
      <c r="K6806" s="15" t="s">
        <v>23</v>
      </c>
    </row>
    <row r="6807" spans="1:11" ht="42" customHeight="1">
      <c r="A6807" s="4" t="s">
        <v>15575</v>
      </c>
      <c r="B6807" s="5" t="s">
        <v>15575</v>
      </c>
      <c r="C6807" s="5" t="s">
        <v>18</v>
      </c>
      <c r="D6807" s="5" t="s">
        <v>19</v>
      </c>
      <c r="E6807" s="5" t="s">
        <v>203</v>
      </c>
      <c r="F6807" s="9">
        <v>94</v>
      </c>
      <c r="G6807" s="9">
        <v>1075</v>
      </c>
      <c r="H6807" s="5" t="s">
        <v>21</v>
      </c>
      <c r="I6807" s="5" t="s">
        <v>15576</v>
      </c>
      <c r="J6807" s="12" t="str">
        <f>HYPERLINK("https://www.boe.es/gazeta/dias/1800/11/21/pdfs/GMD-1800-94.pdf#page=5","Abrir facsímil")</f>
        <v>Abrir facsímil</v>
      </c>
      <c r="K6807" s="15" t="s">
        <v>23</v>
      </c>
    </row>
    <row r="6808" spans="1:11" ht="42" customHeight="1">
      <c r="A6808" s="4" t="s">
        <v>15577</v>
      </c>
      <c r="B6808" s="5" t="s">
        <v>15578</v>
      </c>
      <c r="C6808" s="5" t="s">
        <v>54</v>
      </c>
      <c r="D6808" s="5" t="s">
        <v>55</v>
      </c>
      <c r="E6808" s="5" t="s">
        <v>1127</v>
      </c>
      <c r="F6808" s="9">
        <v>11</v>
      </c>
      <c r="G6808" s="9">
        <v>103</v>
      </c>
      <c r="H6808" s="5" t="s">
        <v>21</v>
      </c>
      <c r="I6808" s="5" t="s">
        <v>15579</v>
      </c>
      <c r="J6808" s="12" t="str">
        <f>HYPERLINK("https://www.boe.es/gazeta/dias/1800/02/07/pdfs/GMD-1800-11.pdf#page=3","Abrir facsímil")</f>
        <v>Abrir facsímil</v>
      </c>
      <c r="K6808" s="15" t="s">
        <v>23</v>
      </c>
    </row>
    <row r="6809" spans="1:11" ht="42" customHeight="1">
      <c r="A6809" s="4" t="s">
        <v>15580</v>
      </c>
      <c r="B6809" s="5" t="s">
        <v>15581</v>
      </c>
      <c r="C6809" s="5" t="s">
        <v>18</v>
      </c>
      <c r="D6809" s="5" t="s">
        <v>19</v>
      </c>
      <c r="E6809" s="5" t="s">
        <v>190</v>
      </c>
      <c r="F6809" s="9">
        <v>93</v>
      </c>
      <c r="G6809" s="9">
        <v>1058</v>
      </c>
      <c r="H6809" s="5" t="s">
        <v>21</v>
      </c>
      <c r="I6809" s="5" t="s">
        <v>15582</v>
      </c>
      <c r="J6809" s="12" t="str">
        <f>HYPERLINK("https://www.boe.es/gazeta/dias/1800/11/18/pdfs/GMD-1800-93.pdf#page=4","Abrir facsímil")</f>
        <v>Abrir facsímil</v>
      </c>
      <c r="K6809" s="15" t="s">
        <v>23</v>
      </c>
    </row>
    <row r="6810" spans="1:11" ht="42" customHeight="1">
      <c r="A6810" s="4" t="s">
        <v>15583</v>
      </c>
      <c r="B6810" s="5" t="s">
        <v>15584</v>
      </c>
      <c r="C6810" s="5" t="s">
        <v>18</v>
      </c>
      <c r="D6810" s="5" t="s">
        <v>19</v>
      </c>
      <c r="E6810" s="5" t="s">
        <v>135</v>
      </c>
      <c r="F6810" s="9">
        <v>73</v>
      </c>
      <c r="G6810" s="9">
        <v>815</v>
      </c>
      <c r="H6810" s="5" t="s">
        <v>21</v>
      </c>
      <c r="I6810" s="5" t="s">
        <v>15585</v>
      </c>
      <c r="J6810" s="12" t="str">
        <f>HYPERLINK("https://www.boe.es/gazeta/dias/1800/09/09/pdfs/GMD-1800-73.pdf#page=9","Abrir facsímil")</f>
        <v>Abrir facsímil</v>
      </c>
      <c r="K6810" s="15" t="s">
        <v>23</v>
      </c>
    </row>
    <row r="6811" spans="1:11" ht="42" customHeight="1">
      <c r="A6811" s="4" t="s">
        <v>15586</v>
      </c>
      <c r="B6811" s="5" t="s">
        <v>15587</v>
      </c>
      <c r="C6811" s="5" t="s">
        <v>18</v>
      </c>
      <c r="D6811" s="5" t="s">
        <v>19</v>
      </c>
      <c r="E6811" s="5" t="s">
        <v>135</v>
      </c>
      <c r="F6811" s="9">
        <v>73</v>
      </c>
      <c r="G6811" s="9">
        <v>816</v>
      </c>
      <c r="H6811" s="5" t="s">
        <v>21</v>
      </c>
      <c r="I6811" s="5" t="s">
        <v>15588</v>
      </c>
      <c r="J6811" s="12" t="str">
        <f>HYPERLINK("https://www.boe.es/gazeta/dias/1800/09/09/pdfs/GMD-1800-73.pdf#page=10","Abrir facsímil")</f>
        <v>Abrir facsímil</v>
      </c>
      <c r="K6811" s="15" t="s">
        <v>23</v>
      </c>
    </row>
    <row r="6812" spans="1:11" ht="42" customHeight="1">
      <c r="A6812" s="4" t="s">
        <v>15589</v>
      </c>
      <c r="B6812" s="5" t="s">
        <v>15589</v>
      </c>
      <c r="C6812" s="5" t="s">
        <v>84</v>
      </c>
      <c r="D6812" s="5" t="s">
        <v>85</v>
      </c>
      <c r="E6812" s="5" t="s">
        <v>1294</v>
      </c>
      <c r="F6812" s="9">
        <v>59</v>
      </c>
      <c r="G6812" s="9">
        <v>676</v>
      </c>
      <c r="H6812" s="5" t="s">
        <v>21</v>
      </c>
      <c r="I6812" s="5" t="s">
        <v>2393</v>
      </c>
      <c r="J6812" s="12" t="str">
        <f>HYPERLINK("https://www.boe.es/gazeta/dias/1800/07/25/pdfs/GMD-1800-59.pdf#page=8","Abrir facsímil")</f>
        <v>Abrir facsímil</v>
      </c>
      <c r="K6812" s="15" t="s">
        <v>23</v>
      </c>
    </row>
    <row r="6813" spans="1:11" ht="42" customHeight="1">
      <c r="A6813" s="4" t="s">
        <v>15590</v>
      </c>
      <c r="B6813" s="5" t="s">
        <v>15590</v>
      </c>
      <c r="C6813" s="5" t="s">
        <v>41</v>
      </c>
      <c r="D6813" s="5" t="s">
        <v>42</v>
      </c>
      <c r="E6813" s="5" t="s">
        <v>503</v>
      </c>
      <c r="F6813" s="9">
        <v>13</v>
      </c>
      <c r="G6813" s="9">
        <v>122</v>
      </c>
      <c r="H6813" s="5" t="s">
        <v>21</v>
      </c>
      <c r="I6813" s="5" t="s">
        <v>15591</v>
      </c>
      <c r="J6813" s="12" t="str">
        <f>HYPERLINK("https://www.boe.es/gazeta/dias/1800/02/14/pdfs/GMD-1800-13.pdf#page=6","Abrir facsímil")</f>
        <v>Abrir facsímil</v>
      </c>
      <c r="K6813" s="15" t="s">
        <v>23</v>
      </c>
    </row>
    <row r="6814" spans="1:11" ht="42" customHeight="1">
      <c r="A6814" s="4" t="s">
        <v>15592</v>
      </c>
      <c r="B6814" s="5" t="s">
        <v>15592</v>
      </c>
      <c r="C6814" s="5" t="s">
        <v>41</v>
      </c>
      <c r="D6814" s="5" t="s">
        <v>42</v>
      </c>
      <c r="E6814" s="5" t="s">
        <v>88</v>
      </c>
      <c r="F6814" s="9">
        <v>23</v>
      </c>
      <c r="G6814" s="9">
        <v>231</v>
      </c>
      <c r="H6814" s="5" t="s">
        <v>21</v>
      </c>
      <c r="I6814" s="5" t="s">
        <v>15593</v>
      </c>
      <c r="J6814" s="12" t="str">
        <f>HYPERLINK("https://www.boe.es/gazeta/dias/1800/03/21/pdfs/GMD-1800-23.pdf#page=7","Abrir facsímil")</f>
        <v>Abrir facsímil</v>
      </c>
      <c r="K6814" s="15" t="s">
        <v>23</v>
      </c>
    </row>
    <row r="6815" spans="1:11" ht="42" customHeight="1">
      <c r="A6815" s="4" t="s">
        <v>15592</v>
      </c>
      <c r="B6815" s="5" t="s">
        <v>15592</v>
      </c>
      <c r="C6815" s="5" t="s">
        <v>18</v>
      </c>
      <c r="D6815" s="5" t="s">
        <v>19</v>
      </c>
      <c r="E6815" s="5" t="s">
        <v>306</v>
      </c>
      <c r="F6815" s="9">
        <v>79</v>
      </c>
      <c r="G6815" s="9">
        <v>894</v>
      </c>
      <c r="H6815" s="5" t="s">
        <v>21</v>
      </c>
      <c r="I6815" s="5" t="s">
        <v>15594</v>
      </c>
      <c r="J6815" s="12" t="str">
        <f>HYPERLINK("https://www.boe.es/gazeta/dias/1800/09/30/pdfs/GMD-1800-79.pdf#page=4","Abrir facsímil")</f>
        <v>Abrir facsímil</v>
      </c>
      <c r="K6815" s="15" t="s">
        <v>23</v>
      </c>
    </row>
    <row r="6816" spans="1:11" ht="42" customHeight="1">
      <c r="A6816" s="4" t="s">
        <v>15595</v>
      </c>
      <c r="B6816" s="5" t="s">
        <v>15595</v>
      </c>
      <c r="C6816" s="5" t="s">
        <v>41</v>
      </c>
      <c r="D6816" s="5" t="s">
        <v>42</v>
      </c>
      <c r="E6816" s="5" t="s">
        <v>836</v>
      </c>
      <c r="F6816" s="9">
        <v>71</v>
      </c>
      <c r="G6816" s="9">
        <v>787</v>
      </c>
      <c r="H6816" s="5" t="s">
        <v>21</v>
      </c>
      <c r="I6816" s="5" t="s">
        <v>15596</v>
      </c>
      <c r="J6816" s="12" t="str">
        <f>HYPERLINK("https://www.boe.es/gazeta/dias/1800/09/02/pdfs/GMD-1800-71.pdf#page=5","Abrir facsímil")</f>
        <v>Abrir facsímil</v>
      </c>
      <c r="K6816" s="15" t="s">
        <v>23</v>
      </c>
    </row>
    <row r="6817" spans="1:11" ht="42" customHeight="1">
      <c r="A6817" s="4" t="s">
        <v>15597</v>
      </c>
      <c r="B6817" s="5" t="s">
        <v>15598</v>
      </c>
      <c r="C6817" s="5" t="s">
        <v>18</v>
      </c>
      <c r="D6817" s="5" t="s">
        <v>19</v>
      </c>
      <c r="E6817" s="5" t="s">
        <v>545</v>
      </c>
      <c r="F6817" s="9">
        <v>14</v>
      </c>
      <c r="G6817" s="9">
        <v>132</v>
      </c>
      <c r="H6817" s="5" t="s">
        <v>21</v>
      </c>
      <c r="I6817" s="5" t="s">
        <v>15599</v>
      </c>
      <c r="J6817" s="12" t="str">
        <f>HYPERLINK("https://www.boe.es/gazeta/dias/1800/02/18/pdfs/GMD-1800-14.pdf#page=4","Abrir facsímil")</f>
        <v>Abrir facsímil</v>
      </c>
      <c r="K6817" s="15" t="s">
        <v>23</v>
      </c>
    </row>
    <row r="6818" spans="1:11" ht="42" customHeight="1">
      <c r="A6818" s="4" t="s">
        <v>15600</v>
      </c>
      <c r="B6818" s="5" t="s">
        <v>15600</v>
      </c>
      <c r="C6818" s="5" t="s">
        <v>41</v>
      </c>
      <c r="D6818" s="5" t="s">
        <v>42</v>
      </c>
      <c r="E6818" s="5" t="s">
        <v>478</v>
      </c>
      <c r="F6818" s="9">
        <v>34</v>
      </c>
      <c r="G6818" s="9">
        <v>339</v>
      </c>
      <c r="H6818" s="5" t="s">
        <v>21</v>
      </c>
      <c r="I6818" s="5" t="s">
        <v>15601</v>
      </c>
      <c r="J6818" s="12" t="str">
        <f>HYPERLINK("https://www.boe.es/gazeta/dias/1800/04/29/pdfs/GMD-1800-34.pdf#page=3","Abrir facsímil")</f>
        <v>Abrir facsímil</v>
      </c>
      <c r="K6818" s="15" t="s">
        <v>23</v>
      </c>
    </row>
    <row r="6819" spans="1:11" ht="42" customHeight="1">
      <c r="A6819" s="4" t="s">
        <v>15602</v>
      </c>
      <c r="B6819" s="5" t="s">
        <v>15603</v>
      </c>
      <c r="C6819" s="5" t="s">
        <v>41</v>
      </c>
      <c r="D6819" s="5" t="s">
        <v>42</v>
      </c>
      <c r="E6819" s="5" t="s">
        <v>461</v>
      </c>
      <c r="F6819" s="9">
        <v>18</v>
      </c>
      <c r="G6819" s="9">
        <v>167</v>
      </c>
      <c r="H6819" s="5" t="s">
        <v>21</v>
      </c>
      <c r="I6819" s="5" t="s">
        <v>15604</v>
      </c>
      <c r="J6819" s="12" t="str">
        <f>HYPERLINK("https://www.boe.es/datos/pdfs/BOE//1800/018/C00173-00176.pdf#page=3","Abrir facsímil")</f>
        <v>Abrir facsímil</v>
      </c>
      <c r="K6819" s="15" t="s">
        <v>23</v>
      </c>
    </row>
    <row r="6820" spans="1:11" ht="42" customHeight="1">
      <c r="A6820" s="4" t="s">
        <v>15602</v>
      </c>
      <c r="B6820" s="5" t="s">
        <v>15603</v>
      </c>
      <c r="C6820" s="5" t="s">
        <v>41</v>
      </c>
      <c r="D6820" s="5" t="s">
        <v>42</v>
      </c>
      <c r="E6820" s="5" t="s">
        <v>346</v>
      </c>
      <c r="F6820" s="9">
        <v>24</v>
      </c>
      <c r="G6820" s="9">
        <v>238</v>
      </c>
      <c r="H6820" s="5" t="s">
        <v>21</v>
      </c>
      <c r="I6820" s="5" t="s">
        <v>15605</v>
      </c>
      <c r="J6820" s="12" t="str">
        <f>HYPERLINK("https://www.boe.es/gazeta/dias/1800/03/25/pdfs/GMD-1800-24.pdf#page=2","Abrir facsímil")</f>
        <v>Abrir facsímil</v>
      </c>
      <c r="K6820" s="15" t="s">
        <v>23</v>
      </c>
    </row>
    <row r="6821" spans="1:11" ht="42" customHeight="1">
      <c r="A6821" s="4" t="s">
        <v>15602</v>
      </c>
      <c r="B6821" s="5" t="s">
        <v>15603</v>
      </c>
      <c r="C6821" s="5" t="s">
        <v>41</v>
      </c>
      <c r="D6821" s="5" t="s">
        <v>42</v>
      </c>
      <c r="E6821" s="5" t="s">
        <v>230</v>
      </c>
      <c r="F6821" s="9">
        <v>35</v>
      </c>
      <c r="G6821" s="9">
        <v>350</v>
      </c>
      <c r="H6821" s="5" t="s">
        <v>21</v>
      </c>
      <c r="I6821" s="5" t="s">
        <v>15606</v>
      </c>
      <c r="J6821" s="12" t="str">
        <f>HYPERLINK("https://www.boe.es/gazeta/dias/1800/05/02/pdfs/GMD-1800-35.pdf#page=2","Abrir facsímil")</f>
        <v>Abrir facsímil</v>
      </c>
      <c r="K6821" s="15" t="s">
        <v>23</v>
      </c>
    </row>
    <row r="6822" spans="1:11" ht="42" customHeight="1">
      <c r="A6822" s="4" t="s">
        <v>15602</v>
      </c>
      <c r="B6822" s="5" t="s">
        <v>15603</v>
      </c>
      <c r="C6822" s="5" t="s">
        <v>41</v>
      </c>
      <c r="D6822" s="5" t="s">
        <v>42</v>
      </c>
      <c r="E6822" s="5" t="s">
        <v>101</v>
      </c>
      <c r="F6822" s="9">
        <v>37</v>
      </c>
      <c r="G6822" s="9">
        <v>372</v>
      </c>
      <c r="H6822" s="5" t="s">
        <v>21</v>
      </c>
      <c r="I6822" s="5" t="s">
        <v>15607</v>
      </c>
      <c r="J6822" s="12" t="str">
        <f>HYPERLINK("https://www.boe.es/gazeta/dias/1800/05/09/pdfs/GMD-1800-37.pdf#page=4","Abrir facsímil")</f>
        <v>Abrir facsímil</v>
      </c>
      <c r="K6822" s="15" t="s">
        <v>23</v>
      </c>
    </row>
    <row r="6823" spans="1:11" ht="42" customHeight="1">
      <c r="A6823" s="4" t="s">
        <v>15602</v>
      </c>
      <c r="B6823" s="5" t="s">
        <v>15603</v>
      </c>
      <c r="C6823" s="5" t="s">
        <v>41</v>
      </c>
      <c r="D6823" s="5" t="s">
        <v>42</v>
      </c>
      <c r="E6823" s="5" t="s">
        <v>262</v>
      </c>
      <c r="F6823" s="9">
        <v>39</v>
      </c>
      <c r="G6823" s="9">
        <v>395</v>
      </c>
      <c r="H6823" s="5" t="s">
        <v>21</v>
      </c>
      <c r="I6823" s="5" t="s">
        <v>15608</v>
      </c>
      <c r="J6823" s="12" t="str">
        <f>HYPERLINK("https://www.boe.es/gazeta/dias/1800/05/16/pdfs/GMD-1800-39.pdf#page=3","Abrir facsímil")</f>
        <v>Abrir facsímil</v>
      </c>
      <c r="K6823" s="15" t="s">
        <v>23</v>
      </c>
    </row>
    <row r="6824" spans="1:11" ht="42" customHeight="1">
      <c r="A6824" s="4" t="s">
        <v>15609</v>
      </c>
      <c r="B6824" s="5" t="s">
        <v>15609</v>
      </c>
      <c r="C6824" s="5" t="s">
        <v>18</v>
      </c>
      <c r="D6824" s="5" t="s">
        <v>19</v>
      </c>
      <c r="E6824" s="5" t="s">
        <v>240</v>
      </c>
      <c r="F6824" s="9">
        <v>26</v>
      </c>
      <c r="G6824" s="9">
        <v>265</v>
      </c>
      <c r="H6824" s="5" t="s">
        <v>21</v>
      </c>
      <c r="I6824" s="5" t="s">
        <v>15610</v>
      </c>
      <c r="J6824" s="12" t="str">
        <f>HYPERLINK("https://www.boe.es/gazeta/dias/1800/04/01/pdfs/GMD-1800-26.pdf#page=5","Abrir facsímil")</f>
        <v>Abrir facsímil</v>
      </c>
      <c r="K6824" s="15" t="s">
        <v>23</v>
      </c>
    </row>
    <row r="6825" spans="1:11" ht="42" customHeight="1">
      <c r="A6825" s="4" t="s">
        <v>15611</v>
      </c>
      <c r="B6825" s="5" t="s">
        <v>15611</v>
      </c>
      <c r="C6825" s="5" t="s">
        <v>18</v>
      </c>
      <c r="D6825" s="5" t="s">
        <v>19</v>
      </c>
      <c r="E6825" s="5" t="s">
        <v>176</v>
      </c>
      <c r="F6825" s="9">
        <v>88</v>
      </c>
      <c r="G6825" s="9">
        <v>1029</v>
      </c>
      <c r="H6825" s="5" t="s">
        <v>21</v>
      </c>
      <c r="I6825" s="5" t="s">
        <v>8033</v>
      </c>
      <c r="J6825" s="12" t="str">
        <f>HYPERLINK("https://www.boe.es/gazeta/dias/1800/10/31/pdfs/GMD-1800-88.pdf#page=11","Abrir facsímil")</f>
        <v>Abrir facsímil</v>
      </c>
      <c r="K6825" s="15" t="s">
        <v>23</v>
      </c>
    </row>
    <row r="6826" spans="1:11" ht="42" customHeight="1">
      <c r="A6826" s="4" t="s">
        <v>15612</v>
      </c>
      <c r="B6826" s="5" t="s">
        <v>15612</v>
      </c>
      <c r="C6826" s="5" t="s">
        <v>41</v>
      </c>
      <c r="D6826" s="5" t="s">
        <v>42</v>
      </c>
      <c r="E6826" s="5" t="s">
        <v>1108</v>
      </c>
      <c r="F6826" s="9">
        <v>30</v>
      </c>
      <c r="G6826" s="9">
        <v>301</v>
      </c>
      <c r="H6826" s="5" t="s">
        <v>21</v>
      </c>
      <c r="I6826" s="5" t="s">
        <v>15613</v>
      </c>
      <c r="J6826" s="12" t="str">
        <f>HYPERLINK("https://www.boe.es/gazeta/dias/1800/04/15/pdfs/GMD-1800-30.pdf#page=1","Abrir facsímil")</f>
        <v>Abrir facsímil</v>
      </c>
      <c r="K6826" s="15" t="s">
        <v>23</v>
      </c>
    </row>
    <row r="6827" spans="1:11" ht="42" customHeight="1">
      <c r="A6827" s="4" t="s">
        <v>15614</v>
      </c>
      <c r="B6827" s="5" t="s">
        <v>15615</v>
      </c>
      <c r="C6827" s="5" t="s">
        <v>18</v>
      </c>
      <c r="D6827" s="5" t="s">
        <v>19</v>
      </c>
      <c r="E6827" s="5" t="s">
        <v>184</v>
      </c>
      <c r="F6827" s="9">
        <v>82</v>
      </c>
      <c r="G6827" s="9">
        <v>950</v>
      </c>
      <c r="H6827" s="5" t="s">
        <v>21</v>
      </c>
      <c r="I6827" s="5" t="s">
        <v>15616</v>
      </c>
      <c r="J6827" s="12" t="str">
        <f>HYPERLINK("https://www.boe.es/gazeta/dias/1800/10/10/pdfs/GMD-1800-82.pdf#page=8","Abrir facsímil")</f>
        <v>Abrir facsímil</v>
      </c>
      <c r="K6827" s="15" t="s">
        <v>23</v>
      </c>
    </row>
    <row r="6828" spans="1:11" ht="42" customHeight="1">
      <c r="A6828" s="4" t="s">
        <v>15617</v>
      </c>
      <c r="B6828" s="5" t="s">
        <v>15617</v>
      </c>
      <c r="C6828" s="5" t="s">
        <v>18</v>
      </c>
      <c r="D6828" s="5" t="s">
        <v>19</v>
      </c>
      <c r="E6828" s="5" t="s">
        <v>39</v>
      </c>
      <c r="F6828" s="9">
        <v>43</v>
      </c>
      <c r="G6828" s="9">
        <v>441</v>
      </c>
      <c r="H6828" s="5" t="s">
        <v>21</v>
      </c>
      <c r="I6828" s="5" t="s">
        <v>15618</v>
      </c>
      <c r="J6828" s="12" t="str">
        <f>HYPERLINK("https://www.boe.es/gazeta/dias/1800/05/30/pdfs/GMD-1800-43.pdf#page=1","Abrir facsímil")</f>
        <v>Abrir facsímil</v>
      </c>
      <c r="K6828" s="15" t="s">
        <v>23</v>
      </c>
    </row>
    <row r="6829" spans="1:11" ht="42" customHeight="1">
      <c r="A6829" s="4" t="s">
        <v>15619</v>
      </c>
      <c r="B6829" s="5" t="s">
        <v>15619</v>
      </c>
      <c r="C6829" s="5" t="s">
        <v>41</v>
      </c>
      <c r="D6829" s="5" t="s">
        <v>42</v>
      </c>
      <c r="E6829" s="5" t="s">
        <v>319</v>
      </c>
      <c r="F6829" s="9">
        <v>62</v>
      </c>
      <c r="G6829" s="9">
        <v>703</v>
      </c>
      <c r="H6829" s="5" t="s">
        <v>21</v>
      </c>
      <c r="I6829" s="5" t="s">
        <v>14943</v>
      </c>
      <c r="J6829" s="12" t="str">
        <f>HYPERLINK("https://www.boe.es/gazeta/dias/1800/08/05/pdfs/GMD-1800-62.pdf#page=3","Abrir facsímil")</f>
        <v>Abrir facsímil</v>
      </c>
      <c r="K6829" s="15" t="s">
        <v>23</v>
      </c>
    </row>
    <row r="6830" spans="1:11" ht="42" customHeight="1">
      <c r="A6830" s="4" t="s">
        <v>15620</v>
      </c>
      <c r="B6830" s="5" t="s">
        <v>15621</v>
      </c>
      <c r="C6830" s="5" t="s">
        <v>18</v>
      </c>
      <c r="D6830" s="5" t="s">
        <v>19</v>
      </c>
      <c r="E6830" s="5" t="s">
        <v>314</v>
      </c>
      <c r="F6830" s="9">
        <v>74</v>
      </c>
      <c r="G6830" s="9">
        <v>832</v>
      </c>
      <c r="H6830" s="5" t="s">
        <v>21</v>
      </c>
      <c r="I6830" s="5" t="s">
        <v>15622</v>
      </c>
      <c r="J6830" s="12" t="str">
        <f>HYPERLINK("https://www.boe.es/gazeta/dias/1800/09/12/pdfs/GMD-1800-74.pdf#page=10","Abrir facsímil")</f>
        <v>Abrir facsímil</v>
      </c>
      <c r="K6830" s="15" t="s">
        <v>23</v>
      </c>
    </row>
    <row r="6831" spans="1:11" ht="42" customHeight="1">
      <c r="A6831" s="4" t="s">
        <v>15623</v>
      </c>
      <c r="B6831" s="5" t="s">
        <v>15624</v>
      </c>
      <c r="C6831" s="5" t="s">
        <v>18</v>
      </c>
      <c r="D6831" s="5" t="s">
        <v>19</v>
      </c>
      <c r="E6831" s="5" t="s">
        <v>56</v>
      </c>
      <c r="F6831" s="9">
        <v>90</v>
      </c>
      <c r="G6831" s="9">
        <v>1056</v>
      </c>
      <c r="H6831" s="5" t="s">
        <v>21</v>
      </c>
      <c r="I6831" s="5" t="s">
        <v>15625</v>
      </c>
      <c r="J6831" s="12" t="str">
        <f>HYPERLINK("https://www.boe.es/gazeta/dias/1800/11/07/pdfs/GMD-1800-90.pdf#page=10","Abrir facsímil")</f>
        <v>Abrir facsímil</v>
      </c>
      <c r="K6831" s="15" t="s">
        <v>23</v>
      </c>
    </row>
    <row r="6832" spans="1:11" ht="42" customHeight="1">
      <c r="A6832" s="4" t="s">
        <v>15626</v>
      </c>
      <c r="B6832" s="5" t="s">
        <v>15627</v>
      </c>
      <c r="C6832" s="5" t="s">
        <v>84</v>
      </c>
      <c r="D6832" s="5" t="s">
        <v>85</v>
      </c>
      <c r="E6832" s="5" t="s">
        <v>154</v>
      </c>
      <c r="F6832" s="9">
        <v>61</v>
      </c>
      <c r="G6832" s="9">
        <v>699</v>
      </c>
      <c r="H6832" s="5" t="s">
        <v>21</v>
      </c>
      <c r="I6832" s="5" t="s">
        <v>15628</v>
      </c>
      <c r="J6832" s="12" t="str">
        <f>HYPERLINK("https://www.boe.es/gazeta/dias/1800/08/01/pdfs/GMD-1800-61.pdf#page=11","Abrir facsímil")</f>
        <v>Abrir facsímil</v>
      </c>
      <c r="K6832" s="15" t="s">
        <v>23</v>
      </c>
    </row>
    <row r="6833" spans="1:11" ht="42" customHeight="1">
      <c r="A6833" s="4" t="s">
        <v>15629</v>
      </c>
      <c r="B6833" s="5" t="s">
        <v>15629</v>
      </c>
      <c r="C6833" s="5" t="s">
        <v>41</v>
      </c>
      <c r="D6833" s="5" t="s">
        <v>42</v>
      </c>
      <c r="E6833" s="5" t="s">
        <v>673</v>
      </c>
      <c r="F6833" s="9">
        <v>89</v>
      </c>
      <c r="G6833" s="9">
        <v>1039</v>
      </c>
      <c r="H6833" s="5" t="s">
        <v>21</v>
      </c>
      <c r="I6833" s="5" t="s">
        <v>15630</v>
      </c>
      <c r="J6833" s="12" t="str">
        <f>HYPERLINK("https://www.boe.es/gazeta/dias/1800/11/04/pdfs/GMD-1800-89.pdf#page=5","Abrir facsímil")</f>
        <v>Abrir facsímil</v>
      </c>
      <c r="K6833" s="15" t="s">
        <v>23</v>
      </c>
    </row>
    <row r="6834" spans="1:11" ht="42" customHeight="1">
      <c r="A6834" s="4" t="s">
        <v>15631</v>
      </c>
      <c r="B6834" s="5" t="s">
        <v>15632</v>
      </c>
      <c r="C6834" s="5" t="s">
        <v>18</v>
      </c>
      <c r="D6834" s="5" t="s">
        <v>19</v>
      </c>
      <c r="E6834" s="5" t="s">
        <v>139</v>
      </c>
      <c r="F6834" s="9">
        <v>2</v>
      </c>
      <c r="G6834" s="9">
        <v>18</v>
      </c>
      <c r="H6834" s="5" t="s">
        <v>21</v>
      </c>
      <c r="I6834" s="5" t="s">
        <v>15633</v>
      </c>
      <c r="J6834" s="12" t="str">
        <f>HYPERLINK("https://www.boe.es/gazeta/dias/1800/01/07/pdfs/GMD-1800-2.pdf#page=10","Abrir facsímil")</f>
        <v>Abrir facsímil</v>
      </c>
      <c r="K6834" s="15" t="s">
        <v>23</v>
      </c>
    </row>
    <row r="6835" spans="1:11" ht="42" customHeight="1">
      <c r="A6835" s="4" t="s">
        <v>15634</v>
      </c>
      <c r="B6835" s="5" t="s">
        <v>15635</v>
      </c>
      <c r="C6835" s="5" t="s">
        <v>18</v>
      </c>
      <c r="D6835" s="5" t="s">
        <v>19</v>
      </c>
      <c r="E6835" s="5" t="s">
        <v>255</v>
      </c>
      <c r="F6835" s="9">
        <v>75</v>
      </c>
      <c r="G6835" s="9">
        <v>855</v>
      </c>
      <c r="H6835" s="5" t="s">
        <v>21</v>
      </c>
      <c r="I6835" s="5" t="s">
        <v>15636</v>
      </c>
      <c r="J6835" s="12" t="str">
        <f>HYPERLINK("https://www.boe.es/gazeta/dias/1800/09/16/pdfs/GMD-1800-75.pdf#page=9","Abrir facsímil")</f>
        <v>Abrir facsímil</v>
      </c>
      <c r="K6835" s="15" t="s">
        <v>23</v>
      </c>
    </row>
    <row r="6836" spans="1:11" ht="42" customHeight="1">
      <c r="A6836" s="4" t="s">
        <v>15637</v>
      </c>
      <c r="B6836" s="5" t="s">
        <v>15638</v>
      </c>
      <c r="C6836" s="5" t="s">
        <v>18</v>
      </c>
      <c r="D6836" s="5" t="s">
        <v>19</v>
      </c>
      <c r="E6836" s="5" t="s">
        <v>43</v>
      </c>
      <c r="F6836" s="9">
        <v>46</v>
      </c>
      <c r="G6836" s="9">
        <v>488</v>
      </c>
      <c r="H6836" s="5" t="s">
        <v>21</v>
      </c>
      <c r="I6836" s="5" t="s">
        <v>15639</v>
      </c>
      <c r="J6836" s="12" t="str">
        <f>HYPERLINK("https://www.boe.es/gazeta/dias/1800/06/10/pdfs/GMD-1800-46.pdf#page=12","Abrir facsímil")</f>
        <v>Abrir facsímil</v>
      </c>
      <c r="K6836" s="15" t="s">
        <v>23</v>
      </c>
    </row>
    <row r="6837" spans="1:11" ht="42" customHeight="1">
      <c r="A6837" s="4" t="s">
        <v>15640</v>
      </c>
      <c r="B6837" s="5" t="s">
        <v>15641</v>
      </c>
      <c r="C6837" s="5" t="s">
        <v>18</v>
      </c>
      <c r="D6837" s="5" t="s">
        <v>19</v>
      </c>
      <c r="E6837" s="5" t="s">
        <v>48</v>
      </c>
      <c r="F6837" s="9">
        <v>66</v>
      </c>
      <c r="G6837" s="9">
        <v>746</v>
      </c>
      <c r="H6837" s="5" t="s">
        <v>21</v>
      </c>
      <c r="I6837" s="5" t="s">
        <v>15642</v>
      </c>
      <c r="J6837" s="12" t="str">
        <f>HYPERLINK("https://www.boe.es/gazeta/dias/1800/08/19/pdfs/GMD-1800-66.pdf#page=10","Abrir facsímil")</f>
        <v>Abrir facsímil</v>
      </c>
      <c r="K6837" s="15" t="s">
        <v>23</v>
      </c>
    </row>
    <row r="6838" spans="1:11" ht="42" customHeight="1">
      <c r="A6838" s="4" t="s">
        <v>15643</v>
      </c>
      <c r="B6838" s="5" t="s">
        <v>15644</v>
      </c>
      <c r="C6838" s="5" t="s">
        <v>18</v>
      </c>
      <c r="D6838" s="5" t="s">
        <v>19</v>
      </c>
      <c r="E6838" s="5" t="s">
        <v>43</v>
      </c>
      <c r="F6838" s="9">
        <v>46</v>
      </c>
      <c r="G6838" s="9">
        <v>487</v>
      </c>
      <c r="H6838" s="5" t="s">
        <v>21</v>
      </c>
      <c r="I6838" s="5" t="s">
        <v>15645</v>
      </c>
      <c r="J6838" s="12" t="str">
        <f>HYPERLINK("https://www.boe.es/gazeta/dias/1800/06/10/pdfs/GMD-1800-46.pdf#page=11","Abrir facsímil")</f>
        <v>Abrir facsímil</v>
      </c>
      <c r="K6838" s="15" t="s">
        <v>23</v>
      </c>
    </row>
    <row r="6839" spans="1:11" ht="42" customHeight="1">
      <c r="A6839" s="4" t="s">
        <v>15646</v>
      </c>
      <c r="B6839" s="5" t="s">
        <v>15646</v>
      </c>
      <c r="C6839" s="5" t="s">
        <v>18</v>
      </c>
      <c r="D6839" s="5" t="s">
        <v>19</v>
      </c>
      <c r="E6839" s="5" t="s">
        <v>52</v>
      </c>
      <c r="F6839" s="9">
        <v>83</v>
      </c>
      <c r="G6839" s="9">
        <v>965</v>
      </c>
      <c r="H6839" s="5" t="s">
        <v>21</v>
      </c>
      <c r="I6839" s="5" t="s">
        <v>15647</v>
      </c>
      <c r="J6839" s="12" t="str">
        <f>HYPERLINK("https://www.boe.es/gazeta/dias/1800/10/14/pdfs/GMD-1800-83.pdf#page=11","Abrir facsímil")</f>
        <v>Abrir facsímil</v>
      </c>
      <c r="K6839" s="15" t="s">
        <v>23</v>
      </c>
    </row>
    <row r="6840" spans="1:11" ht="42" customHeight="1">
      <c r="A6840" s="4" t="s">
        <v>15648</v>
      </c>
      <c r="B6840" s="5" t="s">
        <v>15649</v>
      </c>
      <c r="C6840" s="5" t="s">
        <v>18</v>
      </c>
      <c r="D6840" s="5" t="s">
        <v>19</v>
      </c>
      <c r="E6840" s="5" t="s">
        <v>244</v>
      </c>
      <c r="F6840" s="9">
        <v>9</v>
      </c>
      <c r="G6840" s="9">
        <v>85</v>
      </c>
      <c r="H6840" s="5" t="s">
        <v>21</v>
      </c>
      <c r="I6840" s="5" t="s">
        <v>15650</v>
      </c>
      <c r="J6840" s="12" t="str">
        <f>HYPERLINK("https://www.boe.es/gazeta/dias/1800/01/31/pdfs/GMD-1800-9.pdf#page=9","Abrir facsímil")</f>
        <v>Abrir facsímil</v>
      </c>
      <c r="K6840" s="15" t="s">
        <v>23</v>
      </c>
    </row>
    <row r="6841" spans="1:11" ht="42" customHeight="1">
      <c r="A6841" s="4" t="s">
        <v>15651</v>
      </c>
      <c r="B6841" s="5" t="s">
        <v>15652</v>
      </c>
      <c r="C6841" s="5" t="s">
        <v>41</v>
      </c>
      <c r="D6841" s="5" t="s">
        <v>42</v>
      </c>
      <c r="E6841" s="5" t="s">
        <v>101</v>
      </c>
      <c r="F6841" s="9">
        <v>37</v>
      </c>
      <c r="G6841" s="9">
        <v>369</v>
      </c>
      <c r="H6841" s="5" t="s">
        <v>21</v>
      </c>
      <c r="I6841" s="5" t="s">
        <v>15653</v>
      </c>
      <c r="J6841" s="12" t="str">
        <f>HYPERLINK("https://www.boe.es/gazeta/dias/1800/05/09/pdfs/GMD-1800-37.pdf#page=1","Abrir facsímil")</f>
        <v>Abrir facsímil</v>
      </c>
      <c r="K6841" s="15" t="s">
        <v>23</v>
      </c>
    </row>
    <row r="6842" spans="1:11" ht="42" customHeight="1">
      <c r="A6842" s="4" t="s">
        <v>15654</v>
      </c>
      <c r="B6842" s="5" t="s">
        <v>15655</v>
      </c>
      <c r="C6842" s="5" t="s">
        <v>18</v>
      </c>
      <c r="D6842" s="5" t="s">
        <v>19</v>
      </c>
      <c r="E6842" s="5" t="s">
        <v>90</v>
      </c>
      <c r="F6842" s="9">
        <v>58</v>
      </c>
      <c r="G6842" s="9">
        <v>663</v>
      </c>
      <c r="H6842" s="5" t="s">
        <v>21</v>
      </c>
      <c r="I6842" s="5" t="s">
        <v>15656</v>
      </c>
      <c r="J6842" s="12" t="str">
        <f>HYPERLINK("https://www.boe.es/gazeta/dias/1800/07/22/pdfs/GMD-1800-58.pdf#page=11","Abrir facsímil")</f>
        <v>Abrir facsímil</v>
      </c>
      <c r="K6842" s="15" t="s">
        <v>23</v>
      </c>
    </row>
    <row r="6843" spans="1:11" ht="42" customHeight="1">
      <c r="A6843" s="4" t="s">
        <v>15657</v>
      </c>
      <c r="B6843" s="5" t="s">
        <v>15657</v>
      </c>
      <c r="C6843" s="5" t="s">
        <v>41</v>
      </c>
      <c r="D6843" s="5" t="s">
        <v>42</v>
      </c>
      <c r="E6843" s="5" t="s">
        <v>545</v>
      </c>
      <c r="F6843" s="9">
        <v>14</v>
      </c>
      <c r="G6843" s="9">
        <v>132</v>
      </c>
      <c r="H6843" s="5" t="s">
        <v>21</v>
      </c>
      <c r="I6843" s="5" t="s">
        <v>15658</v>
      </c>
      <c r="J6843" s="12" t="str">
        <f>HYPERLINK("https://www.boe.es/gazeta/dias/1800/02/18/pdfs/GMD-1800-14.pdf#page=4","Abrir facsímil")</f>
        <v>Abrir facsímil</v>
      </c>
      <c r="K6843" s="15" t="s">
        <v>23</v>
      </c>
    </row>
    <row r="6844" spans="1:11" ht="42" customHeight="1">
      <c r="A6844" s="4" t="s">
        <v>15659</v>
      </c>
      <c r="B6844" s="5" t="s">
        <v>15659</v>
      </c>
      <c r="C6844" s="5" t="s">
        <v>25</v>
      </c>
      <c r="D6844" s="5" t="s">
        <v>26</v>
      </c>
      <c r="E6844" s="5" t="s">
        <v>255</v>
      </c>
      <c r="F6844" s="9">
        <v>75</v>
      </c>
      <c r="G6844" s="9">
        <v>857</v>
      </c>
      <c r="H6844" s="5" t="s">
        <v>21</v>
      </c>
      <c r="I6844" s="5" t="s">
        <v>15660</v>
      </c>
      <c r="J6844" s="12" t="str">
        <f>HYPERLINK("https://www.boe.es/gazeta/dias/1800/09/16/pdfs/GMD-1800-75.pdf#page=11","Abrir facsímil")</f>
        <v>Abrir facsímil</v>
      </c>
      <c r="K6844" s="15" t="s">
        <v>23</v>
      </c>
    </row>
    <row r="6845" spans="1:11" ht="42" customHeight="1">
      <c r="A6845" s="4" t="s">
        <v>15661</v>
      </c>
      <c r="B6845" s="5" t="s">
        <v>15661</v>
      </c>
      <c r="C6845" s="5" t="s">
        <v>41</v>
      </c>
      <c r="D6845" s="5" t="s">
        <v>42</v>
      </c>
      <c r="E6845" s="5" t="s">
        <v>583</v>
      </c>
      <c r="F6845" s="9">
        <v>77</v>
      </c>
      <c r="G6845" s="9">
        <v>877</v>
      </c>
      <c r="H6845" s="5" t="s">
        <v>21</v>
      </c>
      <c r="I6845" s="5" t="s">
        <v>15662</v>
      </c>
      <c r="J6845" s="12" t="str">
        <f>HYPERLINK("https://www.boe.es/gazeta/dias/1800/09/23/pdfs/GMD-1800-77.pdf#page=7","Abrir facsímil")</f>
        <v>Abrir facsímil</v>
      </c>
      <c r="K6845" s="15" t="s">
        <v>23</v>
      </c>
    </row>
    <row r="6846" spans="1:11" ht="42" customHeight="1">
      <c r="A6846" s="4" t="s">
        <v>15663</v>
      </c>
      <c r="B6846" s="5" t="s">
        <v>15663</v>
      </c>
      <c r="C6846" s="5" t="s">
        <v>41</v>
      </c>
      <c r="D6846" s="5" t="s">
        <v>42</v>
      </c>
      <c r="E6846" s="5" t="s">
        <v>124</v>
      </c>
      <c r="F6846" s="9">
        <v>16</v>
      </c>
      <c r="G6846" s="9">
        <v>148</v>
      </c>
      <c r="H6846" s="5" t="s">
        <v>21</v>
      </c>
      <c r="I6846" s="5" t="s">
        <v>15664</v>
      </c>
      <c r="J6846" s="12" t="str">
        <f>HYPERLINK("https://www.boe.es/gazeta/dias/1800/02/25/pdfs/GMD-1800-16.pdf#page=4","Abrir facsímil")</f>
        <v>Abrir facsímil</v>
      </c>
      <c r="K6846" s="15" t="s">
        <v>23</v>
      </c>
    </row>
    <row r="6847" spans="1:11" ht="42" customHeight="1">
      <c r="A6847" s="4" t="s">
        <v>15665</v>
      </c>
      <c r="B6847" s="5" t="s">
        <v>15665</v>
      </c>
      <c r="C6847" s="5" t="s">
        <v>41</v>
      </c>
      <c r="D6847" s="5" t="s">
        <v>42</v>
      </c>
      <c r="E6847" s="5" t="s">
        <v>162</v>
      </c>
      <c r="F6847" s="9">
        <v>15</v>
      </c>
      <c r="G6847" s="9">
        <v>139</v>
      </c>
      <c r="H6847" s="5" t="s">
        <v>21</v>
      </c>
      <c r="I6847" s="5" t="s">
        <v>15666</v>
      </c>
      <c r="J6847" s="12" t="str">
        <f>HYPERLINK("https://www.boe.es/gazeta/dias/1800/02/21/pdfs/GMD-1800-15.pdf#page=3","Abrir facsímil")</f>
        <v>Abrir facsímil</v>
      </c>
      <c r="K6847" s="15" t="s">
        <v>23</v>
      </c>
    </row>
    <row r="6848" spans="1:11" ht="42" customHeight="1">
      <c r="A6848" s="4" t="s">
        <v>15665</v>
      </c>
      <c r="B6848" s="5" t="s">
        <v>15665</v>
      </c>
      <c r="C6848" s="5" t="s">
        <v>18</v>
      </c>
      <c r="D6848" s="5" t="s">
        <v>19</v>
      </c>
      <c r="E6848" s="5" t="s">
        <v>86</v>
      </c>
      <c r="F6848" s="9">
        <v>17</v>
      </c>
      <c r="G6848" s="9">
        <v>157</v>
      </c>
      <c r="H6848" s="5" t="s">
        <v>21</v>
      </c>
      <c r="I6848" s="5" t="s">
        <v>15667</v>
      </c>
      <c r="J6848" s="12" t="str">
        <f>HYPERLINK("https://www.boe.es/gazeta/dias/1800/02/28/pdfs/GMD-1800-17.pdf#page=5","Abrir facsímil")</f>
        <v>Abrir facsímil</v>
      </c>
      <c r="K6848" s="15" t="s">
        <v>23</v>
      </c>
    </row>
    <row r="6849" spans="1:11" ht="42" customHeight="1">
      <c r="A6849" s="4" t="s">
        <v>15668</v>
      </c>
      <c r="B6849" s="5" t="s">
        <v>15669</v>
      </c>
      <c r="C6849" s="5" t="s">
        <v>18</v>
      </c>
      <c r="D6849" s="5" t="s">
        <v>19</v>
      </c>
      <c r="E6849" s="5" t="s">
        <v>184</v>
      </c>
      <c r="F6849" s="9">
        <v>82</v>
      </c>
      <c r="G6849" s="9">
        <v>951</v>
      </c>
      <c r="H6849" s="5" t="s">
        <v>21</v>
      </c>
      <c r="I6849" s="5" t="s">
        <v>15670</v>
      </c>
      <c r="J6849" s="12" t="str">
        <f>HYPERLINK("https://www.boe.es/gazeta/dias/1800/10/10/pdfs/GMD-1800-82.pdf#page=9","Abrir facsímil")</f>
        <v>Abrir facsímil</v>
      </c>
      <c r="K6849" s="15" t="s">
        <v>23</v>
      </c>
    </row>
    <row r="6850" spans="1:11" ht="42" customHeight="1">
      <c r="A6850" s="4" t="s">
        <v>15671</v>
      </c>
      <c r="B6850" s="5" t="s">
        <v>15671</v>
      </c>
      <c r="C6850" s="5" t="s">
        <v>114</v>
      </c>
      <c r="D6850" s="5" t="s">
        <v>115</v>
      </c>
      <c r="E6850" s="5" t="s">
        <v>116</v>
      </c>
      <c r="F6850" s="9">
        <v>86</v>
      </c>
      <c r="G6850" s="9" t="s">
        <v>725</v>
      </c>
      <c r="H6850" s="5" t="s">
        <v>21</v>
      </c>
      <c r="I6850" s="5" t="s">
        <v>15672</v>
      </c>
      <c r="J6850" s="12" t="str">
        <f>HYPERLINK("https://www.boe.es/gazeta/dias/1800/10/24/pdfs/GMD-D-1800-86.pdf#page=1","Abrir facsímil")</f>
        <v>Abrir facsímil</v>
      </c>
      <c r="K6850" s="15" t="s">
        <v>23</v>
      </c>
    </row>
    <row r="6851" spans="1:11" ht="42" customHeight="1">
      <c r="A6851" s="4" t="s">
        <v>15673</v>
      </c>
      <c r="B6851" s="5" t="s">
        <v>15674</v>
      </c>
      <c r="C6851" s="5" t="s">
        <v>18</v>
      </c>
      <c r="D6851" s="5" t="s">
        <v>19</v>
      </c>
      <c r="E6851" s="5" t="s">
        <v>240</v>
      </c>
      <c r="F6851" s="9">
        <v>26</v>
      </c>
      <c r="G6851" s="9">
        <v>269</v>
      </c>
      <c r="H6851" s="5" t="s">
        <v>21</v>
      </c>
      <c r="I6851" s="5" t="s">
        <v>15675</v>
      </c>
      <c r="J6851" s="12" t="str">
        <f>HYPERLINK("https://www.boe.es/gazeta/dias/1800/04/01/pdfs/GMD-1800-26.pdf#page=9","Abrir facsímil")</f>
        <v>Abrir facsímil</v>
      </c>
      <c r="K6851" s="15" t="s">
        <v>23</v>
      </c>
    </row>
    <row r="6852" spans="1:11" ht="42" customHeight="1">
      <c r="A6852" s="4" t="s">
        <v>15676</v>
      </c>
      <c r="B6852" s="5" t="s">
        <v>15677</v>
      </c>
      <c r="C6852" s="5" t="s">
        <v>18</v>
      </c>
      <c r="D6852" s="5" t="s">
        <v>19</v>
      </c>
      <c r="E6852" s="5" t="s">
        <v>39</v>
      </c>
      <c r="F6852" s="9">
        <v>43</v>
      </c>
      <c r="G6852" s="9">
        <v>449</v>
      </c>
      <c r="H6852" s="5" t="s">
        <v>21</v>
      </c>
      <c r="I6852" s="5" t="s">
        <v>15678</v>
      </c>
      <c r="J6852" s="12" t="str">
        <f>HYPERLINK("https://www.boe.es/gazeta/dias/1800/05/30/pdfs/GMD-1800-43.pdf#page=9","Abrir facsímil")</f>
        <v>Abrir facsímil</v>
      </c>
      <c r="K6852" s="15" t="s">
        <v>23</v>
      </c>
    </row>
    <row r="6853" spans="1:11" ht="42" customHeight="1">
      <c r="A6853" s="4" t="s">
        <v>15679</v>
      </c>
      <c r="B6853" s="5" t="s">
        <v>15679</v>
      </c>
      <c r="C6853" s="5" t="s">
        <v>171</v>
      </c>
      <c r="D6853" s="5" t="s">
        <v>172</v>
      </c>
      <c r="E6853" s="5" t="s">
        <v>2338</v>
      </c>
      <c r="F6853" s="9">
        <v>42</v>
      </c>
      <c r="G6853" s="9">
        <v>440</v>
      </c>
      <c r="H6853" s="5" t="s">
        <v>21</v>
      </c>
      <c r="I6853" s="5" t="s">
        <v>15680</v>
      </c>
      <c r="J6853" s="12" t="str">
        <f>HYPERLINK("https://www.boe.es/gazeta/dias/1800/05/27/pdfs/GMD-C-1800-42.pdf#page=4","Abrir facsímil")</f>
        <v>Abrir facsímil</v>
      </c>
      <c r="K6853" s="15" t="s">
        <v>23</v>
      </c>
    </row>
    <row r="6854" spans="1:11" ht="42" customHeight="1">
      <c r="A6854" s="4" t="s">
        <v>15681</v>
      </c>
      <c r="B6854" s="5" t="s">
        <v>15681</v>
      </c>
      <c r="C6854" s="5" t="s">
        <v>41</v>
      </c>
      <c r="D6854" s="5" t="s">
        <v>42</v>
      </c>
      <c r="E6854" s="5" t="s">
        <v>194</v>
      </c>
      <c r="F6854" s="9">
        <v>48</v>
      </c>
      <c r="G6854" s="9">
        <v>516</v>
      </c>
      <c r="H6854" s="5" t="s">
        <v>21</v>
      </c>
      <c r="I6854" s="5" t="s">
        <v>15682</v>
      </c>
      <c r="J6854" s="12" t="str">
        <f>HYPERLINK("https://www.boe.es/gazeta/dias/1800/06/17/pdfs/GMD-1800-48.pdf#page=8","Abrir facsímil")</f>
        <v>Abrir facsímil</v>
      </c>
      <c r="K6854" s="15" t="s">
        <v>23</v>
      </c>
    </row>
    <row r="6855" spans="1:11" ht="42" customHeight="1">
      <c r="A6855" s="4" t="s">
        <v>15681</v>
      </c>
      <c r="B6855" s="5" t="s">
        <v>15681</v>
      </c>
      <c r="C6855" s="5" t="s">
        <v>25</v>
      </c>
      <c r="D6855" s="5" t="s">
        <v>26</v>
      </c>
      <c r="E6855" s="5" t="s">
        <v>196</v>
      </c>
      <c r="F6855" s="9">
        <v>97</v>
      </c>
      <c r="G6855" s="9">
        <v>1116</v>
      </c>
      <c r="H6855" s="5" t="s">
        <v>21</v>
      </c>
      <c r="I6855" s="5" t="s">
        <v>15683</v>
      </c>
      <c r="J6855" s="12" t="str">
        <f>HYPERLINK("https://www.boe.es/gazeta/dias/1800/12/02/pdfs/GMD-1800-97.pdf#page=8","Abrir facsímil")</f>
        <v>Abrir facsímil</v>
      </c>
      <c r="K6855" s="15" t="s">
        <v>23</v>
      </c>
    </row>
    <row r="6856" spans="1:11" ht="42" customHeight="1">
      <c r="A6856" s="4" t="s">
        <v>15684</v>
      </c>
      <c r="B6856" s="5" t="s">
        <v>15685</v>
      </c>
      <c r="C6856" s="5" t="s">
        <v>18</v>
      </c>
      <c r="D6856" s="5" t="s">
        <v>19</v>
      </c>
      <c r="E6856" s="5" t="s">
        <v>346</v>
      </c>
      <c r="F6856" s="9">
        <v>24</v>
      </c>
      <c r="G6856" s="9">
        <v>244</v>
      </c>
      <c r="H6856" s="5" t="s">
        <v>21</v>
      </c>
      <c r="I6856" s="5" t="s">
        <v>15686</v>
      </c>
      <c r="J6856" s="12" t="str">
        <f>HYPERLINK("https://www.boe.es/gazeta/dias/1800/03/25/pdfs/GMD-1800-24.pdf#page=8","Abrir facsímil")</f>
        <v>Abrir facsímil</v>
      </c>
      <c r="K6856" s="15" t="s">
        <v>23</v>
      </c>
    </row>
    <row r="6857" spans="1:11" ht="42" customHeight="1">
      <c r="A6857" s="4" t="s">
        <v>15687</v>
      </c>
      <c r="B6857" s="5" t="s">
        <v>15688</v>
      </c>
      <c r="C6857" s="5" t="s">
        <v>41</v>
      </c>
      <c r="D6857" s="5" t="s">
        <v>42</v>
      </c>
      <c r="E6857" s="5" t="s">
        <v>244</v>
      </c>
      <c r="F6857" s="9">
        <v>9</v>
      </c>
      <c r="G6857" s="9">
        <v>80</v>
      </c>
      <c r="H6857" s="5" t="s">
        <v>21</v>
      </c>
      <c r="I6857" s="5" t="s">
        <v>15689</v>
      </c>
      <c r="J6857" s="12" t="str">
        <f>HYPERLINK("https://www.boe.es/gazeta/dias/1800/01/31/pdfs/GMD-1800-9.pdf#page=4","Abrir facsímil")</f>
        <v>Abrir facsímil</v>
      </c>
      <c r="K6857" s="15" t="s">
        <v>23</v>
      </c>
    </row>
    <row r="6858" spans="1:11" ht="42" customHeight="1">
      <c r="A6858" s="4" t="s">
        <v>15690</v>
      </c>
      <c r="B6858" s="5" t="s">
        <v>15691</v>
      </c>
      <c r="C6858" s="5" t="s">
        <v>25</v>
      </c>
      <c r="D6858" s="5" t="s">
        <v>26</v>
      </c>
      <c r="E6858" s="5" t="s">
        <v>1108</v>
      </c>
      <c r="F6858" s="9">
        <v>30</v>
      </c>
      <c r="G6858" s="9">
        <v>307</v>
      </c>
      <c r="H6858" s="5" t="s">
        <v>21</v>
      </c>
      <c r="I6858" s="5" t="s">
        <v>15692</v>
      </c>
      <c r="J6858" s="12" t="str">
        <f>HYPERLINK("https://www.boe.es/gazeta/dias/1800/04/15/pdfs/GMD-1800-30.pdf#page=7","Abrir facsímil")</f>
        <v>Abrir facsímil</v>
      </c>
      <c r="K6858" s="15" t="s">
        <v>23</v>
      </c>
    </row>
    <row r="6859" spans="1:11" ht="42" customHeight="1">
      <c r="A6859" s="4" t="s">
        <v>15693</v>
      </c>
      <c r="B6859" s="5" t="s">
        <v>15694</v>
      </c>
      <c r="C6859" s="5" t="s">
        <v>18</v>
      </c>
      <c r="D6859" s="5" t="s">
        <v>19</v>
      </c>
      <c r="E6859" s="5" t="s">
        <v>176</v>
      </c>
      <c r="F6859" s="9">
        <v>88</v>
      </c>
      <c r="G6859" s="9">
        <v>1030</v>
      </c>
      <c r="H6859" s="5" t="s">
        <v>21</v>
      </c>
      <c r="I6859" s="5" t="s">
        <v>15695</v>
      </c>
      <c r="J6859" s="12" t="str">
        <f>HYPERLINK("https://www.boe.es/gazeta/dias/1800/10/31/pdfs/GMD-1800-88.pdf#page=12","Abrir facsímil")</f>
        <v>Abrir facsímil</v>
      </c>
      <c r="K6859" s="15" t="s">
        <v>23</v>
      </c>
    </row>
    <row r="6860" spans="1:11" ht="42" customHeight="1">
      <c r="A6860" s="4" t="s">
        <v>15696</v>
      </c>
      <c r="B6860" s="5" t="s">
        <v>15697</v>
      </c>
      <c r="C6860" s="5" t="s">
        <v>18</v>
      </c>
      <c r="D6860" s="5" t="s">
        <v>19</v>
      </c>
      <c r="E6860" s="5" t="s">
        <v>402</v>
      </c>
      <c r="F6860" s="9">
        <v>101</v>
      </c>
      <c r="G6860" s="9">
        <v>1169</v>
      </c>
      <c r="H6860" s="5" t="s">
        <v>21</v>
      </c>
      <c r="I6860" s="5" t="s">
        <v>15698</v>
      </c>
      <c r="J6860" s="12" t="str">
        <f>HYPERLINK("https://www.boe.es/gazeta/dias/1800/12/16/pdfs/GMD-1800-101.pdf#page=5","Abrir facsímil")</f>
        <v>Abrir facsímil</v>
      </c>
      <c r="K6860" s="15" t="s">
        <v>23</v>
      </c>
    </row>
    <row r="6861" spans="1:11" ht="42" customHeight="1">
      <c r="A6861" s="4" t="s">
        <v>15696</v>
      </c>
      <c r="B6861" s="5" t="s">
        <v>15697</v>
      </c>
      <c r="C6861" s="5" t="s">
        <v>18</v>
      </c>
      <c r="D6861" s="5" t="s">
        <v>19</v>
      </c>
      <c r="E6861" s="5" t="s">
        <v>20</v>
      </c>
      <c r="F6861" s="9">
        <v>104</v>
      </c>
      <c r="G6861" s="9">
        <v>1207</v>
      </c>
      <c r="H6861" s="5" t="s">
        <v>21</v>
      </c>
      <c r="I6861" s="5" t="s">
        <v>15699</v>
      </c>
      <c r="J6861" s="12" t="str">
        <f>HYPERLINK("https://www.boe.es/gazeta/dias/1800/12/26/pdfs/GMD-1800-104.pdf#page=7","Abrir facsímil")</f>
        <v>Abrir facsímil</v>
      </c>
      <c r="K6861" s="15" t="s">
        <v>23</v>
      </c>
    </row>
    <row r="6862" spans="1:11" ht="42" customHeight="1">
      <c r="A6862" s="4" t="s">
        <v>15700</v>
      </c>
      <c r="B6862" s="5" t="s">
        <v>15701</v>
      </c>
      <c r="C6862" s="5" t="s">
        <v>207</v>
      </c>
      <c r="D6862" s="5" t="s">
        <v>55</v>
      </c>
      <c r="E6862" s="5" t="s">
        <v>105</v>
      </c>
      <c r="F6862" s="9">
        <v>28</v>
      </c>
      <c r="G6862" s="9">
        <v>290</v>
      </c>
      <c r="H6862" s="5" t="s">
        <v>21</v>
      </c>
      <c r="I6862" s="5" t="s">
        <v>15702</v>
      </c>
      <c r="J6862" s="12" t="str">
        <f>HYPERLINK("https://www.boe.es/gazeta/dias/1800/04/08/pdfs/GMD-1800-28.pdf#page=6","Abrir facsímil")</f>
        <v>Abrir facsímil</v>
      </c>
      <c r="K6862" s="15" t="s">
        <v>23</v>
      </c>
    </row>
    <row r="6863" spans="1:11" ht="42" customHeight="1">
      <c r="A6863" s="4" t="s">
        <v>15703</v>
      </c>
      <c r="B6863" s="5" t="s">
        <v>15704</v>
      </c>
      <c r="C6863" s="5" t="s">
        <v>18</v>
      </c>
      <c r="D6863" s="5" t="s">
        <v>19</v>
      </c>
      <c r="E6863" s="5" t="s">
        <v>306</v>
      </c>
      <c r="F6863" s="9">
        <v>79</v>
      </c>
      <c r="G6863" s="9">
        <v>901</v>
      </c>
      <c r="H6863" s="5" t="s">
        <v>21</v>
      </c>
      <c r="I6863" s="5" t="s">
        <v>15705</v>
      </c>
      <c r="J6863" s="12" t="str">
        <f>HYPERLINK("https://www.boe.es/gazeta/dias/1800/09/30/pdfs/GMD-1800-79.pdf#page=11","Abrir facsímil")</f>
        <v>Abrir facsímil</v>
      </c>
      <c r="K6863" s="15" t="s">
        <v>23</v>
      </c>
    </row>
    <row r="6864" spans="1:11" ht="42" customHeight="1">
      <c r="A6864" s="4" t="s">
        <v>15706</v>
      </c>
      <c r="B6864" s="5" t="s">
        <v>15707</v>
      </c>
      <c r="C6864" s="5" t="s">
        <v>18</v>
      </c>
      <c r="D6864" s="5" t="s">
        <v>19</v>
      </c>
      <c r="E6864" s="5" t="s">
        <v>190</v>
      </c>
      <c r="F6864" s="9">
        <v>93</v>
      </c>
      <c r="G6864" s="9">
        <v>1067</v>
      </c>
      <c r="H6864" s="5" t="s">
        <v>21</v>
      </c>
      <c r="I6864" s="5" t="s">
        <v>15708</v>
      </c>
      <c r="J6864" s="12" t="str">
        <f>HYPERLINK("https://www.boe.es/gazeta/dias/1800/11/18/pdfs/GMD-1800-93.pdf#page=13","Abrir facsímil")</f>
        <v>Abrir facsímil</v>
      </c>
      <c r="K6864" s="15" t="s">
        <v>23</v>
      </c>
    </row>
    <row r="6865" spans="1:11" ht="42" customHeight="1">
      <c r="A6865" s="4" t="s">
        <v>15709</v>
      </c>
      <c r="B6865" s="5" t="s">
        <v>15710</v>
      </c>
      <c r="C6865" s="5" t="s">
        <v>18</v>
      </c>
      <c r="D6865" s="5" t="s">
        <v>19</v>
      </c>
      <c r="E6865" s="5" t="s">
        <v>154</v>
      </c>
      <c r="F6865" s="9">
        <v>61</v>
      </c>
      <c r="G6865" s="9">
        <v>696</v>
      </c>
      <c r="H6865" s="5" t="s">
        <v>21</v>
      </c>
      <c r="I6865" s="5" t="s">
        <v>15711</v>
      </c>
      <c r="J6865" s="12" t="str">
        <f>HYPERLINK("https://www.boe.es/gazeta/dias/1800/08/01/pdfs/GMD-1800-61.pdf#page=8","Abrir facsímil")</f>
        <v>Abrir facsímil</v>
      </c>
      <c r="K6865" s="15" t="s">
        <v>23</v>
      </c>
    </row>
    <row r="6866" spans="1:11" ht="42" customHeight="1">
      <c r="A6866" s="4" t="s">
        <v>15712</v>
      </c>
      <c r="B6866" s="5" t="s">
        <v>15713</v>
      </c>
      <c r="C6866" s="5" t="s">
        <v>84</v>
      </c>
      <c r="D6866" s="5" t="s">
        <v>85</v>
      </c>
      <c r="E6866" s="5" t="s">
        <v>143</v>
      </c>
      <c r="F6866" s="9">
        <v>22</v>
      </c>
      <c r="G6866" s="9">
        <v>223</v>
      </c>
      <c r="H6866" s="5" t="s">
        <v>21</v>
      </c>
      <c r="I6866" s="5" t="s">
        <v>15714</v>
      </c>
      <c r="J6866" s="12" t="str">
        <f>HYPERLINK("https://www.boe.es/gazeta/dias/1800/03/18/pdfs/GMD-1800-22.pdf#page=15","Abrir facsímil")</f>
        <v>Abrir facsímil</v>
      </c>
      <c r="K6866" s="15" t="s">
        <v>23</v>
      </c>
    </row>
    <row r="6867" spans="1:11" ht="42" customHeight="1">
      <c r="A6867" s="4" t="s">
        <v>15715</v>
      </c>
      <c r="B6867" s="5" t="s">
        <v>15716</v>
      </c>
      <c r="C6867" s="5" t="s">
        <v>84</v>
      </c>
      <c r="D6867" s="5" t="s">
        <v>85</v>
      </c>
      <c r="E6867" s="5" t="s">
        <v>572</v>
      </c>
      <c r="F6867" s="9">
        <v>76</v>
      </c>
      <c r="G6867" s="9">
        <v>869</v>
      </c>
      <c r="H6867" s="5" t="s">
        <v>21</v>
      </c>
      <c r="I6867" s="5" t="s">
        <v>15717</v>
      </c>
      <c r="J6867" s="12" t="str">
        <f>HYPERLINK("https://www.boe.es/gazeta/dias/1800/09/19/pdfs/GMD-1800-76.pdf#page=11","Abrir facsímil")</f>
        <v>Abrir facsímil</v>
      </c>
      <c r="K6867" s="15" t="s">
        <v>23</v>
      </c>
    </row>
    <row r="6868" spans="1:11" ht="42" customHeight="1">
      <c r="A6868" s="4" t="s">
        <v>15718</v>
      </c>
      <c r="B6868" s="5" t="s">
        <v>15719</v>
      </c>
      <c r="C6868" s="5" t="s">
        <v>41</v>
      </c>
      <c r="D6868" s="5" t="s">
        <v>42</v>
      </c>
      <c r="E6868" s="5" t="s">
        <v>39</v>
      </c>
      <c r="F6868" s="9">
        <v>43</v>
      </c>
      <c r="G6868" s="9">
        <v>447</v>
      </c>
      <c r="H6868" s="5" t="s">
        <v>21</v>
      </c>
      <c r="I6868" s="5" t="s">
        <v>15720</v>
      </c>
      <c r="J6868" s="12" t="str">
        <f>HYPERLINK("https://www.boe.es/gazeta/dias/1800/05/30/pdfs/GMD-1800-43.pdf#page=7","Abrir facsímil")</f>
        <v>Abrir facsímil</v>
      </c>
      <c r="K6868" s="15" t="s">
        <v>23</v>
      </c>
    </row>
    <row r="6869" spans="1:11" ht="42" customHeight="1">
      <c r="A6869" s="4" t="s">
        <v>15721</v>
      </c>
      <c r="B6869" s="5" t="s">
        <v>15722</v>
      </c>
      <c r="C6869" s="5" t="s">
        <v>84</v>
      </c>
      <c r="D6869" s="5" t="s">
        <v>85</v>
      </c>
      <c r="E6869" s="5" t="s">
        <v>194</v>
      </c>
      <c r="F6869" s="9">
        <v>48</v>
      </c>
      <c r="G6869" s="9">
        <v>516</v>
      </c>
      <c r="H6869" s="5" t="s">
        <v>21</v>
      </c>
      <c r="I6869" s="5" t="s">
        <v>15723</v>
      </c>
      <c r="J6869" s="12" t="str">
        <f>HYPERLINK("https://www.boe.es/gazeta/dias/1800/06/17/pdfs/GMD-1800-48.pdf#page=8","Abrir facsímil")</f>
        <v>Abrir facsímil</v>
      </c>
      <c r="K6869" s="15" t="s">
        <v>23</v>
      </c>
    </row>
    <row r="6870" spans="1:11" ht="42" customHeight="1">
      <c r="A6870" s="4" t="s">
        <v>15724</v>
      </c>
      <c r="B6870" s="5" t="s">
        <v>15724</v>
      </c>
      <c r="C6870" s="5" t="s">
        <v>84</v>
      </c>
      <c r="D6870" s="5" t="s">
        <v>85</v>
      </c>
      <c r="E6870" s="5" t="s">
        <v>262</v>
      </c>
      <c r="F6870" s="9">
        <v>39</v>
      </c>
      <c r="G6870" s="9">
        <v>404</v>
      </c>
      <c r="H6870" s="5" t="s">
        <v>21</v>
      </c>
      <c r="I6870" s="5" t="s">
        <v>15725</v>
      </c>
      <c r="J6870" s="12" t="str">
        <f>HYPERLINK("https://www.boe.es/gazeta/dias/1800/05/16/pdfs/GMD-1800-39.pdf#page=12","Abrir facsímil")</f>
        <v>Abrir facsímil</v>
      </c>
      <c r="K6870" s="15" t="s">
        <v>23</v>
      </c>
    </row>
    <row r="6871" spans="1:11" ht="42" customHeight="1">
      <c r="A6871" s="4" t="s">
        <v>15726</v>
      </c>
      <c r="B6871" s="5" t="s">
        <v>15726</v>
      </c>
      <c r="C6871" s="5" t="s">
        <v>18</v>
      </c>
      <c r="D6871" s="5" t="s">
        <v>19</v>
      </c>
      <c r="E6871" s="5" t="s">
        <v>48</v>
      </c>
      <c r="F6871" s="9">
        <v>66</v>
      </c>
      <c r="G6871" s="9">
        <v>747</v>
      </c>
      <c r="H6871" s="5" t="s">
        <v>21</v>
      </c>
      <c r="I6871" s="5" t="s">
        <v>15727</v>
      </c>
      <c r="J6871" s="12" t="str">
        <f>HYPERLINK("https://www.boe.es/gazeta/dias/1800/08/19/pdfs/GMD-1800-66.pdf#page=11","Abrir facsímil")</f>
        <v>Abrir facsímil</v>
      </c>
      <c r="K6871" s="15" t="s">
        <v>23</v>
      </c>
    </row>
    <row r="6872" spans="1:11" ht="42" customHeight="1">
      <c r="A6872" s="4" t="s">
        <v>15728</v>
      </c>
      <c r="B6872" s="5" t="s">
        <v>15728</v>
      </c>
      <c r="C6872" s="5" t="s">
        <v>1179</v>
      </c>
      <c r="D6872" s="5" t="s">
        <v>1180</v>
      </c>
      <c r="E6872" s="5" t="s">
        <v>314</v>
      </c>
      <c r="F6872" s="9">
        <v>74</v>
      </c>
      <c r="G6872" s="9">
        <v>844</v>
      </c>
      <c r="H6872" s="5" t="s">
        <v>21</v>
      </c>
      <c r="I6872" s="5" t="s">
        <v>15729</v>
      </c>
      <c r="J6872" s="12" t="str">
        <f>HYPERLINK("https://www.boe.es/gazeta/dias/1800/09/12/pdfs/GMD-C-1800-74.pdf#page=6","Abrir facsímil")</f>
        <v>Abrir facsímil</v>
      </c>
      <c r="K6872" s="15" t="s">
        <v>23</v>
      </c>
    </row>
    <row r="6873" spans="1:11" ht="42" customHeight="1">
      <c r="A6873" s="4" t="s">
        <v>15730</v>
      </c>
      <c r="B6873" s="5" t="s">
        <v>15731</v>
      </c>
      <c r="C6873" s="5" t="s">
        <v>18</v>
      </c>
      <c r="D6873" s="5" t="s">
        <v>19</v>
      </c>
      <c r="E6873" s="5" t="s">
        <v>1287</v>
      </c>
      <c r="F6873" s="9">
        <v>57</v>
      </c>
      <c r="G6873" s="9">
        <v>648</v>
      </c>
      <c r="H6873" s="5" t="s">
        <v>21</v>
      </c>
      <c r="I6873" s="5" t="s">
        <v>15732</v>
      </c>
      <c r="J6873" s="12" t="str">
        <f>HYPERLINK("https://www.boe.es/gazeta/dias/1800/07/18/pdfs/GMD-1800-57.pdf#page=12","Abrir facsímil")</f>
        <v>Abrir facsímil</v>
      </c>
      <c r="K6873" s="15" t="s">
        <v>23</v>
      </c>
    </row>
    <row r="6874" spans="1:11" ht="42" customHeight="1">
      <c r="A6874" s="4" t="s">
        <v>15733</v>
      </c>
      <c r="B6874" s="5" t="s">
        <v>15734</v>
      </c>
      <c r="C6874" s="5" t="s">
        <v>18</v>
      </c>
      <c r="D6874" s="5" t="s">
        <v>19</v>
      </c>
      <c r="E6874" s="5" t="s">
        <v>48</v>
      </c>
      <c r="F6874" s="9">
        <v>66</v>
      </c>
      <c r="G6874" s="9">
        <v>740</v>
      </c>
      <c r="H6874" s="5" t="s">
        <v>21</v>
      </c>
      <c r="I6874" s="5" t="s">
        <v>15735</v>
      </c>
      <c r="J6874" s="12" t="str">
        <f>HYPERLINK("https://www.boe.es/gazeta/dias/1800/08/19/pdfs/GMD-1800-66.pdf#page=4","Abrir facsímil")</f>
        <v>Abrir facsímil</v>
      </c>
      <c r="K6874" s="15" t="s">
        <v>23</v>
      </c>
    </row>
    <row r="6875" spans="1:11" ht="42" customHeight="1">
      <c r="A6875" s="4" t="s">
        <v>15736</v>
      </c>
      <c r="B6875" s="5" t="s">
        <v>15737</v>
      </c>
      <c r="C6875" s="5" t="s">
        <v>54</v>
      </c>
      <c r="D6875" s="5" t="s">
        <v>55</v>
      </c>
      <c r="E6875" s="5" t="s">
        <v>162</v>
      </c>
      <c r="F6875" s="9">
        <v>15</v>
      </c>
      <c r="G6875" s="9">
        <v>139</v>
      </c>
      <c r="H6875" s="5" t="s">
        <v>21</v>
      </c>
      <c r="I6875" s="5" t="s">
        <v>15738</v>
      </c>
      <c r="J6875" s="12" t="str">
        <f>HYPERLINK("https://www.boe.es/gazeta/dias/1800/02/21/pdfs/GMD-1800-15.pdf#page=3","Abrir facsímil")</f>
        <v>Abrir facsímil</v>
      </c>
      <c r="K6875" s="15" t="s">
        <v>23</v>
      </c>
    </row>
    <row r="6876" spans="1:11" ht="42" customHeight="1">
      <c r="A6876" s="4" t="s">
        <v>15739</v>
      </c>
      <c r="B6876" s="5" t="s">
        <v>15739</v>
      </c>
      <c r="C6876" s="5" t="s">
        <v>41</v>
      </c>
      <c r="D6876" s="5" t="s">
        <v>42</v>
      </c>
      <c r="E6876" s="5" t="s">
        <v>58</v>
      </c>
      <c r="F6876" s="9">
        <v>92</v>
      </c>
      <c r="G6876" s="9">
        <v>1048</v>
      </c>
      <c r="H6876" s="5" t="s">
        <v>21</v>
      </c>
      <c r="I6876" s="5" t="s">
        <v>15740</v>
      </c>
      <c r="J6876" s="12" t="str">
        <f>HYPERLINK("https://www.boe.es/gazeta/dias/1800/11/14/pdfs/GMD-1800-92.pdf#page=2","Abrir facsímil")</f>
        <v>Abrir facsímil</v>
      </c>
      <c r="K6876" s="15" t="s">
        <v>23</v>
      </c>
    </row>
    <row r="6877" spans="1:11" ht="42" customHeight="1">
      <c r="A6877" s="4" t="s">
        <v>15741</v>
      </c>
      <c r="B6877" s="5" t="s">
        <v>15742</v>
      </c>
      <c r="C6877" s="5" t="s">
        <v>41</v>
      </c>
      <c r="D6877" s="5" t="s">
        <v>42</v>
      </c>
      <c r="E6877" s="5" t="s">
        <v>143</v>
      </c>
      <c r="F6877" s="9">
        <v>22</v>
      </c>
      <c r="G6877" s="9">
        <v>214</v>
      </c>
      <c r="H6877" s="5" t="s">
        <v>21</v>
      </c>
      <c r="I6877" s="5" t="s">
        <v>15743</v>
      </c>
      <c r="J6877" s="12" t="str">
        <f>HYPERLINK("https://www.boe.es/gazeta/dias/1800/03/18/pdfs/GMD-1800-22.pdf#page=6","Abrir facsímil")</f>
        <v>Abrir facsímil</v>
      </c>
      <c r="K6877" s="15" t="s">
        <v>23</v>
      </c>
    </row>
    <row r="6878" spans="1:11" ht="42" customHeight="1">
      <c r="A6878" s="4" t="s">
        <v>15744</v>
      </c>
      <c r="B6878" s="5" t="s">
        <v>15744</v>
      </c>
      <c r="C6878" s="5" t="s">
        <v>41</v>
      </c>
      <c r="D6878" s="5" t="s">
        <v>42</v>
      </c>
      <c r="E6878" s="5" t="s">
        <v>88</v>
      </c>
      <c r="F6878" s="9">
        <v>23</v>
      </c>
      <c r="G6878" s="9">
        <v>227</v>
      </c>
      <c r="H6878" s="5" t="s">
        <v>21</v>
      </c>
      <c r="I6878" s="5" t="s">
        <v>15745</v>
      </c>
      <c r="J6878" s="12" t="str">
        <f>HYPERLINK("https://www.boe.es/gazeta/dias/1800/03/21/pdfs/GMD-1800-23.pdf#page=3","Abrir facsímil")</f>
        <v>Abrir facsímil</v>
      </c>
      <c r="K6878" s="15" t="s">
        <v>23</v>
      </c>
    </row>
    <row r="6879" spans="1:11" ht="42" customHeight="1">
      <c r="A6879" s="4" t="s">
        <v>15744</v>
      </c>
      <c r="B6879" s="5" t="s">
        <v>15744</v>
      </c>
      <c r="C6879" s="5" t="s">
        <v>41</v>
      </c>
      <c r="D6879" s="5" t="s">
        <v>42</v>
      </c>
      <c r="E6879" s="5" t="s">
        <v>158</v>
      </c>
      <c r="F6879" s="9">
        <v>25</v>
      </c>
      <c r="G6879" s="9">
        <v>252</v>
      </c>
      <c r="H6879" s="5" t="s">
        <v>21</v>
      </c>
      <c r="I6879" s="5" t="s">
        <v>15746</v>
      </c>
      <c r="J6879" s="12" t="str">
        <f>HYPERLINK("https://www.boe.es/gazeta/dias/1800/03/28/pdfs/GMD-1800-25.pdf#page=4","Abrir facsímil")</f>
        <v>Abrir facsímil</v>
      </c>
      <c r="K6879" s="15" t="s">
        <v>23</v>
      </c>
    </row>
    <row r="6880" spans="1:11" ht="42" customHeight="1">
      <c r="A6880" s="4" t="s">
        <v>15744</v>
      </c>
      <c r="B6880" s="5" t="s">
        <v>15744</v>
      </c>
      <c r="C6880" s="5" t="s">
        <v>18</v>
      </c>
      <c r="D6880" s="5" t="s">
        <v>19</v>
      </c>
      <c r="E6880" s="5" t="s">
        <v>90</v>
      </c>
      <c r="F6880" s="9">
        <v>58</v>
      </c>
      <c r="G6880" s="9">
        <v>656</v>
      </c>
      <c r="H6880" s="5" t="s">
        <v>21</v>
      </c>
      <c r="I6880" s="5" t="s">
        <v>15747</v>
      </c>
      <c r="J6880" s="12" t="str">
        <f>HYPERLINK("https://www.boe.es/gazeta/dias/1800/07/22/pdfs/GMD-1800-58.pdf#page=4","Abrir facsímil")</f>
        <v>Abrir facsímil</v>
      </c>
      <c r="K6880" s="15" t="s">
        <v>23</v>
      </c>
    </row>
    <row r="6881" spans="1:11" ht="42" customHeight="1">
      <c r="A6881" s="4" t="s">
        <v>15744</v>
      </c>
      <c r="B6881" s="5" t="s">
        <v>15744</v>
      </c>
      <c r="C6881" s="5" t="s">
        <v>41</v>
      </c>
      <c r="D6881" s="5" t="s">
        <v>42</v>
      </c>
      <c r="E6881" s="5" t="s">
        <v>275</v>
      </c>
      <c r="F6881" s="9">
        <v>60</v>
      </c>
      <c r="G6881" s="9">
        <v>682</v>
      </c>
      <c r="H6881" s="5" t="s">
        <v>21</v>
      </c>
      <c r="I6881" s="5" t="s">
        <v>15748</v>
      </c>
      <c r="J6881" s="12" t="str">
        <f>HYPERLINK("https://www.boe.es/gazeta/dias/1800/07/29/pdfs/GMD-1800-60.pdf#page=2","Abrir facsímil")</f>
        <v>Abrir facsímil</v>
      </c>
      <c r="K6881" s="15" t="s">
        <v>23</v>
      </c>
    </row>
    <row r="6882" spans="1:11" ht="42" customHeight="1">
      <c r="A6882" s="4" t="s">
        <v>15744</v>
      </c>
      <c r="B6882" s="5" t="s">
        <v>15744</v>
      </c>
      <c r="C6882" s="5" t="s">
        <v>41</v>
      </c>
      <c r="D6882" s="5" t="s">
        <v>42</v>
      </c>
      <c r="E6882" s="5" t="s">
        <v>275</v>
      </c>
      <c r="F6882" s="9">
        <v>60</v>
      </c>
      <c r="G6882" s="9">
        <v>683</v>
      </c>
      <c r="H6882" s="5" t="s">
        <v>21</v>
      </c>
      <c r="I6882" s="5" t="s">
        <v>15749</v>
      </c>
      <c r="J6882" s="12" t="str">
        <f>HYPERLINK("https://www.boe.es/gazeta/dias/1800/07/29/pdfs/GMD-1800-60.pdf#page=3","Abrir facsímil")</f>
        <v>Abrir facsímil</v>
      </c>
      <c r="K6882" s="15" t="s">
        <v>23</v>
      </c>
    </row>
    <row r="6883" spans="1:11" ht="42" customHeight="1">
      <c r="A6883" s="4" t="s">
        <v>15744</v>
      </c>
      <c r="B6883" s="5" t="s">
        <v>15744</v>
      </c>
      <c r="C6883" s="5" t="s">
        <v>41</v>
      </c>
      <c r="D6883" s="5" t="s">
        <v>42</v>
      </c>
      <c r="E6883" s="5" t="s">
        <v>319</v>
      </c>
      <c r="F6883" s="9">
        <v>62</v>
      </c>
      <c r="G6883" s="9">
        <v>704</v>
      </c>
      <c r="H6883" s="5" t="s">
        <v>21</v>
      </c>
      <c r="I6883" s="5" t="s">
        <v>15750</v>
      </c>
      <c r="J6883" s="12" t="str">
        <f>HYPERLINK("https://www.boe.es/gazeta/dias/1800/08/05/pdfs/GMD-1800-62.pdf#page=4","Abrir facsímil")</f>
        <v>Abrir facsímil</v>
      </c>
      <c r="K6883" s="15" t="s">
        <v>23</v>
      </c>
    </row>
    <row r="6884" spans="1:11" ht="42" customHeight="1">
      <c r="A6884" s="4" t="s">
        <v>15744</v>
      </c>
      <c r="B6884" s="5" t="s">
        <v>15744</v>
      </c>
      <c r="C6884" s="5" t="s">
        <v>41</v>
      </c>
      <c r="D6884" s="5" t="s">
        <v>42</v>
      </c>
      <c r="E6884" s="5" t="s">
        <v>75</v>
      </c>
      <c r="F6884" s="9">
        <v>64</v>
      </c>
      <c r="G6884" s="9">
        <v>728</v>
      </c>
      <c r="H6884" s="5" t="s">
        <v>21</v>
      </c>
      <c r="I6884" s="5" t="s">
        <v>15751</v>
      </c>
      <c r="J6884" s="12" t="str">
        <f>HYPERLINK("https://www.boe.es/gazeta/dias/1800/08/12/pdfs/GMD-1800-64.pdf#page=4","Abrir facsímil")</f>
        <v>Abrir facsímil</v>
      </c>
      <c r="K6884" s="15" t="s">
        <v>23</v>
      </c>
    </row>
    <row r="6885" spans="1:11" ht="42" customHeight="1">
      <c r="A6885" s="4" t="s">
        <v>15744</v>
      </c>
      <c r="B6885" s="5" t="s">
        <v>15744</v>
      </c>
      <c r="C6885" s="5" t="s">
        <v>41</v>
      </c>
      <c r="D6885" s="5" t="s">
        <v>42</v>
      </c>
      <c r="E6885" s="5" t="s">
        <v>75</v>
      </c>
      <c r="F6885" s="9">
        <v>64</v>
      </c>
      <c r="G6885" s="9">
        <v>729</v>
      </c>
      <c r="H6885" s="5" t="s">
        <v>21</v>
      </c>
      <c r="I6885" s="5" t="s">
        <v>15752</v>
      </c>
      <c r="J6885" s="12" t="str">
        <f>HYPERLINK("https://www.boe.es/gazeta/dias/1800/08/12/pdfs/GMD-1800-64.pdf#page=5","Abrir facsímil")</f>
        <v>Abrir facsímil</v>
      </c>
      <c r="K6885" s="15" t="s">
        <v>23</v>
      </c>
    </row>
    <row r="6886" spans="1:11" ht="42" customHeight="1">
      <c r="A6886" s="4" t="s">
        <v>15744</v>
      </c>
      <c r="B6886" s="5" t="s">
        <v>15744</v>
      </c>
      <c r="C6886" s="5" t="s">
        <v>41</v>
      </c>
      <c r="D6886" s="5" t="s">
        <v>42</v>
      </c>
      <c r="E6886" s="5" t="s">
        <v>180</v>
      </c>
      <c r="F6886" s="9">
        <v>102</v>
      </c>
      <c r="G6886" s="9">
        <v>1182</v>
      </c>
      <c r="H6886" s="5" t="s">
        <v>21</v>
      </c>
      <c r="I6886" s="5" t="s">
        <v>15753</v>
      </c>
      <c r="J6886" s="12" t="str">
        <f>HYPERLINK("https://www.boe.es/gazeta/dias/1800/12/19/pdfs/GMD-1800-102.pdf#page=6","Abrir facsímil")</f>
        <v>Abrir facsímil</v>
      </c>
      <c r="K6886" s="15" t="s">
        <v>23</v>
      </c>
    </row>
    <row r="6887" spans="1:11" ht="42" customHeight="1">
      <c r="A6887" s="4" t="s">
        <v>15754</v>
      </c>
      <c r="B6887" s="5" t="s">
        <v>15754</v>
      </c>
      <c r="C6887" s="5" t="s">
        <v>18</v>
      </c>
      <c r="D6887" s="5" t="s">
        <v>19</v>
      </c>
      <c r="E6887" s="5" t="s">
        <v>620</v>
      </c>
      <c r="F6887" s="9">
        <v>19</v>
      </c>
      <c r="G6887" s="9">
        <v>180</v>
      </c>
      <c r="H6887" s="5" t="s">
        <v>21</v>
      </c>
      <c r="I6887" s="5" t="s">
        <v>15755</v>
      </c>
      <c r="J6887" s="12" t="str">
        <f>HYPERLINK("https://www.boe.es/gazeta/dias/1800/03/07/pdfs/GMD-1800-19.pdf#page=4","Abrir facsímil")</f>
        <v>Abrir facsímil</v>
      </c>
      <c r="K6887" s="15" t="s">
        <v>23</v>
      </c>
    </row>
    <row r="6888" spans="1:11" ht="42" customHeight="1">
      <c r="A6888" s="4" t="s">
        <v>15756</v>
      </c>
      <c r="B6888" s="5" t="s">
        <v>15757</v>
      </c>
      <c r="C6888" s="5" t="s">
        <v>114</v>
      </c>
      <c r="D6888" s="5" t="s">
        <v>115</v>
      </c>
      <c r="E6888" s="5" t="s">
        <v>116</v>
      </c>
      <c r="F6888" s="9">
        <v>86</v>
      </c>
      <c r="G6888" s="9" t="s">
        <v>725</v>
      </c>
      <c r="H6888" s="5" t="s">
        <v>21</v>
      </c>
      <c r="I6888" s="5" t="s">
        <v>15758</v>
      </c>
      <c r="J6888" s="12" t="str">
        <f>HYPERLINK("https://www.boe.es/gazeta/dias/1800/10/24/pdfs/GMD-D-1800-86.pdf#page=1","Abrir facsímil")</f>
        <v>Abrir facsímil</v>
      </c>
      <c r="K6888" s="15" t="s">
        <v>23</v>
      </c>
    </row>
    <row r="6889" spans="1:11" ht="42" customHeight="1">
      <c r="A6889" s="4" t="s">
        <v>15759</v>
      </c>
      <c r="B6889" s="5" t="s">
        <v>15759</v>
      </c>
      <c r="C6889" s="5" t="s">
        <v>41</v>
      </c>
      <c r="D6889" s="5" t="s">
        <v>42</v>
      </c>
      <c r="E6889" s="5" t="s">
        <v>590</v>
      </c>
      <c r="F6889" s="9">
        <v>69</v>
      </c>
      <c r="G6889" s="9">
        <v>774</v>
      </c>
      <c r="H6889" s="5" t="s">
        <v>21</v>
      </c>
      <c r="I6889" s="5" t="s">
        <v>15760</v>
      </c>
      <c r="J6889" s="12" t="str">
        <f>HYPERLINK("https://www.boe.es/gazeta/dias/1800/08/29/pdfs/GMD-1800-69.pdf#page=6","Abrir facsímil")</f>
        <v>Abrir facsímil</v>
      </c>
      <c r="K6889" s="15" t="s">
        <v>23</v>
      </c>
    </row>
    <row r="6890" spans="1:11" ht="42" customHeight="1">
      <c r="A6890" s="4" t="s">
        <v>15761</v>
      </c>
      <c r="B6890" s="5" t="s">
        <v>15761</v>
      </c>
      <c r="C6890" s="5" t="s">
        <v>41</v>
      </c>
      <c r="D6890" s="5" t="s">
        <v>42</v>
      </c>
      <c r="E6890" s="5" t="s">
        <v>618</v>
      </c>
      <c r="F6890" s="9">
        <v>1</v>
      </c>
      <c r="G6890" s="9">
        <v>3</v>
      </c>
      <c r="H6890" s="5" t="s">
        <v>21</v>
      </c>
      <c r="I6890" s="5" t="s">
        <v>15762</v>
      </c>
      <c r="J6890" s="12" t="str">
        <f>HYPERLINK("https://www.boe.es/gazeta/dias/1800/01/03/pdfs/GMD-1800-1.pdf#page=3","Abrir facsímil")</f>
        <v>Abrir facsímil</v>
      </c>
      <c r="K6890" s="15" t="s">
        <v>23</v>
      </c>
    </row>
    <row r="6891" spans="1:11" ht="42" customHeight="1">
      <c r="A6891" s="4" t="s">
        <v>15763</v>
      </c>
      <c r="B6891" s="5" t="s">
        <v>15763</v>
      </c>
      <c r="C6891" s="5" t="s">
        <v>54</v>
      </c>
      <c r="D6891" s="5" t="s">
        <v>55</v>
      </c>
      <c r="E6891" s="5" t="s">
        <v>461</v>
      </c>
      <c r="F6891" s="9">
        <v>18</v>
      </c>
      <c r="G6891" s="9">
        <v>165</v>
      </c>
      <c r="H6891" s="5" t="s">
        <v>21</v>
      </c>
      <c r="I6891" s="5" t="s">
        <v>15764</v>
      </c>
      <c r="J6891" s="12" t="str">
        <f>HYPERLINK("https://www.boe.es/datos/pdfs/BOE//1800/018/C00173-00176.pdf#page=1","Abrir facsímil")</f>
        <v>Abrir facsímil</v>
      </c>
      <c r="K6891" s="15" t="s">
        <v>23</v>
      </c>
    </row>
    <row r="6892" spans="1:11" ht="42" customHeight="1">
      <c r="A6892" s="4" t="s">
        <v>15763</v>
      </c>
      <c r="B6892" s="5" t="s">
        <v>15763</v>
      </c>
      <c r="C6892" s="5" t="s">
        <v>41</v>
      </c>
      <c r="D6892" s="5" t="s">
        <v>42</v>
      </c>
      <c r="E6892" s="5" t="s">
        <v>43</v>
      </c>
      <c r="F6892" s="9">
        <v>46</v>
      </c>
      <c r="G6892" s="9">
        <v>477</v>
      </c>
      <c r="H6892" s="5" t="s">
        <v>21</v>
      </c>
      <c r="I6892" s="5" t="s">
        <v>15765</v>
      </c>
      <c r="J6892" s="12" t="str">
        <f>HYPERLINK("https://www.boe.es/gazeta/dias/1800/06/10/pdfs/GMD-1800-46.pdf#page=1","Abrir facsímil")</f>
        <v>Abrir facsímil</v>
      </c>
      <c r="K6892" s="15" t="s">
        <v>23</v>
      </c>
    </row>
    <row r="6893" spans="1:11" ht="42" customHeight="1">
      <c r="A6893" s="4" t="s">
        <v>15763</v>
      </c>
      <c r="B6893" s="5" t="s">
        <v>15763</v>
      </c>
      <c r="C6893" s="5" t="s">
        <v>41</v>
      </c>
      <c r="D6893" s="5" t="s">
        <v>42</v>
      </c>
      <c r="E6893" s="5" t="s">
        <v>465</v>
      </c>
      <c r="F6893" s="9">
        <v>49</v>
      </c>
      <c r="G6893" s="9">
        <v>525</v>
      </c>
      <c r="H6893" s="5" t="s">
        <v>21</v>
      </c>
      <c r="I6893" s="5" t="s">
        <v>15766</v>
      </c>
      <c r="J6893" s="12" t="str">
        <f>HYPERLINK("https://www.boe.es/gazeta/dias/1800/06/20/pdfs/GMD-1800-49.pdf#page=1","Abrir facsímil")</f>
        <v>Abrir facsímil</v>
      </c>
      <c r="K6893" s="15" t="s">
        <v>23</v>
      </c>
    </row>
    <row r="6894" spans="1:11" ht="42" customHeight="1">
      <c r="A6894" s="4" t="s">
        <v>15763</v>
      </c>
      <c r="B6894" s="5" t="s">
        <v>15763</v>
      </c>
      <c r="C6894" s="5" t="s">
        <v>41</v>
      </c>
      <c r="D6894" s="5" t="s">
        <v>42</v>
      </c>
      <c r="E6894" s="5" t="s">
        <v>825</v>
      </c>
      <c r="F6894" s="9">
        <v>51</v>
      </c>
      <c r="G6894" s="9">
        <v>554</v>
      </c>
      <c r="H6894" s="5" t="s">
        <v>21</v>
      </c>
      <c r="I6894" s="5" t="s">
        <v>15767</v>
      </c>
      <c r="J6894" s="12" t="str">
        <f>HYPERLINK("https://www.boe.es/gazeta/dias/1800/06/27/pdfs/GMD-1800-51.pdf#page=6","Abrir facsímil")</f>
        <v>Abrir facsímil</v>
      </c>
      <c r="K6894" s="15" t="s">
        <v>23</v>
      </c>
    </row>
    <row r="6895" spans="1:11" ht="42" customHeight="1">
      <c r="A6895" s="4" t="s">
        <v>15763</v>
      </c>
      <c r="B6895" s="5" t="s">
        <v>15763</v>
      </c>
      <c r="C6895" s="5" t="s">
        <v>54</v>
      </c>
      <c r="D6895" s="5" t="s">
        <v>55</v>
      </c>
      <c r="E6895" s="5" t="s">
        <v>828</v>
      </c>
      <c r="F6895" s="9">
        <v>53</v>
      </c>
      <c r="G6895" s="9">
        <v>581</v>
      </c>
      <c r="H6895" s="5" t="s">
        <v>21</v>
      </c>
      <c r="I6895" s="5" t="s">
        <v>15768</v>
      </c>
      <c r="J6895" s="12" t="str">
        <f>HYPERLINK("https://www.boe.es/gazeta/dias/1800/07/04/pdfs/GMD-1800-53.pdf#page=1","Abrir facsímil")</f>
        <v>Abrir facsímil</v>
      </c>
      <c r="K6895" s="15" t="s">
        <v>23</v>
      </c>
    </row>
    <row r="6896" spans="1:11" ht="42" customHeight="1">
      <c r="A6896" s="4" t="s">
        <v>15763</v>
      </c>
      <c r="B6896" s="5" t="s">
        <v>15763</v>
      </c>
      <c r="C6896" s="5" t="s">
        <v>41</v>
      </c>
      <c r="D6896" s="5" t="s">
        <v>42</v>
      </c>
      <c r="E6896" s="5" t="s">
        <v>828</v>
      </c>
      <c r="F6896" s="9">
        <v>53</v>
      </c>
      <c r="G6896" s="9">
        <v>582</v>
      </c>
      <c r="H6896" s="5" t="s">
        <v>21</v>
      </c>
      <c r="I6896" s="5" t="s">
        <v>15769</v>
      </c>
      <c r="J6896" s="12" t="str">
        <f>HYPERLINK("https://www.boe.es/gazeta/dias/1800/07/04/pdfs/GMD-1800-53.pdf#page=2","Abrir facsímil")</f>
        <v>Abrir facsímil</v>
      </c>
      <c r="K6896" s="15" t="s">
        <v>23</v>
      </c>
    </row>
    <row r="6897" spans="1:11" ht="42" customHeight="1">
      <c r="A6897" s="4" t="s">
        <v>15763</v>
      </c>
      <c r="B6897" s="5" t="s">
        <v>15763</v>
      </c>
      <c r="C6897" s="5" t="s">
        <v>41</v>
      </c>
      <c r="D6897" s="5" t="s">
        <v>42</v>
      </c>
      <c r="E6897" s="5" t="s">
        <v>1294</v>
      </c>
      <c r="F6897" s="9">
        <v>59</v>
      </c>
      <c r="G6897" s="9">
        <v>672</v>
      </c>
      <c r="H6897" s="5" t="s">
        <v>21</v>
      </c>
      <c r="I6897" s="5" t="s">
        <v>15770</v>
      </c>
      <c r="J6897" s="12" t="str">
        <f>HYPERLINK("https://www.boe.es/gazeta/dias/1800/07/25/pdfs/GMD-1800-59.pdf#page=4","Abrir facsímil")</f>
        <v>Abrir facsímil</v>
      </c>
      <c r="K6897" s="15" t="s">
        <v>23</v>
      </c>
    </row>
    <row r="6898" spans="1:11" ht="42" customHeight="1">
      <c r="A6898" s="4" t="s">
        <v>15763</v>
      </c>
      <c r="B6898" s="5" t="s">
        <v>15763</v>
      </c>
      <c r="C6898" s="5" t="s">
        <v>41</v>
      </c>
      <c r="D6898" s="5" t="s">
        <v>42</v>
      </c>
      <c r="E6898" s="5" t="s">
        <v>454</v>
      </c>
      <c r="F6898" s="9">
        <v>63</v>
      </c>
      <c r="G6898" s="9">
        <v>715</v>
      </c>
      <c r="H6898" s="5" t="s">
        <v>21</v>
      </c>
      <c r="I6898" s="5" t="s">
        <v>15771</v>
      </c>
      <c r="J6898" s="12" t="str">
        <f>HYPERLINK("https://www.boe.es/gazeta/dias/1800/08/08/pdfs/GMD-1800-63.pdf#page=3","Abrir facsímil")</f>
        <v>Abrir facsímil</v>
      </c>
      <c r="K6898" s="15" t="s">
        <v>23</v>
      </c>
    </row>
    <row r="6899" spans="1:11" ht="42" customHeight="1">
      <c r="A6899" s="4" t="s">
        <v>15763</v>
      </c>
      <c r="B6899" s="5" t="s">
        <v>15763</v>
      </c>
      <c r="C6899" s="5" t="s">
        <v>18</v>
      </c>
      <c r="D6899" s="5" t="s">
        <v>19</v>
      </c>
      <c r="E6899" s="5" t="s">
        <v>75</v>
      </c>
      <c r="F6899" s="9">
        <v>64</v>
      </c>
      <c r="G6899" s="9">
        <v>729</v>
      </c>
      <c r="H6899" s="5" t="s">
        <v>21</v>
      </c>
      <c r="I6899" s="5" t="s">
        <v>15772</v>
      </c>
      <c r="J6899" s="12" t="str">
        <f>HYPERLINK("https://www.boe.es/gazeta/dias/1800/08/12/pdfs/GMD-1800-64.pdf#page=5","Abrir facsímil")</f>
        <v>Abrir facsímil</v>
      </c>
      <c r="K6899" s="15" t="s">
        <v>23</v>
      </c>
    </row>
    <row r="6900" spans="1:11" ht="42" customHeight="1">
      <c r="A6900" s="4" t="s">
        <v>15763</v>
      </c>
      <c r="B6900" s="5" t="s">
        <v>15763</v>
      </c>
      <c r="C6900" s="5" t="s">
        <v>84</v>
      </c>
      <c r="D6900" s="5" t="s">
        <v>85</v>
      </c>
      <c r="E6900" s="5" t="s">
        <v>283</v>
      </c>
      <c r="F6900" s="9">
        <v>68</v>
      </c>
      <c r="G6900" s="9">
        <v>761</v>
      </c>
      <c r="H6900" s="5" t="s">
        <v>21</v>
      </c>
      <c r="I6900" s="5" t="s">
        <v>15773</v>
      </c>
      <c r="J6900" s="12" t="str">
        <f>HYPERLINK("https://www.boe.es/gazeta/dias/1800/08/26/pdfs/GMD-1800-68.pdf#page=5","Abrir facsímil")</f>
        <v>Abrir facsímil</v>
      </c>
      <c r="K6900" s="15" t="s">
        <v>23</v>
      </c>
    </row>
    <row r="6901" spans="1:11" ht="42" customHeight="1">
      <c r="A6901" s="4" t="s">
        <v>15763</v>
      </c>
      <c r="B6901" s="5" t="s">
        <v>15763</v>
      </c>
      <c r="C6901" s="5" t="s">
        <v>41</v>
      </c>
      <c r="D6901" s="5" t="s">
        <v>42</v>
      </c>
      <c r="E6901" s="5" t="s">
        <v>572</v>
      </c>
      <c r="F6901" s="9">
        <v>76</v>
      </c>
      <c r="G6901" s="9">
        <v>864</v>
      </c>
      <c r="H6901" s="5" t="s">
        <v>21</v>
      </c>
      <c r="I6901" s="5" t="s">
        <v>15774</v>
      </c>
      <c r="J6901" s="12" t="str">
        <f>HYPERLINK("https://www.boe.es/gazeta/dias/1800/09/19/pdfs/GMD-1800-76.pdf#page=6","Abrir facsímil")</f>
        <v>Abrir facsímil</v>
      </c>
      <c r="K6901" s="15" t="s">
        <v>23</v>
      </c>
    </row>
    <row r="6902" spans="1:11" ht="42" customHeight="1">
      <c r="A6902" s="4" t="s">
        <v>15763</v>
      </c>
      <c r="B6902" s="5" t="s">
        <v>15763</v>
      </c>
      <c r="C6902" s="5" t="s">
        <v>18</v>
      </c>
      <c r="D6902" s="5" t="s">
        <v>19</v>
      </c>
      <c r="E6902" s="5" t="s">
        <v>176</v>
      </c>
      <c r="F6902" s="9">
        <v>88</v>
      </c>
      <c r="G6902" s="9">
        <v>1024</v>
      </c>
      <c r="H6902" s="5" t="s">
        <v>21</v>
      </c>
      <c r="I6902" s="5" t="s">
        <v>15775</v>
      </c>
      <c r="J6902" s="12" t="str">
        <f>HYPERLINK("https://www.boe.es/gazeta/dias/1800/10/31/pdfs/GMD-1800-88.pdf#page=6","Abrir facsímil")</f>
        <v>Abrir facsímil</v>
      </c>
      <c r="K6902" s="15" t="s">
        <v>23</v>
      </c>
    </row>
    <row r="6903" spans="1:11" ht="42" customHeight="1">
      <c r="A6903" s="4" t="s">
        <v>15763</v>
      </c>
      <c r="B6903" s="5" t="s">
        <v>15763</v>
      </c>
      <c r="C6903" s="5" t="s">
        <v>41</v>
      </c>
      <c r="D6903" s="5" t="s">
        <v>42</v>
      </c>
      <c r="E6903" s="5" t="s">
        <v>56</v>
      </c>
      <c r="F6903" s="9">
        <v>90</v>
      </c>
      <c r="G6903" s="9">
        <v>1053</v>
      </c>
      <c r="H6903" s="5" t="s">
        <v>21</v>
      </c>
      <c r="I6903" s="5" t="s">
        <v>15776</v>
      </c>
      <c r="J6903" s="12" t="str">
        <f>HYPERLINK("https://www.boe.es/gazeta/dias/1800/11/07/pdfs/GMD-1800-90.pdf#page=7","Abrir facsímil")</f>
        <v>Abrir facsímil</v>
      </c>
      <c r="K6903" s="15" t="s">
        <v>23</v>
      </c>
    </row>
    <row r="6904" spans="1:11" ht="42" customHeight="1">
      <c r="A6904" s="4" t="s">
        <v>15763</v>
      </c>
      <c r="B6904" s="5" t="s">
        <v>15763</v>
      </c>
      <c r="C6904" s="5" t="s">
        <v>41</v>
      </c>
      <c r="D6904" s="5" t="s">
        <v>42</v>
      </c>
      <c r="E6904" s="5" t="s">
        <v>20</v>
      </c>
      <c r="F6904" s="9">
        <v>104</v>
      </c>
      <c r="G6904" s="9">
        <v>1205</v>
      </c>
      <c r="H6904" s="5" t="s">
        <v>21</v>
      </c>
      <c r="I6904" s="5" t="s">
        <v>15777</v>
      </c>
      <c r="J6904" s="12" t="str">
        <f>HYPERLINK("https://www.boe.es/gazeta/dias/1800/12/26/pdfs/GMD-1800-104.pdf#page=5","Abrir facsímil")</f>
        <v>Abrir facsímil</v>
      </c>
      <c r="K6904" s="15" t="s">
        <v>23</v>
      </c>
    </row>
    <row r="6905" spans="1:11" ht="42" customHeight="1">
      <c r="A6905" s="4" t="s">
        <v>15778</v>
      </c>
      <c r="B6905" s="5" t="s">
        <v>15778</v>
      </c>
      <c r="C6905" s="5" t="s">
        <v>41</v>
      </c>
      <c r="D6905" s="5" t="s">
        <v>42</v>
      </c>
      <c r="E6905" s="5" t="s">
        <v>1213</v>
      </c>
      <c r="F6905" s="9">
        <v>4</v>
      </c>
      <c r="G6905" s="9">
        <v>32</v>
      </c>
      <c r="H6905" s="5" t="s">
        <v>21</v>
      </c>
      <c r="I6905" s="5" t="s">
        <v>15779</v>
      </c>
      <c r="J6905" s="12" t="str">
        <f>HYPERLINK("https://www.boe.es/gazeta/dias/1800/01/14/pdfs/GMD-1800-4.pdf#page=4","Abrir facsímil")</f>
        <v>Abrir facsímil</v>
      </c>
      <c r="K6905" s="15" t="s">
        <v>23</v>
      </c>
    </row>
    <row r="6906" spans="1:11" ht="42" customHeight="1">
      <c r="A6906" s="4" t="s">
        <v>15780</v>
      </c>
      <c r="B6906" s="5" t="s">
        <v>15780</v>
      </c>
      <c r="C6906" s="5" t="s">
        <v>41</v>
      </c>
      <c r="D6906" s="5" t="s">
        <v>42</v>
      </c>
      <c r="E6906" s="5" t="s">
        <v>162</v>
      </c>
      <c r="F6906" s="9">
        <v>15</v>
      </c>
      <c r="G6906" s="9">
        <v>137</v>
      </c>
      <c r="H6906" s="5" t="s">
        <v>21</v>
      </c>
      <c r="I6906" s="5" t="s">
        <v>15781</v>
      </c>
      <c r="J6906" s="12" t="str">
        <f>HYPERLINK("https://www.boe.es/gazeta/dias/1800/02/21/pdfs/GMD-1800-15.pdf#page=1","Abrir facsímil")</f>
        <v>Abrir facsímil</v>
      </c>
      <c r="K6906" s="15" t="s">
        <v>23</v>
      </c>
    </row>
    <row r="6907" spans="1:11" ht="42" customHeight="1">
      <c r="A6907" s="4" t="s">
        <v>15782</v>
      </c>
      <c r="B6907" s="5" t="s">
        <v>15782</v>
      </c>
      <c r="C6907" s="5" t="s">
        <v>54</v>
      </c>
      <c r="D6907" s="5" t="s">
        <v>55</v>
      </c>
      <c r="E6907" s="5" t="s">
        <v>218</v>
      </c>
      <c r="F6907" s="9">
        <v>5</v>
      </c>
      <c r="G6907" s="9">
        <v>44</v>
      </c>
      <c r="H6907" s="5" t="s">
        <v>21</v>
      </c>
      <c r="I6907" s="5" t="s">
        <v>15783</v>
      </c>
      <c r="J6907" s="12" t="str">
        <f>HYPERLINK("https://www.boe.es/gazeta/dias/1800/01/17/pdfs/GMD-1800-5.pdf#page=4","Abrir facsímil")</f>
        <v>Abrir facsímil</v>
      </c>
      <c r="K6907" s="15" t="s">
        <v>23</v>
      </c>
    </row>
    <row r="6908" spans="1:11" ht="42" customHeight="1">
      <c r="A6908" s="4" t="s">
        <v>15784</v>
      </c>
      <c r="B6908" s="5" t="s">
        <v>15784</v>
      </c>
      <c r="C6908" s="5" t="s">
        <v>41</v>
      </c>
      <c r="D6908" s="5" t="s">
        <v>42</v>
      </c>
      <c r="E6908" s="5" t="s">
        <v>491</v>
      </c>
      <c r="F6908" s="9">
        <v>29</v>
      </c>
      <c r="G6908" s="9">
        <v>294</v>
      </c>
      <c r="H6908" s="5" t="s">
        <v>21</v>
      </c>
      <c r="I6908" s="5" t="s">
        <v>15785</v>
      </c>
      <c r="J6908" s="12" t="str">
        <f>HYPERLINK("https://www.boe.es/gazeta/dias/1800/04/11/pdfs/GMD-1800-29.pdf#page=2","Abrir facsímil")</f>
        <v>Abrir facsímil</v>
      </c>
      <c r="K6908" s="15" t="s">
        <v>23</v>
      </c>
    </row>
    <row r="6909" spans="1:11" ht="42" customHeight="1">
      <c r="A6909" s="4" t="s">
        <v>15782</v>
      </c>
      <c r="B6909" s="5" t="s">
        <v>15782</v>
      </c>
      <c r="C6909" s="5" t="s">
        <v>18</v>
      </c>
      <c r="D6909" s="5" t="s">
        <v>19</v>
      </c>
      <c r="E6909" s="5" t="s">
        <v>248</v>
      </c>
      <c r="F6909" s="9">
        <v>33</v>
      </c>
      <c r="G6909" s="9">
        <v>328</v>
      </c>
      <c r="H6909" s="5" t="s">
        <v>21</v>
      </c>
      <c r="I6909" s="5" t="s">
        <v>15786</v>
      </c>
      <c r="J6909" s="12" t="str">
        <f>HYPERLINK("https://www.boe.es/gazeta/dias/1800/04/25/pdfs/GMD-1800-33.pdf#page=4","Abrir facsímil")</f>
        <v>Abrir facsímil</v>
      </c>
      <c r="K6909" s="15" t="s">
        <v>23</v>
      </c>
    </row>
    <row r="6910" spans="1:11" ht="42" customHeight="1">
      <c r="A6910" s="4" t="s">
        <v>15782</v>
      </c>
      <c r="B6910" s="5" t="s">
        <v>15782</v>
      </c>
      <c r="C6910" s="5" t="s">
        <v>18</v>
      </c>
      <c r="D6910" s="5" t="s">
        <v>19</v>
      </c>
      <c r="E6910" s="5" t="s">
        <v>1231</v>
      </c>
      <c r="F6910" s="9">
        <v>36</v>
      </c>
      <c r="G6910" s="9">
        <v>361</v>
      </c>
      <c r="H6910" s="5" t="s">
        <v>21</v>
      </c>
      <c r="I6910" s="5" t="s">
        <v>15787</v>
      </c>
      <c r="J6910" s="12" t="str">
        <f>HYPERLINK("https://www.boe.es/gazeta/dias/1800/05/06/pdfs/GMD-1800-36.pdf#page=5","Abrir facsímil")</f>
        <v>Abrir facsímil</v>
      </c>
      <c r="K6910" s="15" t="s">
        <v>23</v>
      </c>
    </row>
    <row r="6911" spans="1:11" ht="42" customHeight="1">
      <c r="A6911" s="4" t="s">
        <v>15782</v>
      </c>
      <c r="B6911" s="5" t="s">
        <v>15782</v>
      </c>
      <c r="C6911" s="5" t="s">
        <v>18</v>
      </c>
      <c r="D6911" s="5" t="s">
        <v>19</v>
      </c>
      <c r="E6911" s="5" t="s">
        <v>1231</v>
      </c>
      <c r="F6911" s="9">
        <v>36</v>
      </c>
      <c r="G6911" s="9">
        <v>362</v>
      </c>
      <c r="H6911" s="5" t="s">
        <v>21</v>
      </c>
      <c r="I6911" s="5" t="s">
        <v>15788</v>
      </c>
      <c r="J6911" s="12" t="str">
        <f>HYPERLINK("https://www.boe.es/gazeta/dias/1800/05/06/pdfs/GMD-1800-36.pdf#page=6","Abrir facsímil")</f>
        <v>Abrir facsímil</v>
      </c>
      <c r="K6911" s="15" t="s">
        <v>23</v>
      </c>
    </row>
    <row r="6912" spans="1:11" ht="42" customHeight="1">
      <c r="A6912" s="4" t="s">
        <v>15782</v>
      </c>
      <c r="B6912" s="5" t="s">
        <v>15782</v>
      </c>
      <c r="C6912" s="5" t="s">
        <v>41</v>
      </c>
      <c r="D6912" s="5" t="s">
        <v>42</v>
      </c>
      <c r="E6912" s="5" t="s">
        <v>262</v>
      </c>
      <c r="F6912" s="9">
        <v>39</v>
      </c>
      <c r="G6912" s="9">
        <v>396</v>
      </c>
      <c r="H6912" s="5" t="s">
        <v>21</v>
      </c>
      <c r="I6912" s="5" t="s">
        <v>15789</v>
      </c>
      <c r="J6912" s="12" t="str">
        <f>HYPERLINK("https://www.boe.es/gazeta/dias/1800/05/16/pdfs/GMD-1800-39.pdf#page=4","Abrir facsímil")</f>
        <v>Abrir facsímil</v>
      </c>
      <c r="K6912" s="15" t="s">
        <v>23</v>
      </c>
    </row>
    <row r="6913" spans="1:11" ht="42" customHeight="1">
      <c r="A6913" s="4" t="s">
        <v>15782</v>
      </c>
      <c r="B6913" s="5" t="s">
        <v>15782</v>
      </c>
      <c r="C6913" s="5" t="s">
        <v>18</v>
      </c>
      <c r="D6913" s="5" t="s">
        <v>19</v>
      </c>
      <c r="E6913" s="5" t="s">
        <v>2338</v>
      </c>
      <c r="F6913" s="9">
        <v>42</v>
      </c>
      <c r="G6913" s="9">
        <v>431</v>
      </c>
      <c r="H6913" s="5" t="s">
        <v>21</v>
      </c>
      <c r="I6913" s="5" t="s">
        <v>15790</v>
      </c>
      <c r="J6913" s="12" t="str">
        <f>HYPERLINK("https://www.boe.es/gazeta/dias/1800/05/27/pdfs/GMD-1800-42.pdf#page=3","Abrir facsímil")</f>
        <v>Abrir facsímil</v>
      </c>
      <c r="K6913" s="15" t="s">
        <v>23</v>
      </c>
    </row>
    <row r="6914" spans="1:11" ht="42" customHeight="1">
      <c r="A6914" s="4" t="s">
        <v>15791</v>
      </c>
      <c r="B6914" s="5" t="s">
        <v>15792</v>
      </c>
      <c r="C6914" s="5" t="s">
        <v>41</v>
      </c>
      <c r="D6914" s="5" t="s">
        <v>42</v>
      </c>
      <c r="E6914" s="5" t="s">
        <v>196</v>
      </c>
      <c r="F6914" s="9">
        <v>97</v>
      </c>
      <c r="G6914" s="9">
        <v>1114</v>
      </c>
      <c r="H6914" s="5" t="s">
        <v>21</v>
      </c>
      <c r="I6914" s="5" t="s">
        <v>15793</v>
      </c>
      <c r="J6914" s="12" t="str">
        <f>HYPERLINK("https://www.boe.es/gazeta/dias/1800/12/02/pdfs/GMD-1800-97.pdf#page=6","Abrir facsímil")</f>
        <v>Abrir facsímil</v>
      </c>
      <c r="K6914" s="15" t="s">
        <v>23</v>
      </c>
    </row>
    <row r="6915" spans="1:11" ht="42" customHeight="1">
      <c r="A6915" s="4" t="s">
        <v>15794</v>
      </c>
      <c r="B6915" s="5" t="s">
        <v>15794</v>
      </c>
      <c r="C6915" s="5" t="s">
        <v>25</v>
      </c>
      <c r="D6915" s="5" t="s">
        <v>26</v>
      </c>
      <c r="E6915" s="5" t="s">
        <v>283</v>
      </c>
      <c r="F6915" s="9">
        <v>68</v>
      </c>
      <c r="G6915" s="9">
        <v>768</v>
      </c>
      <c r="H6915" s="5" t="s">
        <v>21</v>
      </c>
      <c r="I6915" s="5" t="s">
        <v>15795</v>
      </c>
      <c r="J6915" s="12" t="str">
        <f>HYPERLINK("https://www.boe.es/gazeta/dias/1800/08/26/pdfs/GMD-1800-68.pdf#page=12","Abrir facsímil")</f>
        <v>Abrir facsímil</v>
      </c>
      <c r="K6915" s="15" t="s">
        <v>23</v>
      </c>
    </row>
    <row r="6916" spans="1:11" ht="42" customHeight="1">
      <c r="A6916" s="4" t="s">
        <v>15796</v>
      </c>
      <c r="B6916" s="5" t="s">
        <v>15796</v>
      </c>
      <c r="C6916" s="5" t="s">
        <v>41</v>
      </c>
      <c r="D6916" s="5" t="s">
        <v>42</v>
      </c>
      <c r="E6916" s="5" t="s">
        <v>88</v>
      </c>
      <c r="F6916" s="9">
        <v>23</v>
      </c>
      <c r="G6916" s="9">
        <v>231</v>
      </c>
      <c r="H6916" s="5" t="s">
        <v>21</v>
      </c>
      <c r="I6916" s="5" t="s">
        <v>15797</v>
      </c>
      <c r="J6916" s="12" t="str">
        <f>HYPERLINK("https://www.boe.es/gazeta/dias/1800/03/21/pdfs/GMD-1800-23.pdf#page=7","Abrir facsímil")</f>
        <v>Abrir facsímil</v>
      </c>
      <c r="K6916" s="15" t="s">
        <v>23</v>
      </c>
    </row>
    <row r="6917" spans="1:11" ht="42" customHeight="1">
      <c r="A6917" s="4" t="s">
        <v>15798</v>
      </c>
      <c r="B6917" s="5" t="s">
        <v>15798</v>
      </c>
      <c r="C6917" s="5" t="s">
        <v>41</v>
      </c>
      <c r="D6917" s="5" t="s">
        <v>42</v>
      </c>
      <c r="E6917" s="5" t="s">
        <v>27</v>
      </c>
      <c r="F6917" s="9">
        <v>65</v>
      </c>
      <c r="G6917" s="9">
        <v>726</v>
      </c>
      <c r="H6917" s="5" t="s">
        <v>21</v>
      </c>
      <c r="I6917" s="5" t="s">
        <v>15799</v>
      </c>
      <c r="J6917" s="12" t="str">
        <f>HYPERLINK("https://www.boe.es/gazeta/dias/1800/08/15/pdfs/GMD-1800-65.pdf#page=2","Abrir facsímil")</f>
        <v>Abrir facsímil</v>
      </c>
      <c r="K6917" s="15" t="s">
        <v>23</v>
      </c>
    </row>
    <row r="6918" spans="1:11" ht="42" customHeight="1">
      <c r="A6918" s="4" t="s">
        <v>15800</v>
      </c>
      <c r="B6918" s="5" t="s">
        <v>15801</v>
      </c>
      <c r="C6918" s="5" t="s">
        <v>171</v>
      </c>
      <c r="D6918" s="5" t="s">
        <v>172</v>
      </c>
      <c r="E6918" s="5" t="s">
        <v>214</v>
      </c>
      <c r="F6918" s="9">
        <v>41</v>
      </c>
      <c r="G6918" s="9">
        <v>426</v>
      </c>
      <c r="H6918" s="5" t="s">
        <v>21</v>
      </c>
      <c r="I6918" s="5" t="s">
        <v>15802</v>
      </c>
      <c r="J6918" s="12" t="str">
        <f>HYPERLINK("https://www.boe.es/gazeta/dias/1800/05/23/pdfs/GMD-C-1800-41.pdf#page=2","Abrir facsímil")</f>
        <v>Abrir facsímil</v>
      </c>
      <c r="K6918" s="15" t="s">
        <v>23</v>
      </c>
    </row>
    <row r="6919" spans="1:11" ht="42" customHeight="1">
      <c r="A6919" s="4" t="s">
        <v>15803</v>
      </c>
      <c r="B6919" s="5" t="s">
        <v>15803</v>
      </c>
      <c r="C6919" s="5" t="s">
        <v>18</v>
      </c>
      <c r="D6919" s="5" t="s">
        <v>19</v>
      </c>
      <c r="E6919" s="5" t="s">
        <v>135</v>
      </c>
      <c r="F6919" s="9">
        <v>73</v>
      </c>
      <c r="G6919" s="9">
        <v>817</v>
      </c>
      <c r="H6919" s="5" t="s">
        <v>21</v>
      </c>
      <c r="I6919" s="5" t="s">
        <v>15804</v>
      </c>
      <c r="J6919" s="12" t="str">
        <f>HYPERLINK("https://www.boe.es/gazeta/dias/1800/09/09/pdfs/GMD-1800-73.pdf#page=11","Abrir facsímil")</f>
        <v>Abrir facsímil</v>
      </c>
      <c r="K6919" s="15" t="s">
        <v>23</v>
      </c>
    </row>
    <row r="6920" spans="1:11" ht="42" customHeight="1">
      <c r="A6920" s="4" t="s">
        <v>15805</v>
      </c>
      <c r="B6920" s="5" t="s">
        <v>15805</v>
      </c>
      <c r="C6920" s="5" t="s">
        <v>54</v>
      </c>
      <c r="D6920" s="5" t="s">
        <v>55</v>
      </c>
      <c r="E6920" s="5" t="s">
        <v>823</v>
      </c>
      <c r="F6920" s="9">
        <v>50</v>
      </c>
      <c r="G6920" s="9">
        <v>548</v>
      </c>
      <c r="H6920" s="5" t="s">
        <v>21</v>
      </c>
      <c r="I6920" s="5" t="s">
        <v>15806</v>
      </c>
      <c r="J6920" s="12" t="str">
        <f>HYPERLINK("https://www.boe.es/gazeta/dias/1800/06/24/pdfs/GMD-1800-50.pdf#page=12","Abrir facsímil")</f>
        <v>Abrir facsímil</v>
      </c>
      <c r="K6920" s="15" t="s">
        <v>23</v>
      </c>
    </row>
    <row r="6921" spans="1:11" ht="42" customHeight="1">
      <c r="A6921" s="4" t="s">
        <v>15807</v>
      </c>
      <c r="B6921" s="5" t="s">
        <v>15808</v>
      </c>
      <c r="C6921" s="5" t="s">
        <v>18</v>
      </c>
      <c r="D6921" s="5" t="s">
        <v>19</v>
      </c>
      <c r="E6921" s="5" t="s">
        <v>20</v>
      </c>
      <c r="F6921" s="9">
        <v>104</v>
      </c>
      <c r="G6921" s="9">
        <v>1210</v>
      </c>
      <c r="H6921" s="5" t="s">
        <v>21</v>
      </c>
      <c r="I6921" s="5" t="s">
        <v>15809</v>
      </c>
      <c r="J6921" s="12" t="str">
        <f>HYPERLINK("https://www.boe.es/gazeta/dias/1800/12/26/pdfs/GMD-1800-104.pdf#page=10","Abrir facsímil")</f>
        <v>Abrir facsímil</v>
      </c>
      <c r="K6921" s="15" t="s">
        <v>23</v>
      </c>
    </row>
    <row r="6922" spans="1:11" ht="42" customHeight="1">
      <c r="A6922" s="4" t="s">
        <v>15810</v>
      </c>
      <c r="B6922" s="5" t="s">
        <v>15810</v>
      </c>
      <c r="C6922" s="5" t="s">
        <v>207</v>
      </c>
      <c r="D6922" s="5" t="s">
        <v>55</v>
      </c>
      <c r="E6922" s="5" t="s">
        <v>184</v>
      </c>
      <c r="F6922" s="9">
        <v>82</v>
      </c>
      <c r="G6922" s="9">
        <v>949</v>
      </c>
      <c r="H6922" s="5" t="s">
        <v>21</v>
      </c>
      <c r="I6922" s="5" t="s">
        <v>15811</v>
      </c>
      <c r="J6922" s="12" t="str">
        <f>HYPERLINK("https://www.boe.es/gazeta/dias/1800/10/10/pdfs/GMD-1800-82.pdf#page=7","Abrir facsímil")</f>
        <v>Abrir facsímil</v>
      </c>
      <c r="K6922" s="15" t="s">
        <v>23</v>
      </c>
    </row>
    <row r="6923" spans="1:11" ht="42" customHeight="1">
      <c r="A6923" s="4" t="s">
        <v>15812</v>
      </c>
      <c r="B6923" s="5" t="s">
        <v>15812</v>
      </c>
      <c r="C6923" s="5" t="s">
        <v>25</v>
      </c>
      <c r="D6923" s="5" t="s">
        <v>26</v>
      </c>
      <c r="E6923" s="5" t="s">
        <v>420</v>
      </c>
      <c r="F6923" s="9">
        <v>38</v>
      </c>
      <c r="G6923" s="9">
        <v>391</v>
      </c>
      <c r="H6923" s="5" t="s">
        <v>21</v>
      </c>
      <c r="I6923" s="5" t="s">
        <v>15813</v>
      </c>
      <c r="J6923" s="12" t="str">
        <f>HYPERLINK("https://www.boe.es/gazeta/dias/1800/05/13/pdfs/GMD-1800-38.pdf#page=11","Abrir facsímil")</f>
        <v>Abrir facsímil</v>
      </c>
      <c r="K6923" s="15" t="s">
        <v>23</v>
      </c>
    </row>
    <row r="6924" spans="1:11" ht="42" customHeight="1">
      <c r="A6924" s="4" t="s">
        <v>15814</v>
      </c>
      <c r="B6924" s="5" t="s">
        <v>15815</v>
      </c>
      <c r="C6924" s="5" t="s">
        <v>18</v>
      </c>
      <c r="D6924" s="5" t="s">
        <v>19</v>
      </c>
      <c r="E6924" s="5" t="s">
        <v>139</v>
      </c>
      <c r="F6924" s="9">
        <v>2</v>
      </c>
      <c r="G6924" s="9">
        <v>18</v>
      </c>
      <c r="H6924" s="5" t="s">
        <v>21</v>
      </c>
      <c r="I6924" s="5" t="s">
        <v>15816</v>
      </c>
      <c r="J6924" s="12" t="str">
        <f>HYPERLINK("https://www.boe.es/gazeta/dias/1800/01/07/pdfs/GMD-1800-2.pdf#page=10","Abrir facsímil")</f>
        <v>Abrir facsímil</v>
      </c>
      <c r="K6924" s="15" t="s">
        <v>23</v>
      </c>
    </row>
    <row r="6925" spans="1:11" ht="42" customHeight="1">
      <c r="A6925" s="4" t="s">
        <v>15817</v>
      </c>
      <c r="B6925" s="5" t="s">
        <v>15818</v>
      </c>
      <c r="C6925" s="5" t="s">
        <v>41</v>
      </c>
      <c r="D6925" s="5" t="s">
        <v>42</v>
      </c>
      <c r="E6925" s="5" t="s">
        <v>50</v>
      </c>
      <c r="F6925" s="9">
        <v>81</v>
      </c>
      <c r="G6925" s="9">
        <v>913</v>
      </c>
      <c r="H6925" s="5" t="s">
        <v>21</v>
      </c>
      <c r="I6925" s="5" t="s">
        <v>15819</v>
      </c>
      <c r="J6925" s="12" t="str">
        <f>HYPERLINK("https://www.boe.es/gazeta/dias/1800/10/07/pdfs/GMD-1800-81.pdf#page=3","Abrir facsímil")</f>
        <v>Abrir facsímil</v>
      </c>
      <c r="K6925" s="15" t="s">
        <v>23</v>
      </c>
    </row>
    <row r="6926" spans="1:11" ht="42" customHeight="1">
      <c r="A6926" s="4" t="s">
        <v>15820</v>
      </c>
      <c r="B6926" s="5" t="s">
        <v>15821</v>
      </c>
      <c r="C6926" s="5" t="s">
        <v>18</v>
      </c>
      <c r="D6926" s="5" t="s">
        <v>19</v>
      </c>
      <c r="E6926" s="5" t="s">
        <v>60</v>
      </c>
      <c r="F6926" s="9">
        <v>105</v>
      </c>
      <c r="G6926" s="9">
        <v>1218</v>
      </c>
      <c r="H6926" s="5" t="s">
        <v>21</v>
      </c>
      <c r="I6926" s="5" t="s">
        <v>15822</v>
      </c>
      <c r="J6926" s="12" t="str">
        <f>HYPERLINK("https://www.boe.es/gazeta/dias/1800/12/30/pdfs/GMD-1800-105.pdf#page=2","Abrir facsímil")</f>
        <v>Abrir facsímil</v>
      </c>
      <c r="K6926" s="15" t="s">
        <v>23</v>
      </c>
    </row>
    <row r="6927" spans="1:11" ht="42" customHeight="1">
      <c r="A6927" s="4" t="s">
        <v>15823</v>
      </c>
      <c r="B6927" s="5" t="s">
        <v>15824</v>
      </c>
      <c r="C6927" s="5" t="s">
        <v>18</v>
      </c>
      <c r="D6927" s="5" t="s">
        <v>19</v>
      </c>
      <c r="E6927" s="5" t="s">
        <v>422</v>
      </c>
      <c r="F6927" s="9">
        <v>85</v>
      </c>
      <c r="G6927" s="9">
        <v>980</v>
      </c>
      <c r="H6927" s="5" t="s">
        <v>21</v>
      </c>
      <c r="I6927" s="5" t="s">
        <v>15825</v>
      </c>
      <c r="J6927" s="12" t="str">
        <f>HYPERLINK("https://www.boe.es/gazeta/dias/1800/10/21/pdfs/GMD-1800-85.pdf#page=2","Abrir facsímil")</f>
        <v>Abrir facsímil</v>
      </c>
      <c r="K6927" s="15" t="s">
        <v>23</v>
      </c>
    </row>
    <row r="6928" spans="1:11" ht="42" customHeight="1">
      <c r="A6928" s="4" t="s">
        <v>15826</v>
      </c>
      <c r="B6928" s="5" t="s">
        <v>15827</v>
      </c>
      <c r="C6928" s="5" t="s">
        <v>41</v>
      </c>
      <c r="D6928" s="5" t="s">
        <v>42</v>
      </c>
      <c r="E6928" s="5" t="s">
        <v>176</v>
      </c>
      <c r="F6928" s="9">
        <v>88</v>
      </c>
      <c r="G6928" s="9">
        <v>1023</v>
      </c>
      <c r="H6928" s="5" t="s">
        <v>21</v>
      </c>
      <c r="I6928" s="5" t="s">
        <v>15828</v>
      </c>
      <c r="J6928" s="12" t="str">
        <f>HYPERLINK("https://www.boe.es/gazeta/dias/1800/10/31/pdfs/GMD-1800-88.pdf#page=5","Abrir facsímil")</f>
        <v>Abrir facsímil</v>
      </c>
      <c r="K6928" s="15" t="s">
        <v>23</v>
      </c>
    </row>
    <row r="6929" spans="1:11" ht="42" customHeight="1">
      <c r="A6929" s="4" t="s">
        <v>15829</v>
      </c>
      <c r="B6929" s="5" t="s">
        <v>15830</v>
      </c>
      <c r="C6929" s="5" t="s">
        <v>41</v>
      </c>
      <c r="D6929" s="5" t="s">
        <v>42</v>
      </c>
      <c r="E6929" s="5" t="s">
        <v>346</v>
      </c>
      <c r="F6929" s="9">
        <v>24</v>
      </c>
      <c r="G6929" s="9">
        <v>239</v>
      </c>
      <c r="H6929" s="5" t="s">
        <v>21</v>
      </c>
      <c r="I6929" s="5" t="s">
        <v>15831</v>
      </c>
      <c r="J6929" s="12" t="str">
        <f>HYPERLINK("https://www.boe.es/gazeta/dias/1800/03/25/pdfs/GMD-1800-24.pdf#page=3","Abrir facsímil")</f>
        <v>Abrir facsímil</v>
      </c>
      <c r="K6929" s="15" t="s">
        <v>23</v>
      </c>
    </row>
    <row r="6930" spans="1:11" ht="42" customHeight="1">
      <c r="A6930" s="4" t="s">
        <v>15832</v>
      </c>
      <c r="B6930" s="5" t="s">
        <v>15833</v>
      </c>
      <c r="C6930" s="5" t="s">
        <v>18</v>
      </c>
      <c r="D6930" s="5" t="s">
        <v>19</v>
      </c>
      <c r="E6930" s="5" t="s">
        <v>422</v>
      </c>
      <c r="F6930" s="9">
        <v>85</v>
      </c>
      <c r="G6930" s="9">
        <v>982</v>
      </c>
      <c r="H6930" s="5" t="s">
        <v>21</v>
      </c>
      <c r="I6930" s="5" t="s">
        <v>15834</v>
      </c>
      <c r="J6930" s="12" t="str">
        <f>HYPERLINK("https://www.boe.es/gazeta/dias/1800/10/21/pdfs/GMD-1800-85.pdf#page=4","Abrir facsímil")</f>
        <v>Abrir facsímil</v>
      </c>
      <c r="K6930" s="15" t="s">
        <v>23</v>
      </c>
    </row>
    <row r="6931" spans="1:11" ht="42" customHeight="1">
      <c r="A6931" s="4" t="s">
        <v>15835</v>
      </c>
      <c r="B6931" s="5" t="s">
        <v>15835</v>
      </c>
      <c r="C6931" s="5" t="s">
        <v>41</v>
      </c>
      <c r="D6931" s="5" t="s">
        <v>42</v>
      </c>
      <c r="E6931" s="5" t="s">
        <v>279</v>
      </c>
      <c r="F6931" s="9">
        <v>103</v>
      </c>
      <c r="G6931" s="9">
        <v>1190</v>
      </c>
      <c r="H6931" s="5" t="s">
        <v>21</v>
      </c>
      <c r="I6931" s="5" t="s">
        <v>9849</v>
      </c>
      <c r="J6931" s="12" t="str">
        <f>HYPERLINK("https://www.boe.es/gazeta/dias/1800/12/23/pdfs/GMD-1800-103.pdf#page=2","Abrir facsímil")</f>
        <v>Abrir facsímil</v>
      </c>
      <c r="K6931" s="15" t="s">
        <v>23</v>
      </c>
    </row>
    <row r="6932" spans="1:11" ht="42" customHeight="1">
      <c r="A6932" s="4" t="s">
        <v>15836</v>
      </c>
      <c r="B6932" s="5" t="s">
        <v>15837</v>
      </c>
      <c r="C6932" s="5" t="s">
        <v>171</v>
      </c>
      <c r="D6932" s="5" t="s">
        <v>172</v>
      </c>
      <c r="E6932" s="5" t="s">
        <v>116</v>
      </c>
      <c r="F6932" s="9">
        <v>86</v>
      </c>
      <c r="G6932" s="9">
        <v>999</v>
      </c>
      <c r="H6932" s="5" t="s">
        <v>21</v>
      </c>
      <c r="I6932" s="5" t="s">
        <v>15838</v>
      </c>
      <c r="J6932" s="12" t="str">
        <f>HYPERLINK("https://www.boe.es/gazeta/dias/1800/10/24/pdfs/GMD-C-1800-86.pdf#page=1","Abrir facsímil")</f>
        <v>Abrir facsímil</v>
      </c>
      <c r="K6932" s="15" t="s">
        <v>23</v>
      </c>
    </row>
    <row r="6933" spans="1:11" ht="42" customHeight="1">
      <c r="A6933" s="4" t="s">
        <v>15839</v>
      </c>
      <c r="B6933" s="5" t="s">
        <v>15839</v>
      </c>
      <c r="C6933" s="5" t="s">
        <v>41</v>
      </c>
      <c r="D6933" s="5" t="s">
        <v>42</v>
      </c>
      <c r="E6933" s="5" t="s">
        <v>620</v>
      </c>
      <c r="F6933" s="9">
        <v>19</v>
      </c>
      <c r="G6933" s="9">
        <v>178</v>
      </c>
      <c r="H6933" s="5" t="s">
        <v>21</v>
      </c>
      <c r="I6933" s="5" t="s">
        <v>15840</v>
      </c>
      <c r="J6933" s="12" t="str">
        <f>HYPERLINK("https://www.boe.es/gazeta/dias/1800/03/07/pdfs/GMD-1800-19.pdf#page=2","Abrir facsímil")</f>
        <v>Abrir facsímil</v>
      </c>
      <c r="K6933" s="15" t="s">
        <v>23</v>
      </c>
    </row>
    <row r="6934" spans="1:11" ht="42" customHeight="1">
      <c r="A6934" s="4" t="s">
        <v>15841</v>
      </c>
      <c r="B6934" s="5" t="s">
        <v>15842</v>
      </c>
      <c r="C6934" s="5" t="s">
        <v>18</v>
      </c>
      <c r="D6934" s="5" t="s">
        <v>19</v>
      </c>
      <c r="E6934" s="5" t="s">
        <v>139</v>
      </c>
      <c r="F6934" s="9">
        <v>2</v>
      </c>
      <c r="G6934" s="9">
        <v>18</v>
      </c>
      <c r="H6934" s="5" t="s">
        <v>21</v>
      </c>
      <c r="I6934" s="5" t="s">
        <v>15843</v>
      </c>
      <c r="J6934" s="12" t="str">
        <f>HYPERLINK("https://www.boe.es/gazeta/dias/1800/01/07/pdfs/GMD-1800-2.pdf#page=10","Abrir facsímil")</f>
        <v>Abrir facsímil</v>
      </c>
      <c r="K6934" s="15" t="s">
        <v>23</v>
      </c>
    </row>
    <row r="6935" spans="1:11" ht="42" customHeight="1">
      <c r="A6935" s="4" t="s">
        <v>15844</v>
      </c>
      <c r="B6935" s="5" t="s">
        <v>15844</v>
      </c>
      <c r="C6935" s="5" t="s">
        <v>41</v>
      </c>
      <c r="D6935" s="5" t="s">
        <v>42</v>
      </c>
      <c r="E6935" s="5" t="s">
        <v>478</v>
      </c>
      <c r="F6935" s="9">
        <v>34</v>
      </c>
      <c r="G6935" s="9">
        <v>342</v>
      </c>
      <c r="H6935" s="5" t="s">
        <v>21</v>
      </c>
      <c r="I6935" s="5" t="s">
        <v>15845</v>
      </c>
      <c r="J6935" s="12" t="str">
        <f>HYPERLINK("https://www.boe.es/gazeta/dias/1800/04/29/pdfs/GMD-1800-34.pdf#page=6","Abrir facsímil")</f>
        <v>Abrir facsímil</v>
      </c>
      <c r="K6935" s="15" t="s">
        <v>23</v>
      </c>
    </row>
    <row r="6936" spans="1:11" ht="42" customHeight="1">
      <c r="A6936" s="4" t="s">
        <v>15846</v>
      </c>
      <c r="B6936" s="5" t="s">
        <v>15847</v>
      </c>
      <c r="C6936" s="5" t="s">
        <v>25</v>
      </c>
      <c r="D6936" s="5" t="s">
        <v>26</v>
      </c>
      <c r="E6936" s="5" t="s">
        <v>319</v>
      </c>
      <c r="F6936" s="9">
        <v>62</v>
      </c>
      <c r="G6936" s="9">
        <v>708</v>
      </c>
      <c r="H6936" s="5" t="s">
        <v>21</v>
      </c>
      <c r="I6936" s="5" t="s">
        <v>15848</v>
      </c>
      <c r="J6936" s="12" t="str">
        <f>HYPERLINK("https://www.boe.es/gazeta/dias/1800/08/05/pdfs/GMD-1800-62.pdf#page=8","Abrir facsímil")</f>
        <v>Abrir facsímil</v>
      </c>
      <c r="K6936" s="15" t="s">
        <v>23</v>
      </c>
    </row>
    <row r="6937" spans="1:11" ht="42" customHeight="1">
      <c r="A6937" s="4" t="s">
        <v>15846</v>
      </c>
      <c r="B6937" s="5" t="s">
        <v>15847</v>
      </c>
      <c r="C6937" s="5" t="s">
        <v>25</v>
      </c>
      <c r="D6937" s="5" t="s">
        <v>26</v>
      </c>
      <c r="E6937" s="5" t="s">
        <v>583</v>
      </c>
      <c r="F6937" s="9">
        <v>77</v>
      </c>
      <c r="G6937" s="9">
        <v>879</v>
      </c>
      <c r="H6937" s="5" t="s">
        <v>21</v>
      </c>
      <c r="I6937" s="5" t="s">
        <v>15849</v>
      </c>
      <c r="J6937" s="12" t="str">
        <f>HYPERLINK("https://www.boe.es/gazeta/dias/1800/09/23/pdfs/GMD-1800-77.pdf#page=9","Abrir facsímil")</f>
        <v>Abrir facsímil</v>
      </c>
      <c r="K6937" s="15" t="s">
        <v>23</v>
      </c>
    </row>
    <row r="6938" spans="1:11" ht="42" customHeight="1">
      <c r="A6938" s="4" t="s">
        <v>15850</v>
      </c>
      <c r="B6938" s="5" t="s">
        <v>15850</v>
      </c>
      <c r="C6938" s="5" t="s">
        <v>114</v>
      </c>
      <c r="D6938" s="5" t="s">
        <v>115</v>
      </c>
      <c r="E6938" s="5" t="s">
        <v>116</v>
      </c>
      <c r="F6938" s="9">
        <v>86</v>
      </c>
      <c r="G6938" s="9" t="s">
        <v>117</v>
      </c>
      <c r="H6938" s="5" t="s">
        <v>21</v>
      </c>
      <c r="I6938" s="5" t="s">
        <v>15851</v>
      </c>
      <c r="J6938" s="12" t="str">
        <f>HYPERLINK("https://www.boe.es/gazeta/dias/1800/10/24/pdfs/GMD-D-1800-86.pdf#page=3","Abrir facsímil")</f>
        <v>Abrir facsímil</v>
      </c>
      <c r="K6938" s="15" t="s">
        <v>23</v>
      </c>
    </row>
    <row r="6939" spans="1:11" ht="42" customHeight="1">
      <c r="A6939" s="4" t="s">
        <v>15852</v>
      </c>
      <c r="B6939" s="5" t="s">
        <v>15853</v>
      </c>
      <c r="C6939" s="5" t="s">
        <v>25</v>
      </c>
      <c r="D6939" s="5" t="s">
        <v>26</v>
      </c>
      <c r="E6939" s="5" t="s">
        <v>545</v>
      </c>
      <c r="F6939" s="9">
        <v>14</v>
      </c>
      <c r="G6939" s="9">
        <v>134</v>
      </c>
      <c r="H6939" s="5" t="s">
        <v>21</v>
      </c>
      <c r="I6939" s="5" t="s">
        <v>15854</v>
      </c>
      <c r="J6939" s="12" t="str">
        <f>HYPERLINK("https://www.boe.es/gazeta/dias/1800/02/18/pdfs/GMD-1800-14.pdf#page=6","Abrir facsímil")</f>
        <v>Abrir facsímil</v>
      </c>
      <c r="K6939" s="15" t="s">
        <v>23</v>
      </c>
    </row>
    <row r="6940" spans="1:11" ht="42" customHeight="1">
      <c r="A6940" s="4" t="s">
        <v>15852</v>
      </c>
      <c r="B6940" s="5" t="s">
        <v>15853</v>
      </c>
      <c r="C6940" s="5" t="s">
        <v>54</v>
      </c>
      <c r="D6940" s="5" t="s">
        <v>55</v>
      </c>
      <c r="E6940" s="5" t="s">
        <v>545</v>
      </c>
      <c r="F6940" s="9">
        <v>14</v>
      </c>
      <c r="G6940" s="9">
        <v>135</v>
      </c>
      <c r="H6940" s="5" t="s">
        <v>21</v>
      </c>
      <c r="I6940" s="5" t="s">
        <v>15855</v>
      </c>
      <c r="J6940" s="12" t="str">
        <f>HYPERLINK("https://www.boe.es/gazeta/dias/1800/02/18/pdfs/GMD-1800-14.pdf#page=7","Abrir facsímil")</f>
        <v>Abrir facsímil</v>
      </c>
      <c r="K6940" s="15" t="s">
        <v>23</v>
      </c>
    </row>
    <row r="6941" spans="1:11" ht="42" customHeight="1">
      <c r="A6941" s="4" t="s">
        <v>15852</v>
      </c>
      <c r="B6941" s="5" t="s">
        <v>15853</v>
      </c>
      <c r="C6941" s="5" t="s">
        <v>25</v>
      </c>
      <c r="D6941" s="5" t="s">
        <v>26</v>
      </c>
      <c r="E6941" s="5" t="s">
        <v>124</v>
      </c>
      <c r="F6941" s="9">
        <v>16</v>
      </c>
      <c r="G6941" s="9">
        <v>151</v>
      </c>
      <c r="H6941" s="5" t="s">
        <v>21</v>
      </c>
      <c r="I6941" s="5" t="s">
        <v>15856</v>
      </c>
      <c r="J6941" s="12" t="str">
        <f>HYPERLINK("https://www.boe.es/gazeta/dias/1800/02/25/pdfs/GMD-1800-16.pdf#page=7","Abrir facsímil")</f>
        <v>Abrir facsímil</v>
      </c>
      <c r="K6941" s="15" t="s">
        <v>23</v>
      </c>
    </row>
    <row r="6942" spans="1:11" ht="42" customHeight="1">
      <c r="A6942" s="4" t="s">
        <v>15857</v>
      </c>
      <c r="B6942" s="5" t="s">
        <v>15858</v>
      </c>
      <c r="C6942" s="5" t="s">
        <v>41</v>
      </c>
      <c r="D6942" s="5" t="s">
        <v>42</v>
      </c>
      <c r="E6942" s="5" t="s">
        <v>530</v>
      </c>
      <c r="F6942" s="9">
        <v>55</v>
      </c>
      <c r="G6942" s="9">
        <v>620</v>
      </c>
      <c r="H6942" s="5" t="s">
        <v>21</v>
      </c>
      <c r="I6942" s="5" t="s">
        <v>15859</v>
      </c>
      <c r="J6942" s="12" t="str">
        <f>HYPERLINK("https://www.boe.es/gazeta/dias/1800/07/11/pdfs/GMD-1800-55.pdf#page=8","Abrir facsímil")</f>
        <v>Abrir facsímil</v>
      </c>
      <c r="K6942" s="15" t="s">
        <v>23</v>
      </c>
    </row>
    <row r="6943" spans="1:11" ht="42" customHeight="1">
      <c r="A6943" s="4" t="s">
        <v>15857</v>
      </c>
      <c r="B6943" s="5" t="s">
        <v>15858</v>
      </c>
      <c r="C6943" s="5" t="s">
        <v>41</v>
      </c>
      <c r="D6943" s="5" t="s">
        <v>42</v>
      </c>
      <c r="E6943" s="5" t="s">
        <v>310</v>
      </c>
      <c r="F6943" s="9">
        <v>56</v>
      </c>
      <c r="G6943" s="9">
        <v>628</v>
      </c>
      <c r="H6943" s="5" t="s">
        <v>21</v>
      </c>
      <c r="I6943" s="5" t="s">
        <v>15860</v>
      </c>
      <c r="J6943" s="12" t="str">
        <f>HYPERLINK("https://www.boe.es/gazeta/dias/1800/07/15/pdfs/GMD-1800-56.pdf#page=4","Abrir facsímil")</f>
        <v>Abrir facsímil</v>
      </c>
      <c r="K6943" s="15" t="s">
        <v>23</v>
      </c>
    </row>
    <row r="6944" spans="1:11" ht="42" customHeight="1">
      <c r="A6944" s="4" t="s">
        <v>15861</v>
      </c>
      <c r="B6944" s="5" t="s">
        <v>15862</v>
      </c>
      <c r="C6944" s="5" t="s">
        <v>18</v>
      </c>
      <c r="D6944" s="5" t="s">
        <v>19</v>
      </c>
      <c r="E6944" s="5" t="s">
        <v>27</v>
      </c>
      <c r="F6944" s="9">
        <v>65</v>
      </c>
      <c r="G6944" s="9">
        <v>731</v>
      </c>
      <c r="H6944" s="5" t="s">
        <v>21</v>
      </c>
      <c r="I6944" s="5" t="s">
        <v>15863</v>
      </c>
      <c r="J6944" s="12" t="str">
        <f>HYPERLINK("https://www.boe.es/gazeta/dias/1800/08/15/pdfs/GMD-1800-65.pdf#page=7","Abrir facsímil")</f>
        <v>Abrir facsímil</v>
      </c>
      <c r="K6944" s="15" t="s">
        <v>23</v>
      </c>
    </row>
    <row r="6945" spans="1:11" ht="42" customHeight="1">
      <c r="A6945" s="4" t="s">
        <v>15864</v>
      </c>
      <c r="B6945" s="5" t="s">
        <v>15864</v>
      </c>
      <c r="C6945" s="5" t="s">
        <v>41</v>
      </c>
      <c r="D6945" s="5" t="s">
        <v>42</v>
      </c>
      <c r="E6945" s="5" t="s">
        <v>56</v>
      </c>
      <c r="F6945" s="9">
        <v>90</v>
      </c>
      <c r="G6945" s="9">
        <v>1051</v>
      </c>
      <c r="H6945" s="5" t="s">
        <v>21</v>
      </c>
      <c r="I6945" s="5" t="s">
        <v>15865</v>
      </c>
      <c r="J6945" s="12" t="str">
        <f>HYPERLINK("https://www.boe.es/gazeta/dias/1800/11/07/pdfs/GMD-1800-90.pdf#page=5","Abrir facsímil")</f>
        <v>Abrir facsímil</v>
      </c>
      <c r="K6945" s="15" t="s">
        <v>23</v>
      </c>
    </row>
    <row r="6946" spans="1:11" ht="42" customHeight="1">
      <c r="A6946" s="4" t="s">
        <v>15866</v>
      </c>
      <c r="B6946" s="5" t="s">
        <v>15867</v>
      </c>
      <c r="C6946" s="5" t="s">
        <v>9860</v>
      </c>
      <c r="D6946" s="5" t="s">
        <v>55</v>
      </c>
      <c r="E6946" s="5" t="s">
        <v>139</v>
      </c>
      <c r="F6946" s="9">
        <v>2</v>
      </c>
      <c r="G6946" s="9">
        <v>20</v>
      </c>
      <c r="H6946" s="5" t="s">
        <v>4432</v>
      </c>
      <c r="I6946" s="5" t="s">
        <v>15868</v>
      </c>
      <c r="J6946" s="12" t="str">
        <f>HYPERLINK("https://www.boe.es/gazeta/dias/1800/01/07/pdfs/GMD-1800-2.pdf#page=12","Abrir facsímil")</f>
        <v>Abrir facsímil</v>
      </c>
      <c r="K6946" s="15" t="s">
        <v>4434</v>
      </c>
    </row>
    <row r="6947" spans="1:11" ht="42" customHeight="1">
      <c r="A6947" s="4" t="s">
        <v>15869</v>
      </c>
      <c r="B6947" s="5" t="s">
        <v>15869</v>
      </c>
      <c r="C6947" s="5" t="s">
        <v>41</v>
      </c>
      <c r="D6947" s="5" t="s">
        <v>42</v>
      </c>
      <c r="E6947" s="5" t="s">
        <v>88</v>
      </c>
      <c r="F6947" s="9">
        <v>23</v>
      </c>
      <c r="G6947" s="9">
        <v>229</v>
      </c>
      <c r="H6947" s="5" t="s">
        <v>21</v>
      </c>
      <c r="I6947" s="5" t="s">
        <v>15870</v>
      </c>
      <c r="J6947" s="12" t="str">
        <f>HYPERLINK("https://www.boe.es/gazeta/dias/1800/03/21/pdfs/GMD-1800-23.pdf#page=5","Abrir facsímil")</f>
        <v>Abrir facsímil</v>
      </c>
      <c r="K6947" s="15" t="s">
        <v>23</v>
      </c>
    </row>
    <row r="6948" spans="1:11" ht="42" customHeight="1">
      <c r="A6948" s="4" t="s">
        <v>15869</v>
      </c>
      <c r="B6948" s="5" t="s">
        <v>15869</v>
      </c>
      <c r="C6948" s="5" t="s">
        <v>41</v>
      </c>
      <c r="D6948" s="5" t="s">
        <v>42</v>
      </c>
      <c r="E6948" s="5" t="s">
        <v>240</v>
      </c>
      <c r="F6948" s="9">
        <v>26</v>
      </c>
      <c r="G6948" s="9">
        <v>261</v>
      </c>
      <c r="H6948" s="5" t="s">
        <v>21</v>
      </c>
      <c r="I6948" s="5" t="s">
        <v>15871</v>
      </c>
      <c r="J6948" s="12" t="str">
        <f>HYPERLINK("https://www.boe.es/gazeta/dias/1800/04/01/pdfs/GMD-1800-26.pdf#page=1","Abrir facsímil")</f>
        <v>Abrir facsímil</v>
      </c>
      <c r="K6948" s="15" t="s">
        <v>23</v>
      </c>
    </row>
    <row r="6949" spans="1:11" ht="42" customHeight="1">
      <c r="A6949" s="4" t="s">
        <v>15869</v>
      </c>
      <c r="B6949" s="5" t="s">
        <v>15869</v>
      </c>
      <c r="C6949" s="5" t="s">
        <v>41</v>
      </c>
      <c r="D6949" s="5" t="s">
        <v>42</v>
      </c>
      <c r="E6949" s="5" t="s">
        <v>45</v>
      </c>
      <c r="F6949" s="9">
        <v>47</v>
      </c>
      <c r="G6949" s="9">
        <v>497</v>
      </c>
      <c r="H6949" s="5" t="s">
        <v>21</v>
      </c>
      <c r="I6949" s="5" t="s">
        <v>15872</v>
      </c>
      <c r="J6949" s="12" t="str">
        <f>HYPERLINK("https://www.boe.es/gazeta/dias/1800/06/13/pdfs/GMD-1800-47.pdf#page=5","Abrir facsímil")</f>
        <v>Abrir facsímil</v>
      </c>
      <c r="K6949" s="15" t="s">
        <v>23</v>
      </c>
    </row>
    <row r="6950" spans="1:11" ht="42" customHeight="1">
      <c r="A6950" s="4" t="s">
        <v>15869</v>
      </c>
      <c r="B6950" s="5" t="s">
        <v>15869</v>
      </c>
      <c r="C6950" s="5" t="s">
        <v>41</v>
      </c>
      <c r="D6950" s="5" t="s">
        <v>42</v>
      </c>
      <c r="E6950" s="5" t="s">
        <v>825</v>
      </c>
      <c r="F6950" s="9">
        <v>51</v>
      </c>
      <c r="G6950" s="9">
        <v>554</v>
      </c>
      <c r="H6950" s="5" t="s">
        <v>21</v>
      </c>
      <c r="I6950" s="5" t="s">
        <v>15873</v>
      </c>
      <c r="J6950" s="12" t="str">
        <f>HYPERLINK("https://www.boe.es/gazeta/dias/1800/06/27/pdfs/GMD-1800-51.pdf#page=6","Abrir facsímil")</f>
        <v>Abrir facsímil</v>
      </c>
      <c r="K6950" s="15" t="s">
        <v>23</v>
      </c>
    </row>
    <row r="6951" spans="1:11" ht="42" customHeight="1">
      <c r="A6951" s="4" t="s">
        <v>15869</v>
      </c>
      <c r="B6951" s="5" t="s">
        <v>15869</v>
      </c>
      <c r="C6951" s="5" t="s">
        <v>41</v>
      </c>
      <c r="D6951" s="5" t="s">
        <v>42</v>
      </c>
      <c r="E6951" s="5" t="s">
        <v>530</v>
      </c>
      <c r="F6951" s="9">
        <v>55</v>
      </c>
      <c r="G6951" s="9">
        <v>616</v>
      </c>
      <c r="H6951" s="5" t="s">
        <v>21</v>
      </c>
      <c r="I6951" s="5" t="s">
        <v>15874</v>
      </c>
      <c r="J6951" s="12" t="str">
        <f>HYPERLINK("https://www.boe.es/gazeta/dias/1800/07/11/pdfs/GMD-1800-55.pdf#page=4","Abrir facsímil")</f>
        <v>Abrir facsímil</v>
      </c>
      <c r="K6951" s="15" t="s">
        <v>23</v>
      </c>
    </row>
    <row r="6952" spans="1:11" ht="42" customHeight="1">
      <c r="A6952" s="4" t="s">
        <v>15875</v>
      </c>
      <c r="B6952" s="5" t="s">
        <v>15875</v>
      </c>
      <c r="C6952" s="5" t="s">
        <v>41</v>
      </c>
      <c r="D6952" s="5" t="s">
        <v>42</v>
      </c>
      <c r="E6952" s="5" t="s">
        <v>154</v>
      </c>
      <c r="F6952" s="9">
        <v>61</v>
      </c>
      <c r="G6952" s="9">
        <v>689</v>
      </c>
      <c r="H6952" s="5" t="s">
        <v>21</v>
      </c>
      <c r="I6952" s="5" t="s">
        <v>15876</v>
      </c>
      <c r="J6952" s="12" t="str">
        <f>HYPERLINK("https://www.boe.es/gazeta/dias/1800/08/01/pdfs/GMD-1800-61.pdf#page=1","Abrir facsímil")</f>
        <v>Abrir facsímil</v>
      </c>
      <c r="K6952" s="15" t="s">
        <v>23</v>
      </c>
    </row>
    <row r="6953" spans="1:11" ht="42" customHeight="1">
      <c r="A6953" s="4" t="s">
        <v>15869</v>
      </c>
      <c r="B6953" s="5" t="s">
        <v>15869</v>
      </c>
      <c r="C6953" s="5" t="s">
        <v>18</v>
      </c>
      <c r="D6953" s="5" t="s">
        <v>19</v>
      </c>
      <c r="E6953" s="5" t="s">
        <v>75</v>
      </c>
      <c r="F6953" s="9">
        <v>64</v>
      </c>
      <c r="G6953" s="9">
        <v>729</v>
      </c>
      <c r="H6953" s="5" t="s">
        <v>21</v>
      </c>
      <c r="I6953" s="5" t="s">
        <v>15877</v>
      </c>
      <c r="J6953" s="12" t="str">
        <f>HYPERLINK("https://www.boe.es/gazeta/dias/1800/08/12/pdfs/GMD-1800-64.pdf#page=5","Abrir facsímil")</f>
        <v>Abrir facsímil</v>
      </c>
      <c r="K6953" s="15" t="s">
        <v>23</v>
      </c>
    </row>
    <row r="6954" spans="1:11" ht="42" customHeight="1">
      <c r="A6954" s="4" t="s">
        <v>15869</v>
      </c>
      <c r="B6954" s="5" t="s">
        <v>15869</v>
      </c>
      <c r="C6954" s="5" t="s">
        <v>54</v>
      </c>
      <c r="D6954" s="5" t="s">
        <v>55</v>
      </c>
      <c r="E6954" s="5" t="s">
        <v>572</v>
      </c>
      <c r="F6954" s="9">
        <v>76</v>
      </c>
      <c r="G6954" s="9">
        <v>865</v>
      </c>
      <c r="H6954" s="5" t="s">
        <v>21</v>
      </c>
      <c r="I6954" s="5" t="s">
        <v>15878</v>
      </c>
      <c r="J6954" s="12" t="str">
        <f>HYPERLINK("https://www.boe.es/gazeta/dias/1800/09/19/pdfs/GMD-1800-76.pdf#page=7","Abrir facsímil")</f>
        <v>Abrir facsímil</v>
      </c>
      <c r="K6954" s="15" t="s">
        <v>23</v>
      </c>
    </row>
    <row r="6955" spans="1:11" ht="42" customHeight="1">
      <c r="A6955" s="4" t="s">
        <v>15869</v>
      </c>
      <c r="B6955" s="5" t="s">
        <v>15869</v>
      </c>
      <c r="C6955" s="5" t="s">
        <v>41</v>
      </c>
      <c r="D6955" s="5" t="s">
        <v>42</v>
      </c>
      <c r="E6955" s="5" t="s">
        <v>52</v>
      </c>
      <c r="F6955" s="9">
        <v>83</v>
      </c>
      <c r="G6955" s="9">
        <v>961</v>
      </c>
      <c r="H6955" s="5" t="s">
        <v>21</v>
      </c>
      <c r="I6955" s="5" t="s">
        <v>15879</v>
      </c>
      <c r="J6955" s="12" t="str">
        <f>HYPERLINK("https://www.boe.es/gazeta/dias/1800/10/14/pdfs/GMD-1800-83.pdf#page=7","Abrir facsímil")</f>
        <v>Abrir facsímil</v>
      </c>
      <c r="K6955" s="15" t="s">
        <v>23</v>
      </c>
    </row>
    <row r="6956" spans="1:11" ht="42" customHeight="1">
      <c r="A6956" s="4" t="s">
        <v>15869</v>
      </c>
      <c r="B6956" s="5" t="s">
        <v>15869</v>
      </c>
      <c r="C6956" s="5" t="s">
        <v>18</v>
      </c>
      <c r="D6956" s="5" t="s">
        <v>19</v>
      </c>
      <c r="E6956" s="5" t="s">
        <v>176</v>
      </c>
      <c r="F6956" s="9">
        <v>88</v>
      </c>
      <c r="G6956" s="9">
        <v>1024</v>
      </c>
      <c r="H6956" s="5" t="s">
        <v>21</v>
      </c>
      <c r="I6956" s="5" t="s">
        <v>15880</v>
      </c>
      <c r="J6956" s="12" t="str">
        <f>HYPERLINK("https://www.boe.es/gazeta/dias/1800/10/31/pdfs/GMD-1800-88.pdf#page=6","Abrir facsímil")</f>
        <v>Abrir facsímil</v>
      </c>
      <c r="K6956" s="15" t="s">
        <v>23</v>
      </c>
    </row>
    <row r="6957" spans="1:11" ht="42" customHeight="1">
      <c r="A6957" s="4" t="s">
        <v>15869</v>
      </c>
      <c r="B6957" s="5" t="s">
        <v>15869</v>
      </c>
      <c r="C6957" s="5" t="s">
        <v>41</v>
      </c>
      <c r="D6957" s="5" t="s">
        <v>42</v>
      </c>
      <c r="E6957" s="5" t="s">
        <v>203</v>
      </c>
      <c r="F6957" s="9">
        <v>94</v>
      </c>
      <c r="G6957" s="9">
        <v>1071</v>
      </c>
      <c r="H6957" s="5" t="s">
        <v>21</v>
      </c>
      <c r="I6957" s="5" t="s">
        <v>15881</v>
      </c>
      <c r="J6957" s="12" t="str">
        <f>HYPERLINK("https://www.boe.es/gazeta/dias/1800/11/21/pdfs/GMD-1800-94.pdf#page=1","Abrir facsímil")</f>
        <v>Abrir facsímil</v>
      </c>
      <c r="K6957" s="15" t="s">
        <v>23</v>
      </c>
    </row>
    <row r="6958" spans="1:11" ht="42" customHeight="1">
      <c r="A6958" s="4" t="s">
        <v>15882</v>
      </c>
      <c r="B6958" s="5" t="s">
        <v>15883</v>
      </c>
      <c r="C6958" s="5" t="s">
        <v>18</v>
      </c>
      <c r="D6958" s="5" t="s">
        <v>19</v>
      </c>
      <c r="E6958" s="5" t="s">
        <v>787</v>
      </c>
      <c r="F6958" s="9">
        <v>6</v>
      </c>
      <c r="G6958" s="9">
        <v>60</v>
      </c>
      <c r="H6958" s="5" t="s">
        <v>21</v>
      </c>
      <c r="I6958" s="5" t="s">
        <v>15884</v>
      </c>
      <c r="J6958" s="12" t="str">
        <f>HYPERLINK("https://www.boe.es/gazeta/dias/1800/01/21/pdfs/GMD-1800-6.pdf#page=12","Abrir facsímil")</f>
        <v>Abrir facsímil</v>
      </c>
      <c r="K6958" s="15" t="s">
        <v>23</v>
      </c>
    </row>
    <row r="6959" spans="1:11" ht="42" customHeight="1">
      <c r="A6959" s="4" t="s">
        <v>15885</v>
      </c>
      <c r="B6959" s="5" t="s">
        <v>15886</v>
      </c>
      <c r="C6959" s="5" t="s">
        <v>84</v>
      </c>
      <c r="D6959" s="5" t="s">
        <v>85</v>
      </c>
      <c r="E6959" s="5" t="s">
        <v>572</v>
      </c>
      <c r="F6959" s="9">
        <v>76</v>
      </c>
      <c r="G6959" s="9">
        <v>870</v>
      </c>
      <c r="H6959" s="5" t="s">
        <v>21</v>
      </c>
      <c r="I6959" s="5" t="s">
        <v>15887</v>
      </c>
      <c r="J6959" s="12" t="str">
        <f>HYPERLINK("https://www.boe.es/gazeta/dias/1800/09/19/pdfs/GMD-1800-76.pdf#page=12","Abrir facsímil")</f>
        <v>Abrir facsímil</v>
      </c>
      <c r="K6959" s="15" t="s">
        <v>23</v>
      </c>
    </row>
    <row r="6960" spans="1:11" ht="42" customHeight="1">
      <c r="A6960" s="4" t="s">
        <v>15888</v>
      </c>
      <c r="B6960" s="5" t="s">
        <v>15889</v>
      </c>
      <c r="C6960" s="5" t="s">
        <v>18</v>
      </c>
      <c r="D6960" s="5" t="s">
        <v>19</v>
      </c>
      <c r="E6960" s="5" t="s">
        <v>90</v>
      </c>
      <c r="F6960" s="9">
        <v>58</v>
      </c>
      <c r="G6960" s="9">
        <v>663</v>
      </c>
      <c r="H6960" s="5" t="s">
        <v>21</v>
      </c>
      <c r="I6960" s="5" t="s">
        <v>15890</v>
      </c>
      <c r="J6960" s="12" t="str">
        <f>HYPERLINK("https://www.boe.es/gazeta/dias/1800/07/22/pdfs/GMD-1800-58.pdf#page=11","Abrir facsímil")</f>
        <v>Abrir facsímil</v>
      </c>
      <c r="K6960" s="15" t="s">
        <v>23</v>
      </c>
    </row>
    <row r="6961" spans="1:11" ht="42" customHeight="1">
      <c r="A6961" s="4" t="s">
        <v>15891</v>
      </c>
      <c r="B6961" s="5" t="s">
        <v>15892</v>
      </c>
      <c r="C6961" s="5" t="s">
        <v>18</v>
      </c>
      <c r="D6961" s="5" t="s">
        <v>19</v>
      </c>
      <c r="E6961" s="5" t="s">
        <v>139</v>
      </c>
      <c r="F6961" s="9">
        <v>2</v>
      </c>
      <c r="G6961" s="9">
        <v>18</v>
      </c>
      <c r="H6961" s="5" t="s">
        <v>21</v>
      </c>
      <c r="I6961" s="5" t="s">
        <v>15893</v>
      </c>
      <c r="J6961" s="12" t="str">
        <f>HYPERLINK("https://www.boe.es/gazeta/dias/1800/01/07/pdfs/GMD-1800-2.pdf#page=10","Abrir facsímil")</f>
        <v>Abrir facsímil</v>
      </c>
      <c r="K6961" s="15" t="s">
        <v>23</v>
      </c>
    </row>
    <row r="6962" spans="1:11" ht="42" customHeight="1">
      <c r="A6962" s="4" t="s">
        <v>15894</v>
      </c>
      <c r="B6962" s="5" t="s">
        <v>15895</v>
      </c>
      <c r="C6962" s="5" t="s">
        <v>25</v>
      </c>
      <c r="D6962" s="5" t="s">
        <v>26</v>
      </c>
      <c r="E6962" s="5" t="s">
        <v>64</v>
      </c>
      <c r="F6962" s="9">
        <v>54</v>
      </c>
      <c r="G6962" s="9">
        <v>607</v>
      </c>
      <c r="H6962" s="5" t="s">
        <v>21</v>
      </c>
      <c r="I6962" s="5" t="s">
        <v>15896</v>
      </c>
      <c r="J6962" s="12" t="str">
        <f>HYPERLINK("https://www.boe.es/gazeta/dias/1800/07/08/pdfs/GMD-1800-54.pdf#page=11","Abrir facsímil")</f>
        <v>Abrir facsímil</v>
      </c>
      <c r="K6962" s="15" t="s">
        <v>23</v>
      </c>
    </row>
    <row r="6963" spans="1:11" ht="42" customHeight="1">
      <c r="A6963" s="4" t="s">
        <v>15897</v>
      </c>
      <c r="B6963" s="5" t="s">
        <v>15897</v>
      </c>
      <c r="C6963" s="5" t="s">
        <v>41</v>
      </c>
      <c r="D6963" s="5" t="s">
        <v>42</v>
      </c>
      <c r="E6963" s="5" t="s">
        <v>828</v>
      </c>
      <c r="F6963" s="9">
        <v>53</v>
      </c>
      <c r="G6963" s="9">
        <v>588</v>
      </c>
      <c r="H6963" s="5" t="s">
        <v>21</v>
      </c>
      <c r="I6963" s="5" t="s">
        <v>15898</v>
      </c>
      <c r="J6963" s="12" t="str">
        <f>HYPERLINK("https://www.boe.es/gazeta/dias/1800/07/04/pdfs/GMD-1800-53.pdf#page=8","Abrir facsímil")</f>
        <v>Abrir facsímil</v>
      </c>
      <c r="K6963" s="15" t="s">
        <v>23</v>
      </c>
    </row>
    <row r="6964" spans="1:11" ht="42" customHeight="1">
      <c r="A6964" s="4" t="s">
        <v>15899</v>
      </c>
      <c r="B6964" s="5" t="s">
        <v>15900</v>
      </c>
      <c r="C6964" s="5" t="s">
        <v>41</v>
      </c>
      <c r="D6964" s="5" t="s">
        <v>42</v>
      </c>
      <c r="E6964" s="5" t="s">
        <v>190</v>
      </c>
      <c r="F6964" s="9">
        <v>93</v>
      </c>
      <c r="G6964" s="9">
        <v>1064</v>
      </c>
      <c r="H6964" s="5" t="s">
        <v>21</v>
      </c>
      <c r="I6964" s="5" t="s">
        <v>15901</v>
      </c>
      <c r="J6964" s="12" t="str">
        <f>HYPERLINK("https://www.boe.es/gazeta/dias/1800/11/18/pdfs/GMD-1800-93.pdf#page=10","Abrir facsímil")</f>
        <v>Abrir facsímil</v>
      </c>
      <c r="K6964" s="15" t="s">
        <v>23</v>
      </c>
    </row>
    <row r="6965" spans="1:11" ht="42" customHeight="1">
      <c r="A6965" s="4" t="s">
        <v>15902</v>
      </c>
      <c r="B6965" s="5" t="s">
        <v>15903</v>
      </c>
      <c r="C6965" s="5" t="s">
        <v>18</v>
      </c>
      <c r="D6965" s="5" t="s">
        <v>19</v>
      </c>
      <c r="E6965" s="5" t="s">
        <v>60</v>
      </c>
      <c r="F6965" s="9">
        <v>105</v>
      </c>
      <c r="G6965" s="9">
        <v>1226</v>
      </c>
      <c r="H6965" s="5" t="s">
        <v>21</v>
      </c>
      <c r="I6965" s="5" t="s">
        <v>15904</v>
      </c>
      <c r="J6965" s="12" t="str">
        <f>HYPERLINK("https://www.boe.es/gazeta/dias/1800/12/30/pdfs/GMD-1800-105.pdf#page=10","Abrir facsímil")</f>
        <v>Abrir facsímil</v>
      </c>
      <c r="K6965" s="15" t="s">
        <v>23</v>
      </c>
    </row>
    <row r="6966" spans="1:11" ht="42" customHeight="1">
      <c r="A6966" s="4" t="s">
        <v>15905</v>
      </c>
      <c r="B6966" s="5" t="s">
        <v>15906</v>
      </c>
      <c r="C6966" s="5" t="s">
        <v>18</v>
      </c>
      <c r="D6966" s="5" t="s">
        <v>19</v>
      </c>
      <c r="E6966" s="5" t="s">
        <v>20</v>
      </c>
      <c r="F6966" s="9">
        <v>104</v>
      </c>
      <c r="G6966" s="9">
        <v>1209</v>
      </c>
      <c r="H6966" s="5" t="s">
        <v>21</v>
      </c>
      <c r="I6966" s="5" t="s">
        <v>15907</v>
      </c>
      <c r="J6966" s="12" t="str">
        <f>HYPERLINK("https://www.boe.es/gazeta/dias/1800/12/26/pdfs/GMD-1800-104.pdf#page=9","Abrir facsímil")</f>
        <v>Abrir facsímil</v>
      </c>
      <c r="K6966" s="15" t="s">
        <v>23</v>
      </c>
    </row>
    <row r="6967" spans="1:11" ht="42" customHeight="1">
      <c r="A6967" s="4" t="s">
        <v>15908</v>
      </c>
      <c r="B6967" s="5" t="s">
        <v>15909</v>
      </c>
      <c r="C6967" s="5" t="s">
        <v>207</v>
      </c>
      <c r="D6967" s="5" t="s">
        <v>55</v>
      </c>
      <c r="E6967" s="5" t="s">
        <v>530</v>
      </c>
      <c r="F6967" s="9">
        <v>55</v>
      </c>
      <c r="G6967" s="9">
        <v>622</v>
      </c>
      <c r="H6967" s="5" t="s">
        <v>21</v>
      </c>
      <c r="I6967" s="5" t="s">
        <v>15910</v>
      </c>
      <c r="J6967" s="12" t="str">
        <f>HYPERLINK("https://www.boe.es/gazeta/dias/1800/07/11/pdfs/GMD-1800-55.pdf#page=10","Abrir facsímil")</f>
        <v>Abrir facsímil</v>
      </c>
      <c r="K6967" s="15" t="s">
        <v>23</v>
      </c>
    </row>
    <row r="6968" spans="1:11" ht="42" customHeight="1">
      <c r="A6968" s="4" t="s">
        <v>15908</v>
      </c>
      <c r="B6968" s="5" t="s">
        <v>15909</v>
      </c>
      <c r="C6968" s="5" t="s">
        <v>207</v>
      </c>
      <c r="D6968" s="5" t="s">
        <v>55</v>
      </c>
      <c r="E6968" s="5" t="s">
        <v>319</v>
      </c>
      <c r="F6968" s="9">
        <v>62</v>
      </c>
      <c r="G6968" s="9">
        <v>707</v>
      </c>
      <c r="H6968" s="5" t="s">
        <v>21</v>
      </c>
      <c r="I6968" s="5" t="s">
        <v>15911</v>
      </c>
      <c r="J6968" s="12" t="str">
        <f>HYPERLINK("https://www.boe.es/gazeta/dias/1800/08/05/pdfs/GMD-1800-62.pdf#page=7","Abrir facsímil")</f>
        <v>Abrir facsímil</v>
      </c>
      <c r="K6968" s="15" t="s">
        <v>23</v>
      </c>
    </row>
    <row r="6969" spans="1:11" ht="42" customHeight="1">
      <c r="A6969" s="4" t="s">
        <v>15912</v>
      </c>
      <c r="B6969" s="5" t="s">
        <v>15913</v>
      </c>
      <c r="C6969" s="5" t="s">
        <v>54</v>
      </c>
      <c r="D6969" s="5" t="s">
        <v>55</v>
      </c>
      <c r="E6969" s="5" t="s">
        <v>461</v>
      </c>
      <c r="F6969" s="9">
        <v>18</v>
      </c>
      <c r="G6969" s="9">
        <v>171</v>
      </c>
      <c r="H6969" s="5" t="s">
        <v>21</v>
      </c>
      <c r="I6969" s="5" t="s">
        <v>15914</v>
      </c>
      <c r="J6969" s="12" t="str">
        <f>HYPERLINK("https://www.boe.es/datos/pdfs/BOE//1800/018/C00173-00176.pdf#page=7","Abrir facsímil")</f>
        <v>Abrir facsímil</v>
      </c>
      <c r="K6969" s="15" t="s">
        <v>23</v>
      </c>
    </row>
    <row r="6970" spans="1:11" ht="42" customHeight="1">
      <c r="A6970" s="4" t="s">
        <v>15915</v>
      </c>
      <c r="B6970" s="5" t="s">
        <v>15916</v>
      </c>
      <c r="C6970" s="5" t="s">
        <v>18</v>
      </c>
      <c r="D6970" s="5" t="s">
        <v>19</v>
      </c>
      <c r="E6970" s="5" t="s">
        <v>135</v>
      </c>
      <c r="F6970" s="9">
        <v>73</v>
      </c>
      <c r="G6970" s="9">
        <v>817</v>
      </c>
      <c r="H6970" s="5" t="s">
        <v>21</v>
      </c>
      <c r="I6970" s="5" t="s">
        <v>15917</v>
      </c>
      <c r="J6970" s="12" t="str">
        <f>HYPERLINK("https://www.boe.es/gazeta/dias/1800/09/09/pdfs/GMD-1800-73.pdf#page=11","Abrir facsímil")</f>
        <v>Abrir facsímil</v>
      </c>
      <c r="K6970" s="15" t="s">
        <v>23</v>
      </c>
    </row>
    <row r="6971" spans="1:11" ht="42" customHeight="1">
      <c r="A6971" s="4" t="s">
        <v>15918</v>
      </c>
      <c r="B6971" s="5" t="s">
        <v>15918</v>
      </c>
      <c r="C6971" s="5" t="s">
        <v>41</v>
      </c>
      <c r="D6971" s="5" t="s">
        <v>42</v>
      </c>
      <c r="E6971" s="5" t="s">
        <v>56</v>
      </c>
      <c r="F6971" s="9">
        <v>90</v>
      </c>
      <c r="G6971" s="9">
        <v>1051</v>
      </c>
      <c r="H6971" s="5" t="s">
        <v>21</v>
      </c>
      <c r="I6971" s="5" t="s">
        <v>15919</v>
      </c>
      <c r="J6971" s="12" t="str">
        <f>HYPERLINK("https://www.boe.es/gazeta/dias/1800/11/07/pdfs/GMD-1800-90.pdf#page=5","Abrir facsímil")</f>
        <v>Abrir facsímil</v>
      </c>
      <c r="K6971" s="15" t="s">
        <v>23</v>
      </c>
    </row>
    <row r="6972" spans="1:11" ht="42" customHeight="1">
      <c r="A6972" s="4" t="s">
        <v>15920</v>
      </c>
      <c r="B6972" s="5" t="s">
        <v>15921</v>
      </c>
      <c r="C6972" s="5" t="s">
        <v>114</v>
      </c>
      <c r="D6972" s="5" t="s">
        <v>115</v>
      </c>
      <c r="E6972" s="5" t="s">
        <v>116</v>
      </c>
      <c r="F6972" s="9">
        <v>86</v>
      </c>
      <c r="G6972" s="9" t="s">
        <v>991</v>
      </c>
      <c r="H6972" s="5" t="s">
        <v>21</v>
      </c>
      <c r="I6972" s="5" t="s">
        <v>15922</v>
      </c>
      <c r="J6972" s="12" t="str">
        <f>HYPERLINK("https://www.boe.es/gazeta/dias/1800/10/24/pdfs/GMD-D-1800-86.pdf#page=4","Abrir facsímil")</f>
        <v>Abrir facsímil</v>
      </c>
      <c r="K6972" s="15" t="s">
        <v>23</v>
      </c>
    </row>
    <row r="6973" spans="1:11" ht="42" customHeight="1">
      <c r="A6973" s="4" t="s">
        <v>15923</v>
      </c>
      <c r="B6973" s="5" t="s">
        <v>15924</v>
      </c>
      <c r="C6973" s="5" t="s">
        <v>18</v>
      </c>
      <c r="D6973" s="5" t="s">
        <v>19</v>
      </c>
      <c r="E6973" s="5" t="s">
        <v>279</v>
      </c>
      <c r="F6973" s="9">
        <v>103</v>
      </c>
      <c r="G6973" s="9">
        <v>1197</v>
      </c>
      <c r="H6973" s="5" t="s">
        <v>21</v>
      </c>
      <c r="I6973" s="5" t="s">
        <v>15925</v>
      </c>
      <c r="J6973" s="12" t="str">
        <f>HYPERLINK("https://www.boe.es/gazeta/dias/1800/12/23/pdfs/GMD-1800-103.pdf#page=9","Abrir facsímil")</f>
        <v>Abrir facsímil</v>
      </c>
      <c r="K6973" s="15" t="s">
        <v>23</v>
      </c>
    </row>
    <row r="6974" spans="1:11" ht="42" customHeight="1">
      <c r="A6974" s="4" t="s">
        <v>15926</v>
      </c>
      <c r="B6974" s="5" t="s">
        <v>15927</v>
      </c>
      <c r="C6974" s="5" t="s">
        <v>18</v>
      </c>
      <c r="D6974" s="5" t="s">
        <v>19</v>
      </c>
      <c r="E6974" s="5" t="s">
        <v>583</v>
      </c>
      <c r="F6974" s="9">
        <v>77</v>
      </c>
      <c r="G6974" s="9">
        <v>878</v>
      </c>
      <c r="H6974" s="5" t="s">
        <v>21</v>
      </c>
      <c r="I6974" s="5" t="s">
        <v>15928</v>
      </c>
      <c r="J6974" s="12" t="str">
        <f>HYPERLINK("https://www.boe.es/gazeta/dias/1800/09/23/pdfs/GMD-1800-77.pdf#page=8","Abrir facsímil")</f>
        <v>Abrir facsímil</v>
      </c>
      <c r="K6974" s="15" t="s">
        <v>23</v>
      </c>
    </row>
    <row r="6975" spans="1:11" ht="42" customHeight="1">
      <c r="A6975" s="4" t="s">
        <v>15929</v>
      </c>
      <c r="B6975" s="5" t="s">
        <v>15930</v>
      </c>
      <c r="C6975" s="5" t="s">
        <v>25</v>
      </c>
      <c r="D6975" s="5" t="s">
        <v>26</v>
      </c>
      <c r="E6975" s="5" t="s">
        <v>314</v>
      </c>
      <c r="F6975" s="9">
        <v>74</v>
      </c>
      <c r="G6975" s="9">
        <v>833</v>
      </c>
      <c r="H6975" s="5" t="s">
        <v>21</v>
      </c>
      <c r="I6975" s="5" t="s">
        <v>15931</v>
      </c>
      <c r="J6975" s="12" t="str">
        <f>HYPERLINK("https://www.boe.es/gazeta/dias/1800/09/12/pdfs/GMD-1800-74.pdf#page=11","Abrir facsímil")</f>
        <v>Abrir facsímil</v>
      </c>
      <c r="K6975" s="15" t="s">
        <v>23</v>
      </c>
    </row>
    <row r="6976" spans="1:11" ht="42" customHeight="1">
      <c r="A6976" s="4" t="s">
        <v>15932</v>
      </c>
      <c r="B6976" s="5" t="s">
        <v>15933</v>
      </c>
      <c r="C6976" s="5" t="s">
        <v>18</v>
      </c>
      <c r="D6976" s="5" t="s">
        <v>19</v>
      </c>
      <c r="E6976" s="5" t="s">
        <v>329</v>
      </c>
      <c r="F6976" s="9">
        <v>99</v>
      </c>
      <c r="G6976" s="9">
        <v>1140</v>
      </c>
      <c r="H6976" s="5" t="s">
        <v>21</v>
      </c>
      <c r="I6976" s="5" t="s">
        <v>15934</v>
      </c>
      <c r="J6976" s="12" t="str">
        <f>HYPERLINK("https://www.boe.es/gazeta/dias/1800/12/09/pdfs/GMD-1800-99.pdf#page=8","Abrir facsímil")</f>
        <v>Abrir facsímil</v>
      </c>
      <c r="K6976" s="15" t="s">
        <v>23</v>
      </c>
    </row>
    <row r="6977" spans="1:11" ht="42" customHeight="1">
      <c r="A6977" s="4" t="s">
        <v>15935</v>
      </c>
      <c r="B6977" s="5" t="s">
        <v>15936</v>
      </c>
      <c r="C6977" s="5" t="s">
        <v>41</v>
      </c>
      <c r="D6977" s="5" t="s">
        <v>42</v>
      </c>
      <c r="E6977" s="5" t="s">
        <v>299</v>
      </c>
      <c r="F6977" s="9">
        <v>40</v>
      </c>
      <c r="G6977" s="9">
        <v>410</v>
      </c>
      <c r="H6977" s="5" t="s">
        <v>21</v>
      </c>
      <c r="I6977" s="5" t="s">
        <v>15937</v>
      </c>
      <c r="J6977" s="12" t="str">
        <f>HYPERLINK("https://www.boe.es/gazeta/dias/1800/05/20/pdfs/GMD-1800-40.pdf#page=6","Abrir facsímil")</f>
        <v>Abrir facsímil</v>
      </c>
      <c r="K6977" s="15" t="s">
        <v>23</v>
      </c>
    </row>
    <row r="6978" spans="1:11" ht="42" customHeight="1">
      <c r="A6978" s="4" t="s">
        <v>15935</v>
      </c>
      <c r="B6978" s="5" t="s">
        <v>15936</v>
      </c>
      <c r="C6978" s="5" t="s">
        <v>41</v>
      </c>
      <c r="D6978" s="5" t="s">
        <v>42</v>
      </c>
      <c r="E6978" s="5" t="s">
        <v>310</v>
      </c>
      <c r="F6978" s="9">
        <v>56</v>
      </c>
      <c r="G6978" s="9">
        <v>631</v>
      </c>
      <c r="H6978" s="5" t="s">
        <v>21</v>
      </c>
      <c r="I6978" s="5" t="s">
        <v>15938</v>
      </c>
      <c r="J6978" s="12" t="str">
        <f>HYPERLINK("https://www.boe.es/gazeta/dias/1800/07/15/pdfs/GMD-1800-56.pdf#page=7","Abrir facsímil")</f>
        <v>Abrir facsímil</v>
      </c>
      <c r="K6978" s="15" t="s">
        <v>23</v>
      </c>
    </row>
    <row r="6979" spans="1:11" ht="42" customHeight="1">
      <c r="A6979" s="4" t="s">
        <v>15935</v>
      </c>
      <c r="B6979" s="5" t="s">
        <v>15936</v>
      </c>
      <c r="C6979" s="5" t="s">
        <v>41</v>
      </c>
      <c r="D6979" s="5" t="s">
        <v>42</v>
      </c>
      <c r="E6979" s="5" t="s">
        <v>843</v>
      </c>
      <c r="F6979" s="9">
        <v>78</v>
      </c>
      <c r="G6979" s="9">
        <v>888</v>
      </c>
      <c r="H6979" s="5" t="s">
        <v>21</v>
      </c>
      <c r="I6979" s="5" t="s">
        <v>15939</v>
      </c>
      <c r="J6979" s="12" t="str">
        <f>HYPERLINK("https://www.boe.es/gazeta/dias/1800/09/26/pdfs/GMD-1800-78.pdf#page=6","Abrir facsímil")</f>
        <v>Abrir facsímil</v>
      </c>
      <c r="K6979" s="15" t="s">
        <v>23</v>
      </c>
    </row>
    <row r="6980" spans="1:11" ht="42" customHeight="1">
      <c r="A6980" s="4" t="s">
        <v>15940</v>
      </c>
      <c r="B6980" s="5" t="s">
        <v>15941</v>
      </c>
      <c r="C6980" s="5" t="s">
        <v>54</v>
      </c>
      <c r="D6980" s="5" t="s">
        <v>55</v>
      </c>
      <c r="E6980" s="5" t="s">
        <v>60</v>
      </c>
      <c r="F6980" s="9">
        <v>105</v>
      </c>
      <c r="G6980" s="9">
        <v>1226</v>
      </c>
      <c r="H6980" s="5" t="s">
        <v>21</v>
      </c>
      <c r="I6980" s="5" t="s">
        <v>15942</v>
      </c>
      <c r="J6980" s="12" t="str">
        <f>HYPERLINK("https://www.boe.es/gazeta/dias/1800/12/30/pdfs/GMD-1800-105.pdf#page=10","Abrir facsímil")</f>
        <v>Abrir facsímil</v>
      </c>
      <c r="K6980" s="15" t="s">
        <v>23</v>
      </c>
    </row>
    <row r="6981" spans="1:11" ht="42" customHeight="1">
      <c r="A6981" s="4" t="s">
        <v>15943</v>
      </c>
      <c r="B6981" s="5" t="s">
        <v>15943</v>
      </c>
      <c r="C6981" s="5" t="s">
        <v>84</v>
      </c>
      <c r="D6981" s="5" t="s">
        <v>85</v>
      </c>
      <c r="E6981" s="5" t="s">
        <v>135</v>
      </c>
      <c r="F6981" s="9">
        <v>73</v>
      </c>
      <c r="G6981" s="9">
        <v>809</v>
      </c>
      <c r="H6981" s="5" t="s">
        <v>21</v>
      </c>
      <c r="I6981" s="5" t="s">
        <v>15944</v>
      </c>
      <c r="J6981" s="12" t="str">
        <f>HYPERLINK("https://www.boe.es/gazeta/dias/1800/09/09/pdfs/GMD-1800-73.pdf#page=3","Abrir facsímil")</f>
        <v>Abrir facsímil</v>
      </c>
      <c r="K6981" s="15" t="s">
        <v>23</v>
      </c>
    </row>
    <row r="6982" spans="1:11" ht="42" customHeight="1">
      <c r="A6982" s="4" t="s">
        <v>15945</v>
      </c>
      <c r="B6982" s="5" t="s">
        <v>15946</v>
      </c>
      <c r="C6982" s="5" t="s">
        <v>41</v>
      </c>
      <c r="D6982" s="5" t="s">
        <v>42</v>
      </c>
      <c r="E6982" s="5" t="s">
        <v>600</v>
      </c>
      <c r="F6982" s="9">
        <v>45</v>
      </c>
      <c r="G6982" s="9">
        <v>471</v>
      </c>
      <c r="H6982" s="5" t="s">
        <v>21</v>
      </c>
      <c r="I6982" s="5" t="s">
        <v>15947</v>
      </c>
      <c r="J6982" s="12" t="str">
        <f>HYPERLINK("https://www.boe.es/gazeta/dias/1800/06/06/pdfs/GMD-1800-45.pdf#page=7","Abrir facsímil")</f>
        <v>Abrir facsímil</v>
      </c>
      <c r="K6982" s="15" t="s">
        <v>23</v>
      </c>
    </row>
    <row r="6983" spans="1:11" ht="42" customHeight="1">
      <c r="A6983" s="4" t="s">
        <v>15948</v>
      </c>
      <c r="B6983" s="5" t="s">
        <v>15949</v>
      </c>
      <c r="C6983" s="5" t="s">
        <v>41</v>
      </c>
      <c r="D6983" s="5" t="s">
        <v>42</v>
      </c>
      <c r="E6983" s="5" t="s">
        <v>27</v>
      </c>
      <c r="F6983" s="9">
        <v>65</v>
      </c>
      <c r="G6983" s="9">
        <v>731</v>
      </c>
      <c r="H6983" s="5" t="s">
        <v>21</v>
      </c>
      <c r="I6983" s="5" t="s">
        <v>15950</v>
      </c>
      <c r="J6983" s="12" t="str">
        <f>HYPERLINK("https://www.boe.es/gazeta/dias/1800/08/15/pdfs/GMD-1800-65.pdf#page=7","Abrir facsímil")</f>
        <v>Abrir facsímil</v>
      </c>
      <c r="K6983" s="15" t="s">
        <v>23</v>
      </c>
    </row>
    <row r="6984" spans="1:11" ht="42" customHeight="1">
      <c r="A6984" s="4" t="s">
        <v>15948</v>
      </c>
      <c r="B6984" s="5" t="s">
        <v>15949</v>
      </c>
      <c r="C6984" s="5" t="s">
        <v>18</v>
      </c>
      <c r="D6984" s="5" t="s">
        <v>19</v>
      </c>
      <c r="E6984" s="5" t="s">
        <v>56</v>
      </c>
      <c r="F6984" s="9">
        <v>90</v>
      </c>
      <c r="G6984" s="9">
        <v>1051</v>
      </c>
      <c r="H6984" s="5" t="s">
        <v>21</v>
      </c>
      <c r="I6984" s="5" t="s">
        <v>15951</v>
      </c>
      <c r="J6984" s="12" t="str">
        <f>HYPERLINK("https://www.boe.es/gazeta/dias/1800/11/07/pdfs/GMD-1800-90.pdf#page=5","Abrir facsímil")</f>
        <v>Abrir facsímil</v>
      </c>
      <c r="K6984" s="15" t="s">
        <v>23</v>
      </c>
    </row>
    <row r="6985" spans="1:11" ht="42" customHeight="1">
      <c r="A6985" s="4" t="s">
        <v>15948</v>
      </c>
      <c r="B6985" s="5" t="s">
        <v>15949</v>
      </c>
      <c r="C6985" s="5" t="s">
        <v>41</v>
      </c>
      <c r="D6985" s="5" t="s">
        <v>42</v>
      </c>
      <c r="E6985" s="5" t="s">
        <v>58</v>
      </c>
      <c r="F6985" s="9">
        <v>92</v>
      </c>
      <c r="G6985" s="9">
        <v>1051</v>
      </c>
      <c r="H6985" s="5" t="s">
        <v>21</v>
      </c>
      <c r="I6985" s="5" t="s">
        <v>15952</v>
      </c>
      <c r="J6985" s="12" t="str">
        <f>HYPERLINK("https://www.boe.es/gazeta/dias/1800/11/14/pdfs/GMD-1800-92.pdf#page=5","Abrir facsímil")</f>
        <v>Abrir facsímil</v>
      </c>
      <c r="K6985" s="15" t="s">
        <v>23</v>
      </c>
    </row>
    <row r="6986" spans="1:11" ht="42" customHeight="1">
      <c r="A6986" s="4" t="s">
        <v>15948</v>
      </c>
      <c r="B6986" s="5" t="s">
        <v>15949</v>
      </c>
      <c r="C6986" s="5" t="s">
        <v>18</v>
      </c>
      <c r="D6986" s="5" t="s">
        <v>19</v>
      </c>
      <c r="E6986" s="5" t="s">
        <v>190</v>
      </c>
      <c r="F6986" s="9">
        <v>93</v>
      </c>
      <c r="G6986" s="9">
        <v>1063</v>
      </c>
      <c r="H6986" s="5" t="s">
        <v>21</v>
      </c>
      <c r="I6986" s="5" t="s">
        <v>15953</v>
      </c>
      <c r="J6986" s="12" t="str">
        <f>HYPERLINK("https://www.boe.es/gazeta/dias/1800/11/18/pdfs/GMD-1800-93.pdf#page=9","Abrir facsímil")</f>
        <v>Abrir facsímil</v>
      </c>
      <c r="K6986" s="15" t="s">
        <v>23</v>
      </c>
    </row>
    <row r="6987" spans="1:11" ht="42" customHeight="1">
      <c r="A6987" s="4" t="s">
        <v>15948</v>
      </c>
      <c r="B6987" s="5" t="s">
        <v>15949</v>
      </c>
      <c r="C6987" s="5" t="s">
        <v>41</v>
      </c>
      <c r="D6987" s="5" t="s">
        <v>42</v>
      </c>
      <c r="E6987" s="5" t="s">
        <v>615</v>
      </c>
      <c r="F6987" s="9">
        <v>95</v>
      </c>
      <c r="G6987" s="9">
        <v>1086</v>
      </c>
      <c r="H6987" s="5" t="s">
        <v>21</v>
      </c>
      <c r="I6987" s="5" t="s">
        <v>15954</v>
      </c>
      <c r="J6987" s="12" t="str">
        <f>HYPERLINK("https://www.boe.es/gazeta/dias/1800/11/25/pdfs/GMD-1800-95.pdf#page=4","Abrir facsímil")</f>
        <v>Abrir facsímil</v>
      </c>
      <c r="K6987" s="15" t="s">
        <v>23</v>
      </c>
    </row>
    <row r="6988" spans="1:11" ht="42" customHeight="1">
      <c r="A6988" s="4" t="s">
        <v>15948</v>
      </c>
      <c r="B6988" s="5" t="s">
        <v>15949</v>
      </c>
      <c r="C6988" s="5" t="s">
        <v>41</v>
      </c>
      <c r="D6988" s="5" t="s">
        <v>42</v>
      </c>
      <c r="E6988" s="5" t="s">
        <v>196</v>
      </c>
      <c r="F6988" s="9">
        <v>97</v>
      </c>
      <c r="G6988" s="9">
        <v>1114</v>
      </c>
      <c r="H6988" s="5" t="s">
        <v>21</v>
      </c>
      <c r="I6988" s="5" t="s">
        <v>15955</v>
      </c>
      <c r="J6988" s="12" t="str">
        <f>HYPERLINK("https://www.boe.es/gazeta/dias/1800/12/02/pdfs/GMD-1800-97.pdf#page=6","Abrir facsímil")</f>
        <v>Abrir facsímil</v>
      </c>
      <c r="K6988" s="15" t="s">
        <v>23</v>
      </c>
    </row>
    <row r="6989" spans="1:11" ht="42" customHeight="1">
      <c r="A6989" s="4" t="s">
        <v>15948</v>
      </c>
      <c r="B6989" s="5" t="s">
        <v>15949</v>
      </c>
      <c r="C6989" s="5" t="s">
        <v>54</v>
      </c>
      <c r="D6989" s="5" t="s">
        <v>55</v>
      </c>
      <c r="E6989" s="5" t="s">
        <v>111</v>
      </c>
      <c r="F6989" s="9">
        <v>98</v>
      </c>
      <c r="G6989" s="9">
        <v>1125</v>
      </c>
      <c r="H6989" s="5" t="s">
        <v>21</v>
      </c>
      <c r="I6989" s="5" t="s">
        <v>15956</v>
      </c>
      <c r="J6989" s="12" t="str">
        <f>HYPERLINK("https://www.boe.es/gazeta/dias/1800/12/05/pdfs/GMD-1800-98.pdf#page=5","Abrir facsímil")</f>
        <v>Abrir facsímil</v>
      </c>
      <c r="K6989" s="15" t="s">
        <v>23</v>
      </c>
    </row>
    <row r="6990" spans="1:11" ht="42" customHeight="1">
      <c r="A6990" s="4" t="s">
        <v>15948</v>
      </c>
      <c r="B6990" s="5" t="s">
        <v>15949</v>
      </c>
      <c r="C6990" s="5" t="s">
        <v>41</v>
      </c>
      <c r="D6990" s="5" t="s">
        <v>42</v>
      </c>
      <c r="E6990" s="5" t="s">
        <v>534</v>
      </c>
      <c r="F6990" s="9">
        <v>100</v>
      </c>
      <c r="G6990" s="9">
        <v>1155</v>
      </c>
      <c r="H6990" s="5" t="s">
        <v>21</v>
      </c>
      <c r="I6990" s="5" t="s">
        <v>15957</v>
      </c>
      <c r="J6990" s="12" t="str">
        <f>HYPERLINK("https://www.boe.es/gazeta/dias/1800/12/12/pdfs/GMD-1800-100.pdf#page=7","Abrir facsímil")</f>
        <v>Abrir facsímil</v>
      </c>
      <c r="K6990" s="15" t="s">
        <v>23</v>
      </c>
    </row>
    <row r="6991" spans="1:11" ht="42" customHeight="1">
      <c r="A6991" s="4" t="s">
        <v>15948</v>
      </c>
      <c r="B6991" s="5" t="s">
        <v>15949</v>
      </c>
      <c r="C6991" s="5" t="s">
        <v>41</v>
      </c>
      <c r="D6991" s="5" t="s">
        <v>42</v>
      </c>
      <c r="E6991" s="5" t="s">
        <v>534</v>
      </c>
      <c r="F6991" s="9">
        <v>100</v>
      </c>
      <c r="G6991" s="9">
        <v>1156</v>
      </c>
      <c r="H6991" s="5" t="s">
        <v>21</v>
      </c>
      <c r="I6991" s="5" t="s">
        <v>15958</v>
      </c>
      <c r="J6991" s="12" t="str">
        <f>HYPERLINK("https://www.boe.es/gazeta/dias/1800/12/12/pdfs/GMD-1800-100.pdf#page=8","Abrir facsímil")</f>
        <v>Abrir facsímil</v>
      </c>
      <c r="K6991" s="15" t="s">
        <v>23</v>
      </c>
    </row>
    <row r="6992" spans="1:11" ht="42" customHeight="1">
      <c r="A6992" s="4" t="s">
        <v>15948</v>
      </c>
      <c r="B6992" s="5" t="s">
        <v>15949</v>
      </c>
      <c r="C6992" s="5" t="s">
        <v>41</v>
      </c>
      <c r="D6992" s="5" t="s">
        <v>42</v>
      </c>
      <c r="E6992" s="5" t="s">
        <v>534</v>
      </c>
      <c r="F6992" s="9">
        <v>100</v>
      </c>
      <c r="G6992" s="9">
        <v>1157</v>
      </c>
      <c r="H6992" s="5" t="s">
        <v>21</v>
      </c>
      <c r="I6992" s="5" t="s">
        <v>15959</v>
      </c>
      <c r="J6992" s="12" t="str">
        <f>HYPERLINK("https://www.boe.es/gazeta/dias/1800/12/12/pdfs/GMD-1800-100.pdf#page=9","Abrir facsímil")</f>
        <v>Abrir facsímil</v>
      </c>
      <c r="K6992" s="15" t="s">
        <v>23</v>
      </c>
    </row>
    <row r="6993" spans="1:11" ht="42" customHeight="1">
      <c r="A6993" s="4" t="s">
        <v>15948</v>
      </c>
      <c r="B6993" s="5" t="s">
        <v>15949</v>
      </c>
      <c r="C6993" s="5" t="s">
        <v>41</v>
      </c>
      <c r="D6993" s="5" t="s">
        <v>42</v>
      </c>
      <c r="E6993" s="5" t="s">
        <v>402</v>
      </c>
      <c r="F6993" s="9">
        <v>101</v>
      </c>
      <c r="G6993" s="9">
        <v>1171</v>
      </c>
      <c r="H6993" s="5" t="s">
        <v>21</v>
      </c>
      <c r="I6993" s="5" t="s">
        <v>15960</v>
      </c>
      <c r="J6993" s="12" t="str">
        <f>HYPERLINK("https://www.boe.es/gazeta/dias/1800/12/16/pdfs/GMD-1800-101.pdf#page=7","Abrir facsímil")</f>
        <v>Abrir facsímil</v>
      </c>
      <c r="K6993" s="15" t="s">
        <v>23</v>
      </c>
    </row>
    <row r="6994" spans="1:11" ht="42" customHeight="1">
      <c r="A6994" s="4" t="s">
        <v>15961</v>
      </c>
      <c r="B6994" s="5" t="s">
        <v>15962</v>
      </c>
      <c r="C6994" s="5" t="s">
        <v>207</v>
      </c>
      <c r="D6994" s="5" t="s">
        <v>55</v>
      </c>
      <c r="E6994" s="5" t="s">
        <v>478</v>
      </c>
      <c r="F6994" s="9">
        <v>34</v>
      </c>
      <c r="G6994" s="9">
        <v>346</v>
      </c>
      <c r="H6994" s="5" t="s">
        <v>21</v>
      </c>
      <c r="I6994" s="5" t="s">
        <v>15963</v>
      </c>
      <c r="J6994" s="12" t="str">
        <f>HYPERLINK("https://www.boe.es/gazeta/dias/1800/04/29/pdfs/GMD-1800-34.pdf#page=10","Abrir facsímil")</f>
        <v>Abrir facsímil</v>
      </c>
      <c r="K6994" s="15" t="s">
        <v>23</v>
      </c>
    </row>
    <row r="6995" spans="1:11" ht="42" customHeight="1">
      <c r="A6995" s="4" t="s">
        <v>15964</v>
      </c>
      <c r="B6995" s="5" t="s">
        <v>15964</v>
      </c>
      <c r="C6995" s="5" t="s">
        <v>84</v>
      </c>
      <c r="D6995" s="5" t="s">
        <v>85</v>
      </c>
      <c r="E6995" s="5" t="s">
        <v>190</v>
      </c>
      <c r="F6995" s="9">
        <v>93</v>
      </c>
      <c r="G6995" s="9">
        <v>1058</v>
      </c>
      <c r="H6995" s="5" t="s">
        <v>21</v>
      </c>
      <c r="I6995" s="5" t="s">
        <v>15965</v>
      </c>
      <c r="J6995" s="12" t="str">
        <f>HYPERLINK("https://www.boe.es/gazeta/dias/1800/11/18/pdfs/GMD-1800-93.pdf#page=4","Abrir facsímil")</f>
        <v>Abrir facsímil</v>
      </c>
      <c r="K6995" s="15" t="s">
        <v>23</v>
      </c>
    </row>
    <row r="6996" spans="1:11" ht="42" customHeight="1">
      <c r="A6996" s="4" t="s">
        <v>15966</v>
      </c>
      <c r="B6996" s="5" t="s">
        <v>15966</v>
      </c>
      <c r="C6996" s="5" t="s">
        <v>41</v>
      </c>
      <c r="D6996" s="5" t="s">
        <v>42</v>
      </c>
      <c r="E6996" s="5" t="s">
        <v>190</v>
      </c>
      <c r="F6996" s="9">
        <v>93</v>
      </c>
      <c r="G6996" s="9">
        <v>1059</v>
      </c>
      <c r="H6996" s="5" t="s">
        <v>21</v>
      </c>
      <c r="I6996" s="5" t="s">
        <v>15967</v>
      </c>
      <c r="J6996" s="12" t="str">
        <f>HYPERLINK("https://www.boe.es/gazeta/dias/1800/11/18/pdfs/GMD-1800-93.pdf#page=5","Abrir facsímil")</f>
        <v>Abrir facsímil</v>
      </c>
      <c r="K6996" s="15" t="s">
        <v>23</v>
      </c>
    </row>
    <row r="6997" spans="1:11" ht="42" customHeight="1">
      <c r="A6997" s="4" t="s">
        <v>15968</v>
      </c>
      <c r="B6997" s="5" t="s">
        <v>15969</v>
      </c>
      <c r="C6997" s="5" t="s">
        <v>41</v>
      </c>
      <c r="D6997" s="5" t="s">
        <v>42</v>
      </c>
      <c r="E6997" s="5" t="s">
        <v>190</v>
      </c>
      <c r="F6997" s="9">
        <v>93</v>
      </c>
      <c r="G6997" s="9">
        <v>1064</v>
      </c>
      <c r="H6997" s="5" t="s">
        <v>21</v>
      </c>
      <c r="I6997" s="5" t="s">
        <v>15970</v>
      </c>
      <c r="J6997" s="12" t="str">
        <f>HYPERLINK("https://www.boe.es/gazeta/dias/1800/11/18/pdfs/GMD-1800-93.pdf#page=10","Abrir facsímil")</f>
        <v>Abrir facsímil</v>
      </c>
      <c r="K6997" s="15" t="s">
        <v>23</v>
      </c>
    </row>
    <row r="6998" spans="1:11" ht="42" customHeight="1">
      <c r="A6998" s="4" t="s">
        <v>15971</v>
      </c>
      <c r="B6998" s="5" t="s">
        <v>15972</v>
      </c>
      <c r="C6998" s="5" t="s">
        <v>54</v>
      </c>
      <c r="D6998" s="5" t="s">
        <v>55</v>
      </c>
      <c r="E6998" s="5" t="s">
        <v>86</v>
      </c>
      <c r="F6998" s="9">
        <v>17</v>
      </c>
      <c r="G6998" s="9">
        <v>162</v>
      </c>
      <c r="H6998" s="5" t="s">
        <v>21</v>
      </c>
      <c r="I6998" s="5" t="s">
        <v>15973</v>
      </c>
      <c r="J6998" s="12" t="str">
        <f>HYPERLINK("https://www.boe.es/gazeta/dias/1800/02/28/pdfs/GMD-1800-17.pdf#page=10","Abrir facsímil")</f>
        <v>Abrir facsímil</v>
      </c>
      <c r="K6998" s="15" t="s">
        <v>23</v>
      </c>
    </row>
    <row r="6999" spans="1:11" ht="42" customHeight="1">
      <c r="A6999" s="4" t="s">
        <v>15974</v>
      </c>
      <c r="B6999" s="5" t="s">
        <v>15975</v>
      </c>
      <c r="C6999" s="5" t="s">
        <v>41</v>
      </c>
      <c r="D6999" s="5" t="s">
        <v>42</v>
      </c>
      <c r="E6999" s="5" t="s">
        <v>534</v>
      </c>
      <c r="F6999" s="9">
        <v>100</v>
      </c>
      <c r="G6999" s="9">
        <v>1155</v>
      </c>
      <c r="H6999" s="5" t="s">
        <v>21</v>
      </c>
      <c r="I6999" s="5" t="s">
        <v>15976</v>
      </c>
      <c r="J6999" s="12" t="str">
        <f>HYPERLINK("https://www.boe.es/gazeta/dias/1800/12/12/pdfs/GMD-1800-100.pdf#page=7","Abrir facsímil")</f>
        <v>Abrir facsímil</v>
      </c>
      <c r="K6999" s="15" t="s">
        <v>23</v>
      </c>
    </row>
    <row r="7000" spans="1:11" ht="42" customHeight="1">
      <c r="A7000" s="4" t="s">
        <v>15977</v>
      </c>
      <c r="B7000" s="5" t="s">
        <v>15978</v>
      </c>
      <c r="C7000" s="5" t="s">
        <v>18</v>
      </c>
      <c r="D7000" s="5" t="s">
        <v>19</v>
      </c>
      <c r="E7000" s="5" t="s">
        <v>299</v>
      </c>
      <c r="F7000" s="9">
        <v>40</v>
      </c>
      <c r="G7000" s="9">
        <v>409</v>
      </c>
      <c r="H7000" s="5" t="s">
        <v>21</v>
      </c>
      <c r="I7000" s="5" t="s">
        <v>15979</v>
      </c>
      <c r="J7000" s="12" t="str">
        <f>HYPERLINK("https://www.boe.es/gazeta/dias/1800/05/20/pdfs/GMD-1800-40.pdf#page=5","Abrir facsímil")</f>
        <v>Abrir facsímil</v>
      </c>
      <c r="K7000" s="15" t="s">
        <v>23</v>
      </c>
    </row>
    <row r="7001" spans="1:11" ht="42" customHeight="1">
      <c r="A7001" s="4" t="s">
        <v>15977</v>
      </c>
      <c r="B7001" s="5" t="s">
        <v>15978</v>
      </c>
      <c r="C7001" s="5" t="s">
        <v>41</v>
      </c>
      <c r="D7001" s="5" t="s">
        <v>42</v>
      </c>
      <c r="E7001" s="5" t="s">
        <v>214</v>
      </c>
      <c r="F7001" s="9">
        <v>41</v>
      </c>
      <c r="G7001" s="9">
        <v>420</v>
      </c>
      <c r="H7001" s="5" t="s">
        <v>21</v>
      </c>
      <c r="I7001" s="5" t="s">
        <v>15980</v>
      </c>
      <c r="J7001" s="12" t="str">
        <f>HYPERLINK("https://www.boe.es/gazeta/dias/1800/05/23/pdfs/GMD-1800-41.pdf#page=4","Abrir facsímil")</f>
        <v>Abrir facsímil</v>
      </c>
      <c r="K7001" s="15" t="s">
        <v>23</v>
      </c>
    </row>
    <row r="7002" spans="1:11" ht="42" customHeight="1">
      <c r="A7002" s="4" t="s">
        <v>15977</v>
      </c>
      <c r="B7002" s="5" t="s">
        <v>15978</v>
      </c>
      <c r="C7002" s="5" t="s">
        <v>41</v>
      </c>
      <c r="D7002" s="5" t="s">
        <v>42</v>
      </c>
      <c r="E7002" s="5" t="s">
        <v>214</v>
      </c>
      <c r="F7002" s="9">
        <v>41</v>
      </c>
      <c r="G7002" s="9">
        <v>421</v>
      </c>
      <c r="H7002" s="5" t="s">
        <v>21</v>
      </c>
      <c r="I7002" s="5" t="s">
        <v>15981</v>
      </c>
      <c r="J7002" s="12" t="str">
        <f>HYPERLINK("https://www.boe.es/gazeta/dias/1800/05/23/pdfs/GMD-1800-41.pdf#page=5","Abrir facsímil")</f>
        <v>Abrir facsímil</v>
      </c>
      <c r="K7002" s="15" t="s">
        <v>23</v>
      </c>
    </row>
    <row r="7003" spans="1:11" ht="42" customHeight="1">
      <c r="A7003" s="4" t="s">
        <v>15977</v>
      </c>
      <c r="B7003" s="5" t="s">
        <v>15978</v>
      </c>
      <c r="C7003" s="5" t="s">
        <v>41</v>
      </c>
      <c r="D7003" s="5" t="s">
        <v>42</v>
      </c>
      <c r="E7003" s="5" t="s">
        <v>2338</v>
      </c>
      <c r="F7003" s="9">
        <v>42</v>
      </c>
      <c r="G7003" s="9">
        <v>434</v>
      </c>
      <c r="H7003" s="5" t="s">
        <v>21</v>
      </c>
      <c r="I7003" s="5" t="s">
        <v>15982</v>
      </c>
      <c r="J7003" s="12" t="str">
        <f>HYPERLINK("https://www.boe.es/gazeta/dias/1800/05/27/pdfs/GMD-1800-42.pdf#page=6","Abrir facsímil")</f>
        <v>Abrir facsímil</v>
      </c>
      <c r="K7003" s="15" t="s">
        <v>23</v>
      </c>
    </row>
    <row r="7004" spans="1:11" ht="42" customHeight="1">
      <c r="A7004" s="4" t="s">
        <v>15977</v>
      </c>
      <c r="B7004" s="5" t="s">
        <v>15978</v>
      </c>
      <c r="C7004" s="5" t="s">
        <v>41</v>
      </c>
      <c r="D7004" s="5" t="s">
        <v>42</v>
      </c>
      <c r="E7004" s="5" t="s">
        <v>39</v>
      </c>
      <c r="F7004" s="9">
        <v>43</v>
      </c>
      <c r="G7004" s="9">
        <v>447</v>
      </c>
      <c r="H7004" s="5" t="s">
        <v>21</v>
      </c>
      <c r="I7004" s="5" t="s">
        <v>15983</v>
      </c>
      <c r="J7004" s="12" t="str">
        <f>HYPERLINK("https://www.boe.es/gazeta/dias/1800/05/30/pdfs/GMD-1800-43.pdf#page=7","Abrir facsímil")</f>
        <v>Abrir facsímil</v>
      </c>
      <c r="K7004" s="15" t="s">
        <v>23</v>
      </c>
    </row>
    <row r="7005" spans="1:11" ht="42" customHeight="1">
      <c r="A7005" s="4" t="s">
        <v>15977</v>
      </c>
      <c r="B7005" s="5" t="s">
        <v>15978</v>
      </c>
      <c r="C7005" s="5" t="s">
        <v>41</v>
      </c>
      <c r="D7005" s="5" t="s">
        <v>42</v>
      </c>
      <c r="E7005" s="5" t="s">
        <v>600</v>
      </c>
      <c r="F7005" s="9">
        <v>45</v>
      </c>
      <c r="G7005" s="9">
        <v>470</v>
      </c>
      <c r="H7005" s="5" t="s">
        <v>21</v>
      </c>
      <c r="I7005" s="5" t="s">
        <v>15984</v>
      </c>
      <c r="J7005" s="12" t="str">
        <f>HYPERLINK("https://www.boe.es/gazeta/dias/1800/06/06/pdfs/GMD-1800-45.pdf#page=6","Abrir facsímil")</f>
        <v>Abrir facsímil</v>
      </c>
      <c r="K7005" s="15" t="s">
        <v>23</v>
      </c>
    </row>
    <row r="7006" spans="1:11" ht="42" customHeight="1">
      <c r="A7006" s="4" t="s">
        <v>15985</v>
      </c>
      <c r="B7006" s="5" t="s">
        <v>15986</v>
      </c>
      <c r="C7006" s="5" t="s">
        <v>18</v>
      </c>
      <c r="D7006" s="5" t="s">
        <v>19</v>
      </c>
      <c r="E7006" s="5" t="s">
        <v>214</v>
      </c>
      <c r="F7006" s="9">
        <v>41</v>
      </c>
      <c r="G7006" s="9">
        <v>420</v>
      </c>
      <c r="H7006" s="5" t="s">
        <v>21</v>
      </c>
      <c r="I7006" s="5" t="s">
        <v>15987</v>
      </c>
      <c r="J7006" s="12" t="str">
        <f>HYPERLINK("https://www.boe.es/gazeta/dias/1800/05/23/pdfs/GMD-1800-41.pdf#page=4","Abrir facsímil")</f>
        <v>Abrir facsímil</v>
      </c>
      <c r="K7006" s="15" t="s">
        <v>23</v>
      </c>
    </row>
    <row r="7007" spans="1:11" ht="42" customHeight="1">
      <c r="A7007" s="4" t="s">
        <v>15985</v>
      </c>
      <c r="B7007" s="5" t="s">
        <v>15986</v>
      </c>
      <c r="C7007" s="5" t="s">
        <v>18</v>
      </c>
      <c r="D7007" s="5" t="s">
        <v>19</v>
      </c>
      <c r="E7007" s="5" t="s">
        <v>2338</v>
      </c>
      <c r="F7007" s="9">
        <v>42</v>
      </c>
      <c r="G7007" s="9">
        <v>433</v>
      </c>
      <c r="H7007" s="5" t="s">
        <v>21</v>
      </c>
      <c r="I7007" s="5" t="s">
        <v>15988</v>
      </c>
      <c r="J7007" s="12" t="str">
        <f>HYPERLINK("https://www.boe.es/gazeta/dias/1800/05/27/pdfs/GMD-1800-42.pdf#page=5","Abrir facsímil")</f>
        <v>Abrir facsímil</v>
      </c>
      <c r="K7007" s="15" t="s">
        <v>23</v>
      </c>
    </row>
    <row r="7008" spans="1:11" ht="42" customHeight="1">
      <c r="A7008" s="4" t="s">
        <v>15985</v>
      </c>
      <c r="B7008" s="5" t="s">
        <v>15986</v>
      </c>
      <c r="C7008" s="5" t="s">
        <v>18</v>
      </c>
      <c r="D7008" s="5" t="s">
        <v>19</v>
      </c>
      <c r="E7008" s="5" t="s">
        <v>600</v>
      </c>
      <c r="F7008" s="9">
        <v>45</v>
      </c>
      <c r="G7008" s="9">
        <v>469</v>
      </c>
      <c r="H7008" s="5" t="s">
        <v>21</v>
      </c>
      <c r="I7008" s="5" t="s">
        <v>15989</v>
      </c>
      <c r="J7008" s="12" t="str">
        <f>HYPERLINK("https://www.boe.es/gazeta/dias/1800/06/06/pdfs/GMD-1800-45.pdf#page=5","Abrir facsímil")</f>
        <v>Abrir facsímil</v>
      </c>
      <c r="K7008" s="15" t="s">
        <v>23</v>
      </c>
    </row>
    <row r="7009" spans="1:11" ht="42" customHeight="1">
      <c r="A7009" s="4" t="s">
        <v>15990</v>
      </c>
      <c r="B7009" s="5" t="s">
        <v>15990</v>
      </c>
      <c r="C7009" s="5" t="s">
        <v>41</v>
      </c>
      <c r="D7009" s="5" t="s">
        <v>42</v>
      </c>
      <c r="E7009" s="5" t="s">
        <v>828</v>
      </c>
      <c r="F7009" s="9">
        <v>53</v>
      </c>
      <c r="G7009" s="9">
        <v>585</v>
      </c>
      <c r="H7009" s="5" t="s">
        <v>21</v>
      </c>
      <c r="I7009" s="5" t="s">
        <v>2993</v>
      </c>
      <c r="J7009" s="12" t="str">
        <f>HYPERLINK("https://www.boe.es/gazeta/dias/1800/07/04/pdfs/GMD-1800-53.pdf#page=5","Abrir facsímil")</f>
        <v>Abrir facsímil</v>
      </c>
      <c r="K7009" s="15" t="s">
        <v>23</v>
      </c>
    </row>
    <row r="7010" spans="1:11" ht="42" customHeight="1">
      <c r="A7010" s="4" t="s">
        <v>15991</v>
      </c>
      <c r="B7010" s="5" t="s">
        <v>15992</v>
      </c>
      <c r="C7010" s="5" t="s">
        <v>41</v>
      </c>
      <c r="D7010" s="5" t="s">
        <v>42</v>
      </c>
      <c r="E7010" s="5" t="s">
        <v>590</v>
      </c>
      <c r="F7010" s="9">
        <v>69</v>
      </c>
      <c r="G7010" s="9">
        <v>773</v>
      </c>
      <c r="H7010" s="5" t="s">
        <v>21</v>
      </c>
      <c r="I7010" s="5" t="s">
        <v>15993</v>
      </c>
      <c r="J7010" s="12" t="str">
        <f>HYPERLINK("https://www.boe.es/gazeta/dias/1800/08/29/pdfs/GMD-1800-69.pdf#page=5","Abrir facsímil")</f>
        <v>Abrir facsímil</v>
      </c>
      <c r="K7010" s="15" t="s">
        <v>23</v>
      </c>
    </row>
    <row r="7011" spans="1:11" ht="42" customHeight="1">
      <c r="A7011" s="4" t="s">
        <v>15991</v>
      </c>
      <c r="B7011" s="5" t="s">
        <v>15992</v>
      </c>
      <c r="C7011" s="5" t="s">
        <v>41</v>
      </c>
      <c r="D7011" s="5" t="s">
        <v>42</v>
      </c>
      <c r="E7011" s="5" t="s">
        <v>445</v>
      </c>
      <c r="F7011" s="9">
        <v>96</v>
      </c>
      <c r="G7011" s="9">
        <v>1099</v>
      </c>
      <c r="H7011" s="5" t="s">
        <v>21</v>
      </c>
      <c r="I7011" s="5" t="s">
        <v>15994</v>
      </c>
      <c r="J7011" s="12" t="str">
        <f>HYPERLINK("https://www.boe.es/gazeta/dias/1800/11/28/pdfs/GMD-1800-96.pdf#page=3","Abrir facsímil")</f>
        <v>Abrir facsímil</v>
      </c>
      <c r="K7011" s="15" t="s">
        <v>23</v>
      </c>
    </row>
    <row r="7012" spans="1:11" ht="42" customHeight="1">
      <c r="A7012" s="4" t="s">
        <v>15995</v>
      </c>
      <c r="B7012" s="5" t="s">
        <v>15996</v>
      </c>
      <c r="C7012" s="5" t="s">
        <v>41</v>
      </c>
      <c r="D7012" s="5" t="s">
        <v>42</v>
      </c>
      <c r="E7012" s="5" t="s">
        <v>75</v>
      </c>
      <c r="F7012" s="9">
        <v>64</v>
      </c>
      <c r="G7012" s="9">
        <v>727</v>
      </c>
      <c r="H7012" s="5" t="s">
        <v>21</v>
      </c>
      <c r="I7012" s="5" t="s">
        <v>15997</v>
      </c>
      <c r="J7012" s="12" t="str">
        <f>HYPERLINK("https://www.boe.es/gazeta/dias/1800/08/12/pdfs/GMD-1800-64.pdf#page=3","Abrir facsímil")</f>
        <v>Abrir facsímil</v>
      </c>
      <c r="K7012" s="15" t="s">
        <v>23</v>
      </c>
    </row>
    <row r="7013" spans="1:11" ht="42" customHeight="1">
      <c r="A7013" s="4" t="s">
        <v>15998</v>
      </c>
      <c r="B7013" s="5" t="s">
        <v>15998</v>
      </c>
      <c r="C7013" s="5" t="s">
        <v>18</v>
      </c>
      <c r="D7013" s="5" t="s">
        <v>19</v>
      </c>
      <c r="E7013" s="5" t="s">
        <v>491</v>
      </c>
      <c r="F7013" s="9">
        <v>29</v>
      </c>
      <c r="G7013" s="9">
        <v>298</v>
      </c>
      <c r="H7013" s="5" t="s">
        <v>21</v>
      </c>
      <c r="I7013" s="5" t="s">
        <v>15999</v>
      </c>
      <c r="J7013" s="12" t="str">
        <f>HYPERLINK("https://www.boe.es/gazeta/dias/1800/04/11/pdfs/GMD-1800-29.pdf#page=6","Abrir facsímil")</f>
        <v>Abrir facsímil</v>
      </c>
      <c r="K7013" s="15" t="s">
        <v>23</v>
      </c>
    </row>
    <row r="7014" spans="1:11" ht="42" customHeight="1">
      <c r="A7014" s="4" t="s">
        <v>16000</v>
      </c>
      <c r="B7014" s="5" t="s">
        <v>16001</v>
      </c>
      <c r="C7014" s="5" t="s">
        <v>41</v>
      </c>
      <c r="D7014" s="5" t="s">
        <v>42</v>
      </c>
      <c r="E7014" s="5" t="s">
        <v>39</v>
      </c>
      <c r="F7014" s="9">
        <v>43</v>
      </c>
      <c r="G7014" s="9">
        <v>447</v>
      </c>
      <c r="H7014" s="5" t="s">
        <v>21</v>
      </c>
      <c r="I7014" s="5" t="s">
        <v>16002</v>
      </c>
      <c r="J7014" s="12" t="str">
        <f>HYPERLINK("https://www.boe.es/gazeta/dias/1800/05/30/pdfs/GMD-1800-43.pdf#page=7","Abrir facsímil")</f>
        <v>Abrir facsímil</v>
      </c>
      <c r="K7014" s="15" t="s">
        <v>23</v>
      </c>
    </row>
    <row r="7015" spans="1:11" ht="42" customHeight="1">
      <c r="A7015" s="4" t="s">
        <v>16000</v>
      </c>
      <c r="B7015" s="5" t="s">
        <v>16001</v>
      </c>
      <c r="C7015" s="5" t="s">
        <v>41</v>
      </c>
      <c r="D7015" s="5" t="s">
        <v>42</v>
      </c>
      <c r="E7015" s="5" t="s">
        <v>176</v>
      </c>
      <c r="F7015" s="9">
        <v>88</v>
      </c>
      <c r="G7015" s="9">
        <v>1028</v>
      </c>
      <c r="H7015" s="5" t="s">
        <v>21</v>
      </c>
      <c r="I7015" s="5" t="s">
        <v>16003</v>
      </c>
      <c r="J7015" s="12" t="str">
        <f>HYPERLINK("https://www.boe.es/gazeta/dias/1800/10/31/pdfs/GMD-1800-88.pdf#page=10","Abrir facsímil")</f>
        <v>Abrir facsímil</v>
      </c>
      <c r="K7015" s="15" t="s">
        <v>23</v>
      </c>
    </row>
    <row r="7016" spans="1:11" ht="42" customHeight="1">
      <c r="A7016" s="4" t="s">
        <v>16004</v>
      </c>
      <c r="B7016" s="5" t="s">
        <v>16005</v>
      </c>
      <c r="C7016" s="5" t="s">
        <v>18</v>
      </c>
      <c r="D7016" s="5" t="s">
        <v>19</v>
      </c>
      <c r="E7016" s="5" t="s">
        <v>299</v>
      </c>
      <c r="F7016" s="9">
        <v>40</v>
      </c>
      <c r="G7016" s="9">
        <v>410</v>
      </c>
      <c r="H7016" s="5" t="s">
        <v>21</v>
      </c>
      <c r="I7016" s="5" t="s">
        <v>16006</v>
      </c>
      <c r="J7016" s="12" t="str">
        <f>HYPERLINK("https://www.boe.es/gazeta/dias/1800/05/20/pdfs/GMD-1800-40.pdf#page=6","Abrir facsímil")</f>
        <v>Abrir facsímil</v>
      </c>
      <c r="K7016" s="15" t="s">
        <v>23</v>
      </c>
    </row>
    <row r="7017" spans="1:11" ht="42" customHeight="1">
      <c r="A7017" s="4" t="s">
        <v>16004</v>
      </c>
      <c r="B7017" s="5" t="s">
        <v>16005</v>
      </c>
      <c r="C7017" s="5" t="s">
        <v>18</v>
      </c>
      <c r="D7017" s="5" t="s">
        <v>19</v>
      </c>
      <c r="E7017" s="5" t="s">
        <v>214</v>
      </c>
      <c r="F7017" s="9">
        <v>41</v>
      </c>
      <c r="G7017" s="9">
        <v>420</v>
      </c>
      <c r="H7017" s="5" t="s">
        <v>21</v>
      </c>
      <c r="I7017" s="5" t="s">
        <v>16007</v>
      </c>
      <c r="J7017" s="12" t="str">
        <f>HYPERLINK("https://www.boe.es/gazeta/dias/1800/05/23/pdfs/GMD-1800-41.pdf#page=4","Abrir facsímil")</f>
        <v>Abrir facsímil</v>
      </c>
      <c r="K7017" s="15" t="s">
        <v>23</v>
      </c>
    </row>
    <row r="7018" spans="1:11" ht="42" customHeight="1">
      <c r="A7018" s="4" t="s">
        <v>16008</v>
      </c>
      <c r="B7018" s="5" t="s">
        <v>16009</v>
      </c>
      <c r="C7018" s="5" t="s">
        <v>54</v>
      </c>
      <c r="D7018" s="5" t="s">
        <v>55</v>
      </c>
      <c r="E7018" s="5" t="s">
        <v>45</v>
      </c>
      <c r="F7018" s="9">
        <v>47</v>
      </c>
      <c r="G7018" s="9">
        <v>502</v>
      </c>
      <c r="H7018" s="5" t="s">
        <v>21</v>
      </c>
      <c r="I7018" s="5" t="s">
        <v>16010</v>
      </c>
      <c r="J7018" s="12" t="str">
        <f>HYPERLINK("https://www.boe.es/gazeta/dias/1800/06/13/pdfs/GMD-1800-47.pdf#page=10","Abrir facsímil")</f>
        <v>Abrir facsímil</v>
      </c>
      <c r="K7018" s="15" t="s">
        <v>23</v>
      </c>
    </row>
    <row r="7019" spans="1:11" ht="42" customHeight="1">
      <c r="A7019" s="4" t="s">
        <v>16011</v>
      </c>
      <c r="B7019" s="5" t="s">
        <v>16012</v>
      </c>
      <c r="C7019" s="5" t="s">
        <v>25</v>
      </c>
      <c r="D7019" s="5" t="s">
        <v>26</v>
      </c>
      <c r="E7019" s="5" t="s">
        <v>131</v>
      </c>
      <c r="F7019" s="9">
        <v>8</v>
      </c>
      <c r="G7019" s="9">
        <v>74</v>
      </c>
      <c r="H7019" s="5" t="s">
        <v>21</v>
      </c>
      <c r="I7019" s="5" t="s">
        <v>16013</v>
      </c>
      <c r="J7019" s="12" t="str">
        <f>HYPERLINK("https://www.boe.es/gazeta/dias/1800/01/28/pdfs/GMD-1800-8.pdf#page=6","Abrir facsímil")</f>
        <v>Abrir facsímil</v>
      </c>
      <c r="K7019" s="15" t="s">
        <v>23</v>
      </c>
    </row>
    <row r="7020" spans="1:11" ht="42" customHeight="1">
      <c r="A7020" s="4" t="s">
        <v>16014</v>
      </c>
      <c r="B7020" s="5" t="s">
        <v>16015</v>
      </c>
      <c r="C7020" s="5" t="s">
        <v>41</v>
      </c>
      <c r="D7020" s="5" t="s">
        <v>42</v>
      </c>
      <c r="E7020" s="5" t="s">
        <v>190</v>
      </c>
      <c r="F7020" s="9">
        <v>93</v>
      </c>
      <c r="G7020" s="9">
        <v>1063</v>
      </c>
      <c r="H7020" s="5" t="s">
        <v>21</v>
      </c>
      <c r="I7020" s="5" t="s">
        <v>16016</v>
      </c>
      <c r="J7020" s="12" t="str">
        <f>HYPERLINK("https://www.boe.es/gazeta/dias/1800/11/18/pdfs/GMD-1800-93.pdf#page=9","Abrir facsímil")</f>
        <v>Abrir facsímil</v>
      </c>
      <c r="K7020" s="15" t="s">
        <v>23</v>
      </c>
    </row>
    <row r="7021" spans="1:11" ht="42" customHeight="1">
      <c r="A7021" s="4" t="s">
        <v>16017</v>
      </c>
      <c r="B7021" s="5" t="s">
        <v>16018</v>
      </c>
      <c r="C7021" s="5" t="s">
        <v>41</v>
      </c>
      <c r="D7021" s="5" t="s">
        <v>42</v>
      </c>
      <c r="E7021" s="5" t="s">
        <v>534</v>
      </c>
      <c r="F7021" s="9">
        <v>100</v>
      </c>
      <c r="G7021" s="9">
        <v>1157</v>
      </c>
      <c r="H7021" s="5" t="s">
        <v>21</v>
      </c>
      <c r="I7021" s="5" t="s">
        <v>16019</v>
      </c>
      <c r="J7021" s="12" t="str">
        <f>HYPERLINK("https://www.boe.es/gazeta/dias/1800/12/12/pdfs/GMD-1800-100.pdf#page=9","Abrir facsímil")</f>
        <v>Abrir facsímil</v>
      </c>
      <c r="K7021" s="15" t="s">
        <v>23</v>
      </c>
    </row>
    <row r="7022" spans="1:11" ht="42" customHeight="1">
      <c r="A7022" s="4" t="s">
        <v>16020</v>
      </c>
      <c r="B7022" s="5" t="s">
        <v>16020</v>
      </c>
      <c r="C7022" s="5" t="s">
        <v>41</v>
      </c>
      <c r="D7022" s="5" t="s">
        <v>42</v>
      </c>
      <c r="E7022" s="5" t="s">
        <v>218</v>
      </c>
      <c r="F7022" s="9">
        <v>5</v>
      </c>
      <c r="G7022" s="9">
        <v>44</v>
      </c>
      <c r="H7022" s="5" t="s">
        <v>21</v>
      </c>
      <c r="I7022" s="5" t="s">
        <v>16021</v>
      </c>
      <c r="J7022" s="12" t="str">
        <f>HYPERLINK("https://www.boe.es/gazeta/dias/1800/01/17/pdfs/GMD-1800-5.pdf#page=4","Abrir facsímil")</f>
        <v>Abrir facsímil</v>
      </c>
      <c r="K7022" s="15" t="s">
        <v>23</v>
      </c>
    </row>
    <row r="7023" spans="1:11" ht="42" customHeight="1">
      <c r="A7023" s="4" t="s">
        <v>16022</v>
      </c>
      <c r="B7023" s="5" t="s">
        <v>16022</v>
      </c>
      <c r="C7023" s="5" t="s">
        <v>41</v>
      </c>
      <c r="D7023" s="5" t="s">
        <v>42</v>
      </c>
      <c r="E7023" s="5" t="s">
        <v>283</v>
      </c>
      <c r="F7023" s="9">
        <v>68</v>
      </c>
      <c r="G7023" s="9">
        <v>761</v>
      </c>
      <c r="H7023" s="5" t="s">
        <v>21</v>
      </c>
      <c r="I7023" s="5" t="s">
        <v>16023</v>
      </c>
      <c r="J7023" s="12" t="str">
        <f>HYPERLINK("https://www.boe.es/gazeta/dias/1800/08/26/pdfs/GMD-1800-68.pdf#page=5","Abrir facsímil")</f>
        <v>Abrir facsímil</v>
      </c>
      <c r="K7023" s="15" t="s">
        <v>23</v>
      </c>
    </row>
    <row r="7024" spans="1:11" ht="42" customHeight="1">
      <c r="A7024" s="4" t="s">
        <v>16024</v>
      </c>
      <c r="B7024" s="5" t="s">
        <v>16024</v>
      </c>
      <c r="C7024" s="5" t="s">
        <v>41</v>
      </c>
      <c r="D7024" s="5" t="s">
        <v>42</v>
      </c>
      <c r="E7024" s="5" t="s">
        <v>283</v>
      </c>
      <c r="F7024" s="9">
        <v>68</v>
      </c>
      <c r="G7024" s="9">
        <v>761</v>
      </c>
      <c r="H7024" s="5" t="s">
        <v>21</v>
      </c>
      <c r="I7024" s="5" t="s">
        <v>16025</v>
      </c>
      <c r="J7024" s="12" t="str">
        <f>HYPERLINK("https://www.boe.es/gazeta/dias/1800/08/26/pdfs/GMD-1800-68.pdf#page=5","Abrir facsímil")</f>
        <v>Abrir facsímil</v>
      </c>
      <c r="K7024" s="15" t="s">
        <v>23</v>
      </c>
    </row>
    <row r="7025" spans="1:11" ht="42" customHeight="1">
      <c r="A7025" s="4" t="s">
        <v>16026</v>
      </c>
      <c r="B7025" s="5" t="s">
        <v>16027</v>
      </c>
      <c r="C7025" s="5" t="s">
        <v>41</v>
      </c>
      <c r="D7025" s="5" t="s">
        <v>42</v>
      </c>
      <c r="E7025" s="5" t="s">
        <v>595</v>
      </c>
      <c r="F7025" s="9">
        <v>72</v>
      </c>
      <c r="G7025" s="9">
        <v>794</v>
      </c>
      <c r="H7025" s="5" t="s">
        <v>21</v>
      </c>
      <c r="I7025" s="5" t="s">
        <v>16028</v>
      </c>
      <c r="J7025" s="12" t="str">
        <f>HYPERLINK("https://www.boe.es/gazeta/dias/1800/09/05/pdfs/GMD-1800-72.pdf#page=4","Abrir facsímil")</f>
        <v>Abrir facsímil</v>
      </c>
      <c r="K7025" s="15" t="s">
        <v>23</v>
      </c>
    </row>
    <row r="7026" spans="1:11" ht="42" customHeight="1">
      <c r="A7026" s="4" t="s">
        <v>16029</v>
      </c>
      <c r="B7026" s="5" t="s">
        <v>16029</v>
      </c>
      <c r="C7026" s="5" t="s">
        <v>41</v>
      </c>
      <c r="D7026" s="5" t="s">
        <v>42</v>
      </c>
      <c r="E7026" s="5" t="s">
        <v>567</v>
      </c>
      <c r="F7026" s="9">
        <v>3</v>
      </c>
      <c r="G7026" s="9">
        <v>21</v>
      </c>
      <c r="H7026" s="5" t="s">
        <v>21</v>
      </c>
      <c r="I7026" s="5" t="s">
        <v>16030</v>
      </c>
      <c r="J7026" s="12" t="str">
        <f>HYPERLINK("https://www.boe.es/gazeta/dias/1800/01/10/pdfs/GMD-1800-3.pdf#page=1","Abrir facsímil")</f>
        <v>Abrir facsímil</v>
      </c>
      <c r="K7026" s="15" t="s">
        <v>23</v>
      </c>
    </row>
    <row r="7027" spans="1:11" ht="42" customHeight="1">
      <c r="A7027" s="4" t="s">
        <v>16031</v>
      </c>
      <c r="B7027" s="5" t="s">
        <v>16031</v>
      </c>
      <c r="C7027" s="5" t="s">
        <v>41</v>
      </c>
      <c r="D7027" s="5" t="s">
        <v>42</v>
      </c>
      <c r="E7027" s="5" t="s">
        <v>158</v>
      </c>
      <c r="F7027" s="9">
        <v>25</v>
      </c>
      <c r="G7027" s="9">
        <v>251</v>
      </c>
      <c r="H7027" s="5" t="s">
        <v>21</v>
      </c>
      <c r="I7027" s="5" t="s">
        <v>9895</v>
      </c>
      <c r="J7027" s="12" t="str">
        <f>HYPERLINK("https://www.boe.es/gazeta/dias/1800/03/28/pdfs/GMD-1800-25.pdf#page=3","Abrir facsímil")</f>
        <v>Abrir facsímil</v>
      </c>
      <c r="K7027" s="15" t="s">
        <v>23</v>
      </c>
    </row>
    <row r="7028" spans="1:11" ht="42" customHeight="1">
      <c r="A7028" s="4" t="s">
        <v>16032</v>
      </c>
      <c r="B7028" s="5" t="s">
        <v>16033</v>
      </c>
      <c r="C7028" s="5" t="s">
        <v>18</v>
      </c>
      <c r="D7028" s="5" t="s">
        <v>19</v>
      </c>
      <c r="E7028" s="5" t="s">
        <v>48</v>
      </c>
      <c r="F7028" s="9">
        <v>66</v>
      </c>
      <c r="G7028" s="9">
        <v>737</v>
      </c>
      <c r="H7028" s="5" t="s">
        <v>21</v>
      </c>
      <c r="I7028" s="5" t="s">
        <v>16034</v>
      </c>
      <c r="J7028" s="12" t="str">
        <f>HYPERLINK("https://www.boe.es/gazeta/dias/1800/08/19/pdfs/GMD-1800-66.pdf#page=1","Abrir facsímil")</f>
        <v>Abrir facsímil</v>
      </c>
      <c r="K7028" s="15" t="s">
        <v>23</v>
      </c>
    </row>
    <row r="7029" spans="1:11" ht="42" customHeight="1">
      <c r="A7029" s="4" t="s">
        <v>16035</v>
      </c>
      <c r="B7029" s="5" t="s">
        <v>16036</v>
      </c>
      <c r="C7029" s="5" t="s">
        <v>41</v>
      </c>
      <c r="D7029" s="5" t="s">
        <v>42</v>
      </c>
      <c r="E7029" s="5" t="s">
        <v>20</v>
      </c>
      <c r="F7029" s="9">
        <v>104</v>
      </c>
      <c r="G7029" s="9">
        <v>1204</v>
      </c>
      <c r="H7029" s="5" t="s">
        <v>21</v>
      </c>
      <c r="I7029" s="5" t="s">
        <v>16037</v>
      </c>
      <c r="J7029" s="12" t="str">
        <f>HYPERLINK("https://www.boe.es/gazeta/dias/1800/12/26/pdfs/GMD-1800-104.pdf#page=4","Abrir facsímil")</f>
        <v>Abrir facsímil</v>
      </c>
      <c r="K7029" s="15" t="s">
        <v>23</v>
      </c>
    </row>
    <row r="7030" spans="1:11" ht="42" customHeight="1">
      <c r="A7030" s="4" t="s">
        <v>16038</v>
      </c>
      <c r="B7030" s="5" t="s">
        <v>16038</v>
      </c>
      <c r="C7030" s="5" t="s">
        <v>18</v>
      </c>
      <c r="D7030" s="5" t="s">
        <v>19</v>
      </c>
      <c r="E7030" s="5" t="s">
        <v>143</v>
      </c>
      <c r="F7030" s="9">
        <v>22</v>
      </c>
      <c r="G7030" s="9">
        <v>209</v>
      </c>
      <c r="H7030" s="5" t="s">
        <v>21</v>
      </c>
      <c r="I7030" s="5" t="s">
        <v>16039</v>
      </c>
      <c r="J7030" s="12" t="str">
        <f>HYPERLINK("https://www.boe.es/gazeta/dias/1800/03/18/pdfs/GMD-1800-22.pdf#page=1","Abrir facsímil")</f>
        <v>Abrir facsímil</v>
      </c>
      <c r="K7030" s="15" t="s">
        <v>23</v>
      </c>
    </row>
    <row r="7031" spans="1:11" ht="42" customHeight="1">
      <c r="A7031" s="4" t="s">
        <v>16040</v>
      </c>
      <c r="B7031" s="5" t="s">
        <v>16041</v>
      </c>
      <c r="C7031" s="5" t="s">
        <v>25</v>
      </c>
      <c r="D7031" s="5" t="s">
        <v>26</v>
      </c>
      <c r="E7031" s="5" t="s">
        <v>402</v>
      </c>
      <c r="F7031" s="9">
        <v>101</v>
      </c>
      <c r="G7031" s="9">
        <v>1173</v>
      </c>
      <c r="H7031" s="5" t="s">
        <v>21</v>
      </c>
      <c r="I7031" s="5" t="s">
        <v>16042</v>
      </c>
      <c r="J7031" s="12" t="str">
        <f>HYPERLINK("https://www.boe.es/gazeta/dias/1800/12/16/pdfs/GMD-1800-101.pdf#page=9","Abrir facsímil")</f>
        <v>Abrir facsímil</v>
      </c>
      <c r="K7031" s="15" t="s">
        <v>23</v>
      </c>
    </row>
    <row r="7032" spans="1:11" ht="42" customHeight="1">
      <c r="A7032" s="4" t="s">
        <v>16043</v>
      </c>
      <c r="B7032" s="5" t="s">
        <v>16044</v>
      </c>
      <c r="C7032" s="5" t="s">
        <v>41</v>
      </c>
      <c r="D7032" s="5" t="s">
        <v>42</v>
      </c>
      <c r="E7032" s="5" t="s">
        <v>530</v>
      </c>
      <c r="F7032" s="9">
        <v>55</v>
      </c>
      <c r="G7032" s="9">
        <v>614</v>
      </c>
      <c r="H7032" s="5" t="s">
        <v>21</v>
      </c>
      <c r="I7032" s="5" t="s">
        <v>16045</v>
      </c>
      <c r="J7032" s="12" t="str">
        <f>HYPERLINK("https://www.boe.es/gazeta/dias/1800/07/11/pdfs/GMD-1800-55.pdf#page=2","Abrir facsímil")</f>
        <v>Abrir facsímil</v>
      </c>
      <c r="K7032" s="15" t="s">
        <v>23</v>
      </c>
    </row>
    <row r="7033" spans="1:11" ht="42" customHeight="1">
      <c r="A7033" s="4" t="s">
        <v>16046</v>
      </c>
      <c r="B7033" s="5" t="s">
        <v>16047</v>
      </c>
      <c r="C7033" s="5" t="s">
        <v>171</v>
      </c>
      <c r="D7033" s="5" t="s">
        <v>172</v>
      </c>
      <c r="E7033" s="5" t="s">
        <v>147</v>
      </c>
      <c r="F7033" s="9">
        <v>84</v>
      </c>
      <c r="G7033" s="9">
        <v>975</v>
      </c>
      <c r="H7033" s="5" t="s">
        <v>21</v>
      </c>
      <c r="I7033" s="5" t="s">
        <v>16048</v>
      </c>
      <c r="J7033" s="12" t="str">
        <f>HYPERLINK("https://www.boe.es/gazeta/dias/1800/10/17/pdfs/GMD-C-1800-84.pdf#page=1","Abrir facsímil")</f>
        <v>Abrir facsímil</v>
      </c>
      <c r="K7033" s="15" t="s">
        <v>23</v>
      </c>
    </row>
    <row r="7034" spans="1:11" ht="42" customHeight="1">
      <c r="A7034" s="4" t="s">
        <v>16049</v>
      </c>
      <c r="B7034" s="5" t="s">
        <v>16050</v>
      </c>
      <c r="C7034" s="5" t="s">
        <v>41</v>
      </c>
      <c r="D7034" s="5" t="s">
        <v>42</v>
      </c>
      <c r="E7034" s="5" t="s">
        <v>1213</v>
      </c>
      <c r="F7034" s="9">
        <v>4</v>
      </c>
      <c r="G7034" s="9">
        <v>29</v>
      </c>
      <c r="H7034" s="5" t="s">
        <v>21</v>
      </c>
      <c r="I7034" s="5" t="s">
        <v>16051</v>
      </c>
      <c r="J7034" s="12" t="str">
        <f>HYPERLINK("https://www.boe.es/gazeta/dias/1800/01/14/pdfs/GMD-1800-4.pdf#page=1","Abrir facsímil")</f>
        <v>Abrir facsímil</v>
      </c>
      <c r="K7034" s="15" t="s">
        <v>23</v>
      </c>
    </row>
    <row r="7035" spans="1:11" ht="42" customHeight="1">
      <c r="A7035" s="4" t="s">
        <v>16052</v>
      </c>
      <c r="B7035" s="5" t="s">
        <v>16053</v>
      </c>
      <c r="C7035" s="5" t="s">
        <v>41</v>
      </c>
      <c r="D7035" s="5" t="s">
        <v>42</v>
      </c>
      <c r="E7035" s="5" t="s">
        <v>226</v>
      </c>
      <c r="F7035" s="9">
        <v>27</v>
      </c>
      <c r="G7035" s="9">
        <v>275</v>
      </c>
      <c r="H7035" s="5" t="s">
        <v>21</v>
      </c>
      <c r="I7035" s="5" t="s">
        <v>16054</v>
      </c>
      <c r="J7035" s="12" t="str">
        <f>HYPERLINK("https://www.boe.es/gazeta/dias/1800/04/04/pdfs/GMD-1800-27.pdf#page=3","Abrir facsímil")</f>
        <v>Abrir facsímil</v>
      </c>
      <c r="K7035" s="15" t="s">
        <v>23</v>
      </c>
    </row>
    <row r="7036" spans="1:11" ht="42" customHeight="1">
      <c r="A7036" s="4" t="s">
        <v>16052</v>
      </c>
      <c r="B7036" s="5" t="s">
        <v>16053</v>
      </c>
      <c r="C7036" s="5" t="s">
        <v>41</v>
      </c>
      <c r="D7036" s="5" t="s">
        <v>42</v>
      </c>
      <c r="E7036" s="5" t="s">
        <v>226</v>
      </c>
      <c r="F7036" s="9">
        <v>27</v>
      </c>
      <c r="G7036" s="9">
        <v>277</v>
      </c>
      <c r="H7036" s="5" t="s">
        <v>21</v>
      </c>
      <c r="I7036" s="5" t="s">
        <v>16055</v>
      </c>
      <c r="J7036" s="12" t="str">
        <f>HYPERLINK("https://www.boe.es/gazeta/dias/1800/04/04/pdfs/GMD-1800-27.pdf#page=5","Abrir facsímil")</f>
        <v>Abrir facsímil</v>
      </c>
      <c r="K7036" s="15" t="s">
        <v>23</v>
      </c>
    </row>
    <row r="7037" spans="1:11" ht="42" customHeight="1">
      <c r="A7037" s="4" t="s">
        <v>16056</v>
      </c>
      <c r="B7037" s="5" t="s">
        <v>16057</v>
      </c>
      <c r="C7037" s="5" t="s">
        <v>41</v>
      </c>
      <c r="D7037" s="5" t="s">
        <v>42</v>
      </c>
      <c r="E7037" s="5" t="s">
        <v>139</v>
      </c>
      <c r="F7037" s="9">
        <v>2</v>
      </c>
      <c r="G7037" s="9">
        <v>13</v>
      </c>
      <c r="H7037" s="5" t="s">
        <v>21</v>
      </c>
      <c r="I7037" s="5" t="s">
        <v>16058</v>
      </c>
      <c r="J7037" s="12" t="str">
        <f>HYPERLINK("https://www.boe.es/gazeta/dias/1800/01/07/pdfs/GMD-1800-2.pdf#page=5","Abrir facsímil")</f>
        <v>Abrir facsímil</v>
      </c>
      <c r="K7037" s="15" t="s">
        <v>23</v>
      </c>
    </row>
    <row r="7038" spans="1:11" ht="42" customHeight="1">
      <c r="A7038" s="4" t="s">
        <v>16056</v>
      </c>
      <c r="B7038" s="5" t="s">
        <v>16057</v>
      </c>
      <c r="C7038" s="5" t="s">
        <v>41</v>
      </c>
      <c r="D7038" s="5" t="s">
        <v>42</v>
      </c>
      <c r="E7038" s="5" t="s">
        <v>346</v>
      </c>
      <c r="F7038" s="9">
        <v>24</v>
      </c>
      <c r="G7038" s="9">
        <v>238</v>
      </c>
      <c r="H7038" s="5" t="s">
        <v>21</v>
      </c>
      <c r="I7038" s="5" t="s">
        <v>16059</v>
      </c>
      <c r="J7038" s="12" t="str">
        <f>HYPERLINK("https://www.boe.es/gazeta/dias/1800/03/25/pdfs/GMD-1800-24.pdf#page=2","Abrir facsímil")</f>
        <v>Abrir facsímil</v>
      </c>
      <c r="K7038" s="15" t="s">
        <v>23</v>
      </c>
    </row>
    <row r="7039" spans="1:11" ht="42" customHeight="1">
      <c r="A7039" s="4" t="s">
        <v>16056</v>
      </c>
      <c r="B7039" s="5" t="s">
        <v>16057</v>
      </c>
      <c r="C7039" s="5" t="s">
        <v>41</v>
      </c>
      <c r="D7039" s="5" t="s">
        <v>42</v>
      </c>
      <c r="E7039" s="5" t="s">
        <v>158</v>
      </c>
      <c r="F7039" s="9">
        <v>25</v>
      </c>
      <c r="G7039" s="9">
        <v>251</v>
      </c>
      <c r="H7039" s="5" t="s">
        <v>21</v>
      </c>
      <c r="I7039" s="5" t="s">
        <v>16060</v>
      </c>
      <c r="J7039" s="12" t="str">
        <f>HYPERLINK("https://www.boe.es/gazeta/dias/1800/03/28/pdfs/GMD-1800-25.pdf#page=3","Abrir facsímil")</f>
        <v>Abrir facsímil</v>
      </c>
      <c r="K7039" s="15" t="s">
        <v>23</v>
      </c>
    </row>
    <row r="7040" spans="1:11" ht="42" customHeight="1">
      <c r="A7040" s="4" t="s">
        <v>16056</v>
      </c>
      <c r="B7040" s="5" t="s">
        <v>16057</v>
      </c>
      <c r="C7040" s="5" t="s">
        <v>41</v>
      </c>
      <c r="D7040" s="5" t="s">
        <v>42</v>
      </c>
      <c r="E7040" s="5" t="s">
        <v>491</v>
      </c>
      <c r="F7040" s="9">
        <v>29</v>
      </c>
      <c r="G7040" s="9">
        <v>294</v>
      </c>
      <c r="H7040" s="5" t="s">
        <v>21</v>
      </c>
      <c r="I7040" s="5" t="s">
        <v>16061</v>
      </c>
      <c r="J7040" s="12" t="str">
        <f>HYPERLINK("https://www.boe.es/gazeta/dias/1800/04/11/pdfs/GMD-1800-29.pdf#page=2","Abrir facsímil")</f>
        <v>Abrir facsímil</v>
      </c>
      <c r="K7040" s="15" t="s">
        <v>23</v>
      </c>
    </row>
    <row r="7041" spans="1:11" ht="42" customHeight="1">
      <c r="A7041" s="4" t="s">
        <v>16056</v>
      </c>
      <c r="B7041" s="5" t="s">
        <v>16057</v>
      </c>
      <c r="C7041" s="5" t="s">
        <v>18</v>
      </c>
      <c r="D7041" s="5" t="s">
        <v>19</v>
      </c>
      <c r="E7041" s="5" t="s">
        <v>230</v>
      </c>
      <c r="F7041" s="9">
        <v>35</v>
      </c>
      <c r="G7041" s="9">
        <v>351</v>
      </c>
      <c r="H7041" s="5" t="s">
        <v>21</v>
      </c>
      <c r="I7041" s="5" t="s">
        <v>16062</v>
      </c>
      <c r="J7041" s="12" t="str">
        <f>HYPERLINK("https://www.boe.es/gazeta/dias/1800/05/02/pdfs/GMD-1800-35.pdf#page=3","Abrir facsímil")</f>
        <v>Abrir facsímil</v>
      </c>
      <c r="K7041" s="15" t="s">
        <v>23</v>
      </c>
    </row>
    <row r="7042" spans="1:11" ht="42" customHeight="1">
      <c r="A7042" s="4" t="s">
        <v>16056</v>
      </c>
      <c r="B7042" s="5" t="s">
        <v>16057</v>
      </c>
      <c r="C7042" s="5" t="s">
        <v>41</v>
      </c>
      <c r="D7042" s="5" t="s">
        <v>42</v>
      </c>
      <c r="E7042" s="5" t="s">
        <v>101</v>
      </c>
      <c r="F7042" s="9">
        <v>37</v>
      </c>
      <c r="G7042" s="9">
        <v>372</v>
      </c>
      <c r="H7042" s="5" t="s">
        <v>21</v>
      </c>
      <c r="I7042" s="5" t="s">
        <v>16063</v>
      </c>
      <c r="J7042" s="12" t="str">
        <f>HYPERLINK("https://www.boe.es/gazeta/dias/1800/05/09/pdfs/GMD-1800-37.pdf#page=4","Abrir facsímil")</f>
        <v>Abrir facsímil</v>
      </c>
      <c r="K7042" s="15" t="s">
        <v>23</v>
      </c>
    </row>
    <row r="7043" spans="1:11" ht="42" customHeight="1">
      <c r="A7043" s="4" t="s">
        <v>16056</v>
      </c>
      <c r="B7043" s="5" t="s">
        <v>16057</v>
      </c>
      <c r="C7043" s="5" t="s">
        <v>41</v>
      </c>
      <c r="D7043" s="5" t="s">
        <v>42</v>
      </c>
      <c r="E7043" s="5" t="s">
        <v>214</v>
      </c>
      <c r="F7043" s="9">
        <v>41</v>
      </c>
      <c r="G7043" s="9">
        <v>418</v>
      </c>
      <c r="H7043" s="5" t="s">
        <v>21</v>
      </c>
      <c r="I7043" s="5" t="s">
        <v>16064</v>
      </c>
      <c r="J7043" s="12" t="str">
        <f>HYPERLINK("https://www.boe.es/gazeta/dias/1800/05/23/pdfs/GMD-1800-41.pdf#page=2","Abrir facsímil")</f>
        <v>Abrir facsímil</v>
      </c>
      <c r="K7043" s="15" t="s">
        <v>23</v>
      </c>
    </row>
    <row r="7044" spans="1:11" ht="42" customHeight="1">
      <c r="A7044" s="4" t="s">
        <v>16056</v>
      </c>
      <c r="B7044" s="5" t="s">
        <v>16057</v>
      </c>
      <c r="C7044" s="5" t="s">
        <v>41</v>
      </c>
      <c r="D7044" s="5" t="s">
        <v>42</v>
      </c>
      <c r="E7044" s="5" t="s">
        <v>39</v>
      </c>
      <c r="F7044" s="9">
        <v>43</v>
      </c>
      <c r="G7044" s="9">
        <v>443</v>
      </c>
      <c r="H7044" s="5" t="s">
        <v>21</v>
      </c>
      <c r="I7044" s="5" t="s">
        <v>16065</v>
      </c>
      <c r="J7044" s="12" t="str">
        <f>HYPERLINK("https://www.boe.es/gazeta/dias/1800/05/30/pdfs/GMD-1800-43.pdf#page=3","Abrir facsímil")</f>
        <v>Abrir facsímil</v>
      </c>
      <c r="K7044" s="15" t="s">
        <v>23</v>
      </c>
    </row>
    <row r="7045" spans="1:11" ht="42" customHeight="1">
      <c r="A7045" s="4" t="s">
        <v>16056</v>
      </c>
      <c r="B7045" s="5" t="s">
        <v>16057</v>
      </c>
      <c r="C7045" s="5" t="s">
        <v>41</v>
      </c>
      <c r="D7045" s="5" t="s">
        <v>42</v>
      </c>
      <c r="E7045" s="5" t="s">
        <v>600</v>
      </c>
      <c r="F7045" s="9">
        <v>45</v>
      </c>
      <c r="G7045" s="9">
        <v>466</v>
      </c>
      <c r="H7045" s="5" t="s">
        <v>21</v>
      </c>
      <c r="I7045" s="5" t="s">
        <v>16066</v>
      </c>
      <c r="J7045" s="12" t="str">
        <f>HYPERLINK("https://www.boe.es/gazeta/dias/1800/06/06/pdfs/GMD-1800-45.pdf#page=2","Abrir facsímil")</f>
        <v>Abrir facsímil</v>
      </c>
      <c r="K7045" s="15" t="s">
        <v>23</v>
      </c>
    </row>
    <row r="7046" spans="1:11" ht="42" customHeight="1">
      <c r="A7046" s="4" t="s">
        <v>16056</v>
      </c>
      <c r="B7046" s="5" t="s">
        <v>16057</v>
      </c>
      <c r="C7046" s="5" t="s">
        <v>41</v>
      </c>
      <c r="D7046" s="5" t="s">
        <v>42</v>
      </c>
      <c r="E7046" s="5" t="s">
        <v>43</v>
      </c>
      <c r="F7046" s="9">
        <v>46</v>
      </c>
      <c r="G7046" s="9">
        <v>483</v>
      </c>
      <c r="H7046" s="5" t="s">
        <v>21</v>
      </c>
      <c r="I7046" s="5" t="s">
        <v>16067</v>
      </c>
      <c r="J7046" s="12" t="str">
        <f>HYPERLINK("https://www.boe.es/gazeta/dias/1800/06/10/pdfs/GMD-1800-46.pdf#page=7","Abrir facsímil")</f>
        <v>Abrir facsímil</v>
      </c>
      <c r="K7046" s="15" t="s">
        <v>23</v>
      </c>
    </row>
    <row r="7047" spans="1:11" ht="42" customHeight="1">
      <c r="A7047" s="4" t="s">
        <v>16056</v>
      </c>
      <c r="B7047" s="5" t="s">
        <v>16057</v>
      </c>
      <c r="C7047" s="5" t="s">
        <v>207</v>
      </c>
      <c r="D7047" s="5" t="s">
        <v>55</v>
      </c>
      <c r="E7047" s="5" t="s">
        <v>45</v>
      </c>
      <c r="F7047" s="9">
        <v>47</v>
      </c>
      <c r="G7047" s="9">
        <v>495</v>
      </c>
      <c r="H7047" s="5" t="s">
        <v>21</v>
      </c>
      <c r="I7047" s="5" t="s">
        <v>16068</v>
      </c>
      <c r="J7047" s="12" t="str">
        <f>HYPERLINK("https://www.boe.es/gazeta/dias/1800/06/13/pdfs/GMD-1800-47.pdf#page=3","Abrir facsímil")</f>
        <v>Abrir facsímil</v>
      </c>
      <c r="K7047" s="15" t="s">
        <v>23</v>
      </c>
    </row>
    <row r="7048" spans="1:11" ht="42" customHeight="1">
      <c r="A7048" s="4" t="s">
        <v>16056</v>
      </c>
      <c r="B7048" s="5" t="s">
        <v>16057</v>
      </c>
      <c r="C7048" s="5" t="s">
        <v>41</v>
      </c>
      <c r="D7048" s="5" t="s">
        <v>42</v>
      </c>
      <c r="E7048" s="5" t="s">
        <v>45</v>
      </c>
      <c r="F7048" s="9">
        <v>47</v>
      </c>
      <c r="G7048" s="9">
        <v>498</v>
      </c>
      <c r="H7048" s="5" t="s">
        <v>21</v>
      </c>
      <c r="I7048" s="5" t="s">
        <v>16069</v>
      </c>
      <c r="J7048" s="12" t="str">
        <f>HYPERLINK("https://www.boe.es/gazeta/dias/1800/06/13/pdfs/GMD-1800-47.pdf#page=6","Abrir facsímil")</f>
        <v>Abrir facsímil</v>
      </c>
      <c r="K7048" s="15" t="s">
        <v>23</v>
      </c>
    </row>
    <row r="7049" spans="1:11" ht="42" customHeight="1">
      <c r="A7049" s="4" t="s">
        <v>16056</v>
      </c>
      <c r="B7049" s="5" t="s">
        <v>16057</v>
      </c>
      <c r="C7049" s="5" t="s">
        <v>41</v>
      </c>
      <c r="D7049" s="5" t="s">
        <v>42</v>
      </c>
      <c r="E7049" s="5" t="s">
        <v>465</v>
      </c>
      <c r="F7049" s="9">
        <v>49</v>
      </c>
      <c r="G7049" s="9">
        <v>529</v>
      </c>
      <c r="H7049" s="5" t="s">
        <v>21</v>
      </c>
      <c r="I7049" s="5" t="s">
        <v>16070</v>
      </c>
      <c r="J7049" s="12" t="str">
        <f>HYPERLINK("https://www.boe.es/gazeta/dias/1800/06/20/pdfs/GMD-1800-49.pdf#page=5","Abrir facsímil")</f>
        <v>Abrir facsímil</v>
      </c>
      <c r="K7049" s="15" t="s">
        <v>23</v>
      </c>
    </row>
    <row r="7050" spans="1:11" ht="42" customHeight="1">
      <c r="A7050" s="4" t="s">
        <v>16056</v>
      </c>
      <c r="B7050" s="5" t="s">
        <v>16057</v>
      </c>
      <c r="C7050" s="5" t="s">
        <v>41</v>
      </c>
      <c r="D7050" s="5" t="s">
        <v>42</v>
      </c>
      <c r="E7050" s="5" t="s">
        <v>825</v>
      </c>
      <c r="F7050" s="9">
        <v>51</v>
      </c>
      <c r="G7050" s="9">
        <v>555</v>
      </c>
      <c r="H7050" s="5" t="s">
        <v>21</v>
      </c>
      <c r="I7050" s="5" t="s">
        <v>16071</v>
      </c>
      <c r="J7050" s="12" t="str">
        <f>HYPERLINK("https://www.boe.es/gazeta/dias/1800/06/27/pdfs/GMD-1800-51.pdf#page=7","Abrir facsímil")</f>
        <v>Abrir facsímil</v>
      </c>
      <c r="K7050" s="15" t="s">
        <v>23</v>
      </c>
    </row>
    <row r="7051" spans="1:11" ht="42" customHeight="1">
      <c r="A7051" s="4" t="s">
        <v>16056</v>
      </c>
      <c r="B7051" s="5" t="s">
        <v>16057</v>
      </c>
      <c r="C7051" s="5" t="s">
        <v>41</v>
      </c>
      <c r="D7051" s="5" t="s">
        <v>42</v>
      </c>
      <c r="E7051" s="5" t="s">
        <v>120</v>
      </c>
      <c r="F7051" s="9">
        <v>52</v>
      </c>
      <c r="G7051" s="9">
        <v>566</v>
      </c>
      <c r="H7051" s="5" t="s">
        <v>21</v>
      </c>
      <c r="I7051" s="5" t="s">
        <v>16072</v>
      </c>
      <c r="J7051" s="12" t="str">
        <f>HYPERLINK("https://www.boe.es/gazeta/dias/1800/07/01/pdfs/GMD-1800-52.pdf#page=2","Abrir facsímil")</f>
        <v>Abrir facsímil</v>
      </c>
      <c r="K7051" s="15" t="s">
        <v>23</v>
      </c>
    </row>
    <row r="7052" spans="1:11" ht="42" customHeight="1">
      <c r="A7052" s="4" t="s">
        <v>16056</v>
      </c>
      <c r="B7052" s="5" t="s">
        <v>16057</v>
      </c>
      <c r="C7052" s="5" t="s">
        <v>41</v>
      </c>
      <c r="D7052" s="5" t="s">
        <v>42</v>
      </c>
      <c r="E7052" s="5" t="s">
        <v>828</v>
      </c>
      <c r="F7052" s="9">
        <v>53</v>
      </c>
      <c r="G7052" s="9">
        <v>585</v>
      </c>
      <c r="H7052" s="5" t="s">
        <v>21</v>
      </c>
      <c r="I7052" s="5" t="s">
        <v>16073</v>
      </c>
      <c r="J7052" s="12" t="str">
        <f>HYPERLINK("https://www.boe.es/gazeta/dias/1800/07/04/pdfs/GMD-1800-53.pdf#page=5","Abrir facsímil")</f>
        <v>Abrir facsímil</v>
      </c>
      <c r="K7052" s="15" t="s">
        <v>23</v>
      </c>
    </row>
    <row r="7053" spans="1:11" ht="42" customHeight="1">
      <c r="A7053" s="4" t="s">
        <v>16056</v>
      </c>
      <c r="B7053" s="5" t="s">
        <v>16057</v>
      </c>
      <c r="C7053" s="5" t="s">
        <v>41</v>
      </c>
      <c r="D7053" s="5" t="s">
        <v>42</v>
      </c>
      <c r="E7053" s="5" t="s">
        <v>64</v>
      </c>
      <c r="F7053" s="9">
        <v>54</v>
      </c>
      <c r="G7053" s="9">
        <v>600</v>
      </c>
      <c r="H7053" s="5" t="s">
        <v>21</v>
      </c>
      <c r="I7053" s="5" t="s">
        <v>16074</v>
      </c>
      <c r="J7053" s="12" t="str">
        <f>HYPERLINK("https://www.boe.es/gazeta/dias/1800/07/08/pdfs/GMD-1800-54.pdf#page=4","Abrir facsímil")</f>
        <v>Abrir facsímil</v>
      </c>
      <c r="K7053" s="15" t="s">
        <v>23</v>
      </c>
    </row>
    <row r="7054" spans="1:11" ht="42" customHeight="1">
      <c r="A7054" s="4" t="s">
        <v>16056</v>
      </c>
      <c r="B7054" s="5" t="s">
        <v>16057</v>
      </c>
      <c r="C7054" s="5" t="s">
        <v>41</v>
      </c>
      <c r="D7054" s="5" t="s">
        <v>42</v>
      </c>
      <c r="E7054" s="5" t="s">
        <v>1294</v>
      </c>
      <c r="F7054" s="9">
        <v>59</v>
      </c>
      <c r="G7054" s="9">
        <v>671</v>
      </c>
      <c r="H7054" s="5" t="s">
        <v>21</v>
      </c>
      <c r="I7054" s="5" t="s">
        <v>16075</v>
      </c>
      <c r="J7054" s="12" t="str">
        <f>HYPERLINK("https://www.boe.es/gazeta/dias/1800/07/25/pdfs/GMD-1800-59.pdf#page=3","Abrir facsímil")</f>
        <v>Abrir facsímil</v>
      </c>
      <c r="K7054" s="15" t="s">
        <v>23</v>
      </c>
    </row>
    <row r="7055" spans="1:11" ht="42" customHeight="1">
      <c r="A7055" s="4" t="s">
        <v>16056</v>
      </c>
      <c r="B7055" s="5" t="s">
        <v>16057</v>
      </c>
      <c r="C7055" s="5" t="s">
        <v>54</v>
      </c>
      <c r="D7055" s="5" t="s">
        <v>55</v>
      </c>
      <c r="E7055" s="5" t="s">
        <v>154</v>
      </c>
      <c r="F7055" s="9">
        <v>61</v>
      </c>
      <c r="G7055" s="9">
        <v>694</v>
      </c>
      <c r="H7055" s="5" t="s">
        <v>21</v>
      </c>
      <c r="I7055" s="5" t="s">
        <v>16076</v>
      </c>
      <c r="J7055" s="12" t="str">
        <f>HYPERLINK("https://www.boe.es/gazeta/dias/1800/08/01/pdfs/GMD-1800-61.pdf#page=6","Abrir facsímil")</f>
        <v>Abrir facsímil</v>
      </c>
      <c r="K7055" s="15" t="s">
        <v>23</v>
      </c>
    </row>
    <row r="7056" spans="1:11" ht="42" customHeight="1">
      <c r="A7056" s="4" t="s">
        <v>16056</v>
      </c>
      <c r="B7056" s="5" t="s">
        <v>16057</v>
      </c>
      <c r="C7056" s="5" t="s">
        <v>41</v>
      </c>
      <c r="D7056" s="5" t="s">
        <v>42</v>
      </c>
      <c r="E7056" s="5" t="s">
        <v>319</v>
      </c>
      <c r="F7056" s="9">
        <v>62</v>
      </c>
      <c r="G7056" s="9">
        <v>703</v>
      </c>
      <c r="H7056" s="5" t="s">
        <v>21</v>
      </c>
      <c r="I7056" s="5" t="s">
        <v>16077</v>
      </c>
      <c r="J7056" s="12" t="str">
        <f>HYPERLINK("https://www.boe.es/gazeta/dias/1800/08/05/pdfs/GMD-1800-62.pdf#page=3","Abrir facsímil")</f>
        <v>Abrir facsímil</v>
      </c>
      <c r="K7056" s="15" t="s">
        <v>23</v>
      </c>
    </row>
    <row r="7057" spans="1:11" ht="42" customHeight="1">
      <c r="A7057" s="4" t="s">
        <v>16056</v>
      </c>
      <c r="B7057" s="5" t="s">
        <v>16057</v>
      </c>
      <c r="C7057" s="5" t="s">
        <v>207</v>
      </c>
      <c r="D7057" s="5" t="s">
        <v>55</v>
      </c>
      <c r="E7057" s="5" t="s">
        <v>314</v>
      </c>
      <c r="F7057" s="9">
        <v>74</v>
      </c>
      <c r="G7057" s="9">
        <v>825</v>
      </c>
      <c r="H7057" s="5" t="s">
        <v>21</v>
      </c>
      <c r="I7057" s="5" t="s">
        <v>16078</v>
      </c>
      <c r="J7057" s="12" t="str">
        <f>HYPERLINK("https://www.boe.es/gazeta/dias/1800/09/12/pdfs/GMD-1800-74.pdf#page=3","Abrir facsímil")</f>
        <v>Abrir facsímil</v>
      </c>
      <c r="K7057" s="15" t="s">
        <v>23</v>
      </c>
    </row>
    <row r="7058" spans="1:11" ht="42" customHeight="1">
      <c r="A7058" s="4" t="s">
        <v>16056</v>
      </c>
      <c r="B7058" s="5" t="s">
        <v>16057</v>
      </c>
      <c r="C7058" s="5" t="s">
        <v>41</v>
      </c>
      <c r="D7058" s="5" t="s">
        <v>42</v>
      </c>
      <c r="E7058" s="5" t="s">
        <v>422</v>
      </c>
      <c r="F7058" s="9">
        <v>85</v>
      </c>
      <c r="G7058" s="9">
        <v>980</v>
      </c>
      <c r="H7058" s="5" t="s">
        <v>21</v>
      </c>
      <c r="I7058" s="5" t="s">
        <v>16079</v>
      </c>
      <c r="J7058" s="12" t="str">
        <f>HYPERLINK("https://www.boe.es/gazeta/dias/1800/10/21/pdfs/GMD-1800-85.pdf#page=2","Abrir facsímil")</f>
        <v>Abrir facsímil</v>
      </c>
      <c r="K7058" s="15" t="s">
        <v>23</v>
      </c>
    </row>
    <row r="7059" spans="1:11" ht="42" customHeight="1">
      <c r="A7059" s="4" t="s">
        <v>16080</v>
      </c>
      <c r="B7059" s="5" t="s">
        <v>16081</v>
      </c>
      <c r="C7059" s="5" t="s">
        <v>18</v>
      </c>
      <c r="D7059" s="5" t="s">
        <v>19</v>
      </c>
      <c r="E7059" s="5" t="s">
        <v>218</v>
      </c>
      <c r="F7059" s="9">
        <v>5</v>
      </c>
      <c r="G7059" s="9">
        <v>45</v>
      </c>
      <c r="H7059" s="5" t="s">
        <v>21</v>
      </c>
      <c r="I7059" s="5" t="s">
        <v>16082</v>
      </c>
      <c r="J7059" s="12" t="str">
        <f>HYPERLINK("https://www.boe.es/gazeta/dias/1800/01/17/pdfs/GMD-1800-5.pdf#page=5","Abrir facsímil")</f>
        <v>Abrir facsímil</v>
      </c>
      <c r="K7059" s="15" t="s">
        <v>23</v>
      </c>
    </row>
    <row r="7060" spans="1:11" ht="42" customHeight="1">
      <c r="A7060" s="4" t="s">
        <v>16083</v>
      </c>
      <c r="B7060" s="5" t="s">
        <v>16083</v>
      </c>
      <c r="C7060" s="5" t="s">
        <v>18</v>
      </c>
      <c r="D7060" s="5" t="s">
        <v>19</v>
      </c>
      <c r="E7060" s="5" t="s">
        <v>244</v>
      </c>
      <c r="F7060" s="9">
        <v>9</v>
      </c>
      <c r="G7060" s="9">
        <v>81</v>
      </c>
      <c r="H7060" s="5" t="s">
        <v>21</v>
      </c>
      <c r="I7060" s="5" t="s">
        <v>16084</v>
      </c>
      <c r="J7060" s="12" t="str">
        <f>HYPERLINK("https://www.boe.es/gazeta/dias/1800/01/31/pdfs/GMD-1800-9.pdf#page=5","Abrir facsímil")</f>
        <v>Abrir facsímil</v>
      </c>
      <c r="K7060" s="15" t="s">
        <v>23</v>
      </c>
    </row>
    <row r="7061" spans="1:11" ht="42" customHeight="1">
      <c r="A7061" s="4" t="s">
        <v>16085</v>
      </c>
      <c r="B7061" s="5" t="s">
        <v>16086</v>
      </c>
      <c r="C7061" s="5" t="s">
        <v>41</v>
      </c>
      <c r="D7061" s="5" t="s">
        <v>42</v>
      </c>
      <c r="E7061" s="5" t="s">
        <v>131</v>
      </c>
      <c r="F7061" s="9">
        <v>8</v>
      </c>
      <c r="G7061" s="9">
        <v>73</v>
      </c>
      <c r="H7061" s="5" t="s">
        <v>21</v>
      </c>
      <c r="I7061" s="5" t="s">
        <v>16087</v>
      </c>
      <c r="J7061" s="12" t="str">
        <f>HYPERLINK("https://www.boe.es/gazeta/dias/1800/01/28/pdfs/GMD-1800-8.pdf#page=5","Abrir facsímil")</f>
        <v>Abrir facsímil</v>
      </c>
      <c r="K7061" s="15" t="s">
        <v>23</v>
      </c>
    </row>
    <row r="7062" spans="1:11" ht="42" customHeight="1">
      <c r="A7062" s="4" t="s">
        <v>16085</v>
      </c>
      <c r="B7062" s="5" t="s">
        <v>16086</v>
      </c>
      <c r="C7062" s="5" t="s">
        <v>41</v>
      </c>
      <c r="D7062" s="5" t="s">
        <v>42</v>
      </c>
      <c r="E7062" s="5" t="s">
        <v>244</v>
      </c>
      <c r="F7062" s="9">
        <v>9</v>
      </c>
      <c r="G7062" s="9">
        <v>81</v>
      </c>
      <c r="H7062" s="5" t="s">
        <v>21</v>
      </c>
      <c r="I7062" s="5" t="s">
        <v>16088</v>
      </c>
      <c r="J7062" s="12" t="str">
        <f>HYPERLINK("https://www.boe.es/gazeta/dias/1800/01/31/pdfs/GMD-1800-9.pdf#page=5","Abrir facsímil")</f>
        <v>Abrir facsímil</v>
      </c>
      <c r="K7062" s="15" t="s">
        <v>23</v>
      </c>
    </row>
    <row r="7063" spans="1:11" ht="42" customHeight="1">
      <c r="A7063" s="4" t="s">
        <v>16085</v>
      </c>
      <c r="B7063" s="5" t="s">
        <v>16086</v>
      </c>
      <c r="C7063" s="5" t="s">
        <v>41</v>
      </c>
      <c r="D7063" s="5" t="s">
        <v>42</v>
      </c>
      <c r="E7063" s="5" t="s">
        <v>503</v>
      </c>
      <c r="F7063" s="9">
        <v>13</v>
      </c>
      <c r="G7063" s="9">
        <v>119</v>
      </c>
      <c r="H7063" s="5" t="s">
        <v>21</v>
      </c>
      <c r="I7063" s="5" t="s">
        <v>16089</v>
      </c>
      <c r="J7063" s="12" t="str">
        <f>HYPERLINK("https://www.boe.es/gazeta/dias/1800/02/14/pdfs/GMD-1800-13.pdf#page=3","Abrir facsímil")</f>
        <v>Abrir facsímil</v>
      </c>
      <c r="K7063" s="15" t="s">
        <v>23</v>
      </c>
    </row>
    <row r="7064" spans="1:11" ht="42" customHeight="1">
      <c r="A7064" s="4" t="s">
        <v>16085</v>
      </c>
      <c r="B7064" s="5" t="s">
        <v>16086</v>
      </c>
      <c r="C7064" s="5" t="s">
        <v>41</v>
      </c>
      <c r="D7064" s="5" t="s">
        <v>42</v>
      </c>
      <c r="E7064" s="5" t="s">
        <v>86</v>
      </c>
      <c r="F7064" s="9">
        <v>17</v>
      </c>
      <c r="G7064" s="9">
        <v>158</v>
      </c>
      <c r="H7064" s="5" t="s">
        <v>21</v>
      </c>
      <c r="I7064" s="5" t="s">
        <v>16090</v>
      </c>
      <c r="J7064" s="12" t="str">
        <f>HYPERLINK("https://www.boe.es/gazeta/dias/1800/02/28/pdfs/GMD-1800-17.pdf#page=6","Abrir facsímil")</f>
        <v>Abrir facsímil</v>
      </c>
      <c r="K7064" s="15" t="s">
        <v>23</v>
      </c>
    </row>
    <row r="7065" spans="1:11" ht="42" customHeight="1">
      <c r="A7065" s="4" t="s">
        <v>16085</v>
      </c>
      <c r="B7065" s="5" t="s">
        <v>16086</v>
      </c>
      <c r="C7065" s="5" t="s">
        <v>84</v>
      </c>
      <c r="D7065" s="5" t="s">
        <v>85</v>
      </c>
      <c r="E7065" s="5" t="s">
        <v>461</v>
      </c>
      <c r="F7065" s="9">
        <v>18</v>
      </c>
      <c r="G7065" s="9">
        <v>165</v>
      </c>
      <c r="H7065" s="5" t="s">
        <v>21</v>
      </c>
      <c r="I7065" s="5" t="s">
        <v>16091</v>
      </c>
      <c r="J7065" s="12" t="str">
        <f>HYPERLINK("https://www.boe.es/datos/pdfs/BOE//1800/018/C00173-00176.pdf#page=1","Abrir facsímil")</f>
        <v>Abrir facsímil</v>
      </c>
      <c r="K7065" s="15" t="s">
        <v>23</v>
      </c>
    </row>
    <row r="7066" spans="1:11" ht="42" customHeight="1">
      <c r="A7066" s="4" t="s">
        <v>16085</v>
      </c>
      <c r="B7066" s="5" t="s">
        <v>16086</v>
      </c>
      <c r="C7066" s="5" t="s">
        <v>41</v>
      </c>
      <c r="D7066" s="5" t="s">
        <v>42</v>
      </c>
      <c r="E7066" s="5" t="s">
        <v>620</v>
      </c>
      <c r="F7066" s="9">
        <v>19</v>
      </c>
      <c r="G7066" s="9">
        <v>178</v>
      </c>
      <c r="H7066" s="5" t="s">
        <v>21</v>
      </c>
      <c r="I7066" s="5" t="s">
        <v>16092</v>
      </c>
      <c r="J7066" s="12" t="str">
        <f>HYPERLINK("https://www.boe.es/gazeta/dias/1800/03/07/pdfs/GMD-1800-19.pdf#page=2","Abrir facsímil")</f>
        <v>Abrir facsímil</v>
      </c>
      <c r="K7066" s="15" t="s">
        <v>23</v>
      </c>
    </row>
    <row r="7067" spans="1:11" ht="42" customHeight="1">
      <c r="A7067" s="4" t="s">
        <v>16093</v>
      </c>
      <c r="B7067" s="5" t="s">
        <v>16094</v>
      </c>
      <c r="C7067" s="5" t="s">
        <v>18</v>
      </c>
      <c r="D7067" s="5" t="s">
        <v>19</v>
      </c>
      <c r="E7067" s="5" t="s">
        <v>45</v>
      </c>
      <c r="F7067" s="9">
        <v>47</v>
      </c>
      <c r="G7067" s="9">
        <v>496</v>
      </c>
      <c r="H7067" s="5" t="s">
        <v>21</v>
      </c>
      <c r="I7067" s="5" t="s">
        <v>16095</v>
      </c>
      <c r="J7067" s="12" t="str">
        <f>HYPERLINK("https://www.boe.es/gazeta/dias/1800/06/13/pdfs/GMD-1800-47.pdf#page=4","Abrir facsímil")</f>
        <v>Abrir facsímil</v>
      </c>
      <c r="K7067" s="15" t="s">
        <v>23</v>
      </c>
    </row>
    <row r="7068" spans="1:11" ht="42" customHeight="1">
      <c r="A7068" s="4" t="s">
        <v>16096</v>
      </c>
      <c r="B7068" s="5" t="s">
        <v>16096</v>
      </c>
      <c r="C7068" s="5" t="s">
        <v>207</v>
      </c>
      <c r="D7068" s="5" t="s">
        <v>55</v>
      </c>
      <c r="E7068" s="5" t="s">
        <v>190</v>
      </c>
      <c r="F7068" s="9">
        <v>93</v>
      </c>
      <c r="G7068" s="9">
        <v>1060</v>
      </c>
      <c r="H7068" s="5" t="s">
        <v>21</v>
      </c>
      <c r="I7068" s="5" t="s">
        <v>16097</v>
      </c>
      <c r="J7068" s="12" t="str">
        <f>HYPERLINK("https://www.boe.es/gazeta/dias/1800/11/18/pdfs/GMD-1800-93.pdf#page=6","Abrir facsímil")</f>
        <v>Abrir facsímil</v>
      </c>
      <c r="K7068" s="15" t="s">
        <v>23</v>
      </c>
    </row>
    <row r="7069" spans="1:11" ht="42" customHeight="1">
      <c r="A7069" s="4" t="s">
        <v>16098</v>
      </c>
      <c r="B7069" s="5" t="s">
        <v>16099</v>
      </c>
      <c r="C7069" s="5" t="s">
        <v>18</v>
      </c>
      <c r="D7069" s="5" t="s">
        <v>19</v>
      </c>
      <c r="E7069" s="5" t="s">
        <v>31</v>
      </c>
      <c r="F7069" s="9">
        <v>20</v>
      </c>
      <c r="G7069" s="9">
        <v>192</v>
      </c>
      <c r="H7069" s="5" t="s">
        <v>21</v>
      </c>
      <c r="I7069" s="5" t="s">
        <v>16100</v>
      </c>
      <c r="J7069" s="12" t="str">
        <f>HYPERLINK("https://www.boe.es/gazeta/dias/1800/03/11/pdfs/GMD-1800-20.pdf#page=8","Abrir facsímil")</f>
        <v>Abrir facsímil</v>
      </c>
      <c r="K7069" s="15" t="s">
        <v>23</v>
      </c>
    </row>
    <row r="7070" spans="1:11" ht="42" customHeight="1">
      <c r="A7070" s="4" t="s">
        <v>16101</v>
      </c>
      <c r="B7070" s="5" t="s">
        <v>16102</v>
      </c>
      <c r="C7070" s="5" t="s">
        <v>41</v>
      </c>
      <c r="D7070" s="5" t="s">
        <v>42</v>
      </c>
      <c r="E7070" s="5" t="s">
        <v>105</v>
      </c>
      <c r="F7070" s="9">
        <v>28</v>
      </c>
      <c r="G7070" s="9">
        <v>286</v>
      </c>
      <c r="H7070" s="5" t="s">
        <v>21</v>
      </c>
      <c r="I7070" s="5" t="s">
        <v>16103</v>
      </c>
      <c r="J7070" s="12" t="str">
        <f>HYPERLINK("https://www.boe.es/gazeta/dias/1800/04/08/pdfs/GMD-1800-28.pdf#page=2","Abrir facsímil")</f>
        <v>Abrir facsímil</v>
      </c>
      <c r="K7070" s="15" t="s">
        <v>23</v>
      </c>
    </row>
    <row r="7071" spans="1:11" ht="42" customHeight="1">
      <c r="A7071" s="4" t="s">
        <v>16101</v>
      </c>
      <c r="B7071" s="5" t="s">
        <v>16102</v>
      </c>
      <c r="C7071" s="5" t="s">
        <v>41</v>
      </c>
      <c r="D7071" s="5" t="s">
        <v>42</v>
      </c>
      <c r="E7071" s="5" t="s">
        <v>491</v>
      </c>
      <c r="F7071" s="9">
        <v>29</v>
      </c>
      <c r="G7071" s="9">
        <v>294</v>
      </c>
      <c r="H7071" s="5" t="s">
        <v>21</v>
      </c>
      <c r="I7071" s="5" t="s">
        <v>16104</v>
      </c>
      <c r="J7071" s="12" t="str">
        <f>HYPERLINK("https://www.boe.es/gazeta/dias/1800/04/11/pdfs/GMD-1800-29.pdf#page=2","Abrir facsímil")</f>
        <v>Abrir facsímil</v>
      </c>
      <c r="K7071" s="15" t="s">
        <v>23</v>
      </c>
    </row>
    <row r="7072" spans="1:11" ht="42" customHeight="1">
      <c r="A7072" s="4" t="s">
        <v>16105</v>
      </c>
      <c r="B7072" s="5" t="s">
        <v>16106</v>
      </c>
      <c r="C7072" s="5" t="s">
        <v>18</v>
      </c>
      <c r="D7072" s="5" t="s">
        <v>19</v>
      </c>
      <c r="E7072" s="5" t="s">
        <v>135</v>
      </c>
      <c r="F7072" s="9">
        <v>73</v>
      </c>
      <c r="G7072" s="9">
        <v>815</v>
      </c>
      <c r="H7072" s="5" t="s">
        <v>21</v>
      </c>
      <c r="I7072" s="5" t="s">
        <v>16107</v>
      </c>
      <c r="J7072" s="12" t="str">
        <f>HYPERLINK("https://www.boe.es/gazeta/dias/1800/09/09/pdfs/GMD-1800-73.pdf#page=9","Abrir facsímil")</f>
        <v>Abrir facsímil</v>
      </c>
      <c r="K7072" s="15" t="s">
        <v>23</v>
      </c>
    </row>
    <row r="7073" spans="1:11" ht="42" customHeight="1">
      <c r="A7073" s="4" t="s">
        <v>16108</v>
      </c>
      <c r="B7073" s="5" t="s">
        <v>16109</v>
      </c>
      <c r="C7073" s="5" t="s">
        <v>41</v>
      </c>
      <c r="D7073" s="5" t="s">
        <v>42</v>
      </c>
      <c r="E7073" s="5" t="s">
        <v>214</v>
      </c>
      <c r="F7073" s="9">
        <v>41</v>
      </c>
      <c r="G7073" s="9">
        <v>419</v>
      </c>
      <c r="H7073" s="5" t="s">
        <v>21</v>
      </c>
      <c r="I7073" s="5" t="s">
        <v>16110</v>
      </c>
      <c r="J7073" s="12" t="str">
        <f>HYPERLINK("https://www.boe.es/gazeta/dias/1800/05/23/pdfs/GMD-1800-41.pdf#page=3","Abrir facsímil")</f>
        <v>Abrir facsímil</v>
      </c>
      <c r="K7073" s="15" t="s">
        <v>23</v>
      </c>
    </row>
    <row r="7074" spans="1:11" ht="42" customHeight="1">
      <c r="A7074" s="4" t="s">
        <v>16111</v>
      </c>
      <c r="B7074" s="5" t="s">
        <v>16111</v>
      </c>
      <c r="C7074" s="5" t="s">
        <v>41</v>
      </c>
      <c r="D7074" s="5" t="s">
        <v>42</v>
      </c>
      <c r="E7074" s="5" t="s">
        <v>50</v>
      </c>
      <c r="F7074" s="9">
        <v>81</v>
      </c>
      <c r="G7074" s="9">
        <v>913</v>
      </c>
      <c r="H7074" s="5" t="s">
        <v>21</v>
      </c>
      <c r="I7074" s="5" t="s">
        <v>16112</v>
      </c>
      <c r="J7074" s="12" t="str">
        <f>HYPERLINK("https://www.boe.es/gazeta/dias/1800/10/07/pdfs/GMD-1800-81.pdf#page=3","Abrir facsímil")</f>
        <v>Abrir facsímil</v>
      </c>
      <c r="K7074" s="15" t="s">
        <v>23</v>
      </c>
    </row>
    <row r="7075" spans="1:11" ht="42" customHeight="1">
      <c r="A7075" s="4" t="s">
        <v>16113</v>
      </c>
      <c r="B7075" s="5" t="s">
        <v>16114</v>
      </c>
      <c r="C7075" s="5" t="s">
        <v>18</v>
      </c>
      <c r="D7075" s="5" t="s">
        <v>19</v>
      </c>
      <c r="E7075" s="5" t="s">
        <v>534</v>
      </c>
      <c r="F7075" s="9">
        <v>100</v>
      </c>
      <c r="G7075" s="9">
        <v>1159</v>
      </c>
      <c r="H7075" s="5" t="s">
        <v>21</v>
      </c>
      <c r="I7075" s="5" t="s">
        <v>16115</v>
      </c>
      <c r="J7075" s="12" t="str">
        <f>HYPERLINK("https://www.boe.es/gazeta/dias/1800/12/12/pdfs/GMD-1800-100.pdf#page=11","Abrir facsímil")</f>
        <v>Abrir facsímil</v>
      </c>
      <c r="K7075" s="15" t="s">
        <v>23</v>
      </c>
    </row>
    <row r="7076" spans="1:11" ht="42" customHeight="1">
      <c r="A7076" s="4" t="s">
        <v>16116</v>
      </c>
      <c r="B7076" s="5" t="s">
        <v>16117</v>
      </c>
      <c r="C7076" s="5" t="s">
        <v>41</v>
      </c>
      <c r="D7076" s="5" t="s">
        <v>42</v>
      </c>
      <c r="E7076" s="5" t="s">
        <v>45</v>
      </c>
      <c r="F7076" s="9">
        <v>47</v>
      </c>
      <c r="G7076" s="9">
        <v>496</v>
      </c>
      <c r="H7076" s="5" t="s">
        <v>21</v>
      </c>
      <c r="I7076" s="5" t="s">
        <v>16118</v>
      </c>
      <c r="J7076" s="12" t="str">
        <f>HYPERLINK("https://www.boe.es/gazeta/dias/1800/06/13/pdfs/GMD-1800-47.pdf#page=4","Abrir facsímil")</f>
        <v>Abrir facsímil</v>
      </c>
      <c r="K7076" s="15" t="s">
        <v>23</v>
      </c>
    </row>
    <row r="7077" spans="1:11" ht="42" customHeight="1">
      <c r="A7077" s="4" t="s">
        <v>16119</v>
      </c>
      <c r="B7077" s="5" t="s">
        <v>16120</v>
      </c>
      <c r="C7077" s="5" t="s">
        <v>41</v>
      </c>
      <c r="D7077" s="5" t="s">
        <v>42</v>
      </c>
      <c r="E7077" s="5" t="s">
        <v>406</v>
      </c>
      <c r="F7077" s="9">
        <v>44</v>
      </c>
      <c r="G7077" s="9">
        <v>455</v>
      </c>
      <c r="H7077" s="5" t="s">
        <v>21</v>
      </c>
      <c r="I7077" s="5" t="s">
        <v>16121</v>
      </c>
      <c r="J7077" s="12" t="str">
        <f>HYPERLINK("https://www.boe.es/gazeta/dias/1800/06/03/pdfs/GMD-1800-44.pdf#page=3","Abrir facsímil")</f>
        <v>Abrir facsímil</v>
      </c>
      <c r="K7077" s="15" t="s">
        <v>23</v>
      </c>
    </row>
    <row r="7078" spans="1:11" ht="42" customHeight="1">
      <c r="A7078" s="4" t="s">
        <v>16122</v>
      </c>
      <c r="B7078" s="5" t="s">
        <v>16122</v>
      </c>
      <c r="C7078" s="5" t="s">
        <v>41</v>
      </c>
      <c r="D7078" s="5" t="s">
        <v>42</v>
      </c>
      <c r="E7078" s="5" t="s">
        <v>445</v>
      </c>
      <c r="F7078" s="9">
        <v>96</v>
      </c>
      <c r="G7078" s="9">
        <v>1098</v>
      </c>
      <c r="H7078" s="5" t="s">
        <v>21</v>
      </c>
      <c r="I7078" s="5" t="s">
        <v>16123</v>
      </c>
      <c r="J7078" s="12" t="str">
        <f>HYPERLINK("https://www.boe.es/gazeta/dias/1800/11/28/pdfs/GMD-1800-96.pdf#page=2","Abrir facsímil")</f>
        <v>Abrir facsímil</v>
      </c>
      <c r="K7078" s="15" t="s">
        <v>23</v>
      </c>
    </row>
    <row r="7079" spans="1:11" ht="42" customHeight="1">
      <c r="A7079" s="4" t="s">
        <v>16124</v>
      </c>
      <c r="B7079" s="5" t="s">
        <v>16125</v>
      </c>
      <c r="C7079" s="5" t="s">
        <v>41</v>
      </c>
      <c r="D7079" s="5" t="s">
        <v>42</v>
      </c>
      <c r="E7079" s="5" t="s">
        <v>346</v>
      </c>
      <c r="F7079" s="9">
        <v>24</v>
      </c>
      <c r="G7079" s="9">
        <v>241</v>
      </c>
      <c r="H7079" s="5" t="s">
        <v>21</v>
      </c>
      <c r="I7079" s="5" t="s">
        <v>16126</v>
      </c>
      <c r="J7079" s="12" t="str">
        <f>HYPERLINK("https://www.boe.es/gazeta/dias/1800/03/25/pdfs/GMD-1800-24.pdf#page=5","Abrir facsímil")</f>
        <v>Abrir facsímil</v>
      </c>
      <c r="K7079" s="15" t="s">
        <v>23</v>
      </c>
    </row>
    <row r="7080" spans="1:11" ht="42" customHeight="1">
      <c r="A7080" s="4" t="s">
        <v>16127</v>
      </c>
      <c r="B7080" s="5" t="s">
        <v>16128</v>
      </c>
      <c r="C7080" s="5" t="s">
        <v>18</v>
      </c>
      <c r="D7080" s="5" t="s">
        <v>19</v>
      </c>
      <c r="E7080" s="5" t="s">
        <v>116</v>
      </c>
      <c r="F7080" s="9">
        <v>86</v>
      </c>
      <c r="G7080" s="9">
        <v>997</v>
      </c>
      <c r="H7080" s="5" t="s">
        <v>21</v>
      </c>
      <c r="I7080" s="5" t="s">
        <v>16129</v>
      </c>
      <c r="J7080" s="12" t="str">
        <f>HYPERLINK("https://www.boe.es/gazeta/dias/1800/10/24/pdfs/GMD-1800-86.pdf#page=7","Abrir facsímil")</f>
        <v>Abrir facsímil</v>
      </c>
      <c r="K7080" s="15" t="s">
        <v>23</v>
      </c>
    </row>
    <row r="7081" spans="1:11" ht="42" customHeight="1">
      <c r="A7081" s="4" t="s">
        <v>16130</v>
      </c>
      <c r="B7081" s="5" t="s">
        <v>16131</v>
      </c>
      <c r="C7081" s="5" t="s">
        <v>54</v>
      </c>
      <c r="D7081" s="5" t="s">
        <v>55</v>
      </c>
      <c r="E7081" s="5" t="s">
        <v>590</v>
      </c>
      <c r="F7081" s="9">
        <v>69</v>
      </c>
      <c r="G7081" s="9">
        <v>775</v>
      </c>
      <c r="H7081" s="5" t="s">
        <v>21</v>
      </c>
      <c r="I7081" s="5" t="s">
        <v>16132</v>
      </c>
      <c r="J7081" s="12" t="str">
        <f>HYPERLINK("https://www.boe.es/gazeta/dias/1800/08/29/pdfs/GMD-1800-69.pdf#page=7","Abrir facsímil")</f>
        <v>Abrir facsímil</v>
      </c>
      <c r="K7081" s="15" t="s">
        <v>23</v>
      </c>
    </row>
    <row r="7082" spans="1:11" ht="42" customHeight="1">
      <c r="A7082" s="4" t="s">
        <v>16133</v>
      </c>
      <c r="B7082" s="5" t="s">
        <v>16134</v>
      </c>
      <c r="C7082" s="5" t="s">
        <v>18</v>
      </c>
      <c r="D7082" s="5" t="s">
        <v>19</v>
      </c>
      <c r="E7082" s="5" t="s">
        <v>139</v>
      </c>
      <c r="F7082" s="9">
        <v>2</v>
      </c>
      <c r="G7082" s="9">
        <v>18</v>
      </c>
      <c r="H7082" s="5" t="s">
        <v>21</v>
      </c>
      <c r="I7082" s="5" t="s">
        <v>16135</v>
      </c>
      <c r="J7082" s="12" t="str">
        <f>HYPERLINK("https://www.boe.es/gazeta/dias/1800/01/07/pdfs/GMD-1800-2.pdf#page=10","Abrir facsímil")</f>
        <v>Abrir facsímil</v>
      </c>
      <c r="K7082" s="15" t="s">
        <v>23</v>
      </c>
    </row>
    <row r="7083" spans="1:11" ht="42" customHeight="1">
      <c r="A7083" s="4" t="s">
        <v>16136</v>
      </c>
      <c r="B7083" s="5" t="s">
        <v>16137</v>
      </c>
      <c r="C7083" s="5" t="s">
        <v>18</v>
      </c>
      <c r="D7083" s="5" t="s">
        <v>19</v>
      </c>
      <c r="E7083" s="5" t="s">
        <v>422</v>
      </c>
      <c r="F7083" s="9">
        <v>85</v>
      </c>
      <c r="G7083" s="9">
        <v>985</v>
      </c>
      <c r="H7083" s="5" t="s">
        <v>21</v>
      </c>
      <c r="I7083" s="5" t="s">
        <v>16138</v>
      </c>
      <c r="J7083" s="12" t="str">
        <f>HYPERLINK("https://www.boe.es/gazeta/dias/1800/10/21/pdfs/GMD-1800-85.pdf#page=7","Abrir facsímil")</f>
        <v>Abrir facsímil</v>
      </c>
      <c r="K7083" s="15" t="s">
        <v>23</v>
      </c>
    </row>
    <row r="7084" spans="1:11" ht="42" customHeight="1">
      <c r="A7084" s="4" t="s">
        <v>16139</v>
      </c>
      <c r="B7084" s="5" t="s">
        <v>16140</v>
      </c>
      <c r="C7084" s="5" t="s">
        <v>84</v>
      </c>
      <c r="D7084" s="5" t="s">
        <v>85</v>
      </c>
      <c r="E7084" s="5" t="s">
        <v>406</v>
      </c>
      <c r="F7084" s="9">
        <v>44</v>
      </c>
      <c r="G7084" s="9">
        <v>464</v>
      </c>
      <c r="H7084" s="5" t="s">
        <v>21</v>
      </c>
      <c r="I7084" s="5" t="s">
        <v>16141</v>
      </c>
      <c r="J7084" s="12" t="str">
        <f>HYPERLINK("https://www.boe.es/gazeta/dias/1800/06/03/pdfs/GMD-1800-44.pdf#page=12","Abrir facsímil")</f>
        <v>Abrir facsímil</v>
      </c>
      <c r="K7084" s="15" t="s">
        <v>23</v>
      </c>
    </row>
    <row r="7085" spans="1:11" ht="42" customHeight="1">
      <c r="A7085" s="4" t="s">
        <v>16142</v>
      </c>
      <c r="B7085" s="5" t="s">
        <v>16143</v>
      </c>
      <c r="C7085" s="5" t="s">
        <v>9860</v>
      </c>
      <c r="D7085" s="5" t="s">
        <v>55</v>
      </c>
      <c r="E7085" s="5" t="s">
        <v>139</v>
      </c>
      <c r="F7085" s="9">
        <v>2</v>
      </c>
      <c r="G7085" s="9">
        <v>20</v>
      </c>
      <c r="H7085" s="5" t="s">
        <v>4432</v>
      </c>
      <c r="I7085" s="5" t="s">
        <v>16144</v>
      </c>
      <c r="J7085" s="12" t="str">
        <f>HYPERLINK("https://www.boe.es/gazeta/dias/1800/01/07/pdfs/GMD-1800-2.pdf#page=12","Abrir facsímil")</f>
        <v>Abrir facsímil</v>
      </c>
      <c r="K7085" s="15" t="s">
        <v>4434</v>
      </c>
    </row>
    <row r="7086" spans="1:11" ht="42" customHeight="1">
      <c r="A7086" s="4" t="s">
        <v>16145</v>
      </c>
      <c r="B7086" s="5" t="s">
        <v>16146</v>
      </c>
      <c r="C7086" s="5" t="s">
        <v>41</v>
      </c>
      <c r="D7086" s="5" t="s">
        <v>42</v>
      </c>
      <c r="E7086" s="5" t="s">
        <v>1294</v>
      </c>
      <c r="F7086" s="9">
        <v>59</v>
      </c>
      <c r="G7086" s="9">
        <v>674</v>
      </c>
      <c r="H7086" s="5" t="s">
        <v>21</v>
      </c>
      <c r="I7086" s="5" t="s">
        <v>16147</v>
      </c>
      <c r="J7086" s="12" t="str">
        <f>HYPERLINK("https://www.boe.es/gazeta/dias/1800/07/25/pdfs/GMD-1800-59.pdf#page=6","Abrir facsímil")</f>
        <v>Abrir facsímil</v>
      </c>
      <c r="K7086" s="15" t="s">
        <v>23</v>
      </c>
    </row>
    <row r="7087" spans="1:11" ht="42" customHeight="1">
      <c r="A7087" s="4" t="s">
        <v>16148</v>
      </c>
      <c r="B7087" s="5" t="s">
        <v>16148</v>
      </c>
      <c r="C7087" s="5" t="s">
        <v>18</v>
      </c>
      <c r="D7087" s="5" t="s">
        <v>19</v>
      </c>
      <c r="E7087" s="5" t="s">
        <v>491</v>
      </c>
      <c r="F7087" s="9">
        <v>29</v>
      </c>
      <c r="G7087" s="9">
        <v>298</v>
      </c>
      <c r="H7087" s="5" t="s">
        <v>21</v>
      </c>
      <c r="I7087" s="5" t="s">
        <v>15999</v>
      </c>
      <c r="J7087" s="12" t="str">
        <f>HYPERLINK("https://www.boe.es/gazeta/dias/1800/04/11/pdfs/GMD-1800-29.pdf#page=6","Abrir facsímil")</f>
        <v>Abrir facsímil</v>
      </c>
      <c r="K7087" s="15" t="s">
        <v>23</v>
      </c>
    </row>
    <row r="7088" spans="1:11" ht="42" customHeight="1">
      <c r="A7088" s="4" t="s">
        <v>16149</v>
      </c>
      <c r="B7088" s="5" t="s">
        <v>16150</v>
      </c>
      <c r="C7088" s="5" t="s">
        <v>41</v>
      </c>
      <c r="D7088" s="5" t="s">
        <v>42</v>
      </c>
      <c r="E7088" s="5" t="s">
        <v>101</v>
      </c>
      <c r="F7088" s="9">
        <v>37</v>
      </c>
      <c r="G7088" s="9">
        <v>376</v>
      </c>
      <c r="H7088" s="5" t="s">
        <v>21</v>
      </c>
      <c r="I7088" s="5" t="s">
        <v>16151</v>
      </c>
      <c r="J7088" s="12" t="str">
        <f>HYPERLINK("https://www.boe.es/gazeta/dias/1800/05/09/pdfs/GMD-1800-37.pdf#page=8","Abrir facsímil")</f>
        <v>Abrir facsímil</v>
      </c>
      <c r="K7088" s="15" t="s">
        <v>23</v>
      </c>
    </row>
    <row r="7089" spans="1:11" ht="42" customHeight="1">
      <c r="A7089" s="4" t="s">
        <v>16149</v>
      </c>
      <c r="B7089" s="5" t="s">
        <v>16150</v>
      </c>
      <c r="C7089" s="5" t="s">
        <v>41</v>
      </c>
      <c r="D7089" s="5" t="s">
        <v>42</v>
      </c>
      <c r="E7089" s="5" t="s">
        <v>43</v>
      </c>
      <c r="F7089" s="9">
        <v>46</v>
      </c>
      <c r="G7089" s="9">
        <v>485</v>
      </c>
      <c r="H7089" s="5" t="s">
        <v>21</v>
      </c>
      <c r="I7089" s="5" t="s">
        <v>16152</v>
      </c>
      <c r="J7089" s="12" t="str">
        <f>HYPERLINK("https://www.boe.es/gazeta/dias/1800/06/10/pdfs/GMD-1800-46.pdf#page=9","Abrir facsímil")</f>
        <v>Abrir facsímil</v>
      </c>
      <c r="K7089" s="15" t="s">
        <v>23</v>
      </c>
    </row>
    <row r="7090" spans="1:11" ht="42" customHeight="1">
      <c r="A7090" s="4" t="s">
        <v>16149</v>
      </c>
      <c r="B7090" s="5" t="s">
        <v>16150</v>
      </c>
      <c r="C7090" s="5" t="s">
        <v>41</v>
      </c>
      <c r="D7090" s="5" t="s">
        <v>42</v>
      </c>
      <c r="E7090" s="5" t="s">
        <v>120</v>
      </c>
      <c r="F7090" s="9">
        <v>52</v>
      </c>
      <c r="G7090" s="9">
        <v>568</v>
      </c>
      <c r="H7090" s="5" t="s">
        <v>21</v>
      </c>
      <c r="I7090" s="5" t="s">
        <v>16153</v>
      </c>
      <c r="J7090" s="12" t="str">
        <f>HYPERLINK("https://www.boe.es/gazeta/dias/1800/07/01/pdfs/GMD-1800-52.pdf#page=4","Abrir facsímil")</f>
        <v>Abrir facsímil</v>
      </c>
      <c r="K7090" s="15" t="s">
        <v>23</v>
      </c>
    </row>
    <row r="7091" spans="1:11" ht="42" customHeight="1">
      <c r="A7091" s="4" t="s">
        <v>16149</v>
      </c>
      <c r="B7091" s="5" t="s">
        <v>16150</v>
      </c>
      <c r="C7091" s="5" t="s">
        <v>18</v>
      </c>
      <c r="D7091" s="5" t="s">
        <v>19</v>
      </c>
      <c r="E7091" s="5" t="s">
        <v>828</v>
      </c>
      <c r="F7091" s="9">
        <v>53</v>
      </c>
      <c r="G7091" s="9">
        <v>587</v>
      </c>
      <c r="H7091" s="5" t="s">
        <v>21</v>
      </c>
      <c r="I7091" s="5" t="s">
        <v>16154</v>
      </c>
      <c r="J7091" s="12" t="str">
        <f>HYPERLINK("https://www.boe.es/gazeta/dias/1800/07/04/pdfs/GMD-1800-53.pdf#page=7","Abrir facsímil")</f>
        <v>Abrir facsímil</v>
      </c>
      <c r="K7091" s="15" t="s">
        <v>23</v>
      </c>
    </row>
    <row r="7092" spans="1:11" ht="42" customHeight="1">
      <c r="A7092" s="4" t="s">
        <v>16149</v>
      </c>
      <c r="B7092" s="5" t="s">
        <v>16150</v>
      </c>
      <c r="C7092" s="5" t="s">
        <v>25</v>
      </c>
      <c r="D7092" s="5" t="s">
        <v>26</v>
      </c>
      <c r="E7092" s="5" t="s">
        <v>828</v>
      </c>
      <c r="F7092" s="9">
        <v>53</v>
      </c>
      <c r="G7092" s="9">
        <v>590</v>
      </c>
      <c r="H7092" s="5" t="s">
        <v>21</v>
      </c>
      <c r="I7092" s="5" t="s">
        <v>16155</v>
      </c>
      <c r="J7092" s="12" t="str">
        <f>HYPERLINK("https://www.boe.es/gazeta/dias/1800/07/04/pdfs/GMD-1800-53.pdf#page=10","Abrir facsímil")</f>
        <v>Abrir facsímil</v>
      </c>
      <c r="K7092" s="15" t="s">
        <v>23</v>
      </c>
    </row>
    <row r="7093" spans="1:11" ht="42" customHeight="1">
      <c r="A7093" s="4" t="s">
        <v>16149</v>
      </c>
      <c r="B7093" s="5" t="s">
        <v>16150</v>
      </c>
      <c r="C7093" s="5" t="s">
        <v>41</v>
      </c>
      <c r="D7093" s="5" t="s">
        <v>42</v>
      </c>
      <c r="E7093" s="5" t="s">
        <v>64</v>
      </c>
      <c r="F7093" s="9">
        <v>54</v>
      </c>
      <c r="G7093" s="9">
        <v>601</v>
      </c>
      <c r="H7093" s="5" t="s">
        <v>21</v>
      </c>
      <c r="I7093" s="5" t="s">
        <v>16156</v>
      </c>
      <c r="J7093" s="12" t="str">
        <f>HYPERLINK("https://www.boe.es/gazeta/dias/1800/07/08/pdfs/GMD-1800-54.pdf#page=5","Abrir facsímil")</f>
        <v>Abrir facsímil</v>
      </c>
      <c r="K7093" s="15" t="s">
        <v>23</v>
      </c>
    </row>
    <row r="7094" spans="1:11" ht="42" customHeight="1">
      <c r="A7094" s="4" t="s">
        <v>16149</v>
      </c>
      <c r="B7094" s="5" t="s">
        <v>16150</v>
      </c>
      <c r="C7094" s="5" t="s">
        <v>41</v>
      </c>
      <c r="D7094" s="5" t="s">
        <v>42</v>
      </c>
      <c r="E7094" s="5" t="s">
        <v>64</v>
      </c>
      <c r="F7094" s="9">
        <v>54</v>
      </c>
      <c r="G7094" s="9">
        <v>603</v>
      </c>
      <c r="H7094" s="5" t="s">
        <v>21</v>
      </c>
      <c r="I7094" s="5" t="s">
        <v>16157</v>
      </c>
      <c r="J7094" s="12" t="str">
        <f>HYPERLINK("https://www.boe.es/gazeta/dias/1800/07/08/pdfs/GMD-1800-54.pdf#page=7","Abrir facsímil")</f>
        <v>Abrir facsímil</v>
      </c>
      <c r="K7094" s="15" t="s">
        <v>23</v>
      </c>
    </row>
    <row r="7095" spans="1:11" ht="42" customHeight="1">
      <c r="A7095" s="4" t="s">
        <v>16149</v>
      </c>
      <c r="B7095" s="5" t="s">
        <v>16150</v>
      </c>
      <c r="C7095" s="5" t="s">
        <v>41</v>
      </c>
      <c r="D7095" s="5" t="s">
        <v>42</v>
      </c>
      <c r="E7095" s="5" t="s">
        <v>64</v>
      </c>
      <c r="F7095" s="9">
        <v>54</v>
      </c>
      <c r="G7095" s="9">
        <v>604</v>
      </c>
      <c r="H7095" s="5" t="s">
        <v>21</v>
      </c>
      <c r="I7095" s="5" t="s">
        <v>16158</v>
      </c>
      <c r="J7095" s="12" t="str">
        <f>HYPERLINK("https://www.boe.es/gazeta/dias/1800/07/08/pdfs/GMD-1800-54.pdf#page=8","Abrir facsímil")</f>
        <v>Abrir facsímil</v>
      </c>
      <c r="K7095" s="15" t="s">
        <v>23</v>
      </c>
    </row>
    <row r="7096" spans="1:11" ht="42" customHeight="1">
      <c r="A7096" s="4" t="s">
        <v>16149</v>
      </c>
      <c r="B7096" s="5" t="s">
        <v>16150</v>
      </c>
      <c r="C7096" s="5" t="s">
        <v>18</v>
      </c>
      <c r="D7096" s="5" t="s">
        <v>19</v>
      </c>
      <c r="E7096" s="5" t="s">
        <v>90</v>
      </c>
      <c r="F7096" s="9">
        <v>58</v>
      </c>
      <c r="G7096" s="9">
        <v>661</v>
      </c>
      <c r="H7096" s="5" t="s">
        <v>21</v>
      </c>
      <c r="I7096" s="5" t="s">
        <v>16159</v>
      </c>
      <c r="J7096" s="12" t="str">
        <f>HYPERLINK("https://www.boe.es/gazeta/dias/1800/07/22/pdfs/GMD-1800-58.pdf#page=9","Abrir facsímil")</f>
        <v>Abrir facsímil</v>
      </c>
      <c r="K7096" s="15" t="s">
        <v>23</v>
      </c>
    </row>
    <row r="7097" spans="1:11" ht="42" customHeight="1">
      <c r="A7097" s="4" t="s">
        <v>16149</v>
      </c>
      <c r="B7097" s="5" t="s">
        <v>16150</v>
      </c>
      <c r="C7097" s="5" t="s">
        <v>25</v>
      </c>
      <c r="D7097" s="5" t="s">
        <v>26</v>
      </c>
      <c r="E7097" s="5" t="s">
        <v>90</v>
      </c>
      <c r="F7097" s="9">
        <v>58</v>
      </c>
      <c r="G7097" s="9">
        <v>662</v>
      </c>
      <c r="H7097" s="5" t="s">
        <v>21</v>
      </c>
      <c r="I7097" s="5" t="s">
        <v>16160</v>
      </c>
      <c r="J7097" s="12" t="str">
        <f>HYPERLINK("https://www.boe.es/gazeta/dias/1800/07/22/pdfs/GMD-1800-58.pdf#page=10","Abrir facsímil")</f>
        <v>Abrir facsímil</v>
      </c>
      <c r="K7097" s="15" t="s">
        <v>23</v>
      </c>
    </row>
    <row r="7098" spans="1:11" ht="42" customHeight="1">
      <c r="A7098" s="4" t="s">
        <v>16149</v>
      </c>
      <c r="B7098" s="5" t="s">
        <v>16150</v>
      </c>
      <c r="C7098" s="5" t="s">
        <v>41</v>
      </c>
      <c r="D7098" s="5" t="s">
        <v>42</v>
      </c>
      <c r="E7098" s="5" t="s">
        <v>1294</v>
      </c>
      <c r="F7098" s="9">
        <v>59</v>
      </c>
      <c r="G7098" s="9">
        <v>675</v>
      </c>
      <c r="H7098" s="5" t="s">
        <v>21</v>
      </c>
      <c r="I7098" s="5" t="s">
        <v>16161</v>
      </c>
      <c r="J7098" s="12" t="str">
        <f>HYPERLINK("https://www.boe.es/gazeta/dias/1800/07/25/pdfs/GMD-1800-59.pdf#page=7","Abrir facsímil")</f>
        <v>Abrir facsímil</v>
      </c>
      <c r="K7098" s="15" t="s">
        <v>23</v>
      </c>
    </row>
    <row r="7099" spans="1:11" ht="42" customHeight="1">
      <c r="A7099" s="4" t="s">
        <v>16149</v>
      </c>
      <c r="B7099" s="5" t="s">
        <v>16150</v>
      </c>
      <c r="C7099" s="5" t="s">
        <v>41</v>
      </c>
      <c r="D7099" s="5" t="s">
        <v>42</v>
      </c>
      <c r="E7099" s="5" t="s">
        <v>184</v>
      </c>
      <c r="F7099" s="9">
        <v>82</v>
      </c>
      <c r="G7099" s="9">
        <v>947</v>
      </c>
      <c r="H7099" s="5" t="s">
        <v>21</v>
      </c>
      <c r="I7099" s="5" t="s">
        <v>16162</v>
      </c>
      <c r="J7099" s="12" t="str">
        <f>HYPERLINK("https://www.boe.es/gazeta/dias/1800/10/10/pdfs/GMD-1800-82.pdf#page=5","Abrir facsímil")</f>
        <v>Abrir facsímil</v>
      </c>
      <c r="K7099" s="15" t="s">
        <v>23</v>
      </c>
    </row>
    <row r="7100" spans="1:11" ht="42" customHeight="1">
      <c r="A7100" s="4" t="s">
        <v>16163</v>
      </c>
      <c r="B7100" s="5" t="s">
        <v>16164</v>
      </c>
      <c r="C7100" s="5" t="s">
        <v>18</v>
      </c>
      <c r="D7100" s="5" t="s">
        <v>19</v>
      </c>
      <c r="E7100" s="5" t="s">
        <v>310</v>
      </c>
      <c r="F7100" s="9">
        <v>56</v>
      </c>
      <c r="G7100" s="9">
        <v>631</v>
      </c>
      <c r="H7100" s="5" t="s">
        <v>21</v>
      </c>
      <c r="I7100" s="5" t="s">
        <v>16165</v>
      </c>
      <c r="J7100" s="12" t="str">
        <f>HYPERLINK("https://www.boe.es/gazeta/dias/1800/07/15/pdfs/GMD-1800-56.pdf#page=7","Abrir facsímil")</f>
        <v>Abrir facsímil</v>
      </c>
      <c r="K7100" s="15" t="s">
        <v>23</v>
      </c>
    </row>
    <row r="7101" spans="1:11" ht="42" customHeight="1">
      <c r="A7101" s="4" t="s">
        <v>16166</v>
      </c>
      <c r="B7101" s="5" t="s">
        <v>16167</v>
      </c>
      <c r="C7101" s="5" t="s">
        <v>207</v>
      </c>
      <c r="D7101" s="5" t="s">
        <v>55</v>
      </c>
      <c r="E7101" s="5" t="s">
        <v>116</v>
      </c>
      <c r="F7101" s="9">
        <v>86</v>
      </c>
      <c r="G7101" s="9">
        <v>998</v>
      </c>
      <c r="H7101" s="5" t="s">
        <v>21</v>
      </c>
      <c r="I7101" s="5" t="s">
        <v>16168</v>
      </c>
      <c r="J7101" s="12" t="str">
        <f>HYPERLINK("https://www.boe.es/gazeta/dias/1800/10/24/pdfs/GMD-1800-86.pdf#page=8","Abrir facsímil")</f>
        <v>Abrir facsímil</v>
      </c>
      <c r="K7101" s="15" t="s">
        <v>23</v>
      </c>
    </row>
    <row r="7102" spans="1:11" ht="42" customHeight="1">
      <c r="A7102" s="4" t="s">
        <v>16169</v>
      </c>
      <c r="B7102" s="5" t="s">
        <v>16170</v>
      </c>
      <c r="C7102" s="5" t="s">
        <v>41</v>
      </c>
      <c r="D7102" s="5" t="s">
        <v>42</v>
      </c>
      <c r="E7102" s="5" t="s">
        <v>180</v>
      </c>
      <c r="F7102" s="9">
        <v>102</v>
      </c>
      <c r="G7102" s="9">
        <v>1180</v>
      </c>
      <c r="H7102" s="5" t="s">
        <v>21</v>
      </c>
      <c r="I7102" s="5" t="s">
        <v>16171</v>
      </c>
      <c r="J7102" s="12" t="str">
        <f>HYPERLINK("https://www.boe.es/gazeta/dias/1800/12/19/pdfs/GMD-1800-102.pdf#page=4","Abrir facsímil")</f>
        <v>Abrir facsímil</v>
      </c>
      <c r="K7102" s="15" t="s">
        <v>23</v>
      </c>
    </row>
    <row r="7103" spans="1:11" ht="42" customHeight="1">
      <c r="A7103" s="4" t="s">
        <v>16172</v>
      </c>
      <c r="B7103" s="5" t="s">
        <v>16173</v>
      </c>
      <c r="C7103" s="5" t="s">
        <v>41</v>
      </c>
      <c r="D7103" s="5" t="s">
        <v>42</v>
      </c>
      <c r="E7103" s="5" t="s">
        <v>275</v>
      </c>
      <c r="F7103" s="9">
        <v>60</v>
      </c>
      <c r="G7103" s="9">
        <v>684</v>
      </c>
      <c r="H7103" s="5" t="s">
        <v>21</v>
      </c>
      <c r="I7103" s="5" t="s">
        <v>16174</v>
      </c>
      <c r="J7103" s="12" t="str">
        <f>HYPERLINK("https://www.boe.es/gazeta/dias/1800/07/29/pdfs/GMD-1800-60.pdf#page=4","Abrir facsímil")</f>
        <v>Abrir facsímil</v>
      </c>
      <c r="K7103" s="15" t="s">
        <v>23</v>
      </c>
    </row>
    <row r="7104" spans="1:11" ht="42" customHeight="1">
      <c r="A7104" s="4" t="s">
        <v>16175</v>
      </c>
      <c r="B7104" s="5" t="s">
        <v>16175</v>
      </c>
      <c r="C7104" s="5" t="s">
        <v>18</v>
      </c>
      <c r="D7104" s="5" t="s">
        <v>19</v>
      </c>
      <c r="E7104" s="5" t="s">
        <v>598</v>
      </c>
      <c r="F7104" s="9">
        <v>32</v>
      </c>
      <c r="G7104" s="9">
        <v>324</v>
      </c>
      <c r="H7104" s="5" t="s">
        <v>21</v>
      </c>
      <c r="I7104" s="5" t="s">
        <v>16176</v>
      </c>
      <c r="J7104" s="12" t="str">
        <f>HYPERLINK("https://www.boe.es/gazeta/dias/1800/04/22/pdfs/GMD-1800-32.pdf#page=8","Abrir facsímil")</f>
        <v>Abrir facsímil</v>
      </c>
      <c r="K7104" s="15" t="s">
        <v>23</v>
      </c>
    </row>
    <row r="7105" spans="1:11" ht="42" customHeight="1">
      <c r="A7105" s="4" t="s">
        <v>16177</v>
      </c>
      <c r="B7105" s="5" t="s">
        <v>16178</v>
      </c>
      <c r="C7105" s="5" t="s">
        <v>18</v>
      </c>
      <c r="D7105" s="5" t="s">
        <v>19</v>
      </c>
      <c r="E7105" s="5" t="s">
        <v>314</v>
      </c>
      <c r="F7105" s="9">
        <v>74</v>
      </c>
      <c r="G7105" s="9">
        <v>830</v>
      </c>
      <c r="H7105" s="5" t="s">
        <v>21</v>
      </c>
      <c r="I7105" s="5" t="s">
        <v>16179</v>
      </c>
      <c r="J7105" s="12" t="str">
        <f>HYPERLINK("https://www.boe.es/gazeta/dias/1800/09/12/pdfs/GMD-1800-74.pdf#page=8","Abrir facsímil")</f>
        <v>Abrir facsímil</v>
      </c>
      <c r="K7105" s="15" t="s">
        <v>23</v>
      </c>
    </row>
    <row r="7106" spans="1:11" ht="42" customHeight="1">
      <c r="A7106" s="4" t="s">
        <v>16180</v>
      </c>
      <c r="B7106" s="5" t="s">
        <v>16181</v>
      </c>
      <c r="C7106" s="5" t="s">
        <v>41</v>
      </c>
      <c r="D7106" s="5" t="s">
        <v>42</v>
      </c>
      <c r="E7106" s="5" t="s">
        <v>673</v>
      </c>
      <c r="F7106" s="9">
        <v>89</v>
      </c>
      <c r="G7106" s="9">
        <v>1038</v>
      </c>
      <c r="H7106" s="5" t="s">
        <v>21</v>
      </c>
      <c r="I7106" s="5" t="s">
        <v>16182</v>
      </c>
      <c r="J7106" s="12" t="str">
        <f>HYPERLINK("https://www.boe.es/gazeta/dias/1800/11/04/pdfs/GMD-1800-89.pdf#page=4","Abrir facsímil")</f>
        <v>Abrir facsímil</v>
      </c>
      <c r="K7106" s="15" t="s">
        <v>23</v>
      </c>
    </row>
    <row r="7107" spans="1:11" ht="42" customHeight="1">
      <c r="A7107" s="4" t="s">
        <v>16183</v>
      </c>
      <c r="B7107" s="5" t="s">
        <v>16184</v>
      </c>
      <c r="C7107" s="5" t="s">
        <v>84</v>
      </c>
      <c r="D7107" s="5" t="s">
        <v>85</v>
      </c>
      <c r="E7107" s="5" t="s">
        <v>31</v>
      </c>
      <c r="F7107" s="9">
        <v>20</v>
      </c>
      <c r="G7107" s="9">
        <v>196</v>
      </c>
      <c r="H7107" s="5" t="s">
        <v>21</v>
      </c>
      <c r="I7107" s="5" t="s">
        <v>16185</v>
      </c>
      <c r="J7107" s="12" t="str">
        <f>HYPERLINK("https://www.boe.es/gazeta/dias/1800/03/11/pdfs/GMD-1800-20.pdf#page=12","Abrir facsímil")</f>
        <v>Abrir facsímil</v>
      </c>
      <c r="K7107" s="15" t="s">
        <v>23</v>
      </c>
    </row>
    <row r="7108" spans="1:11" ht="42" customHeight="1">
      <c r="A7108" s="4" t="s">
        <v>16186</v>
      </c>
      <c r="B7108" s="5" t="s">
        <v>16186</v>
      </c>
      <c r="C7108" s="5" t="s">
        <v>41</v>
      </c>
      <c r="D7108" s="5" t="s">
        <v>42</v>
      </c>
      <c r="E7108" s="5" t="s">
        <v>618</v>
      </c>
      <c r="F7108" s="9">
        <v>1</v>
      </c>
      <c r="G7108" s="9">
        <v>2</v>
      </c>
      <c r="H7108" s="5" t="s">
        <v>21</v>
      </c>
      <c r="I7108" s="5" t="s">
        <v>16187</v>
      </c>
      <c r="J7108" s="12" t="str">
        <f>HYPERLINK("https://www.boe.es/gazeta/dias/1800/01/03/pdfs/GMD-1800-1.pdf#page=2","Abrir facsímil")</f>
        <v>Abrir facsímil</v>
      </c>
      <c r="K7108" s="15" t="s">
        <v>23</v>
      </c>
    </row>
    <row r="7109" spans="1:11" ht="42" customHeight="1">
      <c r="A7109" s="4" t="s">
        <v>16186</v>
      </c>
      <c r="B7109" s="5" t="s">
        <v>16186</v>
      </c>
      <c r="C7109" s="5" t="s">
        <v>41</v>
      </c>
      <c r="D7109" s="5" t="s">
        <v>42</v>
      </c>
      <c r="E7109" s="5" t="s">
        <v>139</v>
      </c>
      <c r="F7109" s="9">
        <v>2</v>
      </c>
      <c r="G7109" s="9">
        <v>12</v>
      </c>
      <c r="H7109" s="5" t="s">
        <v>21</v>
      </c>
      <c r="I7109" s="5" t="s">
        <v>16188</v>
      </c>
      <c r="J7109" s="12" t="str">
        <f>HYPERLINK("https://www.boe.es/gazeta/dias/1800/01/07/pdfs/GMD-1800-2.pdf#page=4","Abrir facsímil")</f>
        <v>Abrir facsímil</v>
      </c>
      <c r="K7109" s="15" t="s">
        <v>23</v>
      </c>
    </row>
    <row r="7110" spans="1:11" ht="42" customHeight="1">
      <c r="A7110" s="4" t="s">
        <v>16186</v>
      </c>
      <c r="B7110" s="5" t="s">
        <v>16186</v>
      </c>
      <c r="C7110" s="5" t="s">
        <v>41</v>
      </c>
      <c r="D7110" s="5" t="s">
        <v>42</v>
      </c>
      <c r="E7110" s="5" t="s">
        <v>218</v>
      </c>
      <c r="F7110" s="9">
        <v>5</v>
      </c>
      <c r="G7110" s="9">
        <v>42</v>
      </c>
      <c r="H7110" s="5" t="s">
        <v>21</v>
      </c>
      <c r="I7110" s="5" t="s">
        <v>16189</v>
      </c>
      <c r="J7110" s="12" t="str">
        <f>HYPERLINK("https://www.boe.es/gazeta/dias/1800/01/17/pdfs/GMD-1800-5.pdf#page=2","Abrir facsímil")</f>
        <v>Abrir facsímil</v>
      </c>
      <c r="K7110" s="15" t="s">
        <v>23</v>
      </c>
    </row>
    <row r="7111" spans="1:11" ht="42" customHeight="1">
      <c r="A7111" s="4" t="s">
        <v>16186</v>
      </c>
      <c r="B7111" s="5" t="s">
        <v>16186</v>
      </c>
      <c r="C7111" s="5" t="s">
        <v>84</v>
      </c>
      <c r="D7111" s="5" t="s">
        <v>85</v>
      </c>
      <c r="E7111" s="5" t="s">
        <v>244</v>
      </c>
      <c r="F7111" s="9">
        <v>9</v>
      </c>
      <c r="G7111" s="9">
        <v>79</v>
      </c>
      <c r="H7111" s="5" t="s">
        <v>21</v>
      </c>
      <c r="I7111" s="5" t="s">
        <v>16190</v>
      </c>
      <c r="J7111" s="12" t="str">
        <f>HYPERLINK("https://www.boe.es/gazeta/dias/1800/01/31/pdfs/GMD-1800-9.pdf#page=3","Abrir facsímil")</f>
        <v>Abrir facsímil</v>
      </c>
      <c r="K7111" s="15" t="s">
        <v>23</v>
      </c>
    </row>
    <row r="7112" spans="1:11" ht="42" customHeight="1">
      <c r="A7112" s="4" t="s">
        <v>16186</v>
      </c>
      <c r="B7112" s="5" t="s">
        <v>16186</v>
      </c>
      <c r="C7112" s="5" t="s">
        <v>41</v>
      </c>
      <c r="D7112" s="5" t="s">
        <v>42</v>
      </c>
      <c r="E7112" s="5" t="s">
        <v>545</v>
      </c>
      <c r="F7112" s="9">
        <v>14</v>
      </c>
      <c r="G7112" s="9">
        <v>130</v>
      </c>
      <c r="H7112" s="5" t="s">
        <v>21</v>
      </c>
      <c r="I7112" s="5" t="s">
        <v>16191</v>
      </c>
      <c r="J7112" s="12" t="str">
        <f>HYPERLINK("https://www.boe.es/gazeta/dias/1800/02/18/pdfs/GMD-1800-14.pdf#page=2","Abrir facsímil")</f>
        <v>Abrir facsímil</v>
      </c>
      <c r="K7112" s="15" t="s">
        <v>23</v>
      </c>
    </row>
    <row r="7113" spans="1:11" ht="42" customHeight="1">
      <c r="A7113" s="4" t="s">
        <v>16186</v>
      </c>
      <c r="B7113" s="5" t="s">
        <v>16186</v>
      </c>
      <c r="C7113" s="5" t="s">
        <v>41</v>
      </c>
      <c r="D7113" s="5" t="s">
        <v>42</v>
      </c>
      <c r="E7113" s="5" t="s">
        <v>86</v>
      </c>
      <c r="F7113" s="9">
        <v>17</v>
      </c>
      <c r="G7113" s="9">
        <v>154</v>
      </c>
      <c r="H7113" s="5" t="s">
        <v>21</v>
      </c>
      <c r="I7113" s="5" t="s">
        <v>16192</v>
      </c>
      <c r="J7113" s="12" t="str">
        <f>HYPERLINK("https://www.boe.es/gazeta/dias/1800/02/28/pdfs/GMD-1800-17.pdf#page=2","Abrir facsímil")</f>
        <v>Abrir facsímil</v>
      </c>
      <c r="K7113" s="15" t="s">
        <v>23</v>
      </c>
    </row>
    <row r="7114" spans="1:11" ht="42" customHeight="1">
      <c r="A7114" s="4" t="s">
        <v>16186</v>
      </c>
      <c r="B7114" s="5" t="s">
        <v>16186</v>
      </c>
      <c r="C7114" s="5" t="s">
        <v>41</v>
      </c>
      <c r="D7114" s="5" t="s">
        <v>42</v>
      </c>
      <c r="E7114" s="5" t="s">
        <v>86</v>
      </c>
      <c r="F7114" s="9">
        <v>17</v>
      </c>
      <c r="G7114" s="9">
        <v>156</v>
      </c>
      <c r="H7114" s="5" t="s">
        <v>21</v>
      </c>
      <c r="I7114" s="5" t="s">
        <v>16193</v>
      </c>
      <c r="J7114" s="12" t="str">
        <f>HYPERLINK("https://www.boe.es/gazeta/dias/1800/02/28/pdfs/GMD-1800-17.pdf#page=4","Abrir facsímil")</f>
        <v>Abrir facsímil</v>
      </c>
      <c r="K7114" s="15" t="s">
        <v>23</v>
      </c>
    </row>
    <row r="7115" spans="1:11" ht="42" customHeight="1">
      <c r="A7115" s="4" t="s">
        <v>16194</v>
      </c>
      <c r="B7115" s="5" t="s">
        <v>16194</v>
      </c>
      <c r="C7115" s="5" t="s">
        <v>84</v>
      </c>
      <c r="D7115" s="5" t="s">
        <v>85</v>
      </c>
      <c r="E7115" s="5" t="s">
        <v>461</v>
      </c>
      <c r="F7115" s="9">
        <v>18</v>
      </c>
      <c r="G7115" s="9">
        <v>165</v>
      </c>
      <c r="H7115" s="5" t="s">
        <v>21</v>
      </c>
      <c r="I7115" s="5" t="s">
        <v>16195</v>
      </c>
      <c r="J7115" s="12" t="str">
        <f>HYPERLINK("https://www.boe.es/datos/pdfs/BOE//1800/018/C00173-00176.pdf#page=1","Abrir facsímil")</f>
        <v>Abrir facsímil</v>
      </c>
      <c r="K7115" s="15" t="s">
        <v>23</v>
      </c>
    </row>
    <row r="7116" spans="1:11" ht="42" customHeight="1">
      <c r="A7116" s="4" t="s">
        <v>16186</v>
      </c>
      <c r="B7116" s="5" t="s">
        <v>16186</v>
      </c>
      <c r="C7116" s="5" t="s">
        <v>41</v>
      </c>
      <c r="D7116" s="5" t="s">
        <v>42</v>
      </c>
      <c r="E7116" s="5" t="s">
        <v>35</v>
      </c>
      <c r="F7116" s="9">
        <v>21</v>
      </c>
      <c r="G7116" s="9">
        <v>202</v>
      </c>
      <c r="H7116" s="5" t="s">
        <v>21</v>
      </c>
      <c r="I7116" s="5" t="s">
        <v>16196</v>
      </c>
      <c r="J7116" s="12" t="str">
        <f>HYPERLINK("https://www.boe.es/gazeta/dias/1800/03/14/pdfs/GMD-1800-21.pdf#page=6","Abrir facsímil")</f>
        <v>Abrir facsímil</v>
      </c>
      <c r="K7116" s="15" t="s">
        <v>23</v>
      </c>
    </row>
    <row r="7117" spans="1:11" ht="42" customHeight="1">
      <c r="A7117" s="4" t="s">
        <v>16194</v>
      </c>
      <c r="B7117" s="5" t="s">
        <v>16194</v>
      </c>
      <c r="C7117" s="5" t="s">
        <v>41</v>
      </c>
      <c r="D7117" s="5" t="s">
        <v>42</v>
      </c>
      <c r="E7117" s="5" t="s">
        <v>88</v>
      </c>
      <c r="F7117" s="9">
        <v>23</v>
      </c>
      <c r="G7117" s="9">
        <v>225</v>
      </c>
      <c r="H7117" s="5" t="s">
        <v>21</v>
      </c>
      <c r="I7117" s="5" t="s">
        <v>16197</v>
      </c>
      <c r="J7117" s="12" t="str">
        <f>HYPERLINK("https://www.boe.es/gazeta/dias/1800/03/21/pdfs/GMD-1800-23.pdf#page=1","Abrir facsímil")</f>
        <v>Abrir facsímil</v>
      </c>
      <c r="K7117" s="15" t="s">
        <v>23</v>
      </c>
    </row>
    <row r="7118" spans="1:11" ht="42" customHeight="1">
      <c r="A7118" s="4" t="s">
        <v>16186</v>
      </c>
      <c r="B7118" s="5" t="s">
        <v>16186</v>
      </c>
      <c r="C7118" s="5" t="s">
        <v>41</v>
      </c>
      <c r="D7118" s="5" t="s">
        <v>42</v>
      </c>
      <c r="E7118" s="5" t="s">
        <v>346</v>
      </c>
      <c r="F7118" s="9">
        <v>24</v>
      </c>
      <c r="G7118" s="9">
        <v>237</v>
      </c>
      <c r="H7118" s="5" t="s">
        <v>21</v>
      </c>
      <c r="I7118" s="5" t="s">
        <v>16198</v>
      </c>
      <c r="J7118" s="12" t="str">
        <f>HYPERLINK("https://www.boe.es/gazeta/dias/1800/03/25/pdfs/GMD-1800-24.pdf#page=1","Abrir facsímil")</f>
        <v>Abrir facsímil</v>
      </c>
      <c r="K7118" s="15" t="s">
        <v>23</v>
      </c>
    </row>
    <row r="7119" spans="1:11" ht="42" customHeight="1">
      <c r="A7119" s="4" t="s">
        <v>16186</v>
      </c>
      <c r="B7119" s="5" t="s">
        <v>16186</v>
      </c>
      <c r="C7119" s="5" t="s">
        <v>41</v>
      </c>
      <c r="D7119" s="5" t="s">
        <v>42</v>
      </c>
      <c r="E7119" s="5" t="s">
        <v>346</v>
      </c>
      <c r="F7119" s="9">
        <v>24</v>
      </c>
      <c r="G7119" s="9">
        <v>238</v>
      </c>
      <c r="H7119" s="5" t="s">
        <v>21</v>
      </c>
      <c r="I7119" s="5" t="s">
        <v>16199</v>
      </c>
      <c r="J7119" s="12" t="str">
        <f>HYPERLINK("https://www.boe.es/gazeta/dias/1800/03/25/pdfs/GMD-1800-24.pdf#page=2","Abrir facsímil")</f>
        <v>Abrir facsímil</v>
      </c>
      <c r="K7119" s="15" t="s">
        <v>23</v>
      </c>
    </row>
    <row r="7120" spans="1:11" ht="42" customHeight="1">
      <c r="A7120" s="4" t="s">
        <v>16186</v>
      </c>
      <c r="B7120" s="5" t="s">
        <v>16186</v>
      </c>
      <c r="C7120" s="5" t="s">
        <v>41</v>
      </c>
      <c r="D7120" s="5" t="s">
        <v>42</v>
      </c>
      <c r="E7120" s="5" t="s">
        <v>240</v>
      </c>
      <c r="F7120" s="9">
        <v>26</v>
      </c>
      <c r="G7120" s="9">
        <v>265</v>
      </c>
      <c r="H7120" s="5" t="s">
        <v>21</v>
      </c>
      <c r="I7120" s="5" t="s">
        <v>16200</v>
      </c>
      <c r="J7120" s="12" t="str">
        <f>HYPERLINK("https://www.boe.es/gazeta/dias/1800/04/01/pdfs/GMD-1800-26.pdf#page=5","Abrir facsímil")</f>
        <v>Abrir facsímil</v>
      </c>
      <c r="K7120" s="15" t="s">
        <v>23</v>
      </c>
    </row>
    <row r="7121" spans="1:11" ht="42" customHeight="1">
      <c r="A7121" s="4" t="s">
        <v>16186</v>
      </c>
      <c r="B7121" s="5" t="s">
        <v>16186</v>
      </c>
      <c r="C7121" s="5" t="s">
        <v>41</v>
      </c>
      <c r="D7121" s="5" t="s">
        <v>42</v>
      </c>
      <c r="E7121" s="5" t="s">
        <v>105</v>
      </c>
      <c r="F7121" s="9">
        <v>28</v>
      </c>
      <c r="G7121" s="9">
        <v>285</v>
      </c>
      <c r="H7121" s="5" t="s">
        <v>21</v>
      </c>
      <c r="I7121" s="5" t="s">
        <v>16201</v>
      </c>
      <c r="J7121" s="12" t="str">
        <f>HYPERLINK("https://www.boe.es/gazeta/dias/1800/04/08/pdfs/GMD-1800-28.pdf#page=1","Abrir facsímil")</f>
        <v>Abrir facsímil</v>
      </c>
      <c r="K7121" s="15" t="s">
        <v>23</v>
      </c>
    </row>
    <row r="7122" spans="1:11" ht="42" customHeight="1">
      <c r="A7122" s="4" t="s">
        <v>16186</v>
      </c>
      <c r="B7122" s="5" t="s">
        <v>16186</v>
      </c>
      <c r="C7122" s="5" t="s">
        <v>41</v>
      </c>
      <c r="D7122" s="5" t="s">
        <v>42</v>
      </c>
      <c r="E7122" s="5" t="s">
        <v>1108</v>
      </c>
      <c r="F7122" s="9">
        <v>30</v>
      </c>
      <c r="G7122" s="9">
        <v>301</v>
      </c>
      <c r="H7122" s="5" t="s">
        <v>21</v>
      </c>
      <c r="I7122" s="5" t="s">
        <v>16202</v>
      </c>
      <c r="J7122" s="12" t="str">
        <f>HYPERLINK("https://www.boe.es/gazeta/dias/1800/04/15/pdfs/GMD-1800-30.pdf#page=1","Abrir facsímil")</f>
        <v>Abrir facsímil</v>
      </c>
      <c r="K7122" s="15" t="s">
        <v>23</v>
      </c>
    </row>
    <row r="7123" spans="1:11" ht="42" customHeight="1">
      <c r="A7123" s="4" t="s">
        <v>16186</v>
      </c>
      <c r="B7123" s="5" t="s">
        <v>16186</v>
      </c>
      <c r="C7123" s="5" t="s">
        <v>41</v>
      </c>
      <c r="D7123" s="5" t="s">
        <v>42</v>
      </c>
      <c r="E7123" s="5" t="s">
        <v>101</v>
      </c>
      <c r="F7123" s="9">
        <v>37</v>
      </c>
      <c r="G7123" s="9">
        <v>371</v>
      </c>
      <c r="H7123" s="5" t="s">
        <v>21</v>
      </c>
      <c r="I7123" s="5" t="s">
        <v>16203</v>
      </c>
      <c r="J7123" s="12" t="str">
        <f>HYPERLINK("https://www.boe.es/gazeta/dias/1800/05/09/pdfs/GMD-1800-37.pdf#page=3","Abrir facsímil")</f>
        <v>Abrir facsímil</v>
      </c>
      <c r="K7123" s="15" t="s">
        <v>23</v>
      </c>
    </row>
    <row r="7124" spans="1:11" ht="42" customHeight="1">
      <c r="A7124" s="4" t="s">
        <v>16204</v>
      </c>
      <c r="B7124" s="5" t="s">
        <v>16205</v>
      </c>
      <c r="C7124" s="5" t="s">
        <v>41</v>
      </c>
      <c r="D7124" s="5" t="s">
        <v>42</v>
      </c>
      <c r="E7124" s="5" t="s">
        <v>139</v>
      </c>
      <c r="F7124" s="9">
        <v>2</v>
      </c>
      <c r="G7124" s="9">
        <v>10</v>
      </c>
      <c r="H7124" s="5" t="s">
        <v>21</v>
      </c>
      <c r="I7124" s="5" t="s">
        <v>16206</v>
      </c>
      <c r="J7124" s="12" t="str">
        <f>HYPERLINK("https://www.boe.es/gazeta/dias/1800/01/07/pdfs/GMD-1800-2.pdf#page=2","Abrir facsímil")</f>
        <v>Abrir facsímil</v>
      </c>
      <c r="K7124" s="15" t="s">
        <v>23</v>
      </c>
    </row>
    <row r="7125" spans="1:11" ht="42" customHeight="1">
      <c r="A7125" s="4" t="s">
        <v>16207</v>
      </c>
      <c r="B7125" s="5" t="s">
        <v>16208</v>
      </c>
      <c r="C7125" s="5" t="s">
        <v>18</v>
      </c>
      <c r="D7125" s="5" t="s">
        <v>19</v>
      </c>
      <c r="E7125" s="5" t="s">
        <v>567</v>
      </c>
      <c r="F7125" s="9">
        <v>3</v>
      </c>
      <c r="G7125" s="9">
        <v>22</v>
      </c>
      <c r="H7125" s="5" t="s">
        <v>21</v>
      </c>
      <c r="I7125" s="5" t="s">
        <v>16209</v>
      </c>
      <c r="J7125" s="12" t="str">
        <f>HYPERLINK("https://www.boe.es/gazeta/dias/1800/01/10/pdfs/GMD-1800-3.pdf#page=2","Abrir facsímil")</f>
        <v>Abrir facsímil</v>
      </c>
      <c r="K7125" s="15" t="s">
        <v>23</v>
      </c>
    </row>
    <row r="7126" spans="1:11" ht="42" customHeight="1">
      <c r="A7126" s="4" t="s">
        <v>16207</v>
      </c>
      <c r="B7126" s="5" t="s">
        <v>16208</v>
      </c>
      <c r="C7126" s="5" t="s">
        <v>41</v>
      </c>
      <c r="D7126" s="5" t="s">
        <v>42</v>
      </c>
      <c r="E7126" s="5" t="s">
        <v>244</v>
      </c>
      <c r="F7126" s="9">
        <v>9</v>
      </c>
      <c r="G7126" s="9">
        <v>79</v>
      </c>
      <c r="H7126" s="5" t="s">
        <v>21</v>
      </c>
      <c r="I7126" s="5" t="s">
        <v>16210</v>
      </c>
      <c r="J7126" s="12" t="str">
        <f>HYPERLINK("https://www.boe.es/gazeta/dias/1800/01/31/pdfs/GMD-1800-9.pdf#page=3","Abrir facsímil")</f>
        <v>Abrir facsímil</v>
      </c>
      <c r="K7126" s="15" t="s">
        <v>23</v>
      </c>
    </row>
    <row r="7127" spans="1:11" ht="42" customHeight="1">
      <c r="A7127" s="4" t="s">
        <v>16207</v>
      </c>
      <c r="B7127" s="5" t="s">
        <v>16208</v>
      </c>
      <c r="C7127" s="5" t="s">
        <v>18</v>
      </c>
      <c r="D7127" s="5" t="s">
        <v>19</v>
      </c>
      <c r="E7127" s="5" t="s">
        <v>503</v>
      </c>
      <c r="F7127" s="9">
        <v>13</v>
      </c>
      <c r="G7127" s="9">
        <v>117</v>
      </c>
      <c r="H7127" s="5" t="s">
        <v>21</v>
      </c>
      <c r="I7127" s="5" t="s">
        <v>16211</v>
      </c>
      <c r="J7127" s="12" t="str">
        <f>HYPERLINK("https://www.boe.es/gazeta/dias/1800/02/14/pdfs/GMD-1800-13.pdf#page=1","Abrir facsímil")</f>
        <v>Abrir facsímil</v>
      </c>
      <c r="K7127" s="15" t="s">
        <v>23</v>
      </c>
    </row>
    <row r="7128" spans="1:11" ht="42" customHeight="1">
      <c r="A7128" s="4" t="s">
        <v>16207</v>
      </c>
      <c r="B7128" s="5" t="s">
        <v>16208</v>
      </c>
      <c r="C7128" s="5" t="s">
        <v>41</v>
      </c>
      <c r="D7128" s="5" t="s">
        <v>42</v>
      </c>
      <c r="E7128" s="5" t="s">
        <v>39</v>
      </c>
      <c r="F7128" s="9">
        <v>43</v>
      </c>
      <c r="G7128" s="9">
        <v>442</v>
      </c>
      <c r="H7128" s="5" t="s">
        <v>21</v>
      </c>
      <c r="I7128" s="5" t="s">
        <v>16212</v>
      </c>
      <c r="J7128" s="12" t="str">
        <f>HYPERLINK("https://www.boe.es/gazeta/dias/1800/05/30/pdfs/GMD-1800-43.pdf#page=2","Abrir facsímil")</f>
        <v>Abrir facsímil</v>
      </c>
      <c r="K7128" s="15" t="s">
        <v>23</v>
      </c>
    </row>
    <row r="7129" spans="1:11" ht="42" customHeight="1">
      <c r="A7129" s="4" t="s">
        <v>16207</v>
      </c>
      <c r="B7129" s="5" t="s">
        <v>16208</v>
      </c>
      <c r="C7129" s="5" t="s">
        <v>41</v>
      </c>
      <c r="D7129" s="5" t="s">
        <v>42</v>
      </c>
      <c r="E7129" s="5" t="s">
        <v>135</v>
      </c>
      <c r="F7129" s="9">
        <v>73</v>
      </c>
      <c r="G7129" s="9">
        <v>810</v>
      </c>
      <c r="H7129" s="5" t="s">
        <v>21</v>
      </c>
      <c r="I7129" s="5" t="s">
        <v>16213</v>
      </c>
      <c r="J7129" s="12" t="str">
        <f>HYPERLINK("https://www.boe.es/gazeta/dias/1800/09/09/pdfs/GMD-1800-73.pdf#page=4","Abrir facsímil")</f>
        <v>Abrir facsímil</v>
      </c>
      <c r="K7129" s="15" t="s">
        <v>23</v>
      </c>
    </row>
    <row r="7130" spans="1:11" ht="42" customHeight="1">
      <c r="A7130" s="4" t="s">
        <v>16214</v>
      </c>
      <c r="B7130" s="5" t="s">
        <v>16215</v>
      </c>
      <c r="C7130" s="5" t="s">
        <v>41</v>
      </c>
      <c r="D7130" s="5" t="s">
        <v>42</v>
      </c>
      <c r="E7130" s="5" t="s">
        <v>787</v>
      </c>
      <c r="F7130" s="9">
        <v>6</v>
      </c>
      <c r="G7130" s="9">
        <v>52</v>
      </c>
      <c r="H7130" s="5" t="s">
        <v>21</v>
      </c>
      <c r="I7130" s="5" t="s">
        <v>16216</v>
      </c>
      <c r="J7130" s="12" t="str">
        <f>HYPERLINK("https://www.boe.es/gazeta/dias/1800/01/21/pdfs/GMD-1800-6.pdf#page=4","Abrir facsímil")</f>
        <v>Abrir facsímil</v>
      </c>
      <c r="K7130" s="15" t="s">
        <v>23</v>
      </c>
    </row>
    <row r="7131" spans="1:11" ht="42" customHeight="1">
      <c r="A7131" s="4" t="s">
        <v>16214</v>
      </c>
      <c r="B7131" s="5" t="s">
        <v>16215</v>
      </c>
      <c r="C7131" s="5" t="s">
        <v>41</v>
      </c>
      <c r="D7131" s="5" t="s">
        <v>42</v>
      </c>
      <c r="E7131" s="5" t="s">
        <v>244</v>
      </c>
      <c r="F7131" s="9">
        <v>9</v>
      </c>
      <c r="G7131" s="9">
        <v>79</v>
      </c>
      <c r="H7131" s="5" t="s">
        <v>21</v>
      </c>
      <c r="I7131" s="5" t="s">
        <v>16217</v>
      </c>
      <c r="J7131" s="12" t="str">
        <f>HYPERLINK("https://www.boe.es/gazeta/dias/1800/01/31/pdfs/GMD-1800-9.pdf#page=3","Abrir facsímil")</f>
        <v>Abrir facsímil</v>
      </c>
      <c r="K7131" s="15" t="s">
        <v>23</v>
      </c>
    </row>
    <row r="7132" spans="1:11" ht="42" customHeight="1">
      <c r="A7132" s="4" t="s">
        <v>16214</v>
      </c>
      <c r="B7132" s="5" t="s">
        <v>16215</v>
      </c>
      <c r="C7132" s="5" t="s">
        <v>41</v>
      </c>
      <c r="D7132" s="5" t="s">
        <v>42</v>
      </c>
      <c r="E7132" s="5" t="s">
        <v>503</v>
      </c>
      <c r="F7132" s="9">
        <v>13</v>
      </c>
      <c r="G7132" s="9">
        <v>117</v>
      </c>
      <c r="H7132" s="5" t="s">
        <v>21</v>
      </c>
      <c r="I7132" s="5" t="s">
        <v>16218</v>
      </c>
      <c r="J7132" s="12" t="str">
        <f>HYPERLINK("https://www.boe.es/gazeta/dias/1800/02/14/pdfs/GMD-1800-13.pdf#page=1","Abrir facsímil")</f>
        <v>Abrir facsímil</v>
      </c>
      <c r="K7132" s="15" t="s">
        <v>23</v>
      </c>
    </row>
    <row r="7133" spans="1:11" ht="42" customHeight="1">
      <c r="A7133" s="4" t="s">
        <v>16214</v>
      </c>
      <c r="B7133" s="5" t="s">
        <v>16215</v>
      </c>
      <c r="C7133" s="5" t="s">
        <v>41</v>
      </c>
      <c r="D7133" s="5" t="s">
        <v>42</v>
      </c>
      <c r="E7133" s="5" t="s">
        <v>35</v>
      </c>
      <c r="F7133" s="9">
        <v>21</v>
      </c>
      <c r="G7133" s="9">
        <v>198</v>
      </c>
      <c r="H7133" s="5" t="s">
        <v>21</v>
      </c>
      <c r="I7133" s="5" t="s">
        <v>16219</v>
      </c>
      <c r="J7133" s="12" t="str">
        <f>HYPERLINK("https://www.boe.es/gazeta/dias/1800/03/14/pdfs/GMD-1800-21.pdf#page=2","Abrir facsímil")</f>
        <v>Abrir facsímil</v>
      </c>
      <c r="K7133" s="15" t="s">
        <v>23</v>
      </c>
    </row>
    <row r="7134" spans="1:11" ht="42" customHeight="1">
      <c r="A7134" s="4" t="s">
        <v>16214</v>
      </c>
      <c r="B7134" s="5" t="s">
        <v>16215</v>
      </c>
      <c r="C7134" s="5" t="s">
        <v>41</v>
      </c>
      <c r="D7134" s="5" t="s">
        <v>42</v>
      </c>
      <c r="E7134" s="5" t="s">
        <v>88</v>
      </c>
      <c r="F7134" s="9">
        <v>23</v>
      </c>
      <c r="G7134" s="9">
        <v>228</v>
      </c>
      <c r="H7134" s="5" t="s">
        <v>21</v>
      </c>
      <c r="I7134" s="5" t="s">
        <v>16220</v>
      </c>
      <c r="J7134" s="12" t="str">
        <f>HYPERLINK("https://www.boe.es/gazeta/dias/1800/03/21/pdfs/GMD-1800-23.pdf#page=4","Abrir facsímil")</f>
        <v>Abrir facsímil</v>
      </c>
      <c r="K7134" s="15" t="s">
        <v>23</v>
      </c>
    </row>
    <row r="7135" spans="1:11" ht="42" customHeight="1">
      <c r="A7135" s="4" t="s">
        <v>16214</v>
      </c>
      <c r="B7135" s="5" t="s">
        <v>16215</v>
      </c>
      <c r="C7135" s="5" t="s">
        <v>41</v>
      </c>
      <c r="D7135" s="5" t="s">
        <v>42</v>
      </c>
      <c r="E7135" s="5" t="s">
        <v>240</v>
      </c>
      <c r="F7135" s="9">
        <v>26</v>
      </c>
      <c r="G7135" s="9">
        <v>263</v>
      </c>
      <c r="H7135" s="5" t="s">
        <v>21</v>
      </c>
      <c r="I7135" s="5" t="s">
        <v>16221</v>
      </c>
      <c r="J7135" s="12" t="str">
        <f>HYPERLINK("https://www.boe.es/gazeta/dias/1800/04/01/pdfs/GMD-1800-26.pdf#page=3","Abrir facsímil")</f>
        <v>Abrir facsímil</v>
      </c>
      <c r="K7135" s="15" t="s">
        <v>23</v>
      </c>
    </row>
    <row r="7136" spans="1:11" ht="42" customHeight="1">
      <c r="A7136" s="4" t="s">
        <v>16214</v>
      </c>
      <c r="B7136" s="5" t="s">
        <v>16215</v>
      </c>
      <c r="C7136" s="5" t="s">
        <v>41</v>
      </c>
      <c r="D7136" s="5" t="s">
        <v>42</v>
      </c>
      <c r="E7136" s="5" t="s">
        <v>491</v>
      </c>
      <c r="F7136" s="9">
        <v>29</v>
      </c>
      <c r="G7136" s="9">
        <v>295</v>
      </c>
      <c r="H7136" s="5" t="s">
        <v>21</v>
      </c>
      <c r="I7136" s="5" t="s">
        <v>16222</v>
      </c>
      <c r="J7136" s="12" t="str">
        <f>HYPERLINK("https://www.boe.es/gazeta/dias/1800/04/11/pdfs/GMD-1800-29.pdf#page=3","Abrir facsímil")</f>
        <v>Abrir facsímil</v>
      </c>
      <c r="K7136" s="15" t="s">
        <v>23</v>
      </c>
    </row>
    <row r="7137" spans="1:11" ht="42" customHeight="1">
      <c r="A7137" s="4" t="s">
        <v>16214</v>
      </c>
      <c r="B7137" s="5" t="s">
        <v>16215</v>
      </c>
      <c r="C7137" s="5" t="s">
        <v>41</v>
      </c>
      <c r="D7137" s="5" t="s">
        <v>42</v>
      </c>
      <c r="E7137" s="5" t="s">
        <v>356</v>
      </c>
      <c r="F7137" s="9">
        <v>31</v>
      </c>
      <c r="G7137" s="9">
        <v>310</v>
      </c>
      <c r="H7137" s="5" t="s">
        <v>21</v>
      </c>
      <c r="I7137" s="5" t="s">
        <v>16223</v>
      </c>
      <c r="J7137" s="12" t="str">
        <f>HYPERLINK("https://www.boe.es/gazeta/dias/1800/04/18/pdfs/GMD-1800-31.pdf#page=2","Abrir facsímil")</f>
        <v>Abrir facsímil</v>
      </c>
      <c r="K7137" s="15" t="s">
        <v>23</v>
      </c>
    </row>
    <row r="7138" spans="1:11" ht="42" customHeight="1">
      <c r="A7138" s="4" t="s">
        <v>16214</v>
      </c>
      <c r="B7138" s="5" t="s">
        <v>16215</v>
      </c>
      <c r="C7138" s="5" t="s">
        <v>41</v>
      </c>
      <c r="D7138" s="5" t="s">
        <v>42</v>
      </c>
      <c r="E7138" s="5" t="s">
        <v>478</v>
      </c>
      <c r="F7138" s="9">
        <v>34</v>
      </c>
      <c r="G7138" s="9">
        <v>338</v>
      </c>
      <c r="H7138" s="5" t="s">
        <v>21</v>
      </c>
      <c r="I7138" s="5" t="s">
        <v>16224</v>
      </c>
      <c r="J7138" s="12" t="str">
        <f>HYPERLINK("https://www.boe.es/gazeta/dias/1800/04/29/pdfs/GMD-1800-34.pdf#page=2","Abrir facsímil")</f>
        <v>Abrir facsímil</v>
      </c>
      <c r="K7138" s="15" t="s">
        <v>23</v>
      </c>
    </row>
    <row r="7139" spans="1:11" ht="42" customHeight="1">
      <c r="A7139" s="4" t="s">
        <v>16225</v>
      </c>
      <c r="B7139" s="5" t="s">
        <v>16226</v>
      </c>
      <c r="C7139" s="5" t="s">
        <v>41</v>
      </c>
      <c r="D7139" s="5" t="s">
        <v>42</v>
      </c>
      <c r="E7139" s="5" t="s">
        <v>131</v>
      </c>
      <c r="F7139" s="9">
        <v>8</v>
      </c>
      <c r="G7139" s="9">
        <v>69</v>
      </c>
      <c r="H7139" s="5" t="s">
        <v>21</v>
      </c>
      <c r="I7139" s="5" t="s">
        <v>16227</v>
      </c>
      <c r="J7139" s="12" t="str">
        <f>HYPERLINK("https://www.boe.es/gazeta/dias/1800/01/28/pdfs/GMD-1800-8.pdf#page=1","Abrir facsímil")</f>
        <v>Abrir facsímil</v>
      </c>
      <c r="K7139" s="15" t="s">
        <v>23</v>
      </c>
    </row>
    <row r="7140" spans="1:11" ht="42" customHeight="1">
      <c r="A7140" s="4" t="s">
        <v>16225</v>
      </c>
      <c r="B7140" s="5" t="s">
        <v>16226</v>
      </c>
      <c r="C7140" s="5" t="s">
        <v>41</v>
      </c>
      <c r="D7140" s="5" t="s">
        <v>42</v>
      </c>
      <c r="E7140" s="5" t="s">
        <v>158</v>
      </c>
      <c r="F7140" s="9">
        <v>25</v>
      </c>
      <c r="G7140" s="9">
        <v>249</v>
      </c>
      <c r="H7140" s="5" t="s">
        <v>21</v>
      </c>
      <c r="I7140" s="5" t="s">
        <v>16228</v>
      </c>
      <c r="J7140" s="12" t="str">
        <f>HYPERLINK("https://www.boe.es/gazeta/dias/1800/03/28/pdfs/GMD-1800-25.pdf#page=1","Abrir facsímil")</f>
        <v>Abrir facsímil</v>
      </c>
      <c r="K7140" s="15" t="s">
        <v>23</v>
      </c>
    </row>
    <row r="7141" spans="1:11" ht="42" customHeight="1">
      <c r="A7141" s="4" t="s">
        <v>16225</v>
      </c>
      <c r="B7141" s="5" t="s">
        <v>16226</v>
      </c>
      <c r="C7141" s="5" t="s">
        <v>41</v>
      </c>
      <c r="D7141" s="5" t="s">
        <v>42</v>
      </c>
      <c r="E7141" s="5" t="s">
        <v>158</v>
      </c>
      <c r="F7141" s="9">
        <v>25</v>
      </c>
      <c r="G7141" s="9">
        <v>251</v>
      </c>
      <c r="H7141" s="5" t="s">
        <v>21</v>
      </c>
      <c r="I7141" s="5" t="s">
        <v>16229</v>
      </c>
      <c r="J7141" s="12" t="str">
        <f>HYPERLINK("https://www.boe.es/gazeta/dias/1800/03/28/pdfs/GMD-1800-25.pdf#page=3","Abrir facsímil")</f>
        <v>Abrir facsímil</v>
      </c>
      <c r="K7141" s="15" t="s">
        <v>23</v>
      </c>
    </row>
    <row r="7142" spans="1:11" ht="42" customHeight="1">
      <c r="A7142" s="4" t="s">
        <v>16225</v>
      </c>
      <c r="B7142" s="5" t="s">
        <v>16226</v>
      </c>
      <c r="C7142" s="5" t="s">
        <v>41</v>
      </c>
      <c r="D7142" s="5" t="s">
        <v>42</v>
      </c>
      <c r="E7142" s="5" t="s">
        <v>158</v>
      </c>
      <c r="F7142" s="9">
        <v>25</v>
      </c>
      <c r="G7142" s="9">
        <v>254</v>
      </c>
      <c r="H7142" s="5" t="s">
        <v>21</v>
      </c>
      <c r="I7142" s="5" t="s">
        <v>16230</v>
      </c>
      <c r="J7142" s="12" t="str">
        <f>HYPERLINK("https://www.boe.es/gazeta/dias/1800/03/28/pdfs/GMD-1800-25.pdf#page=6","Abrir facsímil")</f>
        <v>Abrir facsímil</v>
      </c>
      <c r="K7142" s="15" t="s">
        <v>23</v>
      </c>
    </row>
    <row r="7143" spans="1:11" ht="42" customHeight="1">
      <c r="A7143" s="4" t="s">
        <v>16225</v>
      </c>
      <c r="B7143" s="5" t="s">
        <v>16226</v>
      </c>
      <c r="C7143" s="5" t="s">
        <v>41</v>
      </c>
      <c r="D7143" s="5" t="s">
        <v>42</v>
      </c>
      <c r="E7143" s="5" t="s">
        <v>491</v>
      </c>
      <c r="F7143" s="9">
        <v>29</v>
      </c>
      <c r="G7143" s="9">
        <v>293</v>
      </c>
      <c r="H7143" s="5" t="s">
        <v>21</v>
      </c>
      <c r="I7143" s="5" t="s">
        <v>16231</v>
      </c>
      <c r="J7143" s="12" t="str">
        <f>HYPERLINK("https://www.boe.es/gazeta/dias/1800/04/11/pdfs/GMD-1800-29.pdf#page=1","Abrir facsímil")</f>
        <v>Abrir facsímil</v>
      </c>
      <c r="K7143" s="15" t="s">
        <v>23</v>
      </c>
    </row>
    <row r="7144" spans="1:11" ht="42" customHeight="1">
      <c r="A7144" s="4" t="s">
        <v>16225</v>
      </c>
      <c r="B7144" s="5" t="s">
        <v>16226</v>
      </c>
      <c r="C7144" s="5" t="s">
        <v>41</v>
      </c>
      <c r="D7144" s="5" t="s">
        <v>42</v>
      </c>
      <c r="E7144" s="5" t="s">
        <v>491</v>
      </c>
      <c r="F7144" s="9">
        <v>29</v>
      </c>
      <c r="G7144" s="9">
        <v>297</v>
      </c>
      <c r="H7144" s="5" t="s">
        <v>21</v>
      </c>
      <c r="I7144" s="5" t="s">
        <v>16232</v>
      </c>
      <c r="J7144" s="12" t="str">
        <f>HYPERLINK("https://www.boe.es/gazeta/dias/1800/04/11/pdfs/GMD-1800-29.pdf#page=5","Abrir facsímil")</f>
        <v>Abrir facsímil</v>
      </c>
      <c r="K7144" s="15" t="s">
        <v>23</v>
      </c>
    </row>
    <row r="7145" spans="1:11" ht="42" customHeight="1">
      <c r="A7145" s="4" t="s">
        <v>16225</v>
      </c>
      <c r="B7145" s="5" t="s">
        <v>16226</v>
      </c>
      <c r="C7145" s="5" t="s">
        <v>41</v>
      </c>
      <c r="D7145" s="5" t="s">
        <v>42</v>
      </c>
      <c r="E7145" s="5" t="s">
        <v>1108</v>
      </c>
      <c r="F7145" s="9">
        <v>30</v>
      </c>
      <c r="G7145" s="9">
        <v>301</v>
      </c>
      <c r="H7145" s="5" t="s">
        <v>21</v>
      </c>
      <c r="I7145" s="5" t="s">
        <v>16233</v>
      </c>
      <c r="J7145" s="12" t="str">
        <f>HYPERLINK("https://www.boe.es/gazeta/dias/1800/04/15/pdfs/GMD-1800-30.pdf#page=1","Abrir facsímil")</f>
        <v>Abrir facsímil</v>
      </c>
      <c r="K7145" s="15" t="s">
        <v>23</v>
      </c>
    </row>
    <row r="7146" spans="1:11" ht="42" customHeight="1">
      <c r="A7146" s="4" t="s">
        <v>16225</v>
      </c>
      <c r="B7146" s="5" t="s">
        <v>16226</v>
      </c>
      <c r="C7146" s="5" t="s">
        <v>207</v>
      </c>
      <c r="D7146" s="5" t="s">
        <v>55</v>
      </c>
      <c r="E7146" s="5" t="s">
        <v>101</v>
      </c>
      <c r="F7146" s="9">
        <v>37</v>
      </c>
      <c r="G7146" s="9">
        <v>370</v>
      </c>
      <c r="H7146" s="5" t="s">
        <v>21</v>
      </c>
      <c r="I7146" s="5" t="s">
        <v>16234</v>
      </c>
      <c r="J7146" s="12" t="str">
        <f>HYPERLINK("https://www.boe.es/gazeta/dias/1800/05/09/pdfs/GMD-1800-37.pdf#page=2","Abrir facsímil")</f>
        <v>Abrir facsímil</v>
      </c>
      <c r="K7146" s="15" t="s">
        <v>23</v>
      </c>
    </row>
    <row r="7147" spans="1:11" ht="42" customHeight="1">
      <c r="A7147" s="4" t="s">
        <v>16225</v>
      </c>
      <c r="B7147" s="5" t="s">
        <v>16226</v>
      </c>
      <c r="C7147" s="5" t="s">
        <v>41</v>
      </c>
      <c r="D7147" s="5" t="s">
        <v>42</v>
      </c>
      <c r="E7147" s="5" t="s">
        <v>299</v>
      </c>
      <c r="F7147" s="9">
        <v>40</v>
      </c>
      <c r="G7147" s="9">
        <v>406</v>
      </c>
      <c r="H7147" s="5" t="s">
        <v>21</v>
      </c>
      <c r="I7147" s="5" t="s">
        <v>16235</v>
      </c>
      <c r="J7147" s="12" t="str">
        <f>HYPERLINK("https://www.boe.es/gazeta/dias/1800/05/20/pdfs/GMD-1800-40.pdf#page=2","Abrir facsímil")</f>
        <v>Abrir facsímil</v>
      </c>
      <c r="K7147" s="15" t="s">
        <v>23</v>
      </c>
    </row>
    <row r="7148" spans="1:11" ht="42" customHeight="1">
      <c r="A7148" s="4" t="s">
        <v>16225</v>
      </c>
      <c r="B7148" s="5" t="s">
        <v>16226</v>
      </c>
      <c r="C7148" s="5" t="s">
        <v>41</v>
      </c>
      <c r="D7148" s="5" t="s">
        <v>42</v>
      </c>
      <c r="E7148" s="5" t="s">
        <v>1287</v>
      </c>
      <c r="F7148" s="9">
        <v>57</v>
      </c>
      <c r="G7148" s="9">
        <v>638</v>
      </c>
      <c r="H7148" s="5" t="s">
        <v>21</v>
      </c>
      <c r="I7148" s="5" t="s">
        <v>16236</v>
      </c>
      <c r="J7148" s="12" t="str">
        <f>HYPERLINK("https://www.boe.es/gazeta/dias/1800/07/18/pdfs/GMD-1800-57.pdf#page=2","Abrir facsímil")</f>
        <v>Abrir facsímil</v>
      </c>
      <c r="K7148" s="15" t="s">
        <v>23</v>
      </c>
    </row>
    <row r="7149" spans="1:11" ht="42" customHeight="1">
      <c r="A7149" s="4" t="s">
        <v>16225</v>
      </c>
      <c r="B7149" s="5" t="s">
        <v>16226</v>
      </c>
      <c r="C7149" s="5" t="s">
        <v>25</v>
      </c>
      <c r="D7149" s="5" t="s">
        <v>26</v>
      </c>
      <c r="E7149" s="5" t="s">
        <v>147</v>
      </c>
      <c r="F7149" s="9">
        <v>84</v>
      </c>
      <c r="G7149" s="9">
        <v>974</v>
      </c>
      <c r="H7149" s="5" t="s">
        <v>21</v>
      </c>
      <c r="I7149" s="5" t="s">
        <v>16237</v>
      </c>
      <c r="J7149" s="12" t="str">
        <f>HYPERLINK("https://www.boe.es/gazeta/dias/1800/10/17/pdfs/GMD-1800-84.pdf#page=8","Abrir facsímil")</f>
        <v>Abrir facsímil</v>
      </c>
      <c r="K7149" s="15" t="s">
        <v>23</v>
      </c>
    </row>
    <row r="7150" spans="1:11" ht="42" customHeight="1">
      <c r="A7150" s="4" t="s">
        <v>16238</v>
      </c>
      <c r="B7150" s="5" t="s">
        <v>16239</v>
      </c>
      <c r="C7150" s="5" t="s">
        <v>41</v>
      </c>
      <c r="D7150" s="5" t="s">
        <v>42</v>
      </c>
      <c r="E7150" s="5" t="s">
        <v>618</v>
      </c>
      <c r="F7150" s="9">
        <v>1</v>
      </c>
      <c r="G7150" s="9">
        <v>2</v>
      </c>
      <c r="H7150" s="5" t="s">
        <v>21</v>
      </c>
      <c r="I7150" s="5" t="s">
        <v>16240</v>
      </c>
      <c r="J7150" s="12" t="str">
        <f>HYPERLINK("https://www.boe.es/gazeta/dias/1800/01/03/pdfs/GMD-1800-1.pdf#page=2","Abrir facsímil")</f>
        <v>Abrir facsímil</v>
      </c>
      <c r="K7150" s="15" t="s">
        <v>23</v>
      </c>
    </row>
    <row r="7151" spans="1:11" ht="42" customHeight="1">
      <c r="A7151" s="4" t="s">
        <v>16241</v>
      </c>
      <c r="B7151" s="5" t="s">
        <v>16242</v>
      </c>
      <c r="C7151" s="5" t="s">
        <v>41</v>
      </c>
      <c r="D7151" s="5" t="s">
        <v>42</v>
      </c>
      <c r="E7151" s="5" t="s">
        <v>79</v>
      </c>
      <c r="F7151" s="9">
        <v>7</v>
      </c>
      <c r="G7151" s="9">
        <v>62</v>
      </c>
      <c r="H7151" s="5" t="s">
        <v>21</v>
      </c>
      <c r="I7151" s="5" t="s">
        <v>16243</v>
      </c>
      <c r="J7151" s="12" t="str">
        <f>HYPERLINK("https://www.boe.es/gazeta/dias/1800/01/24/pdfs/GMD-1800-7.pdf#page=2","Abrir facsímil")</f>
        <v>Abrir facsímil</v>
      </c>
      <c r="K7151" s="15" t="s">
        <v>23</v>
      </c>
    </row>
    <row r="7152" spans="1:11" ht="42" customHeight="1">
      <c r="A7152" s="4" t="s">
        <v>16241</v>
      </c>
      <c r="B7152" s="5" t="s">
        <v>16242</v>
      </c>
      <c r="C7152" s="5" t="s">
        <v>41</v>
      </c>
      <c r="D7152" s="5" t="s">
        <v>42</v>
      </c>
      <c r="E7152" s="5" t="s">
        <v>346</v>
      </c>
      <c r="F7152" s="9">
        <v>24</v>
      </c>
      <c r="G7152" s="9">
        <v>242</v>
      </c>
      <c r="H7152" s="5" t="s">
        <v>21</v>
      </c>
      <c r="I7152" s="5" t="s">
        <v>16244</v>
      </c>
      <c r="J7152" s="12" t="str">
        <f>HYPERLINK("https://www.boe.es/gazeta/dias/1800/03/25/pdfs/GMD-1800-24.pdf#page=6","Abrir facsímil")</f>
        <v>Abrir facsímil</v>
      </c>
      <c r="K7152" s="15" t="s">
        <v>23</v>
      </c>
    </row>
    <row r="7153" spans="1:11" ht="42" customHeight="1">
      <c r="A7153" s="4" t="s">
        <v>16241</v>
      </c>
      <c r="B7153" s="5" t="s">
        <v>16242</v>
      </c>
      <c r="C7153" s="5" t="s">
        <v>41</v>
      </c>
      <c r="D7153" s="5" t="s">
        <v>42</v>
      </c>
      <c r="E7153" s="5" t="s">
        <v>48</v>
      </c>
      <c r="F7153" s="9">
        <v>66</v>
      </c>
      <c r="G7153" s="9">
        <v>745</v>
      </c>
      <c r="H7153" s="5" t="s">
        <v>21</v>
      </c>
      <c r="I7153" s="5" t="s">
        <v>16245</v>
      </c>
      <c r="J7153" s="12" t="str">
        <f>HYPERLINK("https://www.boe.es/gazeta/dias/1800/08/19/pdfs/GMD-1800-66.pdf#page=9","Abrir facsímil")</f>
        <v>Abrir facsímil</v>
      </c>
      <c r="K7153" s="15" t="s">
        <v>23</v>
      </c>
    </row>
    <row r="7154" spans="1:11" ht="42" customHeight="1">
      <c r="A7154" s="4" t="s">
        <v>16246</v>
      </c>
      <c r="B7154" s="5" t="s">
        <v>16247</v>
      </c>
      <c r="C7154" s="5" t="s">
        <v>41</v>
      </c>
      <c r="D7154" s="5" t="s">
        <v>42</v>
      </c>
      <c r="E7154" s="5" t="s">
        <v>68</v>
      </c>
      <c r="F7154" s="9">
        <v>67</v>
      </c>
      <c r="G7154" s="9">
        <v>749</v>
      </c>
      <c r="H7154" s="5" t="s">
        <v>21</v>
      </c>
      <c r="I7154" s="5" t="s">
        <v>16248</v>
      </c>
      <c r="J7154" s="12" t="str">
        <f>HYPERLINK("https://www.boe.es/gazeta/dias/1800/08/22/pdfs/GMD-1800-67.pdf#page=1","Abrir facsímil")</f>
        <v>Abrir facsímil</v>
      </c>
      <c r="K7154" s="15" t="s">
        <v>23</v>
      </c>
    </row>
    <row r="7155" spans="1:11" ht="42" customHeight="1">
      <c r="A7155" s="4" t="s">
        <v>16249</v>
      </c>
      <c r="B7155" s="5" t="s">
        <v>16250</v>
      </c>
      <c r="C7155" s="5" t="s">
        <v>18</v>
      </c>
      <c r="D7155" s="5" t="s">
        <v>19</v>
      </c>
      <c r="E7155" s="5" t="s">
        <v>310</v>
      </c>
      <c r="F7155" s="9">
        <v>56</v>
      </c>
      <c r="G7155" s="9">
        <v>626</v>
      </c>
      <c r="H7155" s="5" t="s">
        <v>21</v>
      </c>
      <c r="I7155" s="5" t="s">
        <v>16251</v>
      </c>
      <c r="J7155" s="12" t="str">
        <f>HYPERLINK("https://www.boe.es/gazeta/dias/1800/07/15/pdfs/GMD-1800-56.pdf#page=2","Abrir facsímil")</f>
        <v>Abrir facsímil</v>
      </c>
      <c r="K7155" s="15" t="s">
        <v>23</v>
      </c>
    </row>
    <row r="7156" spans="1:11" ht="42" customHeight="1">
      <c r="A7156" s="4" t="s">
        <v>16252</v>
      </c>
      <c r="B7156" s="5" t="s">
        <v>16253</v>
      </c>
      <c r="C7156" s="5" t="s">
        <v>18</v>
      </c>
      <c r="D7156" s="5" t="s">
        <v>19</v>
      </c>
      <c r="E7156" s="5" t="s">
        <v>176</v>
      </c>
      <c r="F7156" s="9">
        <v>88</v>
      </c>
      <c r="G7156" s="9">
        <v>1020</v>
      </c>
      <c r="H7156" s="5" t="s">
        <v>21</v>
      </c>
      <c r="I7156" s="5" t="s">
        <v>16254</v>
      </c>
      <c r="J7156" s="12" t="str">
        <f>HYPERLINK("https://www.boe.es/gazeta/dias/1800/10/31/pdfs/GMD-1800-88.pdf#page=2","Abrir facsímil")</f>
        <v>Abrir facsímil</v>
      </c>
      <c r="K7156" s="15" t="s">
        <v>23</v>
      </c>
    </row>
    <row r="7157" spans="1:11" ht="42" customHeight="1">
      <c r="A7157" s="4" t="s">
        <v>16255</v>
      </c>
      <c r="B7157" s="5" t="s">
        <v>16256</v>
      </c>
      <c r="C7157" s="5" t="s">
        <v>41</v>
      </c>
      <c r="D7157" s="5" t="s">
        <v>42</v>
      </c>
      <c r="E7157" s="5" t="s">
        <v>567</v>
      </c>
      <c r="F7157" s="9">
        <v>3</v>
      </c>
      <c r="G7157" s="9">
        <v>22</v>
      </c>
      <c r="H7157" s="5" t="s">
        <v>21</v>
      </c>
      <c r="I7157" s="5" t="s">
        <v>16257</v>
      </c>
      <c r="J7157" s="12" t="str">
        <f>HYPERLINK("https://www.boe.es/gazeta/dias/1800/01/10/pdfs/GMD-1800-3.pdf#page=2","Abrir facsímil")</f>
        <v>Abrir facsímil</v>
      </c>
      <c r="K7157" s="15" t="s">
        <v>23</v>
      </c>
    </row>
    <row r="7158" spans="1:11" ht="42" customHeight="1">
      <c r="A7158" s="4" t="s">
        <v>16258</v>
      </c>
      <c r="B7158" s="5" t="s">
        <v>16259</v>
      </c>
      <c r="C7158" s="5" t="s">
        <v>41</v>
      </c>
      <c r="D7158" s="5" t="s">
        <v>42</v>
      </c>
      <c r="E7158" s="5" t="s">
        <v>60</v>
      </c>
      <c r="F7158" s="9">
        <v>105</v>
      </c>
      <c r="G7158" s="9">
        <v>1218</v>
      </c>
      <c r="H7158" s="5" t="s">
        <v>21</v>
      </c>
      <c r="I7158" s="5" t="s">
        <v>16260</v>
      </c>
      <c r="J7158" s="12" t="str">
        <f>HYPERLINK("https://www.boe.es/gazeta/dias/1800/12/30/pdfs/GMD-1800-105.pdf#page=2","Abrir facsímil")</f>
        <v>Abrir facsímil</v>
      </c>
      <c r="K7158" s="15" t="s">
        <v>23</v>
      </c>
    </row>
    <row r="7159" spans="1:11" ht="42" customHeight="1">
      <c r="A7159" s="4" t="s">
        <v>16261</v>
      </c>
      <c r="B7159" s="5" t="s">
        <v>16262</v>
      </c>
      <c r="C7159" s="5" t="s">
        <v>18</v>
      </c>
      <c r="D7159" s="5" t="s">
        <v>19</v>
      </c>
      <c r="E7159" s="5" t="s">
        <v>279</v>
      </c>
      <c r="F7159" s="9">
        <v>103</v>
      </c>
      <c r="G7159" s="9">
        <v>1197</v>
      </c>
      <c r="H7159" s="5" t="s">
        <v>21</v>
      </c>
      <c r="I7159" s="5" t="s">
        <v>16263</v>
      </c>
      <c r="J7159" s="12" t="str">
        <f>HYPERLINK("https://www.boe.es/gazeta/dias/1800/12/23/pdfs/GMD-1800-103.pdf#page=9","Abrir facsímil")</f>
        <v>Abrir facsímil</v>
      </c>
      <c r="K7159" s="15" t="s">
        <v>23</v>
      </c>
    </row>
    <row r="7160" spans="1:11" ht="42" customHeight="1">
      <c r="A7160" s="4" t="s">
        <v>16264</v>
      </c>
      <c r="B7160" s="5" t="s">
        <v>16265</v>
      </c>
      <c r="C7160" s="5" t="s">
        <v>18</v>
      </c>
      <c r="D7160" s="5" t="s">
        <v>19</v>
      </c>
      <c r="E7160" s="5" t="s">
        <v>836</v>
      </c>
      <c r="F7160" s="9">
        <v>71</v>
      </c>
      <c r="G7160" s="9">
        <v>789</v>
      </c>
      <c r="H7160" s="5" t="s">
        <v>21</v>
      </c>
      <c r="I7160" s="5" t="s">
        <v>16266</v>
      </c>
      <c r="J7160" s="12" t="str">
        <f>HYPERLINK("https://www.boe.es/gazeta/dias/1800/09/02/pdfs/GMD-1800-71.pdf#page=7","Abrir facsímil")</f>
        <v>Abrir facsímil</v>
      </c>
      <c r="K7160" s="15" t="s">
        <v>23</v>
      </c>
    </row>
    <row r="7161" spans="1:11" ht="42" customHeight="1">
      <c r="A7161" s="4" t="s">
        <v>16267</v>
      </c>
      <c r="B7161" s="5" t="s">
        <v>16268</v>
      </c>
      <c r="C7161" s="5" t="s">
        <v>18</v>
      </c>
      <c r="D7161" s="5" t="s">
        <v>19</v>
      </c>
      <c r="E7161" s="5" t="s">
        <v>180</v>
      </c>
      <c r="F7161" s="9">
        <v>102</v>
      </c>
      <c r="G7161" s="9">
        <v>1185</v>
      </c>
      <c r="H7161" s="5" t="s">
        <v>21</v>
      </c>
      <c r="I7161" s="5" t="s">
        <v>16269</v>
      </c>
      <c r="J7161" s="12" t="str">
        <f>HYPERLINK("https://www.boe.es/gazeta/dias/1800/12/19/pdfs/GMD-1800-102.pdf#page=9","Abrir facsímil")</f>
        <v>Abrir facsímil</v>
      </c>
      <c r="K7161" s="15" t="s">
        <v>23</v>
      </c>
    </row>
    <row r="7162" spans="1:11" ht="42" customHeight="1">
      <c r="A7162" s="4" t="s">
        <v>16270</v>
      </c>
      <c r="B7162" s="5" t="s">
        <v>16271</v>
      </c>
      <c r="C7162" s="5" t="s">
        <v>18</v>
      </c>
      <c r="D7162" s="5" t="s">
        <v>19</v>
      </c>
      <c r="E7162" s="5" t="s">
        <v>20</v>
      </c>
      <c r="F7162" s="9">
        <v>104</v>
      </c>
      <c r="G7162" s="9">
        <v>1210</v>
      </c>
      <c r="H7162" s="5" t="s">
        <v>21</v>
      </c>
      <c r="I7162" s="5" t="s">
        <v>16272</v>
      </c>
      <c r="J7162" s="12" t="str">
        <f>HYPERLINK("https://www.boe.es/gazeta/dias/1800/12/26/pdfs/GMD-1800-104.pdf#page=10","Abrir facsímil")</f>
        <v>Abrir facsímil</v>
      </c>
      <c r="K7162" s="15" t="s">
        <v>23</v>
      </c>
    </row>
    <row r="7163" spans="1:11" ht="42" customHeight="1">
      <c r="A7163" s="4" t="s">
        <v>16273</v>
      </c>
      <c r="B7163" s="5" t="s">
        <v>16274</v>
      </c>
      <c r="C7163" s="5" t="s">
        <v>54</v>
      </c>
      <c r="D7163" s="5" t="s">
        <v>55</v>
      </c>
      <c r="E7163" s="5" t="s">
        <v>420</v>
      </c>
      <c r="F7163" s="9">
        <v>38</v>
      </c>
      <c r="G7163" s="9">
        <v>389</v>
      </c>
      <c r="H7163" s="5" t="s">
        <v>21</v>
      </c>
      <c r="I7163" s="5" t="s">
        <v>16275</v>
      </c>
      <c r="J7163" s="12" t="str">
        <f>HYPERLINK("https://www.boe.es/gazeta/dias/1800/05/13/pdfs/GMD-1800-38.pdf#page=9","Abrir facsímil")</f>
        <v>Abrir facsímil</v>
      </c>
      <c r="K7163" s="15" t="s">
        <v>23</v>
      </c>
    </row>
    <row r="7164" spans="1:11" ht="42" customHeight="1">
      <c r="A7164" s="4" t="s">
        <v>16276</v>
      </c>
      <c r="B7164" s="5" t="s">
        <v>16276</v>
      </c>
      <c r="C7164" s="5" t="s">
        <v>41</v>
      </c>
      <c r="D7164" s="5" t="s">
        <v>42</v>
      </c>
      <c r="E7164" s="5" t="s">
        <v>402</v>
      </c>
      <c r="F7164" s="9">
        <v>101</v>
      </c>
      <c r="G7164" s="9">
        <v>1165</v>
      </c>
      <c r="H7164" s="5" t="s">
        <v>21</v>
      </c>
      <c r="I7164" s="5" t="s">
        <v>16277</v>
      </c>
      <c r="J7164" s="12" t="str">
        <f>HYPERLINK("https://www.boe.es/gazeta/dias/1800/12/16/pdfs/GMD-1800-101.pdf#page=1","Abrir facsímil")</f>
        <v>Abrir facsímil</v>
      </c>
      <c r="K7164" s="15" t="s">
        <v>23</v>
      </c>
    </row>
    <row r="7165" spans="1:11" ht="42" customHeight="1">
      <c r="A7165" s="4" t="s">
        <v>16278</v>
      </c>
      <c r="B7165" s="5" t="s">
        <v>16279</v>
      </c>
      <c r="C7165" s="5" t="s">
        <v>18</v>
      </c>
      <c r="D7165" s="5" t="s">
        <v>19</v>
      </c>
      <c r="E7165" s="5" t="s">
        <v>314</v>
      </c>
      <c r="F7165" s="9">
        <v>74</v>
      </c>
      <c r="G7165" s="9">
        <v>831</v>
      </c>
      <c r="H7165" s="5" t="s">
        <v>21</v>
      </c>
      <c r="I7165" s="5" t="s">
        <v>16280</v>
      </c>
      <c r="J7165" s="12" t="str">
        <f>HYPERLINK("https://www.boe.es/gazeta/dias/1800/09/12/pdfs/GMD-1800-74.pdf#page=9","Abrir facsímil")</f>
        <v>Abrir facsímil</v>
      </c>
      <c r="K7165" s="15" t="s">
        <v>23</v>
      </c>
    </row>
    <row r="7166" spans="1:11" ht="42" customHeight="1">
      <c r="A7166" s="4" t="s">
        <v>16281</v>
      </c>
      <c r="B7166" s="5" t="s">
        <v>16282</v>
      </c>
      <c r="C7166" s="5" t="s">
        <v>207</v>
      </c>
      <c r="D7166" s="5" t="s">
        <v>55</v>
      </c>
      <c r="E7166" s="5" t="s">
        <v>116</v>
      </c>
      <c r="F7166" s="9">
        <v>86</v>
      </c>
      <c r="G7166" s="9">
        <v>997</v>
      </c>
      <c r="H7166" s="5" t="s">
        <v>21</v>
      </c>
      <c r="I7166" s="5" t="s">
        <v>16283</v>
      </c>
      <c r="J7166" s="12" t="str">
        <f>HYPERLINK("https://www.boe.es/gazeta/dias/1800/10/24/pdfs/GMD-1800-86.pdf#page=7","Abrir facsímil")</f>
        <v>Abrir facsímil</v>
      </c>
      <c r="K7166" s="15" t="s">
        <v>23</v>
      </c>
    </row>
    <row r="7167" spans="1:11" ht="42" customHeight="1">
      <c r="A7167" s="4" t="s">
        <v>16284</v>
      </c>
      <c r="B7167" s="5" t="s">
        <v>16285</v>
      </c>
      <c r="C7167" s="5" t="s">
        <v>25</v>
      </c>
      <c r="D7167" s="5" t="s">
        <v>26</v>
      </c>
      <c r="E7167" s="5" t="s">
        <v>58</v>
      </c>
      <c r="F7167" s="9">
        <v>92</v>
      </c>
      <c r="G7167" s="9">
        <v>1052</v>
      </c>
      <c r="H7167" s="5" t="s">
        <v>21</v>
      </c>
      <c r="I7167" s="5" t="s">
        <v>16286</v>
      </c>
      <c r="J7167" s="12" t="str">
        <f>HYPERLINK("https://www.boe.es/gazeta/dias/1800/11/14/pdfs/GMD-1800-92.pdf#page=6","Abrir facsímil")</f>
        <v>Abrir facsímil</v>
      </c>
      <c r="K7167" s="15" t="s">
        <v>23</v>
      </c>
    </row>
    <row r="7168" spans="1:11" ht="42" customHeight="1">
      <c r="A7168" s="4" t="s">
        <v>16287</v>
      </c>
      <c r="B7168" s="5" t="s">
        <v>16288</v>
      </c>
      <c r="C7168" s="5" t="s">
        <v>84</v>
      </c>
      <c r="D7168" s="5" t="s">
        <v>85</v>
      </c>
      <c r="E7168" s="5" t="s">
        <v>58</v>
      </c>
      <c r="F7168" s="9">
        <v>92</v>
      </c>
      <c r="G7168" s="9">
        <v>1054</v>
      </c>
      <c r="H7168" s="5" t="s">
        <v>21</v>
      </c>
      <c r="I7168" s="5" t="s">
        <v>16289</v>
      </c>
      <c r="J7168" s="12" t="str">
        <f>HYPERLINK("https://www.boe.es/gazeta/dias/1800/11/14/pdfs/GMD-1800-92.pdf#page=8","Abrir facsímil")</f>
        <v>Abrir facsímil</v>
      </c>
      <c r="K7168" s="15" t="s">
        <v>23</v>
      </c>
    </row>
    <row r="7169" spans="1:11" ht="42" customHeight="1">
      <c r="A7169" s="4" t="s">
        <v>16290</v>
      </c>
      <c r="B7169" s="5" t="s">
        <v>16290</v>
      </c>
      <c r="C7169" s="5" t="s">
        <v>41</v>
      </c>
      <c r="D7169" s="5" t="s">
        <v>42</v>
      </c>
      <c r="E7169" s="5" t="s">
        <v>1127</v>
      </c>
      <c r="F7169" s="9">
        <v>11</v>
      </c>
      <c r="G7169" s="9">
        <v>102</v>
      </c>
      <c r="H7169" s="5" t="s">
        <v>21</v>
      </c>
      <c r="I7169" s="5" t="s">
        <v>16291</v>
      </c>
      <c r="J7169" s="12" t="str">
        <f>HYPERLINK("https://www.boe.es/gazeta/dias/1800/02/07/pdfs/GMD-1800-11.pdf#page=2","Abrir facsímil")</f>
        <v>Abrir facsímil</v>
      </c>
      <c r="K7169" s="15" t="s">
        <v>23</v>
      </c>
    </row>
    <row r="7170" spans="1:11" ht="42" customHeight="1">
      <c r="A7170" s="4" t="s">
        <v>16290</v>
      </c>
      <c r="B7170" s="5" t="s">
        <v>16290</v>
      </c>
      <c r="C7170" s="5" t="s">
        <v>41</v>
      </c>
      <c r="D7170" s="5" t="s">
        <v>42</v>
      </c>
      <c r="E7170" s="5" t="s">
        <v>240</v>
      </c>
      <c r="F7170" s="9">
        <v>26</v>
      </c>
      <c r="G7170" s="9">
        <v>266</v>
      </c>
      <c r="H7170" s="5" t="s">
        <v>21</v>
      </c>
      <c r="I7170" s="5" t="s">
        <v>16292</v>
      </c>
      <c r="J7170" s="12" t="str">
        <f>HYPERLINK("https://www.boe.es/gazeta/dias/1800/04/01/pdfs/GMD-1800-26.pdf#page=6","Abrir facsímil")</f>
        <v>Abrir facsímil</v>
      </c>
      <c r="K7170" s="15" t="s">
        <v>23</v>
      </c>
    </row>
    <row r="7171" spans="1:11" ht="42" customHeight="1">
      <c r="A7171" s="4" t="s">
        <v>16290</v>
      </c>
      <c r="B7171" s="5" t="s">
        <v>16290</v>
      </c>
      <c r="C7171" s="5" t="s">
        <v>25</v>
      </c>
      <c r="D7171" s="5" t="s">
        <v>26</v>
      </c>
      <c r="E7171" s="5" t="s">
        <v>845</v>
      </c>
      <c r="F7171" s="9">
        <v>80</v>
      </c>
      <c r="G7171" s="9">
        <v>908</v>
      </c>
      <c r="H7171" s="5" t="s">
        <v>21</v>
      </c>
      <c r="I7171" s="5" t="s">
        <v>16293</v>
      </c>
      <c r="J7171" s="12" t="str">
        <f>HYPERLINK("https://www.boe.es/gazeta/dias/1800/10/03/pdfs/GMD-1800-80.pdf#page=6","Abrir facsímil")</f>
        <v>Abrir facsímil</v>
      </c>
      <c r="K7171" s="15" t="s">
        <v>23</v>
      </c>
    </row>
    <row r="7172" spans="1:11" ht="42" customHeight="1">
      <c r="A7172" s="4" t="s">
        <v>16290</v>
      </c>
      <c r="B7172" s="5" t="s">
        <v>16290</v>
      </c>
      <c r="C7172" s="5" t="s">
        <v>25</v>
      </c>
      <c r="D7172" s="5" t="s">
        <v>26</v>
      </c>
      <c r="E7172" s="5" t="s">
        <v>50</v>
      </c>
      <c r="F7172" s="9">
        <v>81</v>
      </c>
      <c r="G7172" s="9">
        <v>917</v>
      </c>
      <c r="H7172" s="5" t="s">
        <v>21</v>
      </c>
      <c r="I7172" s="5" t="s">
        <v>16294</v>
      </c>
      <c r="J7172" s="12" t="str">
        <f>HYPERLINK("https://www.boe.es/gazeta/dias/1800/10/07/pdfs/GMD-1800-81.pdf#page=7","Abrir facsímil")</f>
        <v>Abrir facsímil</v>
      </c>
      <c r="K7172" s="15" t="s">
        <v>23</v>
      </c>
    </row>
    <row r="7173" spans="1:11" ht="42" customHeight="1">
      <c r="A7173" s="4" t="s">
        <v>16290</v>
      </c>
      <c r="B7173" s="5" t="s">
        <v>16290</v>
      </c>
      <c r="C7173" s="5" t="s">
        <v>18</v>
      </c>
      <c r="D7173" s="5" t="s">
        <v>19</v>
      </c>
      <c r="E7173" s="5" t="s">
        <v>410</v>
      </c>
      <c r="F7173" s="9">
        <v>87</v>
      </c>
      <c r="G7173" s="9">
        <v>1006</v>
      </c>
      <c r="H7173" s="5" t="s">
        <v>21</v>
      </c>
      <c r="I7173" s="5" t="s">
        <v>16295</v>
      </c>
      <c r="J7173" s="12" t="str">
        <f>HYPERLINK("https://www.boe.es/gazeta/dias/1800/10/28/pdfs/GMD-1800-87.pdf#page=4","Abrir facsímil")</f>
        <v>Abrir facsímil</v>
      </c>
      <c r="K7173" s="15" t="s">
        <v>23</v>
      </c>
    </row>
    <row r="7174" spans="1:11" ht="42" customHeight="1">
      <c r="A7174" s="4" t="s">
        <v>16296</v>
      </c>
      <c r="B7174" s="5" t="s">
        <v>16296</v>
      </c>
      <c r="C7174" s="5" t="s">
        <v>41</v>
      </c>
      <c r="D7174" s="5" t="s">
        <v>42</v>
      </c>
      <c r="E7174" s="5" t="s">
        <v>143</v>
      </c>
      <c r="F7174" s="9">
        <v>22</v>
      </c>
      <c r="G7174" s="9">
        <v>211</v>
      </c>
      <c r="H7174" s="5" t="s">
        <v>21</v>
      </c>
      <c r="I7174" s="5" t="s">
        <v>16297</v>
      </c>
      <c r="J7174" s="12" t="str">
        <f>HYPERLINK("https://www.boe.es/gazeta/dias/1800/03/18/pdfs/GMD-1800-22.pdf#page=3","Abrir facsímil")</f>
        <v>Abrir facsímil</v>
      </c>
      <c r="K7174" s="15" t="s">
        <v>23</v>
      </c>
    </row>
    <row r="7175" spans="1:11" ht="42" customHeight="1">
      <c r="A7175" s="4" t="s">
        <v>16298</v>
      </c>
      <c r="B7175" s="5" t="s">
        <v>16299</v>
      </c>
      <c r="C7175" s="5" t="s">
        <v>18</v>
      </c>
      <c r="D7175" s="5" t="s">
        <v>19</v>
      </c>
      <c r="E7175" s="5" t="s">
        <v>20</v>
      </c>
      <c r="F7175" s="9">
        <v>104</v>
      </c>
      <c r="G7175" s="9">
        <v>1201</v>
      </c>
      <c r="H7175" s="5" t="s">
        <v>21</v>
      </c>
      <c r="I7175" s="5" t="s">
        <v>16300</v>
      </c>
      <c r="J7175" s="12" t="str">
        <f>HYPERLINK("https://www.boe.es/gazeta/dias/1800/12/26/pdfs/GMD-1800-104.pdf#page=1","Abrir facsímil")</f>
        <v>Abrir facsímil</v>
      </c>
      <c r="K7175" s="15" t="s">
        <v>23</v>
      </c>
    </row>
    <row r="7176" spans="1:11" ht="42" customHeight="1">
      <c r="A7176" s="4" t="s">
        <v>16301</v>
      </c>
      <c r="B7176" s="5" t="s">
        <v>16302</v>
      </c>
      <c r="C7176" s="5" t="s">
        <v>18</v>
      </c>
      <c r="D7176" s="5" t="s">
        <v>19</v>
      </c>
      <c r="E7176" s="5" t="s">
        <v>20</v>
      </c>
      <c r="F7176" s="9">
        <v>104</v>
      </c>
      <c r="G7176" s="9">
        <v>1210</v>
      </c>
      <c r="H7176" s="5" t="s">
        <v>21</v>
      </c>
      <c r="I7176" s="5" t="s">
        <v>16303</v>
      </c>
      <c r="J7176" s="12" t="str">
        <f>HYPERLINK("https://www.boe.es/gazeta/dias/1800/12/26/pdfs/GMD-1800-104.pdf#page=10","Abrir facsímil")</f>
        <v>Abrir facsímil</v>
      </c>
      <c r="K7176" s="15" t="s">
        <v>23</v>
      </c>
    </row>
    <row r="7177" spans="1:11" ht="42" customHeight="1">
      <c r="A7177" s="4" t="s">
        <v>16304</v>
      </c>
      <c r="B7177" s="5" t="s">
        <v>16304</v>
      </c>
      <c r="C7177" s="5" t="s">
        <v>18</v>
      </c>
      <c r="D7177" s="5" t="s">
        <v>19</v>
      </c>
      <c r="E7177" s="5" t="s">
        <v>306</v>
      </c>
      <c r="F7177" s="9">
        <v>79</v>
      </c>
      <c r="G7177" s="9">
        <v>891</v>
      </c>
      <c r="H7177" s="5" t="s">
        <v>21</v>
      </c>
      <c r="I7177" s="5" t="s">
        <v>16305</v>
      </c>
      <c r="J7177" s="12" t="str">
        <f>HYPERLINK("https://www.boe.es/gazeta/dias/1800/09/30/pdfs/GMD-1800-79.pdf#page=1","Abrir facsímil")</f>
        <v>Abrir facsímil</v>
      </c>
      <c r="K7177" s="15" t="s">
        <v>23</v>
      </c>
    </row>
    <row r="7178" spans="1:11" ht="42" customHeight="1">
      <c r="A7178" s="4" t="s">
        <v>16306</v>
      </c>
      <c r="B7178" s="5" t="s">
        <v>16307</v>
      </c>
      <c r="C7178" s="5" t="s">
        <v>84</v>
      </c>
      <c r="D7178" s="5" t="s">
        <v>85</v>
      </c>
      <c r="E7178" s="5" t="s">
        <v>620</v>
      </c>
      <c r="F7178" s="9">
        <v>19</v>
      </c>
      <c r="G7178" s="9">
        <v>184</v>
      </c>
      <c r="H7178" s="5" t="s">
        <v>21</v>
      </c>
      <c r="I7178" s="5" t="s">
        <v>16308</v>
      </c>
      <c r="J7178" s="12" t="str">
        <f>HYPERLINK("https://www.boe.es/gazeta/dias/1800/03/07/pdfs/GMD-1800-19.pdf#page=8","Abrir facsímil")</f>
        <v>Abrir facsímil</v>
      </c>
      <c r="K7178" s="15" t="s">
        <v>23</v>
      </c>
    </row>
    <row r="7179" spans="1:11" ht="42" customHeight="1">
      <c r="A7179" s="4" t="s">
        <v>16309</v>
      </c>
      <c r="B7179" s="5" t="s">
        <v>16310</v>
      </c>
      <c r="C7179" s="5" t="s">
        <v>25</v>
      </c>
      <c r="D7179" s="5" t="s">
        <v>26</v>
      </c>
      <c r="E7179" s="5" t="s">
        <v>255</v>
      </c>
      <c r="F7179" s="9">
        <v>75</v>
      </c>
      <c r="G7179" s="9">
        <v>854</v>
      </c>
      <c r="H7179" s="5" t="s">
        <v>21</v>
      </c>
      <c r="I7179" s="5" t="s">
        <v>16311</v>
      </c>
      <c r="J7179" s="12" t="str">
        <f>HYPERLINK("https://www.boe.es/gazeta/dias/1800/09/16/pdfs/GMD-1800-75.pdf#page=8","Abrir facsímil")</f>
        <v>Abrir facsímil</v>
      </c>
      <c r="K7179" s="15" t="s">
        <v>23</v>
      </c>
    </row>
    <row r="7180" spans="1:11" ht="42" customHeight="1">
      <c r="A7180" s="4" t="s">
        <v>16312</v>
      </c>
      <c r="B7180" s="5" t="s">
        <v>16313</v>
      </c>
      <c r="C7180" s="5" t="s">
        <v>41</v>
      </c>
      <c r="D7180" s="5" t="s">
        <v>42</v>
      </c>
      <c r="E7180" s="5" t="s">
        <v>101</v>
      </c>
      <c r="F7180" s="9">
        <v>37</v>
      </c>
      <c r="G7180" s="9">
        <v>376</v>
      </c>
      <c r="H7180" s="5" t="s">
        <v>21</v>
      </c>
      <c r="I7180" s="5" t="s">
        <v>16314</v>
      </c>
      <c r="J7180" s="12" t="str">
        <f>HYPERLINK("https://www.boe.es/gazeta/dias/1800/05/09/pdfs/GMD-1800-37.pdf#page=8","Abrir facsímil")</f>
        <v>Abrir facsímil</v>
      </c>
      <c r="K7180" s="15" t="s">
        <v>23</v>
      </c>
    </row>
    <row r="7181" spans="1:11" ht="42" customHeight="1">
      <c r="A7181" s="4" t="s">
        <v>16315</v>
      </c>
      <c r="B7181" s="5" t="s">
        <v>16316</v>
      </c>
      <c r="C7181" s="5" t="s">
        <v>41</v>
      </c>
      <c r="D7181" s="5" t="s">
        <v>42</v>
      </c>
      <c r="E7181" s="5" t="s">
        <v>787</v>
      </c>
      <c r="F7181" s="9">
        <v>6</v>
      </c>
      <c r="G7181" s="9">
        <v>51</v>
      </c>
      <c r="H7181" s="5" t="s">
        <v>21</v>
      </c>
      <c r="I7181" s="5" t="s">
        <v>16317</v>
      </c>
      <c r="J7181" s="12" t="str">
        <f>HYPERLINK("https://www.boe.es/gazeta/dias/1800/01/21/pdfs/GMD-1800-6.pdf#page=3","Abrir facsímil")</f>
        <v>Abrir facsímil</v>
      </c>
      <c r="K7181" s="15" t="s">
        <v>23</v>
      </c>
    </row>
    <row r="7182" spans="1:11" ht="42" customHeight="1">
      <c r="A7182" s="4" t="s">
        <v>16318</v>
      </c>
      <c r="B7182" s="5" t="s">
        <v>16318</v>
      </c>
      <c r="C7182" s="5" t="s">
        <v>18</v>
      </c>
      <c r="D7182" s="5" t="s">
        <v>19</v>
      </c>
      <c r="E7182" s="5" t="s">
        <v>75</v>
      </c>
      <c r="F7182" s="9">
        <v>64</v>
      </c>
      <c r="G7182" s="9">
        <v>733</v>
      </c>
      <c r="H7182" s="5" t="s">
        <v>21</v>
      </c>
      <c r="I7182" s="5" t="s">
        <v>16319</v>
      </c>
      <c r="J7182" s="12" t="str">
        <f>HYPERLINK("https://www.boe.es/gazeta/dias/1800/08/12/pdfs/GMD-1800-64.pdf#page=9","Abrir facsímil")</f>
        <v>Abrir facsímil</v>
      </c>
      <c r="K7182" s="15" t="s">
        <v>23</v>
      </c>
    </row>
    <row r="7183" spans="1:11" ht="42" customHeight="1">
      <c r="A7183" s="4" t="s">
        <v>16320</v>
      </c>
      <c r="B7183" s="5" t="s">
        <v>16321</v>
      </c>
      <c r="C7183" s="5" t="s">
        <v>18</v>
      </c>
      <c r="D7183" s="5" t="s">
        <v>19</v>
      </c>
      <c r="E7183" s="5" t="s">
        <v>105</v>
      </c>
      <c r="F7183" s="9">
        <v>28</v>
      </c>
      <c r="G7183" s="9">
        <v>290</v>
      </c>
      <c r="H7183" s="5" t="s">
        <v>21</v>
      </c>
      <c r="I7183" s="5" t="s">
        <v>16322</v>
      </c>
      <c r="J7183" s="12" t="str">
        <f>HYPERLINK("https://www.boe.es/gazeta/dias/1800/04/08/pdfs/GMD-1800-28.pdf#page=6","Abrir facsímil")</f>
        <v>Abrir facsímil</v>
      </c>
      <c r="K7183" s="15" t="s">
        <v>23</v>
      </c>
    </row>
    <row r="7184" spans="1:11" ht="42" customHeight="1">
      <c r="A7184" s="4" t="s">
        <v>16323</v>
      </c>
      <c r="B7184" s="5" t="s">
        <v>16323</v>
      </c>
      <c r="C7184" s="5" t="s">
        <v>25</v>
      </c>
      <c r="D7184" s="5" t="s">
        <v>26</v>
      </c>
      <c r="E7184" s="5" t="s">
        <v>402</v>
      </c>
      <c r="F7184" s="9">
        <v>101</v>
      </c>
      <c r="G7184" s="9">
        <v>1173</v>
      </c>
      <c r="H7184" s="5" t="s">
        <v>21</v>
      </c>
      <c r="I7184" s="5" t="s">
        <v>16324</v>
      </c>
      <c r="J7184" s="12" t="str">
        <f>HYPERLINK("https://www.boe.es/gazeta/dias/1800/12/16/pdfs/GMD-1800-101.pdf#page=9","Abrir facsímil")</f>
        <v>Abrir facsímil</v>
      </c>
      <c r="K7184" s="15" t="s">
        <v>23</v>
      </c>
    </row>
    <row r="7185" spans="1:11" ht="42" customHeight="1">
      <c r="A7185" s="4" t="s">
        <v>16325</v>
      </c>
      <c r="B7185" s="5" t="s">
        <v>16326</v>
      </c>
      <c r="C7185" s="5" t="s">
        <v>18</v>
      </c>
      <c r="D7185" s="5" t="s">
        <v>19</v>
      </c>
      <c r="E7185" s="5" t="s">
        <v>406</v>
      </c>
      <c r="F7185" s="9">
        <v>44</v>
      </c>
      <c r="G7185" s="9">
        <v>461</v>
      </c>
      <c r="H7185" s="5" t="s">
        <v>21</v>
      </c>
      <c r="I7185" s="5" t="s">
        <v>16327</v>
      </c>
      <c r="J7185" s="12" t="str">
        <f>HYPERLINK("https://www.boe.es/gazeta/dias/1800/06/03/pdfs/GMD-1800-44.pdf#page=9","Abrir facsímil")</f>
        <v>Abrir facsímil</v>
      </c>
      <c r="K7185" s="15" t="s">
        <v>23</v>
      </c>
    </row>
    <row r="7186" spans="1:11" ht="42" customHeight="1">
      <c r="A7186" s="4" t="s">
        <v>16328</v>
      </c>
      <c r="B7186" s="5" t="s">
        <v>16329</v>
      </c>
      <c r="C7186" s="5" t="s">
        <v>25</v>
      </c>
      <c r="D7186" s="5" t="s">
        <v>26</v>
      </c>
      <c r="E7186" s="5" t="s">
        <v>101</v>
      </c>
      <c r="F7186" s="9">
        <v>37</v>
      </c>
      <c r="G7186" s="9">
        <v>377</v>
      </c>
      <c r="H7186" s="5" t="s">
        <v>21</v>
      </c>
      <c r="I7186" s="5" t="s">
        <v>16330</v>
      </c>
      <c r="J7186" s="12" t="str">
        <f>HYPERLINK("https://www.boe.es/gazeta/dias/1800/05/09/pdfs/GMD-1800-37.pdf#page=9","Abrir facsímil")</f>
        <v>Abrir facsímil</v>
      </c>
      <c r="K7186" s="15" t="s">
        <v>23</v>
      </c>
    </row>
    <row r="7187" spans="1:11" ht="42" customHeight="1">
      <c r="A7187" s="4" t="s">
        <v>16331</v>
      </c>
      <c r="B7187" s="5" t="s">
        <v>16331</v>
      </c>
      <c r="C7187" s="5" t="s">
        <v>25</v>
      </c>
      <c r="D7187" s="5" t="s">
        <v>26</v>
      </c>
      <c r="E7187" s="5" t="s">
        <v>1108</v>
      </c>
      <c r="F7187" s="9">
        <v>30</v>
      </c>
      <c r="G7187" s="9">
        <v>307</v>
      </c>
      <c r="H7187" s="5" t="s">
        <v>21</v>
      </c>
      <c r="I7187" s="5" t="s">
        <v>16332</v>
      </c>
      <c r="J7187" s="12" t="str">
        <f>HYPERLINK("https://www.boe.es/gazeta/dias/1800/04/15/pdfs/GMD-1800-30.pdf#page=7","Abrir facsímil")</f>
        <v>Abrir facsímil</v>
      </c>
      <c r="K7187" s="15" t="s">
        <v>23</v>
      </c>
    </row>
    <row r="7188" spans="1:11" ht="42" customHeight="1">
      <c r="A7188" s="4" t="s">
        <v>16333</v>
      </c>
      <c r="B7188" s="5" t="s">
        <v>16333</v>
      </c>
      <c r="C7188" s="5" t="s">
        <v>18</v>
      </c>
      <c r="D7188" s="5" t="s">
        <v>19</v>
      </c>
      <c r="E7188" s="5" t="s">
        <v>240</v>
      </c>
      <c r="F7188" s="9">
        <v>26</v>
      </c>
      <c r="G7188" s="9">
        <v>270</v>
      </c>
      <c r="H7188" s="5" t="s">
        <v>21</v>
      </c>
      <c r="I7188" s="5" t="s">
        <v>16334</v>
      </c>
      <c r="J7188" s="12" t="str">
        <f>HYPERLINK("https://www.boe.es/gazeta/dias/1800/04/01/pdfs/GMD-1800-26.pdf#page=10","Abrir facsímil")</f>
        <v>Abrir facsímil</v>
      </c>
      <c r="K7188" s="15" t="s">
        <v>23</v>
      </c>
    </row>
    <row r="7189" spans="1:11" ht="42" customHeight="1">
      <c r="A7189" s="4" t="s">
        <v>16335</v>
      </c>
      <c r="B7189" s="5" t="s">
        <v>16336</v>
      </c>
      <c r="C7189" s="5" t="s">
        <v>171</v>
      </c>
      <c r="D7189" s="5" t="s">
        <v>172</v>
      </c>
      <c r="E7189" s="5" t="s">
        <v>595</v>
      </c>
      <c r="F7189" s="9">
        <v>72</v>
      </c>
      <c r="G7189" s="9">
        <v>800</v>
      </c>
      <c r="H7189" s="5" t="s">
        <v>21</v>
      </c>
      <c r="I7189" s="5" t="s">
        <v>16337</v>
      </c>
      <c r="J7189" s="12" t="str">
        <f>HYPERLINK("https://www.boe.es/gazeta/dias/1800/09/05/pdfs/GMD-C-1800-72.pdf#page=2","Abrir facsímil")</f>
        <v>Abrir facsímil</v>
      </c>
      <c r="K7189" s="15" t="s">
        <v>23</v>
      </c>
    </row>
    <row r="7190" spans="1:11" ht="42" customHeight="1">
      <c r="A7190" s="4" t="s">
        <v>16338</v>
      </c>
      <c r="B7190" s="5" t="s">
        <v>16339</v>
      </c>
      <c r="C7190" s="5" t="s">
        <v>84</v>
      </c>
      <c r="D7190" s="5" t="s">
        <v>85</v>
      </c>
      <c r="E7190" s="5" t="s">
        <v>135</v>
      </c>
      <c r="F7190" s="9">
        <v>73</v>
      </c>
      <c r="G7190" s="9">
        <v>818</v>
      </c>
      <c r="H7190" s="5" t="s">
        <v>21</v>
      </c>
      <c r="I7190" s="5" t="s">
        <v>16340</v>
      </c>
      <c r="J7190" s="12" t="str">
        <f>HYPERLINK("https://www.boe.es/gazeta/dias/1800/09/09/pdfs/GMD-1800-73.pdf#page=12","Abrir facsímil")</f>
        <v>Abrir facsímil</v>
      </c>
      <c r="K7190" s="15" t="s">
        <v>23</v>
      </c>
    </row>
    <row r="7191" spans="1:11" ht="42" customHeight="1">
      <c r="A7191" s="4" t="s">
        <v>16341</v>
      </c>
      <c r="B7191" s="5" t="s">
        <v>16342</v>
      </c>
      <c r="C7191" s="5" t="s">
        <v>207</v>
      </c>
      <c r="D7191" s="5" t="s">
        <v>55</v>
      </c>
      <c r="E7191" s="5" t="s">
        <v>52</v>
      </c>
      <c r="F7191" s="9">
        <v>83</v>
      </c>
      <c r="G7191" s="9">
        <v>962</v>
      </c>
      <c r="H7191" s="5" t="s">
        <v>21</v>
      </c>
      <c r="I7191" s="5" t="s">
        <v>16343</v>
      </c>
      <c r="J7191" s="12" t="str">
        <f>HYPERLINK("https://www.boe.es/gazeta/dias/1800/10/14/pdfs/GMD-1800-83.pdf#page=8","Abrir facsímil")</f>
        <v>Abrir facsímil</v>
      </c>
      <c r="K7191" s="15" t="s">
        <v>23</v>
      </c>
    </row>
    <row r="7192" spans="1:11" ht="42" customHeight="1">
      <c r="A7192" s="4" t="s">
        <v>16344</v>
      </c>
      <c r="B7192" s="5" t="s">
        <v>16345</v>
      </c>
      <c r="C7192" s="5" t="s">
        <v>41</v>
      </c>
      <c r="D7192" s="5" t="s">
        <v>42</v>
      </c>
      <c r="E7192" s="5" t="s">
        <v>1294</v>
      </c>
      <c r="F7192" s="9">
        <v>59</v>
      </c>
      <c r="G7192" s="9">
        <v>672</v>
      </c>
      <c r="H7192" s="5" t="s">
        <v>21</v>
      </c>
      <c r="I7192" s="5" t="s">
        <v>16346</v>
      </c>
      <c r="J7192" s="12" t="str">
        <f>HYPERLINK("https://www.boe.es/gazeta/dias/1800/07/25/pdfs/GMD-1800-59.pdf#page=4","Abrir facsímil")</f>
        <v>Abrir facsímil</v>
      </c>
      <c r="K7192" s="15" t="s">
        <v>23</v>
      </c>
    </row>
    <row r="7193" spans="1:11" ht="42" customHeight="1">
      <c r="A7193" s="4" t="s">
        <v>16347</v>
      </c>
      <c r="B7193" s="5" t="s">
        <v>16348</v>
      </c>
      <c r="C7193" s="5" t="s">
        <v>54</v>
      </c>
      <c r="D7193" s="5" t="s">
        <v>55</v>
      </c>
      <c r="E7193" s="5" t="s">
        <v>1287</v>
      </c>
      <c r="F7193" s="9">
        <v>57</v>
      </c>
      <c r="G7193" s="9">
        <v>651</v>
      </c>
      <c r="H7193" s="5" t="s">
        <v>21</v>
      </c>
      <c r="I7193" s="5" t="s">
        <v>16349</v>
      </c>
      <c r="J7193" s="12" t="str">
        <f>HYPERLINK("https://www.boe.es/gazeta/dias/1800/07/18/pdfs/GMD-1800-57.pdf#page=15","Abrir facsímil")</f>
        <v>Abrir facsímil</v>
      </c>
      <c r="K7193" s="15" t="s">
        <v>23</v>
      </c>
    </row>
    <row r="7194" spans="1:11" ht="42" customHeight="1">
      <c r="A7194" s="4" t="s">
        <v>16350</v>
      </c>
      <c r="B7194" s="5" t="s">
        <v>16350</v>
      </c>
      <c r="C7194" s="5" t="s">
        <v>18</v>
      </c>
      <c r="D7194" s="5" t="s">
        <v>19</v>
      </c>
      <c r="E7194" s="5" t="s">
        <v>56</v>
      </c>
      <c r="F7194" s="9">
        <v>90</v>
      </c>
      <c r="G7194" s="9">
        <v>1056</v>
      </c>
      <c r="H7194" s="5" t="s">
        <v>21</v>
      </c>
      <c r="I7194" s="5" t="s">
        <v>16351</v>
      </c>
      <c r="J7194" s="12" t="str">
        <f>HYPERLINK("https://www.boe.es/gazeta/dias/1800/11/07/pdfs/GMD-1800-90.pdf#page=10","Abrir facsímil")</f>
        <v>Abrir facsímil</v>
      </c>
      <c r="K7194" s="15" t="s">
        <v>23</v>
      </c>
    </row>
    <row r="7195" spans="1:11" ht="42" customHeight="1">
      <c r="A7195" s="4" t="s">
        <v>16352</v>
      </c>
      <c r="B7195" s="5" t="s">
        <v>16352</v>
      </c>
      <c r="C7195" s="5" t="s">
        <v>18</v>
      </c>
      <c r="D7195" s="5" t="s">
        <v>19</v>
      </c>
      <c r="E7195" s="5" t="s">
        <v>27</v>
      </c>
      <c r="F7195" s="9">
        <v>65</v>
      </c>
      <c r="G7195" s="9">
        <v>733</v>
      </c>
      <c r="H7195" s="5" t="s">
        <v>21</v>
      </c>
      <c r="I7195" s="5" t="s">
        <v>16353</v>
      </c>
      <c r="J7195" s="12" t="str">
        <f>HYPERLINK("https://www.boe.es/gazeta/dias/1800/08/15/pdfs/GMD-1800-65.pdf#page=9","Abrir facsímil")</f>
        <v>Abrir facsímil</v>
      </c>
      <c r="K7195" s="15" t="s">
        <v>23</v>
      </c>
    </row>
    <row r="7196" spans="1:11" ht="42" customHeight="1">
      <c r="A7196" s="4" t="s">
        <v>16354</v>
      </c>
      <c r="B7196" s="5" t="s">
        <v>16354</v>
      </c>
      <c r="C7196" s="5" t="s">
        <v>84</v>
      </c>
      <c r="D7196" s="5" t="s">
        <v>85</v>
      </c>
      <c r="E7196" s="5" t="s">
        <v>86</v>
      </c>
      <c r="F7196" s="9">
        <v>17</v>
      </c>
      <c r="G7196" s="9">
        <v>163</v>
      </c>
      <c r="H7196" s="5" t="s">
        <v>21</v>
      </c>
      <c r="I7196" s="5" t="s">
        <v>16355</v>
      </c>
      <c r="J7196" s="12" t="str">
        <f>HYPERLINK("https://www.boe.es/gazeta/dias/1800/02/28/pdfs/GMD-1800-17.pdf#page=11","Abrir facsímil")</f>
        <v>Abrir facsímil</v>
      </c>
      <c r="K7196" s="15" t="s">
        <v>23</v>
      </c>
    </row>
    <row r="7197" spans="1:11" ht="42" customHeight="1">
      <c r="A7197" s="4" t="s">
        <v>16354</v>
      </c>
      <c r="B7197" s="5" t="s">
        <v>16354</v>
      </c>
      <c r="C7197" s="5" t="s">
        <v>84</v>
      </c>
      <c r="D7197" s="5" t="s">
        <v>85</v>
      </c>
      <c r="E7197" s="5" t="s">
        <v>31</v>
      </c>
      <c r="F7197" s="9">
        <v>20</v>
      </c>
      <c r="G7197" s="9">
        <v>196</v>
      </c>
      <c r="H7197" s="5" t="s">
        <v>21</v>
      </c>
      <c r="I7197" s="5" t="s">
        <v>16356</v>
      </c>
      <c r="J7197" s="12" t="str">
        <f>HYPERLINK("https://www.boe.es/gazeta/dias/1800/03/11/pdfs/GMD-1800-20.pdf#page=12","Abrir facsímil")</f>
        <v>Abrir facsímil</v>
      </c>
      <c r="K7197" s="15" t="s">
        <v>23</v>
      </c>
    </row>
    <row r="7198" spans="1:11" ht="42" customHeight="1">
      <c r="A7198" s="4" t="s">
        <v>16357</v>
      </c>
      <c r="B7198" s="5" t="s">
        <v>16357</v>
      </c>
      <c r="C7198" s="5" t="s">
        <v>84</v>
      </c>
      <c r="D7198" s="5" t="s">
        <v>85</v>
      </c>
      <c r="E7198" s="5" t="s">
        <v>88</v>
      </c>
      <c r="F7198" s="9">
        <v>23</v>
      </c>
      <c r="G7198" s="9">
        <v>236</v>
      </c>
      <c r="H7198" s="5" t="s">
        <v>21</v>
      </c>
      <c r="I7198" s="5" t="s">
        <v>16358</v>
      </c>
      <c r="J7198" s="12" t="str">
        <f>HYPERLINK("https://www.boe.es/gazeta/dias/1800/03/21/pdfs/GMD-1800-23.pdf#page=12","Abrir facsímil")</f>
        <v>Abrir facsímil</v>
      </c>
      <c r="K7198" s="15" t="s">
        <v>23</v>
      </c>
    </row>
    <row r="7199" spans="1:11" ht="42" customHeight="1">
      <c r="A7199" s="4" t="s">
        <v>16354</v>
      </c>
      <c r="B7199" s="5" t="s">
        <v>16354</v>
      </c>
      <c r="C7199" s="5" t="s">
        <v>84</v>
      </c>
      <c r="D7199" s="5" t="s">
        <v>85</v>
      </c>
      <c r="E7199" s="5" t="s">
        <v>240</v>
      </c>
      <c r="F7199" s="9">
        <v>26</v>
      </c>
      <c r="G7199" s="9">
        <v>272</v>
      </c>
      <c r="H7199" s="5" t="s">
        <v>21</v>
      </c>
      <c r="I7199" s="5" t="s">
        <v>16359</v>
      </c>
      <c r="J7199" s="12" t="str">
        <f>HYPERLINK("https://www.boe.es/gazeta/dias/1800/04/01/pdfs/GMD-1800-26.pdf#page=12","Abrir facsímil")</f>
        <v>Abrir facsímil</v>
      </c>
      <c r="K7199" s="15" t="s">
        <v>23</v>
      </c>
    </row>
    <row r="7200" spans="1:11" ht="42" customHeight="1">
      <c r="A7200" s="4" t="s">
        <v>16360</v>
      </c>
      <c r="B7200" s="5" t="s">
        <v>16360</v>
      </c>
      <c r="C7200" s="5" t="s">
        <v>84</v>
      </c>
      <c r="D7200" s="5" t="s">
        <v>85</v>
      </c>
      <c r="E7200" s="5" t="s">
        <v>143</v>
      </c>
      <c r="F7200" s="9">
        <v>22</v>
      </c>
      <c r="G7200" s="9">
        <v>218</v>
      </c>
      <c r="H7200" s="5" t="s">
        <v>21</v>
      </c>
      <c r="I7200" s="5" t="s">
        <v>16361</v>
      </c>
      <c r="J7200" s="12" t="str">
        <f>HYPERLINK("https://www.boe.es/gazeta/dias/1800/03/18/pdfs/GMD-1800-22.pdf#page=10","Abrir facsímil")</f>
        <v>Abrir facsímil</v>
      </c>
      <c r="K7200" s="15" t="s">
        <v>23</v>
      </c>
    </row>
    <row r="7201" spans="1:11" ht="42" customHeight="1">
      <c r="A7201" s="4" t="s">
        <v>16362</v>
      </c>
      <c r="B7201" s="5" t="s">
        <v>16362</v>
      </c>
      <c r="C7201" s="5" t="s">
        <v>18</v>
      </c>
      <c r="D7201" s="5" t="s">
        <v>19</v>
      </c>
      <c r="E7201" s="5" t="s">
        <v>422</v>
      </c>
      <c r="F7201" s="9">
        <v>85</v>
      </c>
      <c r="G7201" s="9">
        <v>985</v>
      </c>
      <c r="H7201" s="5" t="s">
        <v>21</v>
      </c>
      <c r="I7201" s="5" t="s">
        <v>16363</v>
      </c>
      <c r="J7201" s="12" t="str">
        <f>HYPERLINK("https://www.boe.es/gazeta/dias/1800/10/21/pdfs/GMD-1800-85.pdf#page=7","Abrir facsímil")</f>
        <v>Abrir facsímil</v>
      </c>
      <c r="K7201" s="15" t="s">
        <v>23</v>
      </c>
    </row>
    <row r="7202" spans="1:11" ht="42" customHeight="1">
      <c r="A7202" s="4" t="s">
        <v>16364</v>
      </c>
      <c r="B7202" s="5" t="s">
        <v>16364</v>
      </c>
      <c r="C7202" s="5" t="s">
        <v>1179</v>
      </c>
      <c r="D7202" s="5" t="s">
        <v>1180</v>
      </c>
      <c r="E7202" s="5" t="s">
        <v>314</v>
      </c>
      <c r="F7202" s="9">
        <v>74</v>
      </c>
      <c r="G7202" s="9">
        <v>844</v>
      </c>
      <c r="H7202" s="5" t="s">
        <v>21</v>
      </c>
      <c r="I7202" s="5" t="s">
        <v>16365</v>
      </c>
      <c r="J7202" s="12" t="str">
        <f>HYPERLINK("https://www.boe.es/gazeta/dias/1800/09/12/pdfs/GMD-C-1800-74.pdf#page=6","Abrir facsímil")</f>
        <v>Abrir facsímil</v>
      </c>
      <c r="K7202" s="15" t="s">
        <v>23</v>
      </c>
    </row>
    <row r="7203" spans="1:11" ht="42" customHeight="1">
      <c r="A7203" s="4" t="s">
        <v>16366</v>
      </c>
      <c r="B7203" s="5" t="s">
        <v>16367</v>
      </c>
      <c r="C7203" s="5" t="s">
        <v>18</v>
      </c>
      <c r="D7203" s="5" t="s">
        <v>19</v>
      </c>
      <c r="E7203" s="5" t="s">
        <v>52</v>
      </c>
      <c r="F7203" s="9">
        <v>83</v>
      </c>
      <c r="G7203" s="9">
        <v>964</v>
      </c>
      <c r="H7203" s="5" t="s">
        <v>21</v>
      </c>
      <c r="I7203" s="5" t="s">
        <v>16368</v>
      </c>
      <c r="J7203" s="12" t="str">
        <f>HYPERLINK("https://www.boe.es/gazeta/dias/1800/10/14/pdfs/GMD-1800-83.pdf#page=10","Abrir facsímil")</f>
        <v>Abrir facsímil</v>
      </c>
      <c r="K7203" s="15" t="s">
        <v>23</v>
      </c>
    </row>
    <row r="7204" spans="1:11" ht="42" customHeight="1">
      <c r="A7204" s="4" t="s">
        <v>16369</v>
      </c>
      <c r="B7204" s="5" t="s">
        <v>16370</v>
      </c>
      <c r="C7204" s="5" t="s">
        <v>171</v>
      </c>
      <c r="D7204" s="5" t="s">
        <v>172</v>
      </c>
      <c r="E7204" s="5" t="s">
        <v>90</v>
      </c>
      <c r="F7204" s="9">
        <v>58</v>
      </c>
      <c r="G7204" s="9">
        <v>668</v>
      </c>
      <c r="H7204" s="5" t="s">
        <v>21</v>
      </c>
      <c r="I7204" s="5" t="s">
        <v>16371</v>
      </c>
      <c r="J7204" s="12" t="str">
        <f>HYPERLINK("https://www.boe.es/gazeta/dias/1800/07/22/pdfs/GMD-C-1800-58.pdf#page=4","Abrir facsímil")</f>
        <v>Abrir facsímil</v>
      </c>
      <c r="K7204" s="15" t="s">
        <v>23</v>
      </c>
    </row>
    <row r="7205" spans="1:11" ht="42" customHeight="1">
      <c r="A7205" s="4" t="s">
        <v>16372</v>
      </c>
      <c r="B7205" s="5" t="s">
        <v>16373</v>
      </c>
      <c r="C7205" s="5" t="s">
        <v>25</v>
      </c>
      <c r="D7205" s="5" t="s">
        <v>26</v>
      </c>
      <c r="E7205" s="5" t="s">
        <v>283</v>
      </c>
      <c r="F7205" s="9">
        <v>68</v>
      </c>
      <c r="G7205" s="9">
        <v>765</v>
      </c>
      <c r="H7205" s="5" t="s">
        <v>21</v>
      </c>
      <c r="I7205" s="5" t="s">
        <v>16374</v>
      </c>
      <c r="J7205" s="12" t="str">
        <f>HYPERLINK("https://www.boe.es/gazeta/dias/1800/08/26/pdfs/GMD-1800-68.pdf#page=9","Abrir facsímil")</f>
        <v>Abrir facsímil</v>
      </c>
      <c r="K7205" s="15" t="s">
        <v>23</v>
      </c>
    </row>
    <row r="7206" spans="1:11" ht="42" customHeight="1">
      <c r="A7206" s="4" t="s">
        <v>16375</v>
      </c>
      <c r="B7206" s="5" t="s">
        <v>16376</v>
      </c>
      <c r="C7206" s="5" t="s">
        <v>207</v>
      </c>
      <c r="D7206" s="5" t="s">
        <v>55</v>
      </c>
      <c r="E7206" s="5" t="s">
        <v>135</v>
      </c>
      <c r="F7206" s="9">
        <v>73</v>
      </c>
      <c r="G7206" s="9">
        <v>817</v>
      </c>
      <c r="H7206" s="5" t="s">
        <v>21</v>
      </c>
      <c r="I7206" s="5" t="s">
        <v>16377</v>
      </c>
      <c r="J7206" s="12" t="str">
        <f>HYPERLINK("https://www.boe.es/gazeta/dias/1800/09/09/pdfs/GMD-1800-73.pdf#page=11","Abrir facsímil")</f>
        <v>Abrir facsímil</v>
      </c>
      <c r="K7206" s="15" t="s">
        <v>23</v>
      </c>
    </row>
    <row r="7207" spans="1:11" ht="42" customHeight="1">
      <c r="A7207" s="4" t="s">
        <v>16378</v>
      </c>
      <c r="B7207" s="5" t="s">
        <v>16379</v>
      </c>
      <c r="C7207" s="5" t="s">
        <v>54</v>
      </c>
      <c r="D7207" s="5" t="s">
        <v>55</v>
      </c>
      <c r="E7207" s="5" t="s">
        <v>75</v>
      </c>
      <c r="F7207" s="9">
        <v>64</v>
      </c>
      <c r="G7207" s="9">
        <v>734</v>
      </c>
      <c r="H7207" s="5" t="s">
        <v>21</v>
      </c>
      <c r="I7207" s="5" t="s">
        <v>16380</v>
      </c>
      <c r="J7207" s="12" t="str">
        <f>HYPERLINK("https://www.boe.es/gazeta/dias/1800/08/12/pdfs/GMD-1800-64.pdf#page=10","Abrir facsímil")</f>
        <v>Abrir facsímil</v>
      </c>
      <c r="K7207" s="15" t="s">
        <v>23</v>
      </c>
    </row>
    <row r="7208" spans="1:11" ht="42" customHeight="1">
      <c r="A7208" s="4" t="s">
        <v>16381</v>
      </c>
      <c r="B7208" s="5" t="s">
        <v>16382</v>
      </c>
      <c r="C7208" s="5" t="s">
        <v>18</v>
      </c>
      <c r="D7208" s="5" t="s">
        <v>19</v>
      </c>
      <c r="E7208" s="5" t="s">
        <v>422</v>
      </c>
      <c r="F7208" s="9">
        <v>85</v>
      </c>
      <c r="G7208" s="9">
        <v>985</v>
      </c>
      <c r="H7208" s="5" t="s">
        <v>21</v>
      </c>
      <c r="I7208" s="5" t="s">
        <v>16383</v>
      </c>
      <c r="J7208" s="12" t="str">
        <f>HYPERLINK("https://www.boe.es/gazeta/dias/1800/10/21/pdfs/GMD-1800-85.pdf#page=7","Abrir facsímil")</f>
        <v>Abrir facsímil</v>
      </c>
      <c r="K7208" s="15" t="s">
        <v>23</v>
      </c>
    </row>
    <row r="7209" spans="1:11" ht="42" customHeight="1">
      <c r="A7209" s="4" t="s">
        <v>16384</v>
      </c>
      <c r="B7209" s="5" t="s">
        <v>16384</v>
      </c>
      <c r="C7209" s="5" t="s">
        <v>207</v>
      </c>
      <c r="D7209" s="5" t="s">
        <v>55</v>
      </c>
      <c r="E7209" s="5" t="s">
        <v>420</v>
      </c>
      <c r="F7209" s="9">
        <v>38</v>
      </c>
      <c r="G7209" s="9">
        <v>391</v>
      </c>
      <c r="H7209" s="5" t="s">
        <v>21</v>
      </c>
      <c r="I7209" s="5" t="s">
        <v>16385</v>
      </c>
      <c r="J7209" s="12" t="str">
        <f>HYPERLINK("https://www.boe.es/gazeta/dias/1800/05/13/pdfs/GMD-1800-38.pdf#page=11","Abrir facsímil")</f>
        <v>Abrir facsímil</v>
      </c>
      <c r="K7209" s="15" t="s">
        <v>23</v>
      </c>
    </row>
    <row r="7210" spans="1:11" ht="42" customHeight="1">
      <c r="A7210" s="4" t="s">
        <v>16386</v>
      </c>
      <c r="B7210" s="5" t="s">
        <v>16387</v>
      </c>
      <c r="C7210" s="5" t="s">
        <v>18</v>
      </c>
      <c r="D7210" s="5" t="s">
        <v>19</v>
      </c>
      <c r="E7210" s="5" t="s">
        <v>1213</v>
      </c>
      <c r="F7210" s="9">
        <v>4</v>
      </c>
      <c r="G7210" s="9">
        <v>35</v>
      </c>
      <c r="H7210" s="5" t="s">
        <v>21</v>
      </c>
      <c r="I7210" s="5" t="s">
        <v>16388</v>
      </c>
      <c r="J7210" s="12" t="str">
        <f>HYPERLINK("https://www.boe.es/gazeta/dias/1800/01/14/pdfs/GMD-1800-4.pdf#page=7","Abrir facsímil")</f>
        <v>Abrir facsímil</v>
      </c>
      <c r="K7210" s="15" t="s">
        <v>23</v>
      </c>
    </row>
    <row r="7211" spans="1:11" ht="42" customHeight="1">
      <c r="A7211" s="4" t="s">
        <v>16386</v>
      </c>
      <c r="B7211" s="5" t="s">
        <v>16387</v>
      </c>
      <c r="C7211" s="5" t="s">
        <v>18</v>
      </c>
      <c r="D7211" s="5" t="s">
        <v>19</v>
      </c>
      <c r="E7211" s="5" t="s">
        <v>158</v>
      </c>
      <c r="F7211" s="9">
        <v>25</v>
      </c>
      <c r="G7211" s="9">
        <v>256</v>
      </c>
      <c r="H7211" s="5" t="s">
        <v>21</v>
      </c>
      <c r="I7211" s="5" t="s">
        <v>16389</v>
      </c>
      <c r="J7211" s="12" t="str">
        <f>HYPERLINK("https://www.boe.es/gazeta/dias/1800/03/28/pdfs/GMD-1800-25.pdf#page=8","Abrir facsímil")</f>
        <v>Abrir facsímil</v>
      </c>
      <c r="K7211" s="15" t="s">
        <v>23</v>
      </c>
    </row>
    <row r="7212" spans="1:11" ht="42" customHeight="1">
      <c r="A7212" s="4" t="s">
        <v>16390</v>
      </c>
      <c r="B7212" s="5" t="s">
        <v>16391</v>
      </c>
      <c r="C7212" s="5" t="s">
        <v>207</v>
      </c>
      <c r="D7212" s="5" t="s">
        <v>55</v>
      </c>
      <c r="E7212" s="5" t="s">
        <v>184</v>
      </c>
      <c r="F7212" s="9">
        <v>82</v>
      </c>
      <c r="G7212" s="9">
        <v>950</v>
      </c>
      <c r="H7212" s="5" t="s">
        <v>21</v>
      </c>
      <c r="I7212" s="5" t="s">
        <v>16392</v>
      </c>
      <c r="J7212" s="12" t="str">
        <f>HYPERLINK("https://www.boe.es/gazeta/dias/1800/10/10/pdfs/GMD-1800-82.pdf#page=8","Abrir facsímil")</f>
        <v>Abrir facsímil</v>
      </c>
      <c r="K7212" s="15" t="s">
        <v>23</v>
      </c>
    </row>
    <row r="7213" spans="1:11" ht="42" customHeight="1">
      <c r="A7213" s="4" t="s">
        <v>16393</v>
      </c>
      <c r="B7213" s="5" t="s">
        <v>16394</v>
      </c>
      <c r="C7213" s="5" t="s">
        <v>18</v>
      </c>
      <c r="D7213" s="5" t="s">
        <v>19</v>
      </c>
      <c r="E7213" s="5" t="s">
        <v>314</v>
      </c>
      <c r="F7213" s="9">
        <v>74</v>
      </c>
      <c r="G7213" s="9">
        <v>832</v>
      </c>
      <c r="H7213" s="5" t="s">
        <v>21</v>
      </c>
      <c r="I7213" s="5" t="s">
        <v>16395</v>
      </c>
      <c r="J7213" s="12" t="str">
        <f>HYPERLINK("https://www.boe.es/gazeta/dias/1800/09/12/pdfs/GMD-1800-74.pdf#page=10","Abrir facsímil")</f>
        <v>Abrir facsímil</v>
      </c>
      <c r="K7213" s="15" t="s">
        <v>23</v>
      </c>
    </row>
    <row r="7214" spans="1:11" ht="42" customHeight="1">
      <c r="A7214" s="4" t="s">
        <v>16396</v>
      </c>
      <c r="B7214" s="5" t="s">
        <v>16397</v>
      </c>
      <c r="C7214" s="5" t="s">
        <v>18</v>
      </c>
      <c r="D7214" s="5" t="s">
        <v>19</v>
      </c>
      <c r="E7214" s="5" t="s">
        <v>314</v>
      </c>
      <c r="F7214" s="9">
        <v>74</v>
      </c>
      <c r="G7214" s="9">
        <v>831</v>
      </c>
      <c r="H7214" s="5" t="s">
        <v>21</v>
      </c>
      <c r="I7214" s="5" t="s">
        <v>16398</v>
      </c>
      <c r="J7214" s="12" t="str">
        <f>HYPERLINK("https://www.boe.es/gazeta/dias/1800/09/12/pdfs/GMD-1800-74.pdf#page=9","Abrir facsímil")</f>
        <v>Abrir facsímil</v>
      </c>
      <c r="K7214" s="15" t="s">
        <v>23</v>
      </c>
    </row>
    <row r="7215" spans="1:11" ht="42" customHeight="1">
      <c r="A7215" s="4" t="s">
        <v>16399</v>
      </c>
      <c r="B7215" s="5" t="s">
        <v>16400</v>
      </c>
      <c r="C7215" s="5" t="s">
        <v>18</v>
      </c>
      <c r="D7215" s="5" t="s">
        <v>19</v>
      </c>
      <c r="E7215" s="5" t="s">
        <v>135</v>
      </c>
      <c r="F7215" s="9">
        <v>73</v>
      </c>
      <c r="G7215" s="9">
        <v>815</v>
      </c>
      <c r="H7215" s="5" t="s">
        <v>21</v>
      </c>
      <c r="I7215" s="5" t="s">
        <v>16401</v>
      </c>
      <c r="J7215" s="12" t="str">
        <f>HYPERLINK("https://www.boe.es/gazeta/dias/1800/09/09/pdfs/GMD-1800-73.pdf#page=9","Abrir facsímil")</f>
        <v>Abrir facsímil</v>
      </c>
      <c r="K7215" s="15" t="s">
        <v>23</v>
      </c>
    </row>
    <row r="7216" spans="1:11" ht="42" customHeight="1">
      <c r="A7216" s="4" t="s">
        <v>16402</v>
      </c>
      <c r="B7216" s="5" t="s">
        <v>16403</v>
      </c>
      <c r="C7216" s="5" t="s">
        <v>25</v>
      </c>
      <c r="D7216" s="5" t="s">
        <v>26</v>
      </c>
      <c r="E7216" s="5" t="s">
        <v>101</v>
      </c>
      <c r="F7216" s="9">
        <v>37</v>
      </c>
      <c r="G7216" s="9">
        <v>377</v>
      </c>
      <c r="H7216" s="5" t="s">
        <v>21</v>
      </c>
      <c r="I7216" s="5" t="s">
        <v>16404</v>
      </c>
      <c r="J7216" s="12" t="str">
        <f>HYPERLINK("https://www.boe.es/gazeta/dias/1800/05/09/pdfs/GMD-1800-37.pdf#page=9","Abrir facsímil")</f>
        <v>Abrir facsímil</v>
      </c>
      <c r="K7216" s="15" t="s">
        <v>23</v>
      </c>
    </row>
    <row r="7217" spans="1:11" ht="42" customHeight="1">
      <c r="A7217" s="4" t="s">
        <v>16405</v>
      </c>
      <c r="B7217" s="5" t="s">
        <v>16406</v>
      </c>
      <c r="C7217" s="5" t="s">
        <v>84</v>
      </c>
      <c r="D7217" s="5" t="s">
        <v>85</v>
      </c>
      <c r="E7217" s="5" t="s">
        <v>255</v>
      </c>
      <c r="F7217" s="9">
        <v>75</v>
      </c>
      <c r="G7217" s="9">
        <v>858</v>
      </c>
      <c r="H7217" s="5" t="s">
        <v>21</v>
      </c>
      <c r="I7217" s="5" t="s">
        <v>16407</v>
      </c>
      <c r="J7217" s="12" t="str">
        <f>HYPERLINK("https://www.boe.es/gazeta/dias/1800/09/16/pdfs/GMD-1800-75.pdf#page=12","Abrir facsímil")</f>
        <v>Abrir facsímil</v>
      </c>
      <c r="K7217" s="15" t="s">
        <v>23</v>
      </c>
    </row>
    <row r="7218" spans="1:11" ht="42" customHeight="1">
      <c r="A7218" s="4" t="s">
        <v>16408</v>
      </c>
      <c r="B7218" s="5" t="s">
        <v>16408</v>
      </c>
      <c r="C7218" s="5" t="s">
        <v>207</v>
      </c>
      <c r="D7218" s="5" t="s">
        <v>55</v>
      </c>
      <c r="E7218" s="5" t="s">
        <v>75</v>
      </c>
      <c r="F7218" s="9">
        <v>64</v>
      </c>
      <c r="G7218" s="9">
        <v>733</v>
      </c>
      <c r="H7218" s="5" t="s">
        <v>21</v>
      </c>
      <c r="I7218" s="5" t="s">
        <v>16409</v>
      </c>
      <c r="J7218" s="12" t="str">
        <f>HYPERLINK("https://www.boe.es/gazeta/dias/1800/08/12/pdfs/GMD-1800-64.pdf#page=9","Abrir facsímil")</f>
        <v>Abrir facsímil</v>
      </c>
      <c r="K7218" s="15" t="s">
        <v>23</v>
      </c>
    </row>
    <row r="7219" spans="1:11" ht="42" customHeight="1">
      <c r="A7219" s="4" t="s">
        <v>16410</v>
      </c>
      <c r="B7219" s="5" t="s">
        <v>16410</v>
      </c>
      <c r="C7219" s="5" t="s">
        <v>18</v>
      </c>
      <c r="D7219" s="5" t="s">
        <v>19</v>
      </c>
      <c r="E7219" s="5" t="s">
        <v>203</v>
      </c>
      <c r="F7219" s="9">
        <v>94</v>
      </c>
      <c r="G7219" s="9">
        <v>1076</v>
      </c>
      <c r="H7219" s="5" t="s">
        <v>21</v>
      </c>
      <c r="I7219" s="5" t="s">
        <v>16411</v>
      </c>
      <c r="J7219" s="12" t="str">
        <f>HYPERLINK("https://www.boe.es/gazeta/dias/1800/11/21/pdfs/GMD-1800-94.pdf#page=6","Abrir facsímil")</f>
        <v>Abrir facsímil</v>
      </c>
      <c r="K7219" s="15" t="s">
        <v>23</v>
      </c>
    </row>
    <row r="7220" spans="1:11" ht="42" customHeight="1">
      <c r="A7220" s="4" t="s">
        <v>16412</v>
      </c>
      <c r="B7220" s="5" t="s">
        <v>16413</v>
      </c>
      <c r="C7220" s="5" t="s">
        <v>16414</v>
      </c>
      <c r="D7220" s="5" t="s">
        <v>42</v>
      </c>
      <c r="E7220" s="5" t="s">
        <v>618</v>
      </c>
      <c r="F7220" s="9">
        <v>1</v>
      </c>
      <c r="G7220" s="9">
        <v>1</v>
      </c>
      <c r="H7220" s="5" t="s">
        <v>4432</v>
      </c>
      <c r="I7220" s="5" t="s">
        <v>16415</v>
      </c>
      <c r="J7220" s="12" t="str">
        <f>HYPERLINK("https://www.boe.es/gazeta/dias/1800/01/03/pdfs/GMD-1800-1.pdf#page=1","Abrir facsímil")</f>
        <v>Abrir facsímil</v>
      </c>
      <c r="K7220" s="15" t="s">
        <v>4434</v>
      </c>
    </row>
    <row r="7221" spans="1:11" ht="42" customHeight="1">
      <c r="A7221" s="4" t="s">
        <v>16416</v>
      </c>
      <c r="B7221" s="5" t="s">
        <v>16417</v>
      </c>
      <c r="C7221" s="5" t="s">
        <v>18</v>
      </c>
      <c r="D7221" s="5" t="s">
        <v>19</v>
      </c>
      <c r="E7221" s="5" t="s">
        <v>618</v>
      </c>
      <c r="F7221" s="9">
        <v>1</v>
      </c>
      <c r="G7221" s="9">
        <v>1</v>
      </c>
      <c r="H7221" s="5" t="s">
        <v>21</v>
      </c>
      <c r="I7221" s="5" t="s">
        <v>16418</v>
      </c>
      <c r="J7221" s="12" t="str">
        <f>HYPERLINK("https://www.boe.es/gazeta/dias/1800/01/03/pdfs/GMD-1800-1.pdf#page=1","Abrir facsímil")</f>
        <v>Abrir facsímil</v>
      </c>
      <c r="K7221" s="15" t="s">
        <v>23</v>
      </c>
    </row>
    <row r="7222" spans="1:11" ht="42" customHeight="1">
      <c r="A7222" s="4" t="s">
        <v>16419</v>
      </c>
      <c r="B7222" s="5" t="s">
        <v>16419</v>
      </c>
      <c r="C7222" s="5" t="s">
        <v>41</v>
      </c>
      <c r="D7222" s="5" t="s">
        <v>42</v>
      </c>
      <c r="E7222" s="5" t="s">
        <v>825</v>
      </c>
      <c r="F7222" s="9">
        <v>51</v>
      </c>
      <c r="G7222" s="9">
        <v>553</v>
      </c>
      <c r="H7222" s="5" t="s">
        <v>21</v>
      </c>
      <c r="I7222" s="5" t="s">
        <v>16420</v>
      </c>
      <c r="J7222" s="12" t="str">
        <f>HYPERLINK("https://www.boe.es/gazeta/dias/1800/06/27/pdfs/GMD-1800-51.pdf#page=5","Abrir facsímil")</f>
        <v>Abrir facsímil</v>
      </c>
      <c r="K7222" s="15" t="s">
        <v>23</v>
      </c>
    </row>
    <row r="7223" spans="1:11" ht="42" customHeight="1">
      <c r="A7223" s="4" t="s">
        <v>16419</v>
      </c>
      <c r="B7223" s="5" t="s">
        <v>16419</v>
      </c>
      <c r="C7223" s="5" t="s">
        <v>41</v>
      </c>
      <c r="D7223" s="5" t="s">
        <v>42</v>
      </c>
      <c r="E7223" s="5" t="s">
        <v>825</v>
      </c>
      <c r="F7223" s="9">
        <v>51</v>
      </c>
      <c r="G7223" s="9">
        <v>554</v>
      </c>
      <c r="H7223" s="5" t="s">
        <v>21</v>
      </c>
      <c r="I7223" s="5" t="s">
        <v>16421</v>
      </c>
      <c r="J7223" s="12" t="str">
        <f>HYPERLINK("https://www.boe.es/gazeta/dias/1800/06/27/pdfs/GMD-1800-51.pdf#page=6","Abrir facsímil")</f>
        <v>Abrir facsímil</v>
      </c>
      <c r="K7223" s="15" t="s">
        <v>23</v>
      </c>
    </row>
    <row r="7224" spans="1:11" ht="42" customHeight="1">
      <c r="A7224" s="4" t="s">
        <v>16422</v>
      </c>
      <c r="B7224" s="5" t="s">
        <v>16422</v>
      </c>
      <c r="C7224" s="5" t="s">
        <v>84</v>
      </c>
      <c r="D7224" s="5" t="s">
        <v>85</v>
      </c>
      <c r="E7224" s="5" t="s">
        <v>406</v>
      </c>
      <c r="F7224" s="9">
        <v>44</v>
      </c>
      <c r="G7224" s="9">
        <v>464</v>
      </c>
      <c r="H7224" s="5" t="s">
        <v>21</v>
      </c>
      <c r="I7224" s="5" t="s">
        <v>16423</v>
      </c>
      <c r="J7224" s="12" t="str">
        <f>HYPERLINK("https://www.boe.es/gazeta/dias/1800/06/03/pdfs/GMD-1800-44.pdf#page=12","Abrir facsímil")</f>
        <v>Abrir facsímil</v>
      </c>
      <c r="K7224" s="15" t="s">
        <v>23</v>
      </c>
    </row>
    <row r="7225" spans="1:11" ht="42" customHeight="1">
      <c r="A7225" s="4" t="s">
        <v>16424</v>
      </c>
      <c r="B7225" s="5" t="s">
        <v>16424</v>
      </c>
      <c r="C7225" s="5" t="s">
        <v>41</v>
      </c>
      <c r="D7225" s="5" t="s">
        <v>42</v>
      </c>
      <c r="E7225" s="5" t="s">
        <v>567</v>
      </c>
      <c r="F7225" s="9">
        <v>3</v>
      </c>
      <c r="G7225" s="9">
        <v>21</v>
      </c>
      <c r="H7225" s="5" t="s">
        <v>21</v>
      </c>
      <c r="I7225" s="5" t="s">
        <v>16425</v>
      </c>
      <c r="J7225" s="12" t="str">
        <f>HYPERLINK("https://www.boe.es/gazeta/dias/1800/01/10/pdfs/GMD-1800-3.pdf#page=1","Abrir facsímil")</f>
        <v>Abrir facsímil</v>
      </c>
      <c r="K7225" s="15" t="s">
        <v>23</v>
      </c>
    </row>
    <row r="7226" spans="1:11" ht="42" customHeight="1">
      <c r="A7226" s="4" t="s">
        <v>16424</v>
      </c>
      <c r="B7226" s="5" t="s">
        <v>16424</v>
      </c>
      <c r="C7226" s="5" t="s">
        <v>41</v>
      </c>
      <c r="D7226" s="5" t="s">
        <v>42</v>
      </c>
      <c r="E7226" s="5" t="s">
        <v>56</v>
      </c>
      <c r="F7226" s="9">
        <v>90</v>
      </c>
      <c r="G7226" s="9">
        <v>1049</v>
      </c>
      <c r="H7226" s="5" t="s">
        <v>21</v>
      </c>
      <c r="I7226" s="5" t="s">
        <v>16426</v>
      </c>
      <c r="J7226" s="12" t="str">
        <f>HYPERLINK("https://www.boe.es/gazeta/dias/1800/11/07/pdfs/GMD-1800-90.pdf#page=3","Abrir facsímil")</f>
        <v>Abrir facsímil</v>
      </c>
      <c r="K7226" s="15" t="s">
        <v>23</v>
      </c>
    </row>
    <row r="7227" spans="1:11" ht="42" customHeight="1">
      <c r="A7227" s="4" t="s">
        <v>16427</v>
      </c>
      <c r="B7227" s="5" t="s">
        <v>16428</v>
      </c>
      <c r="C7227" s="5" t="s">
        <v>41</v>
      </c>
      <c r="D7227" s="5" t="s">
        <v>42</v>
      </c>
      <c r="E7227" s="5" t="s">
        <v>244</v>
      </c>
      <c r="F7227" s="9">
        <v>9</v>
      </c>
      <c r="G7227" s="9">
        <v>81</v>
      </c>
      <c r="H7227" s="5" t="s">
        <v>21</v>
      </c>
      <c r="I7227" s="5" t="s">
        <v>16429</v>
      </c>
      <c r="J7227" s="12" t="str">
        <f>HYPERLINK("https://www.boe.es/gazeta/dias/1800/01/31/pdfs/GMD-1800-9.pdf#page=5","Abrir facsímil")</f>
        <v>Abrir facsímil</v>
      </c>
      <c r="K7227" s="15" t="s">
        <v>23</v>
      </c>
    </row>
    <row r="7228" spans="1:11" ht="42" customHeight="1">
      <c r="A7228" s="4" t="s">
        <v>16430</v>
      </c>
      <c r="B7228" s="5" t="s">
        <v>16431</v>
      </c>
      <c r="C7228" s="5" t="s">
        <v>41</v>
      </c>
      <c r="D7228" s="5" t="s">
        <v>42</v>
      </c>
      <c r="E7228" s="5" t="s">
        <v>262</v>
      </c>
      <c r="F7228" s="9">
        <v>39</v>
      </c>
      <c r="G7228" s="9">
        <v>398</v>
      </c>
      <c r="H7228" s="5" t="s">
        <v>21</v>
      </c>
      <c r="I7228" s="5" t="s">
        <v>16432</v>
      </c>
      <c r="J7228" s="12" t="str">
        <f>HYPERLINK("https://www.boe.es/gazeta/dias/1800/05/16/pdfs/GMD-1800-39.pdf#page=6","Abrir facsímil")</f>
        <v>Abrir facsímil</v>
      </c>
      <c r="K7228" s="15" t="s">
        <v>23</v>
      </c>
    </row>
    <row r="7229" spans="1:11" ht="42" customHeight="1">
      <c r="A7229" s="4" t="s">
        <v>16427</v>
      </c>
      <c r="B7229" s="5" t="s">
        <v>16428</v>
      </c>
      <c r="C7229" s="5" t="s">
        <v>41</v>
      </c>
      <c r="D7229" s="5" t="s">
        <v>42</v>
      </c>
      <c r="E7229" s="5" t="s">
        <v>262</v>
      </c>
      <c r="F7229" s="9">
        <v>39</v>
      </c>
      <c r="G7229" s="9">
        <v>399</v>
      </c>
      <c r="H7229" s="5" t="s">
        <v>21</v>
      </c>
      <c r="I7229" s="5" t="s">
        <v>16433</v>
      </c>
      <c r="J7229" s="12" t="str">
        <f>HYPERLINK("https://www.boe.es/gazeta/dias/1800/05/16/pdfs/GMD-1800-39.pdf#page=7","Abrir facsímil")</f>
        <v>Abrir facsímil</v>
      </c>
      <c r="K7229" s="15" t="s">
        <v>23</v>
      </c>
    </row>
    <row r="7230" spans="1:11" ht="42" customHeight="1">
      <c r="A7230" s="4" t="s">
        <v>16427</v>
      </c>
      <c r="B7230" s="5" t="s">
        <v>16428</v>
      </c>
      <c r="C7230" s="5" t="s">
        <v>18</v>
      </c>
      <c r="D7230" s="5" t="s">
        <v>19</v>
      </c>
      <c r="E7230" s="5" t="s">
        <v>406</v>
      </c>
      <c r="F7230" s="9">
        <v>44</v>
      </c>
      <c r="G7230" s="9">
        <v>457</v>
      </c>
      <c r="H7230" s="5" t="s">
        <v>21</v>
      </c>
      <c r="I7230" s="5" t="s">
        <v>16434</v>
      </c>
      <c r="J7230" s="12" t="str">
        <f>HYPERLINK("https://www.boe.es/gazeta/dias/1800/06/03/pdfs/GMD-1800-44.pdf#page=5","Abrir facsímil")</f>
        <v>Abrir facsímil</v>
      </c>
      <c r="K7230" s="15" t="s">
        <v>23</v>
      </c>
    </row>
    <row r="7231" spans="1:11" ht="42" customHeight="1">
      <c r="A7231" s="4" t="s">
        <v>16435</v>
      </c>
      <c r="B7231" s="5" t="s">
        <v>16436</v>
      </c>
      <c r="C7231" s="5" t="s">
        <v>41</v>
      </c>
      <c r="D7231" s="5" t="s">
        <v>42</v>
      </c>
      <c r="E7231" s="5" t="s">
        <v>120</v>
      </c>
      <c r="F7231" s="9">
        <v>52</v>
      </c>
      <c r="G7231" s="9">
        <v>569</v>
      </c>
      <c r="H7231" s="5" t="s">
        <v>21</v>
      </c>
      <c r="I7231" s="5" t="s">
        <v>16437</v>
      </c>
      <c r="J7231" s="12" t="str">
        <f>HYPERLINK("https://www.boe.es/gazeta/dias/1800/07/01/pdfs/GMD-1800-52.pdf#page=5","Abrir facsímil")</f>
        <v>Abrir facsímil</v>
      </c>
      <c r="K7231" s="15" t="s">
        <v>23</v>
      </c>
    </row>
    <row r="7232" spans="1:11" ht="42" customHeight="1">
      <c r="A7232" s="4" t="s">
        <v>16435</v>
      </c>
      <c r="B7232" s="5" t="s">
        <v>16436</v>
      </c>
      <c r="C7232" s="5" t="s">
        <v>84</v>
      </c>
      <c r="D7232" s="5" t="s">
        <v>85</v>
      </c>
      <c r="E7232" s="5" t="s">
        <v>445</v>
      </c>
      <c r="F7232" s="9">
        <v>96</v>
      </c>
      <c r="G7232" s="9">
        <v>1102</v>
      </c>
      <c r="H7232" s="5" t="s">
        <v>21</v>
      </c>
      <c r="I7232" s="5" t="s">
        <v>16438</v>
      </c>
      <c r="J7232" s="12" t="str">
        <f>HYPERLINK("https://www.boe.es/gazeta/dias/1800/11/28/pdfs/GMD-1800-96.pdf#page=6","Abrir facsímil")</f>
        <v>Abrir facsímil</v>
      </c>
      <c r="K7232" s="15" t="s">
        <v>23</v>
      </c>
    </row>
    <row r="7233" spans="1:11" ht="42" customHeight="1">
      <c r="A7233" s="4" t="s">
        <v>16439</v>
      </c>
      <c r="B7233" s="5" t="s">
        <v>16439</v>
      </c>
      <c r="C7233" s="5" t="s">
        <v>25</v>
      </c>
      <c r="D7233" s="5" t="s">
        <v>26</v>
      </c>
      <c r="E7233" s="5" t="s">
        <v>595</v>
      </c>
      <c r="F7233" s="9">
        <v>72</v>
      </c>
      <c r="G7233" s="9">
        <v>798</v>
      </c>
      <c r="H7233" s="5" t="s">
        <v>21</v>
      </c>
      <c r="I7233" s="5" t="s">
        <v>16440</v>
      </c>
      <c r="J7233" s="12" t="str">
        <f>HYPERLINK("https://www.boe.es/gazeta/dias/1800/09/05/pdfs/GMD-1800-72.pdf#page=8","Abrir facsímil")</f>
        <v>Abrir facsímil</v>
      </c>
      <c r="K7233" s="15" t="s">
        <v>23</v>
      </c>
    </row>
    <row r="7234" spans="1:11" ht="42" customHeight="1">
      <c r="A7234" s="4" t="s">
        <v>16441</v>
      </c>
      <c r="B7234" s="5" t="s">
        <v>16441</v>
      </c>
      <c r="C7234" s="5" t="s">
        <v>207</v>
      </c>
      <c r="D7234" s="5" t="s">
        <v>55</v>
      </c>
      <c r="E7234" s="5" t="s">
        <v>180</v>
      </c>
      <c r="F7234" s="9">
        <v>102</v>
      </c>
      <c r="G7234" s="9">
        <v>1186</v>
      </c>
      <c r="H7234" s="5" t="s">
        <v>21</v>
      </c>
      <c r="I7234" s="5" t="s">
        <v>16442</v>
      </c>
      <c r="J7234" s="12" t="str">
        <f>HYPERLINK("https://www.boe.es/gazeta/dias/1800/12/19/pdfs/GMD-1800-102.pdf#page=10","Abrir facsímil")</f>
        <v>Abrir facsímil</v>
      </c>
      <c r="K7234" s="15" t="s">
        <v>23</v>
      </c>
    </row>
    <row r="7235" spans="1:11" ht="42" customHeight="1">
      <c r="A7235" s="4" t="s">
        <v>16443</v>
      </c>
      <c r="B7235" s="5" t="s">
        <v>16443</v>
      </c>
      <c r="C7235" s="5" t="s">
        <v>18</v>
      </c>
      <c r="D7235" s="5" t="s">
        <v>19</v>
      </c>
      <c r="E7235" s="5" t="s">
        <v>445</v>
      </c>
      <c r="F7235" s="9">
        <v>96</v>
      </c>
      <c r="G7235" s="9">
        <v>1106</v>
      </c>
      <c r="H7235" s="5" t="s">
        <v>21</v>
      </c>
      <c r="I7235" s="5" t="s">
        <v>16444</v>
      </c>
      <c r="J7235" s="12" t="str">
        <f>HYPERLINK("https://www.boe.es/gazeta/dias/1800/11/28/pdfs/GMD-1800-96.pdf#page=10","Abrir facsímil")</f>
        <v>Abrir facsímil</v>
      </c>
      <c r="K7235" s="15" t="s">
        <v>23</v>
      </c>
    </row>
    <row r="7236" spans="1:11" ht="42" customHeight="1">
      <c r="A7236" s="4" t="s">
        <v>16445</v>
      </c>
      <c r="B7236" s="5" t="s">
        <v>16445</v>
      </c>
      <c r="C7236" s="5" t="s">
        <v>84</v>
      </c>
      <c r="D7236" s="5" t="s">
        <v>85</v>
      </c>
      <c r="E7236" s="5" t="s">
        <v>314</v>
      </c>
      <c r="F7236" s="9">
        <v>74</v>
      </c>
      <c r="G7236" s="9">
        <v>837</v>
      </c>
      <c r="H7236" s="5" t="s">
        <v>21</v>
      </c>
      <c r="I7236" s="5" t="s">
        <v>16446</v>
      </c>
      <c r="J7236" s="12" t="str">
        <f>HYPERLINK("https://www.boe.es/gazeta/dias/1800/09/12/pdfs/GMD-1800-74.pdf#page=15","Abrir facsímil")</f>
        <v>Abrir facsímil</v>
      </c>
      <c r="K7236" s="15" t="s">
        <v>23</v>
      </c>
    </row>
    <row r="7237" spans="1:11" ht="42" customHeight="1">
      <c r="A7237" s="4" t="s">
        <v>16447</v>
      </c>
      <c r="B7237" s="5" t="s">
        <v>16448</v>
      </c>
      <c r="C7237" s="5" t="s">
        <v>25</v>
      </c>
      <c r="D7237" s="5" t="s">
        <v>26</v>
      </c>
      <c r="E7237" s="5" t="s">
        <v>158</v>
      </c>
      <c r="F7237" s="9">
        <v>25</v>
      </c>
      <c r="G7237" s="9">
        <v>259</v>
      </c>
      <c r="H7237" s="5" t="s">
        <v>21</v>
      </c>
      <c r="I7237" s="5" t="s">
        <v>16449</v>
      </c>
      <c r="J7237" s="12" t="str">
        <f>HYPERLINK("https://www.boe.es/gazeta/dias/1800/03/28/pdfs/GMD-1800-25.pdf#page=11","Abrir facsímil")</f>
        <v>Abrir facsímil</v>
      </c>
      <c r="K7237" s="15" t="s">
        <v>23</v>
      </c>
    </row>
    <row r="7238" spans="1:11" ht="42" customHeight="1">
      <c r="A7238" s="4" t="s">
        <v>16450</v>
      </c>
      <c r="B7238" s="5" t="s">
        <v>16451</v>
      </c>
      <c r="C7238" s="5" t="s">
        <v>18</v>
      </c>
      <c r="D7238" s="5" t="s">
        <v>19</v>
      </c>
      <c r="E7238" s="5" t="s">
        <v>673</v>
      </c>
      <c r="F7238" s="9">
        <v>89</v>
      </c>
      <c r="G7238" s="9">
        <v>1043</v>
      </c>
      <c r="H7238" s="5" t="s">
        <v>21</v>
      </c>
      <c r="I7238" s="5" t="s">
        <v>16452</v>
      </c>
      <c r="J7238" s="12" t="str">
        <f>HYPERLINK("https://www.boe.es/gazeta/dias/1800/11/04/pdfs/GMD-1800-89.pdf#page=9","Abrir facsímil")</f>
        <v>Abrir facsímil</v>
      </c>
      <c r="K7238" s="15" t="s">
        <v>23</v>
      </c>
    </row>
    <row r="7239" spans="1:11" ht="42" customHeight="1">
      <c r="A7239" s="4" t="s">
        <v>16453</v>
      </c>
      <c r="B7239" s="5" t="s">
        <v>16453</v>
      </c>
      <c r="C7239" s="5" t="s">
        <v>41</v>
      </c>
      <c r="D7239" s="5" t="s">
        <v>42</v>
      </c>
      <c r="E7239" s="5" t="s">
        <v>620</v>
      </c>
      <c r="F7239" s="9">
        <v>19</v>
      </c>
      <c r="G7239" s="9">
        <v>180</v>
      </c>
      <c r="H7239" s="5" t="s">
        <v>21</v>
      </c>
      <c r="I7239" s="5" t="s">
        <v>16454</v>
      </c>
      <c r="J7239" s="12" t="str">
        <f>HYPERLINK("https://www.boe.es/gazeta/dias/1800/03/07/pdfs/GMD-1800-19.pdf#page=4","Abrir facsímil")</f>
        <v>Abrir facsímil</v>
      </c>
      <c r="K7239" s="15" t="s">
        <v>23</v>
      </c>
    </row>
    <row r="7240" spans="1:11" ht="42" customHeight="1">
      <c r="A7240" s="4" t="s">
        <v>16453</v>
      </c>
      <c r="B7240" s="5" t="s">
        <v>16453</v>
      </c>
      <c r="C7240" s="5" t="s">
        <v>41</v>
      </c>
      <c r="D7240" s="5" t="s">
        <v>42</v>
      </c>
      <c r="E7240" s="5" t="s">
        <v>88</v>
      </c>
      <c r="F7240" s="9">
        <v>23</v>
      </c>
      <c r="G7240" s="9">
        <v>227</v>
      </c>
      <c r="H7240" s="5" t="s">
        <v>21</v>
      </c>
      <c r="I7240" s="5" t="s">
        <v>16455</v>
      </c>
      <c r="J7240" s="12" t="str">
        <f>HYPERLINK("https://www.boe.es/gazeta/dias/1800/03/21/pdfs/GMD-1800-23.pdf#page=3","Abrir facsímil")</f>
        <v>Abrir facsímil</v>
      </c>
      <c r="K7240" s="15" t="s">
        <v>23</v>
      </c>
    </row>
    <row r="7241" spans="1:11" ht="42" customHeight="1">
      <c r="A7241" s="4" t="s">
        <v>16453</v>
      </c>
      <c r="B7241" s="5" t="s">
        <v>16453</v>
      </c>
      <c r="C7241" s="5" t="s">
        <v>41</v>
      </c>
      <c r="D7241" s="5" t="s">
        <v>42</v>
      </c>
      <c r="E7241" s="5" t="s">
        <v>158</v>
      </c>
      <c r="F7241" s="9">
        <v>25</v>
      </c>
      <c r="G7241" s="9">
        <v>253</v>
      </c>
      <c r="H7241" s="5" t="s">
        <v>21</v>
      </c>
      <c r="I7241" s="5" t="s">
        <v>16456</v>
      </c>
      <c r="J7241" s="12" t="str">
        <f>HYPERLINK("https://www.boe.es/gazeta/dias/1800/03/28/pdfs/GMD-1800-25.pdf#page=5","Abrir facsímil")</f>
        <v>Abrir facsímil</v>
      </c>
      <c r="K7241" s="15" t="s">
        <v>23</v>
      </c>
    </row>
    <row r="7242" spans="1:11" ht="42" customHeight="1">
      <c r="A7242" s="4" t="s">
        <v>16453</v>
      </c>
      <c r="B7242" s="5" t="s">
        <v>16453</v>
      </c>
      <c r="C7242" s="5" t="s">
        <v>41</v>
      </c>
      <c r="D7242" s="5" t="s">
        <v>42</v>
      </c>
      <c r="E7242" s="5" t="s">
        <v>214</v>
      </c>
      <c r="F7242" s="9">
        <v>41</v>
      </c>
      <c r="G7242" s="9">
        <v>418</v>
      </c>
      <c r="H7242" s="5" t="s">
        <v>21</v>
      </c>
      <c r="I7242" s="5" t="s">
        <v>16457</v>
      </c>
      <c r="J7242" s="12" t="str">
        <f>HYPERLINK("https://www.boe.es/gazeta/dias/1800/05/23/pdfs/GMD-1800-41.pdf#page=2","Abrir facsímil")</f>
        <v>Abrir facsímil</v>
      </c>
      <c r="K7242" s="15" t="s">
        <v>23</v>
      </c>
    </row>
    <row r="7243" spans="1:11" ht="42" customHeight="1">
      <c r="A7243" s="4" t="s">
        <v>16453</v>
      </c>
      <c r="B7243" s="5" t="s">
        <v>16453</v>
      </c>
      <c r="C7243" s="5" t="s">
        <v>41</v>
      </c>
      <c r="D7243" s="5" t="s">
        <v>42</v>
      </c>
      <c r="E7243" s="5" t="s">
        <v>214</v>
      </c>
      <c r="F7243" s="9">
        <v>41</v>
      </c>
      <c r="G7243" s="9">
        <v>419</v>
      </c>
      <c r="H7243" s="5" t="s">
        <v>21</v>
      </c>
      <c r="I7243" s="5" t="s">
        <v>16458</v>
      </c>
      <c r="J7243" s="12" t="str">
        <f>HYPERLINK("https://www.boe.es/gazeta/dias/1800/05/23/pdfs/GMD-1800-41.pdf#page=3","Abrir facsímil")</f>
        <v>Abrir facsímil</v>
      </c>
      <c r="K7243" s="15" t="s">
        <v>23</v>
      </c>
    </row>
    <row r="7244" spans="1:11" ht="42" customHeight="1">
      <c r="A7244" s="4" t="s">
        <v>16453</v>
      </c>
      <c r="B7244" s="5" t="s">
        <v>16453</v>
      </c>
      <c r="C7244" s="5" t="s">
        <v>41</v>
      </c>
      <c r="D7244" s="5" t="s">
        <v>42</v>
      </c>
      <c r="E7244" s="5" t="s">
        <v>48</v>
      </c>
      <c r="F7244" s="9">
        <v>66</v>
      </c>
      <c r="G7244" s="9">
        <v>739</v>
      </c>
      <c r="H7244" s="5" t="s">
        <v>21</v>
      </c>
      <c r="I7244" s="5" t="s">
        <v>16459</v>
      </c>
      <c r="J7244" s="12" t="str">
        <f>HYPERLINK("https://www.boe.es/gazeta/dias/1800/08/19/pdfs/GMD-1800-66.pdf#page=3","Abrir facsímil")</f>
        <v>Abrir facsímil</v>
      </c>
      <c r="K7244" s="15" t="s">
        <v>23</v>
      </c>
    </row>
    <row r="7245" spans="1:11" ht="42" customHeight="1">
      <c r="A7245" s="4" t="s">
        <v>16453</v>
      </c>
      <c r="B7245" s="5" t="s">
        <v>16453</v>
      </c>
      <c r="C7245" s="5" t="s">
        <v>41</v>
      </c>
      <c r="D7245" s="5" t="s">
        <v>42</v>
      </c>
      <c r="E7245" s="5" t="s">
        <v>283</v>
      </c>
      <c r="F7245" s="9">
        <v>68</v>
      </c>
      <c r="G7245" s="9">
        <v>761</v>
      </c>
      <c r="H7245" s="5" t="s">
        <v>21</v>
      </c>
      <c r="I7245" s="5" t="s">
        <v>16460</v>
      </c>
      <c r="J7245" s="12" t="str">
        <f>HYPERLINK("https://www.boe.es/gazeta/dias/1800/08/26/pdfs/GMD-1800-68.pdf#page=5","Abrir facsímil")</f>
        <v>Abrir facsímil</v>
      </c>
      <c r="K7245" s="15" t="s">
        <v>23</v>
      </c>
    </row>
    <row r="7246" spans="1:11" ht="42" customHeight="1">
      <c r="A7246" s="4" t="s">
        <v>16453</v>
      </c>
      <c r="B7246" s="5" t="s">
        <v>16453</v>
      </c>
      <c r="C7246" s="5" t="s">
        <v>41</v>
      </c>
      <c r="D7246" s="5" t="s">
        <v>42</v>
      </c>
      <c r="E7246" s="5" t="s">
        <v>590</v>
      </c>
      <c r="F7246" s="9">
        <v>69</v>
      </c>
      <c r="G7246" s="9">
        <v>771</v>
      </c>
      <c r="H7246" s="5" t="s">
        <v>21</v>
      </c>
      <c r="I7246" s="5" t="s">
        <v>16461</v>
      </c>
      <c r="J7246" s="12" t="str">
        <f>HYPERLINK("https://www.boe.es/gazeta/dias/1800/08/29/pdfs/GMD-1800-69.pdf#page=3","Abrir facsímil")</f>
        <v>Abrir facsímil</v>
      </c>
      <c r="K7246" s="15" t="s">
        <v>23</v>
      </c>
    </row>
    <row r="7247" spans="1:11" ht="42" customHeight="1">
      <c r="A7247" s="4" t="s">
        <v>16453</v>
      </c>
      <c r="B7247" s="5" t="s">
        <v>16453</v>
      </c>
      <c r="C7247" s="5" t="s">
        <v>41</v>
      </c>
      <c r="D7247" s="5" t="s">
        <v>42</v>
      </c>
      <c r="E7247" s="5" t="s">
        <v>60</v>
      </c>
      <c r="F7247" s="9">
        <v>105</v>
      </c>
      <c r="G7247" s="9">
        <v>1221</v>
      </c>
      <c r="H7247" s="5" t="s">
        <v>21</v>
      </c>
      <c r="I7247" s="5" t="s">
        <v>16462</v>
      </c>
      <c r="J7247" s="12" t="str">
        <f>HYPERLINK("https://www.boe.es/gazeta/dias/1800/12/30/pdfs/GMD-1800-105.pdf#page=5","Abrir facsímil")</f>
        <v>Abrir facsímil</v>
      </c>
      <c r="K7247" s="15" t="s">
        <v>23</v>
      </c>
    </row>
    <row r="7248" spans="1:11" ht="42" customHeight="1">
      <c r="A7248" s="4" t="s">
        <v>16463</v>
      </c>
      <c r="B7248" s="5" t="s">
        <v>16463</v>
      </c>
      <c r="C7248" s="5" t="s">
        <v>41</v>
      </c>
      <c r="D7248" s="5" t="s">
        <v>42</v>
      </c>
      <c r="E7248" s="5" t="s">
        <v>226</v>
      </c>
      <c r="F7248" s="9">
        <v>27</v>
      </c>
      <c r="G7248" s="9">
        <v>276</v>
      </c>
      <c r="H7248" s="5" t="s">
        <v>21</v>
      </c>
      <c r="I7248" s="5" t="s">
        <v>16464</v>
      </c>
      <c r="J7248" s="12" t="str">
        <f>HYPERLINK("https://www.boe.es/gazeta/dias/1800/04/04/pdfs/GMD-1800-27.pdf#page=4","Abrir facsímil")</f>
        <v>Abrir facsímil</v>
      </c>
      <c r="K7248" s="15" t="s">
        <v>23</v>
      </c>
    </row>
    <row r="7249" spans="1:11" ht="42" customHeight="1">
      <c r="A7249" s="4" t="s">
        <v>16465</v>
      </c>
      <c r="B7249" s="5" t="s">
        <v>16466</v>
      </c>
      <c r="C7249" s="5" t="s">
        <v>18</v>
      </c>
      <c r="D7249" s="5" t="s">
        <v>19</v>
      </c>
      <c r="E7249" s="5" t="s">
        <v>194</v>
      </c>
      <c r="F7249" s="9">
        <v>48</v>
      </c>
      <c r="G7249" s="9">
        <v>518</v>
      </c>
      <c r="H7249" s="5" t="s">
        <v>21</v>
      </c>
      <c r="I7249" s="5" t="s">
        <v>16467</v>
      </c>
      <c r="J7249" s="12" t="str">
        <f>HYPERLINK("https://www.boe.es/gazeta/dias/1800/06/17/pdfs/GMD-1800-48.pdf#page=10","Abrir facsímil")</f>
        <v>Abrir facsímil</v>
      </c>
      <c r="K7249" s="15" t="s">
        <v>23</v>
      </c>
    </row>
    <row r="7250" spans="1:11" ht="42" customHeight="1">
      <c r="A7250" s="4" t="s">
        <v>16468</v>
      </c>
      <c r="B7250" s="5" t="s">
        <v>16469</v>
      </c>
      <c r="C7250" s="5" t="s">
        <v>84</v>
      </c>
      <c r="D7250" s="5" t="s">
        <v>85</v>
      </c>
      <c r="E7250" s="5" t="s">
        <v>275</v>
      </c>
      <c r="F7250" s="9">
        <v>60</v>
      </c>
      <c r="G7250" s="9">
        <v>686</v>
      </c>
      <c r="H7250" s="5" t="s">
        <v>21</v>
      </c>
      <c r="I7250" s="5" t="s">
        <v>16470</v>
      </c>
      <c r="J7250" s="12" t="str">
        <f>HYPERLINK("https://www.boe.es/gazeta/dias/1800/07/29/pdfs/GMD-1800-60.pdf#page=6","Abrir facsímil")</f>
        <v>Abrir facsímil</v>
      </c>
      <c r="K7250" s="15" t="s">
        <v>23</v>
      </c>
    </row>
    <row r="7251" spans="1:11" ht="42" customHeight="1">
      <c r="A7251" s="4" t="s">
        <v>16471</v>
      </c>
      <c r="B7251" s="5" t="s">
        <v>16471</v>
      </c>
      <c r="C7251" s="5" t="s">
        <v>84</v>
      </c>
      <c r="D7251" s="5" t="s">
        <v>85</v>
      </c>
      <c r="E7251" s="5" t="s">
        <v>79</v>
      </c>
      <c r="F7251" s="9">
        <v>7</v>
      </c>
      <c r="G7251" s="9">
        <v>68</v>
      </c>
      <c r="H7251" s="5" t="s">
        <v>21</v>
      </c>
      <c r="I7251" s="5" t="s">
        <v>16472</v>
      </c>
      <c r="J7251" s="12" t="str">
        <f>HYPERLINK("https://www.boe.es/gazeta/dias/1800/01/24/pdfs/GMD-1800-7.pdf#page=8","Abrir facsímil")</f>
        <v>Abrir facsímil</v>
      </c>
      <c r="K7251" s="15" t="s">
        <v>23</v>
      </c>
    </row>
    <row r="7252" spans="1:11" ht="42" customHeight="1">
      <c r="A7252" s="4" t="s">
        <v>16473</v>
      </c>
      <c r="B7252" s="5" t="s">
        <v>16473</v>
      </c>
      <c r="C7252" s="5" t="s">
        <v>41</v>
      </c>
      <c r="D7252" s="5" t="s">
        <v>42</v>
      </c>
      <c r="E7252" s="5" t="s">
        <v>306</v>
      </c>
      <c r="F7252" s="9">
        <v>79</v>
      </c>
      <c r="G7252" s="9">
        <v>896</v>
      </c>
      <c r="H7252" s="5" t="s">
        <v>21</v>
      </c>
      <c r="I7252" s="5" t="s">
        <v>16474</v>
      </c>
      <c r="J7252" s="12" t="str">
        <f>HYPERLINK("https://www.boe.es/gazeta/dias/1800/09/30/pdfs/GMD-1800-79.pdf#page=6","Abrir facsímil")</f>
        <v>Abrir facsímil</v>
      </c>
      <c r="K7252" s="15" t="s">
        <v>23</v>
      </c>
    </row>
    <row r="7253" spans="1:11" ht="42" customHeight="1">
      <c r="A7253" s="4" t="s">
        <v>16475</v>
      </c>
      <c r="B7253" s="5" t="s">
        <v>16476</v>
      </c>
      <c r="C7253" s="5" t="s">
        <v>18</v>
      </c>
      <c r="D7253" s="5" t="s">
        <v>19</v>
      </c>
      <c r="E7253" s="5" t="s">
        <v>20</v>
      </c>
      <c r="F7253" s="9">
        <v>104</v>
      </c>
      <c r="G7253" s="9">
        <v>1210</v>
      </c>
      <c r="H7253" s="5" t="s">
        <v>21</v>
      </c>
      <c r="I7253" s="5" t="s">
        <v>16477</v>
      </c>
      <c r="J7253" s="12" t="str">
        <f>HYPERLINK("https://www.boe.es/gazeta/dias/1800/12/26/pdfs/GMD-1800-104.pdf#page=10","Abrir facsímil")</f>
        <v>Abrir facsímil</v>
      </c>
      <c r="K7253" s="15" t="s">
        <v>23</v>
      </c>
    </row>
    <row r="7254" spans="1:11" ht="42" customHeight="1">
      <c r="A7254" s="4" t="s">
        <v>16478</v>
      </c>
      <c r="B7254" s="5" t="s">
        <v>16479</v>
      </c>
      <c r="C7254" s="5" t="s">
        <v>18</v>
      </c>
      <c r="D7254" s="5" t="s">
        <v>19</v>
      </c>
      <c r="E7254" s="5" t="s">
        <v>454</v>
      </c>
      <c r="F7254" s="9">
        <v>63</v>
      </c>
      <c r="G7254" s="9">
        <v>720</v>
      </c>
      <c r="H7254" s="5" t="s">
        <v>21</v>
      </c>
      <c r="I7254" s="5" t="s">
        <v>16480</v>
      </c>
      <c r="J7254" s="12" t="str">
        <f>HYPERLINK("https://www.boe.es/gazeta/dias/1800/08/08/pdfs/GMD-1800-63.pdf#page=8","Abrir facsímil")</f>
        <v>Abrir facsímil</v>
      </c>
      <c r="K7254" s="15" t="s">
        <v>23</v>
      </c>
    </row>
    <row r="7255" spans="1:11" ht="42" customHeight="1">
      <c r="A7255" s="4" t="s">
        <v>16481</v>
      </c>
      <c r="B7255" s="5" t="s">
        <v>16481</v>
      </c>
      <c r="C7255" s="5" t="s">
        <v>84</v>
      </c>
      <c r="D7255" s="5" t="s">
        <v>85</v>
      </c>
      <c r="E7255" s="5" t="s">
        <v>88</v>
      </c>
      <c r="F7255" s="9">
        <v>23</v>
      </c>
      <c r="G7255" s="9">
        <v>236</v>
      </c>
      <c r="H7255" s="5" t="s">
        <v>21</v>
      </c>
      <c r="I7255" s="5" t="s">
        <v>16482</v>
      </c>
      <c r="J7255" s="12" t="str">
        <f>HYPERLINK("https://www.boe.es/gazeta/dias/1800/03/21/pdfs/GMD-1800-23.pdf#page=12","Abrir facsímil")</f>
        <v>Abrir facsímil</v>
      </c>
      <c r="K7255" s="15" t="s">
        <v>23</v>
      </c>
    </row>
    <row r="7256" spans="1:11" ht="42" customHeight="1">
      <c r="A7256" s="4" t="s">
        <v>16483</v>
      </c>
      <c r="B7256" s="5" t="s">
        <v>16484</v>
      </c>
      <c r="C7256" s="5" t="s">
        <v>18</v>
      </c>
      <c r="D7256" s="5" t="s">
        <v>19</v>
      </c>
      <c r="E7256" s="5" t="s">
        <v>319</v>
      </c>
      <c r="F7256" s="9">
        <v>62</v>
      </c>
      <c r="G7256" s="9">
        <v>708</v>
      </c>
      <c r="H7256" s="5" t="s">
        <v>21</v>
      </c>
      <c r="I7256" s="5" t="s">
        <v>16485</v>
      </c>
      <c r="J7256" s="12" t="str">
        <f>HYPERLINK("https://www.boe.es/gazeta/dias/1800/08/05/pdfs/GMD-1800-62.pdf#page=8","Abrir facsímil")</f>
        <v>Abrir facsímil</v>
      </c>
      <c r="K7256" s="15" t="s">
        <v>23</v>
      </c>
    </row>
    <row r="7257" spans="1:11" ht="42" customHeight="1">
      <c r="A7257" s="4" t="s">
        <v>16486</v>
      </c>
      <c r="B7257" s="5" t="s">
        <v>16487</v>
      </c>
      <c r="C7257" s="5" t="s">
        <v>18</v>
      </c>
      <c r="D7257" s="5" t="s">
        <v>19</v>
      </c>
      <c r="E7257" s="5" t="s">
        <v>139</v>
      </c>
      <c r="F7257" s="9">
        <v>2</v>
      </c>
      <c r="G7257" s="9">
        <v>10</v>
      </c>
      <c r="H7257" s="5" t="s">
        <v>21</v>
      </c>
      <c r="I7257" s="5" t="s">
        <v>16488</v>
      </c>
      <c r="J7257" s="12" t="str">
        <f>HYPERLINK("https://www.boe.es/gazeta/dias/1800/01/07/pdfs/GMD-1800-2.pdf#page=2","Abrir facsímil")</f>
        <v>Abrir facsímil</v>
      </c>
      <c r="K7257" s="15" t="s">
        <v>23</v>
      </c>
    </row>
    <row r="7258" spans="1:11" ht="42" customHeight="1">
      <c r="A7258" s="4" t="s">
        <v>16489</v>
      </c>
      <c r="B7258" s="5" t="s">
        <v>16489</v>
      </c>
      <c r="C7258" s="5" t="s">
        <v>25</v>
      </c>
      <c r="D7258" s="5" t="s">
        <v>26</v>
      </c>
      <c r="E7258" s="5" t="s">
        <v>402</v>
      </c>
      <c r="F7258" s="9">
        <v>101</v>
      </c>
      <c r="G7258" s="9">
        <v>1173</v>
      </c>
      <c r="H7258" s="5" t="s">
        <v>21</v>
      </c>
      <c r="I7258" s="5" t="s">
        <v>16490</v>
      </c>
      <c r="J7258" s="12" t="str">
        <f>HYPERLINK("https://www.boe.es/gazeta/dias/1800/12/16/pdfs/GMD-1800-101.pdf#page=9","Abrir facsímil")</f>
        <v>Abrir facsímil</v>
      </c>
      <c r="K7258" s="15" t="s">
        <v>23</v>
      </c>
    </row>
    <row r="7259" spans="1:11" ht="42" customHeight="1">
      <c r="A7259" s="4" t="s">
        <v>16491</v>
      </c>
      <c r="B7259" s="5" t="s">
        <v>16491</v>
      </c>
      <c r="C7259" s="5" t="s">
        <v>25</v>
      </c>
      <c r="D7259" s="5" t="s">
        <v>26</v>
      </c>
      <c r="E7259" s="5" t="s">
        <v>45</v>
      </c>
      <c r="F7259" s="9">
        <v>47</v>
      </c>
      <c r="G7259" s="9">
        <v>503</v>
      </c>
      <c r="H7259" s="5" t="s">
        <v>21</v>
      </c>
      <c r="I7259" s="5" t="s">
        <v>16492</v>
      </c>
      <c r="J7259" s="12" t="str">
        <f>HYPERLINK("https://www.boe.es/gazeta/dias/1800/06/13/pdfs/GMD-1800-47.pdf#page=11","Abrir facsímil")</f>
        <v>Abrir facsímil</v>
      </c>
      <c r="K7259" s="15" t="s">
        <v>23</v>
      </c>
    </row>
    <row r="7260" spans="1:11" ht="42" customHeight="1">
      <c r="A7260" s="4" t="s">
        <v>16493</v>
      </c>
      <c r="B7260" s="5" t="s">
        <v>16493</v>
      </c>
      <c r="C7260" s="5" t="s">
        <v>18</v>
      </c>
      <c r="D7260" s="5" t="s">
        <v>19</v>
      </c>
      <c r="E7260" s="5" t="s">
        <v>346</v>
      </c>
      <c r="F7260" s="9">
        <v>24</v>
      </c>
      <c r="G7260" s="9">
        <v>247</v>
      </c>
      <c r="H7260" s="5" t="s">
        <v>21</v>
      </c>
      <c r="I7260" s="5" t="s">
        <v>16494</v>
      </c>
      <c r="J7260" s="12" t="str">
        <f>HYPERLINK("https://www.boe.es/gazeta/dias/1800/03/25/pdfs/GMD-1800-24.pdf#page=11","Abrir facsímil")</f>
        <v>Abrir facsímil</v>
      </c>
      <c r="K7260" s="15" t="s">
        <v>23</v>
      </c>
    </row>
    <row r="7261" spans="1:11" ht="42" customHeight="1">
      <c r="A7261" s="4" t="s">
        <v>16495</v>
      </c>
      <c r="B7261" s="5" t="s">
        <v>16495</v>
      </c>
      <c r="C7261" s="5" t="s">
        <v>207</v>
      </c>
      <c r="D7261" s="5" t="s">
        <v>55</v>
      </c>
      <c r="E7261" s="5" t="s">
        <v>52</v>
      </c>
      <c r="F7261" s="9">
        <v>83</v>
      </c>
      <c r="G7261" s="9">
        <v>962</v>
      </c>
      <c r="H7261" s="5" t="s">
        <v>21</v>
      </c>
      <c r="I7261" s="5" t="s">
        <v>16496</v>
      </c>
      <c r="J7261" s="12" t="str">
        <f>HYPERLINK("https://www.boe.es/gazeta/dias/1800/10/14/pdfs/GMD-1800-83.pdf#page=8","Abrir facsímil")</f>
        <v>Abrir facsímil</v>
      </c>
      <c r="K7261" s="15" t="s">
        <v>23</v>
      </c>
    </row>
    <row r="7262" spans="1:11" ht="42" customHeight="1">
      <c r="A7262" s="4" t="s">
        <v>16497</v>
      </c>
      <c r="B7262" s="5" t="s">
        <v>16497</v>
      </c>
      <c r="C7262" s="5" t="s">
        <v>25</v>
      </c>
      <c r="D7262" s="5" t="s">
        <v>26</v>
      </c>
      <c r="E7262" s="5" t="s">
        <v>75</v>
      </c>
      <c r="F7262" s="9">
        <v>64</v>
      </c>
      <c r="G7262" s="9">
        <v>735</v>
      </c>
      <c r="H7262" s="5" t="s">
        <v>21</v>
      </c>
      <c r="I7262" s="5" t="s">
        <v>16498</v>
      </c>
      <c r="J7262" s="12" t="str">
        <f>HYPERLINK("https://www.boe.es/gazeta/dias/1800/08/12/pdfs/GMD-1800-64.pdf#page=11","Abrir facsímil")</f>
        <v>Abrir facsímil</v>
      </c>
      <c r="K7262" s="15" t="s">
        <v>23</v>
      </c>
    </row>
    <row r="7263" spans="1:11" ht="42" customHeight="1">
      <c r="A7263" s="4" t="s">
        <v>16499</v>
      </c>
      <c r="B7263" s="5" t="s">
        <v>16499</v>
      </c>
      <c r="C7263" s="5" t="s">
        <v>18</v>
      </c>
      <c r="D7263" s="5" t="s">
        <v>19</v>
      </c>
      <c r="E7263" s="5" t="s">
        <v>283</v>
      </c>
      <c r="F7263" s="9">
        <v>68</v>
      </c>
      <c r="G7263" s="9">
        <v>765</v>
      </c>
      <c r="H7263" s="5" t="s">
        <v>21</v>
      </c>
      <c r="I7263" s="5" t="s">
        <v>16500</v>
      </c>
      <c r="J7263" s="12" t="str">
        <f>HYPERLINK("https://www.boe.es/gazeta/dias/1800/08/26/pdfs/GMD-1800-68.pdf#page=9","Abrir facsímil")</f>
        <v>Abrir facsímil</v>
      </c>
      <c r="K7263" s="15" t="s">
        <v>23</v>
      </c>
    </row>
    <row r="7264" spans="1:11" ht="42" customHeight="1">
      <c r="A7264" s="4" t="s">
        <v>16501</v>
      </c>
      <c r="B7264" s="5" t="s">
        <v>16502</v>
      </c>
      <c r="C7264" s="5" t="s">
        <v>84</v>
      </c>
      <c r="D7264" s="5" t="s">
        <v>85</v>
      </c>
      <c r="E7264" s="5" t="s">
        <v>230</v>
      </c>
      <c r="F7264" s="9">
        <v>35</v>
      </c>
      <c r="G7264" s="9">
        <v>353</v>
      </c>
      <c r="H7264" s="5" t="s">
        <v>21</v>
      </c>
      <c r="I7264" s="5" t="s">
        <v>16503</v>
      </c>
      <c r="J7264" s="12" t="str">
        <f>HYPERLINK("https://www.boe.es/gazeta/dias/1800/05/02/pdfs/GMD-1800-35.pdf#page=5","Abrir facsímil")</f>
        <v>Abrir facsímil</v>
      </c>
      <c r="K7264" s="15" t="s">
        <v>23</v>
      </c>
    </row>
    <row r="7265" spans="1:11" ht="42" customHeight="1">
      <c r="A7265" s="4" t="s">
        <v>16504</v>
      </c>
      <c r="B7265" s="5" t="s">
        <v>16505</v>
      </c>
      <c r="C7265" s="5" t="s">
        <v>41</v>
      </c>
      <c r="D7265" s="5" t="s">
        <v>42</v>
      </c>
      <c r="E7265" s="5" t="s">
        <v>1231</v>
      </c>
      <c r="F7265" s="9">
        <v>36</v>
      </c>
      <c r="G7265" s="9">
        <v>360</v>
      </c>
      <c r="H7265" s="5" t="s">
        <v>21</v>
      </c>
      <c r="I7265" s="5" t="s">
        <v>16506</v>
      </c>
      <c r="J7265" s="12" t="str">
        <f>HYPERLINK("https://www.boe.es/gazeta/dias/1800/05/06/pdfs/GMD-1800-36.pdf#page=4","Abrir facsímil")</f>
        <v>Abrir facsímil</v>
      </c>
      <c r="K7265" s="15" t="s">
        <v>23</v>
      </c>
    </row>
    <row r="7266" spans="1:11" ht="42" customHeight="1">
      <c r="A7266" s="4" t="s">
        <v>16507</v>
      </c>
      <c r="B7266" s="5" t="s">
        <v>16508</v>
      </c>
      <c r="C7266" s="5" t="s">
        <v>84</v>
      </c>
      <c r="D7266" s="5" t="s">
        <v>85</v>
      </c>
      <c r="E7266" s="5" t="s">
        <v>255</v>
      </c>
      <c r="F7266" s="9">
        <v>75</v>
      </c>
      <c r="G7266" s="9">
        <v>858</v>
      </c>
      <c r="H7266" s="5" t="s">
        <v>21</v>
      </c>
      <c r="I7266" s="5" t="s">
        <v>16509</v>
      </c>
      <c r="J7266" s="12" t="str">
        <f>HYPERLINK("https://www.boe.es/gazeta/dias/1800/09/16/pdfs/GMD-1800-75.pdf#page=12","Abrir facsímil")</f>
        <v>Abrir facsímil</v>
      </c>
      <c r="K7266" s="15" t="s">
        <v>23</v>
      </c>
    </row>
    <row r="7267" spans="1:11" ht="42" customHeight="1">
      <c r="A7267" s="4" t="s">
        <v>16510</v>
      </c>
      <c r="B7267" s="5" t="s">
        <v>16510</v>
      </c>
      <c r="C7267" s="5" t="s">
        <v>54</v>
      </c>
      <c r="D7267" s="5" t="s">
        <v>55</v>
      </c>
      <c r="E7267" s="5" t="s">
        <v>154</v>
      </c>
      <c r="F7267" s="9">
        <v>61</v>
      </c>
      <c r="G7267" s="9">
        <v>699</v>
      </c>
      <c r="H7267" s="5" t="s">
        <v>21</v>
      </c>
      <c r="I7267" s="5" t="s">
        <v>16511</v>
      </c>
      <c r="J7267" s="12" t="str">
        <f>HYPERLINK("https://www.boe.es/gazeta/dias/1800/08/01/pdfs/GMD-1800-61.pdf#page=11","Abrir facsímil")</f>
        <v>Abrir facsímil</v>
      </c>
      <c r="K7267" s="15" t="s">
        <v>23</v>
      </c>
    </row>
    <row r="7268" spans="1:11" ht="42" customHeight="1">
      <c r="A7268" s="4" t="s">
        <v>16512</v>
      </c>
      <c r="B7268" s="5" t="s">
        <v>16512</v>
      </c>
      <c r="C7268" s="5" t="s">
        <v>171</v>
      </c>
      <c r="D7268" s="5" t="s">
        <v>172</v>
      </c>
      <c r="E7268" s="5" t="s">
        <v>465</v>
      </c>
      <c r="F7268" s="9">
        <v>49</v>
      </c>
      <c r="G7268" s="9">
        <v>535</v>
      </c>
      <c r="H7268" s="5" t="s">
        <v>21</v>
      </c>
      <c r="I7268" s="5" t="s">
        <v>16513</v>
      </c>
      <c r="J7268" s="12" t="str">
        <f>HYPERLINK("https://www.boe.es/gazeta/dias/1800/06/20/pdfs/GMD-C-1800-49.pdf#page=3","Abrir facsímil")</f>
        <v>Abrir facsímil</v>
      </c>
      <c r="K7268" s="15" t="s">
        <v>23</v>
      </c>
    </row>
    <row r="7269" spans="1:11" ht="42" customHeight="1">
      <c r="A7269" s="4" t="s">
        <v>16514</v>
      </c>
      <c r="B7269" s="5" t="s">
        <v>16515</v>
      </c>
      <c r="C7269" s="5" t="s">
        <v>18</v>
      </c>
      <c r="D7269" s="5" t="s">
        <v>19</v>
      </c>
      <c r="E7269" s="5" t="s">
        <v>595</v>
      </c>
      <c r="F7269" s="9">
        <v>72</v>
      </c>
      <c r="G7269" s="9">
        <v>797</v>
      </c>
      <c r="H7269" s="5" t="s">
        <v>21</v>
      </c>
      <c r="I7269" s="5" t="s">
        <v>16516</v>
      </c>
      <c r="J7269" s="12" t="str">
        <f>HYPERLINK("https://www.boe.es/gazeta/dias/1800/09/05/pdfs/GMD-1800-72.pdf#page=7","Abrir facsímil")</f>
        <v>Abrir facsímil</v>
      </c>
      <c r="K7269" s="15" t="s">
        <v>23</v>
      </c>
    </row>
    <row r="7270" spans="1:11" ht="42" customHeight="1">
      <c r="A7270" s="4" t="s">
        <v>16517</v>
      </c>
      <c r="B7270" s="5" t="s">
        <v>16518</v>
      </c>
      <c r="C7270" s="5" t="s">
        <v>18</v>
      </c>
      <c r="D7270" s="5" t="s">
        <v>19</v>
      </c>
      <c r="E7270" s="5" t="s">
        <v>154</v>
      </c>
      <c r="F7270" s="9">
        <v>61</v>
      </c>
      <c r="G7270" s="9">
        <v>696</v>
      </c>
      <c r="H7270" s="5" t="s">
        <v>21</v>
      </c>
      <c r="I7270" s="5" t="s">
        <v>16519</v>
      </c>
      <c r="J7270" s="12" t="str">
        <f>HYPERLINK("https://www.boe.es/gazeta/dias/1800/08/01/pdfs/GMD-1800-61.pdf#page=8","Abrir facsímil")</f>
        <v>Abrir facsímil</v>
      </c>
      <c r="K7270" s="15" t="s">
        <v>23</v>
      </c>
    </row>
    <row r="7271" spans="1:11" ht="42" customHeight="1">
      <c r="A7271" s="4" t="s">
        <v>16520</v>
      </c>
      <c r="B7271" s="5" t="s">
        <v>16521</v>
      </c>
      <c r="C7271" s="5" t="s">
        <v>25</v>
      </c>
      <c r="D7271" s="5" t="s">
        <v>26</v>
      </c>
      <c r="E7271" s="5" t="s">
        <v>111</v>
      </c>
      <c r="F7271" s="9">
        <v>98</v>
      </c>
      <c r="G7271" s="9">
        <v>1128</v>
      </c>
      <c r="H7271" s="5" t="s">
        <v>21</v>
      </c>
      <c r="I7271" s="5" t="s">
        <v>16522</v>
      </c>
      <c r="J7271" s="12" t="str">
        <f>HYPERLINK("https://www.boe.es/gazeta/dias/1800/12/05/pdfs/GMD-1800-98.pdf#page=8","Abrir facsímil")</f>
        <v>Abrir facsímil</v>
      </c>
      <c r="K7271" s="15" t="s">
        <v>23</v>
      </c>
    </row>
    <row r="7272" spans="1:11" ht="42" customHeight="1">
      <c r="A7272" s="4" t="s">
        <v>16523</v>
      </c>
      <c r="B7272" s="5" t="s">
        <v>16524</v>
      </c>
      <c r="C7272" s="5" t="s">
        <v>41</v>
      </c>
      <c r="D7272" s="5" t="s">
        <v>42</v>
      </c>
      <c r="E7272" s="5" t="s">
        <v>48</v>
      </c>
      <c r="F7272" s="9">
        <v>66</v>
      </c>
      <c r="G7272" s="9">
        <v>737</v>
      </c>
      <c r="H7272" s="5" t="s">
        <v>21</v>
      </c>
      <c r="I7272" s="5" t="s">
        <v>16525</v>
      </c>
      <c r="J7272" s="12" t="str">
        <f>HYPERLINK("https://www.boe.es/gazeta/dias/1800/08/19/pdfs/GMD-1800-66.pdf#page=1","Abrir facsímil")</f>
        <v>Abrir facsímil</v>
      </c>
      <c r="K7272" s="15" t="s">
        <v>23</v>
      </c>
    </row>
    <row r="7273" spans="1:11" ht="42" customHeight="1">
      <c r="A7273" s="4" t="s">
        <v>16523</v>
      </c>
      <c r="B7273" s="5" t="s">
        <v>16524</v>
      </c>
      <c r="C7273" s="5" t="s">
        <v>41</v>
      </c>
      <c r="D7273" s="5" t="s">
        <v>42</v>
      </c>
      <c r="E7273" s="5" t="s">
        <v>48</v>
      </c>
      <c r="F7273" s="9">
        <v>66</v>
      </c>
      <c r="G7273" s="9">
        <v>738</v>
      </c>
      <c r="H7273" s="5" t="s">
        <v>21</v>
      </c>
      <c r="I7273" s="5" t="s">
        <v>16526</v>
      </c>
      <c r="J7273" s="12" t="str">
        <f>HYPERLINK("https://www.boe.es/gazeta/dias/1800/08/19/pdfs/GMD-1800-66.pdf#page=2","Abrir facsímil")</f>
        <v>Abrir facsímil</v>
      </c>
      <c r="K7273" s="15" t="s">
        <v>23</v>
      </c>
    </row>
    <row r="7274" spans="1:11" ht="42" customHeight="1">
      <c r="A7274" s="4" t="s">
        <v>16527</v>
      </c>
      <c r="B7274" s="5" t="s">
        <v>16528</v>
      </c>
      <c r="C7274" s="5" t="s">
        <v>41</v>
      </c>
      <c r="D7274" s="5" t="s">
        <v>42</v>
      </c>
      <c r="E7274" s="5" t="s">
        <v>530</v>
      </c>
      <c r="F7274" s="9">
        <v>55</v>
      </c>
      <c r="G7274" s="9">
        <v>618</v>
      </c>
      <c r="H7274" s="5" t="s">
        <v>21</v>
      </c>
      <c r="I7274" s="5" t="s">
        <v>16529</v>
      </c>
      <c r="J7274" s="12" t="str">
        <f>HYPERLINK("https://www.boe.es/gazeta/dias/1800/07/11/pdfs/GMD-1800-55.pdf#page=6","Abrir facsímil")</f>
        <v>Abrir facsímil</v>
      </c>
      <c r="K7274" s="15" t="s">
        <v>23</v>
      </c>
    </row>
    <row r="7275" spans="1:11" ht="42" customHeight="1">
      <c r="A7275" s="4" t="s">
        <v>16530</v>
      </c>
      <c r="B7275" s="5" t="s">
        <v>16531</v>
      </c>
      <c r="C7275" s="5" t="s">
        <v>18</v>
      </c>
      <c r="D7275" s="5" t="s">
        <v>19</v>
      </c>
      <c r="E7275" s="5" t="s">
        <v>255</v>
      </c>
      <c r="F7275" s="9">
        <v>75</v>
      </c>
      <c r="G7275" s="9">
        <v>855</v>
      </c>
      <c r="H7275" s="5" t="s">
        <v>21</v>
      </c>
      <c r="I7275" s="5" t="s">
        <v>16532</v>
      </c>
      <c r="J7275" s="12" t="str">
        <f>HYPERLINK("https://www.boe.es/gazeta/dias/1800/09/16/pdfs/GMD-1800-75.pdf#page=9","Abrir facsímil")</f>
        <v>Abrir facsímil</v>
      </c>
      <c r="K7275" s="15" t="s">
        <v>23</v>
      </c>
    </row>
    <row r="7276" spans="1:11" ht="42" customHeight="1">
      <c r="A7276" s="4" t="s">
        <v>16533</v>
      </c>
      <c r="B7276" s="5" t="s">
        <v>16533</v>
      </c>
      <c r="C7276" s="5" t="s">
        <v>18</v>
      </c>
      <c r="D7276" s="5" t="s">
        <v>19</v>
      </c>
      <c r="E7276" s="5" t="s">
        <v>534</v>
      </c>
      <c r="F7276" s="9">
        <v>100</v>
      </c>
      <c r="G7276" s="9">
        <v>1161</v>
      </c>
      <c r="H7276" s="5" t="s">
        <v>21</v>
      </c>
      <c r="I7276" s="5" t="s">
        <v>16534</v>
      </c>
      <c r="J7276" s="12" t="str">
        <f>HYPERLINK("https://www.boe.es/gazeta/dias/1800/12/12/pdfs/GMD-1800-100.pdf#page=13","Abrir facsímil")</f>
        <v>Abrir facsímil</v>
      </c>
      <c r="K7276" s="15" t="s">
        <v>23</v>
      </c>
    </row>
    <row r="7277" spans="1:11" ht="42" customHeight="1">
      <c r="A7277" s="4" t="s">
        <v>16535</v>
      </c>
      <c r="B7277" s="5" t="s">
        <v>16535</v>
      </c>
      <c r="C7277" s="5" t="s">
        <v>18</v>
      </c>
      <c r="D7277" s="5" t="s">
        <v>19</v>
      </c>
      <c r="E7277" s="5" t="s">
        <v>39</v>
      </c>
      <c r="F7277" s="9">
        <v>43</v>
      </c>
      <c r="G7277" s="9">
        <v>450</v>
      </c>
      <c r="H7277" s="5" t="s">
        <v>21</v>
      </c>
      <c r="I7277" s="5" t="s">
        <v>16536</v>
      </c>
      <c r="J7277" s="12" t="str">
        <f>HYPERLINK("https://www.boe.es/gazeta/dias/1800/05/30/pdfs/GMD-1800-43.pdf#page=10","Abrir facsímil")</f>
        <v>Abrir facsímil</v>
      </c>
      <c r="K7277" s="15" t="s">
        <v>23</v>
      </c>
    </row>
    <row r="7278" spans="1:11" ht="42" customHeight="1">
      <c r="A7278" s="4" t="s">
        <v>16537</v>
      </c>
      <c r="B7278" s="5" t="s">
        <v>16538</v>
      </c>
      <c r="C7278" s="5" t="s">
        <v>18</v>
      </c>
      <c r="D7278" s="5" t="s">
        <v>19</v>
      </c>
      <c r="E7278" s="5" t="s">
        <v>478</v>
      </c>
      <c r="F7278" s="9">
        <v>34</v>
      </c>
      <c r="G7278" s="9">
        <v>346</v>
      </c>
      <c r="H7278" s="5" t="s">
        <v>21</v>
      </c>
      <c r="I7278" s="5" t="s">
        <v>16539</v>
      </c>
      <c r="J7278" s="12" t="str">
        <f>HYPERLINK("https://www.boe.es/gazeta/dias/1800/04/29/pdfs/GMD-1800-34.pdf#page=10","Abrir facsímil")</f>
        <v>Abrir facsímil</v>
      </c>
      <c r="K7278" s="15" t="s">
        <v>23</v>
      </c>
    </row>
    <row r="7279" spans="1:11" ht="42" customHeight="1">
      <c r="A7279" s="4" t="s">
        <v>16540</v>
      </c>
      <c r="B7279" s="5" t="s">
        <v>16541</v>
      </c>
      <c r="C7279" s="5" t="s">
        <v>18</v>
      </c>
      <c r="D7279" s="5" t="s">
        <v>19</v>
      </c>
      <c r="E7279" s="5" t="s">
        <v>139</v>
      </c>
      <c r="F7279" s="9">
        <v>2</v>
      </c>
      <c r="G7279" s="9">
        <v>17</v>
      </c>
      <c r="H7279" s="5" t="s">
        <v>21</v>
      </c>
      <c r="I7279" s="5" t="s">
        <v>16542</v>
      </c>
      <c r="J7279" s="12" t="str">
        <f>HYPERLINK("https://www.boe.es/gazeta/dias/1800/01/07/pdfs/GMD-1800-2.pdf#page=9","Abrir facsímil")</f>
        <v>Abrir facsímil</v>
      </c>
      <c r="K7279" s="15" t="s">
        <v>23</v>
      </c>
    </row>
    <row r="7280" spans="1:11" ht="42" customHeight="1">
      <c r="A7280" s="4" t="s">
        <v>16543</v>
      </c>
      <c r="B7280" s="5" t="s">
        <v>16544</v>
      </c>
      <c r="C7280" s="5" t="s">
        <v>1179</v>
      </c>
      <c r="D7280" s="5" t="s">
        <v>1180</v>
      </c>
      <c r="E7280" s="5" t="s">
        <v>314</v>
      </c>
      <c r="F7280" s="9">
        <v>74</v>
      </c>
      <c r="G7280" s="9">
        <v>840</v>
      </c>
      <c r="H7280" s="5" t="s">
        <v>21</v>
      </c>
      <c r="I7280" s="5" t="s">
        <v>16545</v>
      </c>
      <c r="J7280" s="12" t="str">
        <f>HYPERLINK("https://www.boe.es/gazeta/dias/1800/09/12/pdfs/GMD-C-1800-74.pdf#page=2","Abrir facsímil")</f>
        <v>Abrir facsímil</v>
      </c>
      <c r="K7280" s="15" t="s">
        <v>23</v>
      </c>
    </row>
    <row r="7281" spans="1:11" ht="42" customHeight="1">
      <c r="A7281" s="4" t="s">
        <v>16546</v>
      </c>
      <c r="B7281" s="5" t="s">
        <v>16547</v>
      </c>
      <c r="C7281" s="5" t="s">
        <v>18</v>
      </c>
      <c r="D7281" s="5" t="s">
        <v>19</v>
      </c>
      <c r="E7281" s="5" t="s">
        <v>88</v>
      </c>
      <c r="F7281" s="9">
        <v>23</v>
      </c>
      <c r="G7281" s="9">
        <v>236</v>
      </c>
      <c r="H7281" s="5" t="s">
        <v>21</v>
      </c>
      <c r="I7281" s="5" t="s">
        <v>16548</v>
      </c>
      <c r="J7281" s="12" t="str">
        <f>HYPERLINK("https://www.boe.es/gazeta/dias/1800/03/21/pdfs/GMD-1800-23.pdf#page=12","Abrir facsímil")</f>
        <v>Abrir facsímil</v>
      </c>
      <c r="K7281" s="15" t="s">
        <v>23</v>
      </c>
    </row>
    <row r="7282" spans="1:11" ht="42" customHeight="1">
      <c r="A7282" s="4" t="s">
        <v>16549</v>
      </c>
      <c r="B7282" s="5" t="s">
        <v>16550</v>
      </c>
      <c r="C7282" s="5" t="s">
        <v>18</v>
      </c>
      <c r="D7282" s="5" t="s">
        <v>19</v>
      </c>
      <c r="E7282" s="5" t="s">
        <v>86</v>
      </c>
      <c r="F7282" s="9">
        <v>17</v>
      </c>
      <c r="G7282" s="9">
        <v>162</v>
      </c>
      <c r="H7282" s="5" t="s">
        <v>21</v>
      </c>
      <c r="I7282" s="5" t="s">
        <v>16551</v>
      </c>
      <c r="J7282" s="12" t="str">
        <f>HYPERLINK("https://www.boe.es/gazeta/dias/1800/02/28/pdfs/GMD-1800-17.pdf#page=10","Abrir facsímil")</f>
        <v>Abrir facsímil</v>
      </c>
      <c r="K7282" s="15" t="s">
        <v>23</v>
      </c>
    </row>
    <row r="7283" spans="1:11" ht="42" customHeight="1">
      <c r="A7283" s="4" t="s">
        <v>16552</v>
      </c>
      <c r="B7283" s="5" t="s">
        <v>16552</v>
      </c>
      <c r="C7283" s="5" t="s">
        <v>41</v>
      </c>
      <c r="D7283" s="5" t="s">
        <v>42</v>
      </c>
      <c r="E7283" s="5" t="s">
        <v>143</v>
      </c>
      <c r="F7283" s="9">
        <v>22</v>
      </c>
      <c r="G7283" s="9">
        <v>218</v>
      </c>
      <c r="H7283" s="5" t="s">
        <v>21</v>
      </c>
      <c r="I7283" s="5" t="s">
        <v>16553</v>
      </c>
      <c r="J7283" s="12" t="str">
        <f>HYPERLINK("https://www.boe.es/gazeta/dias/1800/03/18/pdfs/GMD-1800-22.pdf#page=10","Abrir facsímil")</f>
        <v>Abrir facsímil</v>
      </c>
      <c r="K7283" s="15" t="s">
        <v>23</v>
      </c>
    </row>
    <row r="7284" spans="1:11" ht="42" customHeight="1">
      <c r="A7284" s="4" t="s">
        <v>16554</v>
      </c>
      <c r="B7284" s="5" t="s">
        <v>16554</v>
      </c>
      <c r="C7284" s="5" t="s">
        <v>41</v>
      </c>
      <c r="D7284" s="5" t="s">
        <v>42</v>
      </c>
      <c r="E7284" s="5" t="s">
        <v>143</v>
      </c>
      <c r="F7284" s="9">
        <v>22</v>
      </c>
      <c r="G7284" s="9">
        <v>219</v>
      </c>
      <c r="H7284" s="5" t="s">
        <v>21</v>
      </c>
      <c r="I7284" s="5" t="s">
        <v>16555</v>
      </c>
      <c r="J7284" s="12" t="str">
        <f>HYPERLINK("https://www.boe.es/gazeta/dias/1800/03/18/pdfs/GMD-1800-22.pdf#page=11","Abrir facsímil")</f>
        <v>Abrir facsímil</v>
      </c>
      <c r="K7284" s="15" t="s">
        <v>23</v>
      </c>
    </row>
    <row r="7285" spans="1:11" ht="42" customHeight="1">
      <c r="A7285" s="4" t="s">
        <v>16552</v>
      </c>
      <c r="B7285" s="5" t="s">
        <v>16552</v>
      </c>
      <c r="C7285" s="5" t="s">
        <v>18</v>
      </c>
      <c r="D7285" s="5" t="s">
        <v>19</v>
      </c>
      <c r="E7285" s="5" t="s">
        <v>143</v>
      </c>
      <c r="F7285" s="9">
        <v>22</v>
      </c>
      <c r="G7285" s="9">
        <v>220</v>
      </c>
      <c r="H7285" s="5" t="s">
        <v>21</v>
      </c>
      <c r="I7285" s="5" t="s">
        <v>16556</v>
      </c>
      <c r="J7285" s="12" t="str">
        <f>HYPERLINK("https://www.boe.es/gazeta/dias/1800/03/18/pdfs/GMD-1800-22.pdf#page=12","Abrir facsímil")</f>
        <v>Abrir facsímil</v>
      </c>
      <c r="K7285" s="15" t="s">
        <v>23</v>
      </c>
    </row>
    <row r="7286" spans="1:11" ht="42" customHeight="1">
      <c r="A7286" s="4" t="s">
        <v>16557</v>
      </c>
      <c r="B7286" s="5" t="s">
        <v>16557</v>
      </c>
      <c r="C7286" s="5" t="s">
        <v>18</v>
      </c>
      <c r="D7286" s="5" t="s">
        <v>19</v>
      </c>
      <c r="E7286" s="5" t="s">
        <v>420</v>
      </c>
      <c r="F7286" s="9">
        <v>38</v>
      </c>
      <c r="G7286" s="9">
        <v>388</v>
      </c>
      <c r="H7286" s="5" t="s">
        <v>21</v>
      </c>
      <c r="I7286" s="5" t="s">
        <v>16558</v>
      </c>
      <c r="J7286" s="12" t="str">
        <f>HYPERLINK("https://www.boe.es/gazeta/dias/1800/05/13/pdfs/GMD-1800-38.pdf#page=8","Abrir facsímil")</f>
        <v>Abrir facsímil</v>
      </c>
      <c r="K7286" s="15" t="s">
        <v>23</v>
      </c>
    </row>
    <row r="7287" spans="1:11" ht="42" customHeight="1">
      <c r="A7287" s="4" t="s">
        <v>16559</v>
      </c>
      <c r="B7287" s="5" t="s">
        <v>16560</v>
      </c>
      <c r="C7287" s="5" t="s">
        <v>25</v>
      </c>
      <c r="D7287" s="5" t="s">
        <v>26</v>
      </c>
      <c r="E7287" s="5" t="s">
        <v>135</v>
      </c>
      <c r="F7287" s="9">
        <v>73</v>
      </c>
      <c r="G7287" s="9">
        <v>817</v>
      </c>
      <c r="H7287" s="5" t="s">
        <v>21</v>
      </c>
      <c r="I7287" s="5" t="s">
        <v>16561</v>
      </c>
      <c r="J7287" s="12" t="str">
        <f>HYPERLINK("https://www.boe.es/gazeta/dias/1800/09/09/pdfs/GMD-1800-73.pdf#page=11","Abrir facsímil")</f>
        <v>Abrir facsímil</v>
      </c>
      <c r="K7287" s="15" t="s">
        <v>23</v>
      </c>
    </row>
    <row r="7288" spans="1:11" ht="42" customHeight="1">
      <c r="A7288" s="4" t="s">
        <v>16562</v>
      </c>
      <c r="B7288" s="5" t="s">
        <v>16562</v>
      </c>
      <c r="C7288" s="5" t="s">
        <v>41</v>
      </c>
      <c r="D7288" s="5" t="s">
        <v>42</v>
      </c>
      <c r="E7288" s="5" t="s">
        <v>143</v>
      </c>
      <c r="F7288" s="9">
        <v>22</v>
      </c>
      <c r="G7288" s="9">
        <v>219</v>
      </c>
      <c r="H7288" s="5" t="s">
        <v>21</v>
      </c>
      <c r="I7288" s="5" t="s">
        <v>16563</v>
      </c>
      <c r="J7288" s="12" t="str">
        <f>HYPERLINK("https://www.boe.es/gazeta/dias/1800/03/18/pdfs/GMD-1800-22.pdf#page=11","Abrir facsímil")</f>
        <v>Abrir facsímil</v>
      </c>
      <c r="K7288" s="15" t="s">
        <v>23</v>
      </c>
    </row>
    <row r="7289" spans="1:11" ht="42" customHeight="1">
      <c r="A7289" s="4" t="s">
        <v>16562</v>
      </c>
      <c r="B7289" s="5" t="s">
        <v>16562</v>
      </c>
      <c r="C7289" s="5" t="s">
        <v>25</v>
      </c>
      <c r="D7289" s="5" t="s">
        <v>26</v>
      </c>
      <c r="E7289" s="5" t="s">
        <v>143</v>
      </c>
      <c r="F7289" s="9">
        <v>22</v>
      </c>
      <c r="G7289" s="9">
        <v>220</v>
      </c>
      <c r="H7289" s="5" t="s">
        <v>21</v>
      </c>
      <c r="I7289" s="5" t="s">
        <v>16564</v>
      </c>
      <c r="J7289" s="12" t="str">
        <f>HYPERLINK("https://www.boe.es/gazeta/dias/1800/03/18/pdfs/GMD-1800-22.pdf#page=12","Abrir facsímil")</f>
        <v>Abrir facsímil</v>
      </c>
      <c r="K7289" s="15" t="s">
        <v>23</v>
      </c>
    </row>
    <row r="7290" spans="1:11" ht="42" customHeight="1">
      <c r="A7290" s="4" t="s">
        <v>16565</v>
      </c>
      <c r="B7290" s="5" t="s">
        <v>16565</v>
      </c>
      <c r="C7290" s="5" t="s">
        <v>207</v>
      </c>
      <c r="D7290" s="5" t="s">
        <v>55</v>
      </c>
      <c r="E7290" s="5" t="s">
        <v>135</v>
      </c>
      <c r="F7290" s="9">
        <v>73</v>
      </c>
      <c r="G7290" s="9">
        <v>814</v>
      </c>
      <c r="H7290" s="5" t="s">
        <v>21</v>
      </c>
      <c r="I7290" s="5" t="s">
        <v>16566</v>
      </c>
      <c r="J7290" s="12" t="str">
        <f>HYPERLINK("https://www.boe.es/gazeta/dias/1800/09/09/pdfs/GMD-1800-73.pdf#page=8","Abrir facsímil")</f>
        <v>Abrir facsímil</v>
      </c>
      <c r="K7290" s="15" t="s">
        <v>23</v>
      </c>
    </row>
    <row r="7291" spans="1:11" ht="42" customHeight="1">
      <c r="A7291" s="4" t="s">
        <v>16567</v>
      </c>
      <c r="B7291" s="5" t="s">
        <v>16568</v>
      </c>
      <c r="C7291" s="5" t="s">
        <v>18</v>
      </c>
      <c r="D7291" s="5" t="s">
        <v>19</v>
      </c>
      <c r="E7291" s="5" t="s">
        <v>346</v>
      </c>
      <c r="F7291" s="9">
        <v>24</v>
      </c>
      <c r="G7291" s="9">
        <v>244</v>
      </c>
      <c r="H7291" s="5" t="s">
        <v>21</v>
      </c>
      <c r="I7291" s="5" t="s">
        <v>16569</v>
      </c>
      <c r="J7291" s="12" t="str">
        <f>HYPERLINK("https://www.boe.es/gazeta/dias/1800/03/25/pdfs/GMD-1800-24.pdf#page=8","Abrir facsímil")</f>
        <v>Abrir facsímil</v>
      </c>
      <c r="K7291" s="15" t="s">
        <v>23</v>
      </c>
    </row>
    <row r="7292" spans="1:11" ht="42" customHeight="1">
      <c r="A7292" s="4" t="s">
        <v>16570</v>
      </c>
      <c r="B7292" s="5" t="s">
        <v>16571</v>
      </c>
      <c r="C7292" s="5" t="s">
        <v>25</v>
      </c>
      <c r="D7292" s="5" t="s">
        <v>26</v>
      </c>
      <c r="E7292" s="5" t="s">
        <v>158</v>
      </c>
      <c r="F7292" s="9">
        <v>25</v>
      </c>
      <c r="G7292" s="9">
        <v>258</v>
      </c>
      <c r="H7292" s="5" t="s">
        <v>21</v>
      </c>
      <c r="I7292" s="5" t="s">
        <v>16572</v>
      </c>
      <c r="J7292" s="12" t="str">
        <f>HYPERLINK("https://www.boe.es/gazeta/dias/1800/03/28/pdfs/GMD-1800-25.pdf#page=10","Abrir facsímil")</f>
        <v>Abrir facsímil</v>
      </c>
      <c r="K7292" s="15" t="s">
        <v>23</v>
      </c>
    </row>
    <row r="7293" spans="1:11" ht="42" customHeight="1">
      <c r="A7293" s="4" t="s">
        <v>16573</v>
      </c>
      <c r="B7293" s="5" t="s">
        <v>16573</v>
      </c>
      <c r="C7293" s="5" t="s">
        <v>207</v>
      </c>
      <c r="D7293" s="5" t="s">
        <v>55</v>
      </c>
      <c r="E7293" s="5" t="s">
        <v>615</v>
      </c>
      <c r="F7293" s="9">
        <v>95</v>
      </c>
      <c r="G7293" s="9">
        <v>1088</v>
      </c>
      <c r="H7293" s="5" t="s">
        <v>21</v>
      </c>
      <c r="I7293" s="5" t="s">
        <v>16574</v>
      </c>
      <c r="J7293" s="12" t="str">
        <f>HYPERLINK("https://www.boe.es/gazeta/dias/1800/11/25/pdfs/GMD-1800-95.pdf#page=6","Abrir facsímil")</f>
        <v>Abrir facsímil</v>
      </c>
      <c r="K7293" s="15" t="s">
        <v>23</v>
      </c>
    </row>
    <row r="7294" spans="1:11" ht="42" customHeight="1">
      <c r="A7294" s="4" t="s">
        <v>16575</v>
      </c>
      <c r="B7294" s="5" t="s">
        <v>16576</v>
      </c>
      <c r="C7294" s="5" t="s">
        <v>18</v>
      </c>
      <c r="D7294" s="5" t="s">
        <v>19</v>
      </c>
      <c r="E7294" s="5" t="s">
        <v>262</v>
      </c>
      <c r="F7294" s="9">
        <v>39</v>
      </c>
      <c r="G7294" s="9">
        <v>393</v>
      </c>
      <c r="H7294" s="5" t="s">
        <v>21</v>
      </c>
      <c r="I7294" s="5" t="s">
        <v>16577</v>
      </c>
      <c r="J7294" s="12" t="str">
        <f>HYPERLINK("https://www.boe.es/gazeta/dias/1800/05/16/pdfs/GMD-1800-39.pdf#page=1","Abrir facsímil")</f>
        <v>Abrir facsímil</v>
      </c>
      <c r="K7294" s="15" t="s">
        <v>23</v>
      </c>
    </row>
    <row r="7295" spans="1:11" ht="42" customHeight="1">
      <c r="A7295" s="4" t="s">
        <v>16578</v>
      </c>
      <c r="B7295" s="5" t="s">
        <v>16578</v>
      </c>
      <c r="C7295" s="5" t="s">
        <v>84</v>
      </c>
      <c r="D7295" s="5" t="s">
        <v>85</v>
      </c>
      <c r="E7295" s="5" t="s">
        <v>139</v>
      </c>
      <c r="F7295" s="9">
        <v>2</v>
      </c>
      <c r="G7295" s="9">
        <v>16</v>
      </c>
      <c r="H7295" s="5" t="s">
        <v>21</v>
      </c>
      <c r="I7295" s="5" t="s">
        <v>16579</v>
      </c>
      <c r="J7295" s="12" t="str">
        <f>HYPERLINK("https://www.boe.es/gazeta/dias/1800/01/07/pdfs/GMD-1800-2.pdf#page=8","Abrir facsímil")</f>
        <v>Abrir facsímil</v>
      </c>
      <c r="K7295" s="15" t="s">
        <v>23</v>
      </c>
    </row>
    <row r="7296" spans="1:11" ht="42" customHeight="1">
      <c r="A7296" s="4" t="s">
        <v>16580</v>
      </c>
      <c r="B7296" s="5" t="s">
        <v>16580</v>
      </c>
      <c r="C7296" s="5" t="s">
        <v>25</v>
      </c>
      <c r="D7296" s="5" t="s">
        <v>26</v>
      </c>
      <c r="E7296" s="5" t="s">
        <v>180</v>
      </c>
      <c r="F7296" s="9">
        <v>102</v>
      </c>
      <c r="G7296" s="9">
        <v>1186</v>
      </c>
      <c r="H7296" s="5" t="s">
        <v>21</v>
      </c>
      <c r="I7296" s="5" t="s">
        <v>16581</v>
      </c>
      <c r="J7296" s="12" t="str">
        <f>HYPERLINK("https://www.boe.es/gazeta/dias/1800/12/19/pdfs/GMD-1800-102.pdf#page=10","Abrir facsímil")</f>
        <v>Abrir facsímil</v>
      </c>
      <c r="K7296" s="15" t="s">
        <v>23</v>
      </c>
    </row>
    <row r="7297" spans="1:11" ht="42" customHeight="1">
      <c r="A7297" s="4" t="s">
        <v>16582</v>
      </c>
      <c r="B7297" s="5" t="s">
        <v>16583</v>
      </c>
      <c r="C7297" s="5" t="s">
        <v>25</v>
      </c>
      <c r="D7297" s="5" t="s">
        <v>26</v>
      </c>
      <c r="E7297" s="5" t="s">
        <v>116</v>
      </c>
      <c r="F7297" s="9">
        <v>86</v>
      </c>
      <c r="G7297" s="9">
        <v>997</v>
      </c>
      <c r="H7297" s="5" t="s">
        <v>21</v>
      </c>
      <c r="I7297" s="5" t="s">
        <v>16584</v>
      </c>
      <c r="J7297" s="12" t="str">
        <f>HYPERLINK("https://www.boe.es/gazeta/dias/1800/10/24/pdfs/GMD-1800-86.pdf#page=7","Abrir facsímil")</f>
        <v>Abrir facsímil</v>
      </c>
      <c r="K7297" s="15" t="s">
        <v>23</v>
      </c>
    </row>
    <row r="7298" spans="1:11" ht="42" customHeight="1">
      <c r="A7298" s="4" t="s">
        <v>16585</v>
      </c>
      <c r="B7298" s="5" t="s">
        <v>16586</v>
      </c>
      <c r="C7298" s="5" t="s">
        <v>18</v>
      </c>
      <c r="D7298" s="5" t="s">
        <v>19</v>
      </c>
      <c r="E7298" s="5" t="s">
        <v>135</v>
      </c>
      <c r="F7298" s="9">
        <v>73</v>
      </c>
      <c r="G7298" s="9">
        <v>816</v>
      </c>
      <c r="H7298" s="5" t="s">
        <v>21</v>
      </c>
      <c r="I7298" s="5" t="s">
        <v>16587</v>
      </c>
      <c r="J7298" s="12" t="str">
        <f>HYPERLINK("https://www.boe.es/gazeta/dias/1800/09/09/pdfs/GMD-1800-73.pdf#page=10","Abrir facsímil")</f>
        <v>Abrir facsímil</v>
      </c>
      <c r="K7298" s="15" t="s">
        <v>23</v>
      </c>
    </row>
    <row r="7299" spans="1:11" ht="42" customHeight="1">
      <c r="A7299" s="4" t="s">
        <v>16588</v>
      </c>
      <c r="B7299" s="5" t="s">
        <v>16589</v>
      </c>
      <c r="C7299" s="5" t="s">
        <v>54</v>
      </c>
      <c r="D7299" s="5" t="s">
        <v>55</v>
      </c>
      <c r="E7299" s="5" t="s">
        <v>45</v>
      </c>
      <c r="F7299" s="9">
        <v>47</v>
      </c>
      <c r="G7299" s="9">
        <v>502</v>
      </c>
      <c r="H7299" s="5" t="s">
        <v>21</v>
      </c>
      <c r="I7299" s="5" t="s">
        <v>16590</v>
      </c>
      <c r="J7299" s="12" t="str">
        <f>HYPERLINK("https://www.boe.es/gazeta/dias/1800/06/13/pdfs/GMD-1800-47.pdf#page=10","Abrir facsímil")</f>
        <v>Abrir facsímil</v>
      </c>
      <c r="K7299" s="15" t="s">
        <v>23</v>
      </c>
    </row>
    <row r="7300" spans="1:11" ht="42" customHeight="1">
      <c r="A7300" s="4" t="s">
        <v>16591</v>
      </c>
      <c r="B7300" s="5" t="s">
        <v>16592</v>
      </c>
      <c r="C7300" s="5" t="s">
        <v>18</v>
      </c>
      <c r="D7300" s="5" t="s">
        <v>19</v>
      </c>
      <c r="E7300" s="5" t="s">
        <v>48</v>
      </c>
      <c r="F7300" s="9">
        <v>66</v>
      </c>
      <c r="G7300" s="9">
        <v>746</v>
      </c>
      <c r="H7300" s="5" t="s">
        <v>21</v>
      </c>
      <c r="I7300" s="5" t="s">
        <v>16593</v>
      </c>
      <c r="J7300" s="12" t="str">
        <f>HYPERLINK("https://www.boe.es/gazeta/dias/1800/08/19/pdfs/GMD-1800-66.pdf#page=10","Abrir facsímil")</f>
        <v>Abrir facsímil</v>
      </c>
      <c r="K7300" s="15" t="s">
        <v>23</v>
      </c>
    </row>
    <row r="7301" spans="1:11" ht="42" customHeight="1">
      <c r="A7301" s="4" t="s">
        <v>16594</v>
      </c>
      <c r="B7301" s="5" t="s">
        <v>16595</v>
      </c>
      <c r="C7301" s="5" t="s">
        <v>18</v>
      </c>
      <c r="D7301" s="5" t="s">
        <v>19</v>
      </c>
      <c r="E7301" s="5" t="s">
        <v>240</v>
      </c>
      <c r="F7301" s="9">
        <v>26</v>
      </c>
      <c r="G7301" s="9">
        <v>269</v>
      </c>
      <c r="H7301" s="5" t="s">
        <v>21</v>
      </c>
      <c r="I7301" s="5" t="s">
        <v>16596</v>
      </c>
      <c r="J7301" s="12" t="str">
        <f>HYPERLINK("https://www.boe.es/gazeta/dias/1800/04/01/pdfs/GMD-1800-26.pdf#page=9","Abrir facsímil")</f>
        <v>Abrir facsímil</v>
      </c>
      <c r="K7301" s="15" t="s">
        <v>23</v>
      </c>
    </row>
    <row r="7302" spans="1:11" ht="42" customHeight="1">
      <c r="A7302" s="4" t="s">
        <v>16597</v>
      </c>
      <c r="B7302" s="5" t="s">
        <v>16598</v>
      </c>
      <c r="C7302" s="5" t="s">
        <v>18</v>
      </c>
      <c r="D7302" s="5" t="s">
        <v>19</v>
      </c>
      <c r="E7302" s="5" t="s">
        <v>158</v>
      </c>
      <c r="F7302" s="9">
        <v>25</v>
      </c>
      <c r="G7302" s="9">
        <v>256</v>
      </c>
      <c r="H7302" s="5" t="s">
        <v>21</v>
      </c>
      <c r="I7302" s="5" t="s">
        <v>16599</v>
      </c>
      <c r="J7302" s="12" t="str">
        <f>HYPERLINK("https://www.boe.es/gazeta/dias/1800/03/28/pdfs/GMD-1800-25.pdf#page=8","Abrir facsímil")</f>
        <v>Abrir facsímil</v>
      </c>
      <c r="K7302" s="15" t="s">
        <v>23</v>
      </c>
    </row>
    <row r="7303" spans="1:11" ht="42" customHeight="1">
      <c r="A7303" s="4" t="s">
        <v>16600</v>
      </c>
      <c r="B7303" s="5" t="s">
        <v>16601</v>
      </c>
      <c r="C7303" s="5" t="s">
        <v>54</v>
      </c>
      <c r="D7303" s="5" t="s">
        <v>55</v>
      </c>
      <c r="E7303" s="5" t="s">
        <v>184</v>
      </c>
      <c r="F7303" s="9">
        <v>82</v>
      </c>
      <c r="G7303" s="9">
        <v>953</v>
      </c>
      <c r="H7303" s="5" t="s">
        <v>21</v>
      </c>
      <c r="I7303" s="5" t="s">
        <v>16602</v>
      </c>
      <c r="J7303" s="12" t="str">
        <f>HYPERLINK("https://www.boe.es/gazeta/dias/1800/10/10/pdfs/GMD-1800-82.pdf#page=11","Abrir facsímil")</f>
        <v>Abrir facsímil</v>
      </c>
      <c r="K7303" s="15" t="s">
        <v>23</v>
      </c>
    </row>
    <row r="7304" spans="1:11" ht="42" customHeight="1">
      <c r="A7304" s="4" t="s">
        <v>16603</v>
      </c>
      <c r="B7304" s="5" t="s">
        <v>16603</v>
      </c>
      <c r="C7304" s="5" t="s">
        <v>84</v>
      </c>
      <c r="D7304" s="5" t="s">
        <v>85</v>
      </c>
      <c r="E7304" s="5" t="s">
        <v>346</v>
      </c>
      <c r="F7304" s="9">
        <v>24</v>
      </c>
      <c r="G7304" s="9">
        <v>247</v>
      </c>
      <c r="H7304" s="5" t="s">
        <v>21</v>
      </c>
      <c r="I7304" s="5" t="s">
        <v>16604</v>
      </c>
      <c r="J7304" s="12" t="str">
        <f>HYPERLINK("https://www.boe.es/gazeta/dias/1800/03/25/pdfs/GMD-1800-24.pdf#page=11","Abrir facsímil")</f>
        <v>Abrir facsímil</v>
      </c>
      <c r="K7304" s="15" t="s">
        <v>23</v>
      </c>
    </row>
    <row r="7305" spans="1:11" ht="42" customHeight="1">
      <c r="A7305" s="4" t="s">
        <v>16605</v>
      </c>
      <c r="B7305" s="5" t="s">
        <v>16605</v>
      </c>
      <c r="C7305" s="5" t="s">
        <v>18</v>
      </c>
      <c r="D7305" s="5" t="s">
        <v>19</v>
      </c>
      <c r="E7305" s="5" t="s">
        <v>31</v>
      </c>
      <c r="F7305" s="9">
        <v>20</v>
      </c>
      <c r="G7305" s="9">
        <v>192</v>
      </c>
      <c r="H7305" s="5" t="s">
        <v>21</v>
      </c>
      <c r="I7305" s="5" t="s">
        <v>16606</v>
      </c>
      <c r="J7305" s="12" t="str">
        <f>HYPERLINK("https://www.boe.es/gazeta/dias/1800/03/11/pdfs/GMD-1800-20.pdf#page=8","Abrir facsímil")</f>
        <v>Abrir facsímil</v>
      </c>
      <c r="K7305" s="15" t="s">
        <v>23</v>
      </c>
    </row>
    <row r="7306" spans="1:11" ht="42" customHeight="1">
      <c r="A7306" s="4" t="s">
        <v>16607</v>
      </c>
      <c r="B7306" s="5" t="s">
        <v>16607</v>
      </c>
      <c r="C7306" s="5" t="s">
        <v>54</v>
      </c>
      <c r="D7306" s="5" t="s">
        <v>55</v>
      </c>
      <c r="E7306" s="5" t="s">
        <v>45</v>
      </c>
      <c r="F7306" s="9">
        <v>47</v>
      </c>
      <c r="G7306" s="9">
        <v>503</v>
      </c>
      <c r="H7306" s="5" t="s">
        <v>21</v>
      </c>
      <c r="I7306" s="5" t="s">
        <v>16608</v>
      </c>
      <c r="J7306" s="12" t="str">
        <f>HYPERLINK("https://www.boe.es/gazeta/dias/1800/06/13/pdfs/GMD-1800-47.pdf#page=11","Abrir facsímil")</f>
        <v>Abrir facsímil</v>
      </c>
      <c r="K7306" s="15" t="s">
        <v>23</v>
      </c>
    </row>
    <row r="7307" spans="1:11" ht="42" customHeight="1">
      <c r="A7307" s="4" t="s">
        <v>16609</v>
      </c>
      <c r="B7307" s="5" t="s">
        <v>16609</v>
      </c>
      <c r="C7307" s="5" t="s">
        <v>18</v>
      </c>
      <c r="D7307" s="5" t="s">
        <v>19</v>
      </c>
      <c r="E7307" s="5" t="s">
        <v>534</v>
      </c>
      <c r="F7307" s="9">
        <v>100</v>
      </c>
      <c r="G7307" s="9">
        <v>1154</v>
      </c>
      <c r="H7307" s="5" t="s">
        <v>21</v>
      </c>
      <c r="I7307" s="5" t="s">
        <v>16610</v>
      </c>
      <c r="J7307" s="12" t="str">
        <f>HYPERLINK("https://www.boe.es/gazeta/dias/1800/12/12/pdfs/GMD-1800-100.pdf#page=6","Abrir facsímil")</f>
        <v>Abrir facsímil</v>
      </c>
      <c r="K7307" s="15" t="s">
        <v>23</v>
      </c>
    </row>
    <row r="7308" spans="1:11" ht="42" customHeight="1">
      <c r="A7308" s="4" t="s">
        <v>16611</v>
      </c>
      <c r="B7308" s="5" t="s">
        <v>16612</v>
      </c>
      <c r="C7308" s="5" t="s">
        <v>18</v>
      </c>
      <c r="D7308" s="5" t="s">
        <v>19</v>
      </c>
      <c r="E7308" s="5" t="s">
        <v>135</v>
      </c>
      <c r="F7308" s="9">
        <v>73</v>
      </c>
      <c r="G7308" s="9">
        <v>816</v>
      </c>
      <c r="H7308" s="5" t="s">
        <v>21</v>
      </c>
      <c r="I7308" s="5" t="s">
        <v>16613</v>
      </c>
      <c r="J7308" s="12" t="str">
        <f>HYPERLINK("https://www.boe.es/gazeta/dias/1800/09/09/pdfs/GMD-1800-73.pdf#page=10","Abrir facsímil")</f>
        <v>Abrir facsímil</v>
      </c>
      <c r="K7308" s="15" t="s">
        <v>23</v>
      </c>
    </row>
    <row r="7309" spans="1:11" ht="42" customHeight="1">
      <c r="A7309" s="4" t="s">
        <v>16614</v>
      </c>
      <c r="B7309" s="5" t="s">
        <v>16615</v>
      </c>
      <c r="C7309" s="5" t="s">
        <v>18</v>
      </c>
      <c r="D7309" s="5" t="s">
        <v>19</v>
      </c>
      <c r="E7309" s="5" t="s">
        <v>255</v>
      </c>
      <c r="F7309" s="9">
        <v>75</v>
      </c>
      <c r="G7309" s="9">
        <v>854</v>
      </c>
      <c r="H7309" s="5" t="s">
        <v>21</v>
      </c>
      <c r="I7309" s="5" t="s">
        <v>16616</v>
      </c>
      <c r="J7309" s="12" t="str">
        <f>HYPERLINK("https://www.boe.es/gazeta/dias/1800/09/16/pdfs/GMD-1800-75.pdf#page=8","Abrir facsímil")</f>
        <v>Abrir facsímil</v>
      </c>
      <c r="K7309" s="15" t="s">
        <v>23</v>
      </c>
    </row>
    <row r="7310" spans="1:11" ht="42" customHeight="1">
      <c r="A7310" s="4" t="s">
        <v>16617</v>
      </c>
      <c r="B7310" s="5" t="s">
        <v>16618</v>
      </c>
      <c r="C7310" s="5" t="s">
        <v>25</v>
      </c>
      <c r="D7310" s="5" t="s">
        <v>26</v>
      </c>
      <c r="E7310" s="5" t="s">
        <v>306</v>
      </c>
      <c r="F7310" s="9">
        <v>79</v>
      </c>
      <c r="G7310" s="9">
        <v>899</v>
      </c>
      <c r="H7310" s="5" t="s">
        <v>21</v>
      </c>
      <c r="I7310" s="5" t="s">
        <v>16619</v>
      </c>
      <c r="J7310" s="12" t="str">
        <f>HYPERLINK("https://www.boe.es/gazeta/dias/1800/09/30/pdfs/GMD-1800-79.pdf#page=9","Abrir facsímil")</f>
        <v>Abrir facsímil</v>
      </c>
      <c r="K7310" s="15" t="s">
        <v>23</v>
      </c>
    </row>
    <row r="7311" spans="1:11" ht="42" customHeight="1">
      <c r="A7311" s="4" t="s">
        <v>16620</v>
      </c>
      <c r="B7311" s="5" t="s">
        <v>16621</v>
      </c>
      <c r="C7311" s="5" t="s">
        <v>18</v>
      </c>
      <c r="D7311" s="5" t="s">
        <v>19</v>
      </c>
      <c r="E7311" s="5" t="s">
        <v>244</v>
      </c>
      <c r="F7311" s="9">
        <v>9</v>
      </c>
      <c r="G7311" s="9">
        <v>86</v>
      </c>
      <c r="H7311" s="5" t="s">
        <v>21</v>
      </c>
      <c r="I7311" s="5" t="s">
        <v>16622</v>
      </c>
      <c r="J7311" s="12" t="str">
        <f>HYPERLINK("https://www.boe.es/gazeta/dias/1800/01/31/pdfs/GMD-1800-9.pdf#page=10","Abrir facsímil")</f>
        <v>Abrir facsímil</v>
      </c>
      <c r="K7311" s="15" t="s">
        <v>23</v>
      </c>
    </row>
    <row r="7312" spans="1:11" ht="42" customHeight="1">
      <c r="A7312" s="4" t="s">
        <v>16623</v>
      </c>
      <c r="B7312" s="5" t="s">
        <v>16623</v>
      </c>
      <c r="C7312" s="5" t="s">
        <v>41</v>
      </c>
      <c r="D7312" s="5" t="s">
        <v>42</v>
      </c>
      <c r="E7312" s="5" t="s">
        <v>465</v>
      </c>
      <c r="F7312" s="9">
        <v>49</v>
      </c>
      <c r="G7312" s="9">
        <v>528</v>
      </c>
      <c r="H7312" s="5" t="s">
        <v>21</v>
      </c>
      <c r="I7312" s="5" t="s">
        <v>16624</v>
      </c>
      <c r="J7312" s="12" t="str">
        <f>HYPERLINK("https://www.boe.es/gazeta/dias/1800/06/20/pdfs/GMD-1800-49.pdf#page=4","Abrir facsímil")</f>
        <v>Abrir facsímil</v>
      </c>
      <c r="K7312" s="15" t="s">
        <v>23</v>
      </c>
    </row>
    <row r="7313" spans="1:11" ht="42" customHeight="1">
      <c r="A7313" s="4" t="s">
        <v>16625</v>
      </c>
      <c r="B7313" s="5" t="s">
        <v>16626</v>
      </c>
      <c r="C7313" s="5" t="s">
        <v>18</v>
      </c>
      <c r="D7313" s="5" t="s">
        <v>19</v>
      </c>
      <c r="E7313" s="5" t="s">
        <v>240</v>
      </c>
      <c r="F7313" s="9">
        <v>26</v>
      </c>
      <c r="G7313" s="9">
        <v>268</v>
      </c>
      <c r="H7313" s="5" t="s">
        <v>21</v>
      </c>
      <c r="I7313" s="5" t="s">
        <v>16627</v>
      </c>
      <c r="J7313" s="12" t="str">
        <f>HYPERLINK("https://www.boe.es/gazeta/dias/1800/04/01/pdfs/GMD-1800-26.pdf#page=8","Abrir facsímil")</f>
        <v>Abrir facsímil</v>
      </c>
      <c r="K7313" s="15" t="s">
        <v>23</v>
      </c>
    </row>
    <row r="7314" spans="1:11" ht="42" customHeight="1">
      <c r="A7314" s="4" t="s">
        <v>16628</v>
      </c>
      <c r="B7314" s="5" t="s">
        <v>16629</v>
      </c>
      <c r="C7314" s="5" t="s">
        <v>18</v>
      </c>
      <c r="D7314" s="5" t="s">
        <v>19</v>
      </c>
      <c r="E7314" s="5" t="s">
        <v>600</v>
      </c>
      <c r="F7314" s="9">
        <v>45</v>
      </c>
      <c r="G7314" s="9">
        <v>472</v>
      </c>
      <c r="H7314" s="5" t="s">
        <v>21</v>
      </c>
      <c r="I7314" s="5" t="s">
        <v>16630</v>
      </c>
      <c r="J7314" s="12" t="str">
        <f>HYPERLINK("https://www.boe.es/gazeta/dias/1800/06/06/pdfs/GMD-1800-45.pdf#page=8","Abrir facsímil")</f>
        <v>Abrir facsímil</v>
      </c>
      <c r="K7314" s="15" t="s">
        <v>23</v>
      </c>
    </row>
    <row r="7315" spans="1:11" ht="42" customHeight="1">
      <c r="A7315" s="4" t="s">
        <v>16631</v>
      </c>
      <c r="B7315" s="5" t="s">
        <v>16632</v>
      </c>
      <c r="C7315" s="5" t="s">
        <v>207</v>
      </c>
      <c r="D7315" s="5" t="s">
        <v>55</v>
      </c>
      <c r="E7315" s="5" t="s">
        <v>75</v>
      </c>
      <c r="F7315" s="9">
        <v>64</v>
      </c>
      <c r="G7315" s="9">
        <v>733</v>
      </c>
      <c r="H7315" s="5" t="s">
        <v>21</v>
      </c>
      <c r="I7315" s="5" t="s">
        <v>16633</v>
      </c>
      <c r="J7315" s="12" t="str">
        <f>HYPERLINK("https://www.boe.es/gazeta/dias/1800/08/12/pdfs/GMD-1800-64.pdf#page=9","Abrir facsímil")</f>
        <v>Abrir facsímil</v>
      </c>
      <c r="K7315" s="15" t="s">
        <v>23</v>
      </c>
    </row>
    <row r="7316" spans="1:11" ht="42" customHeight="1">
      <c r="A7316" s="4" t="s">
        <v>16634</v>
      </c>
      <c r="B7316" s="5" t="s">
        <v>16635</v>
      </c>
      <c r="C7316" s="5" t="s">
        <v>18</v>
      </c>
      <c r="D7316" s="5" t="s">
        <v>19</v>
      </c>
      <c r="E7316" s="5" t="s">
        <v>56</v>
      </c>
      <c r="F7316" s="9">
        <v>90</v>
      </c>
      <c r="G7316" s="9">
        <v>1055</v>
      </c>
      <c r="H7316" s="5" t="s">
        <v>21</v>
      </c>
      <c r="I7316" s="5" t="s">
        <v>16636</v>
      </c>
      <c r="J7316" s="12" t="str">
        <f>HYPERLINK("https://www.boe.es/gazeta/dias/1800/11/07/pdfs/GMD-1800-90.pdf#page=9","Abrir facsímil")</f>
        <v>Abrir facsímil</v>
      </c>
      <c r="K7316" s="15" t="s">
        <v>23</v>
      </c>
    </row>
    <row r="7317" spans="1:11" ht="42" customHeight="1">
      <c r="A7317" s="4" t="s">
        <v>16637</v>
      </c>
      <c r="B7317" s="5" t="s">
        <v>16638</v>
      </c>
      <c r="C7317" s="5" t="s">
        <v>54</v>
      </c>
      <c r="D7317" s="5" t="s">
        <v>55</v>
      </c>
      <c r="E7317" s="5" t="s">
        <v>154</v>
      </c>
      <c r="F7317" s="9">
        <v>61</v>
      </c>
      <c r="G7317" s="9">
        <v>698</v>
      </c>
      <c r="H7317" s="5" t="s">
        <v>21</v>
      </c>
      <c r="I7317" s="5" t="s">
        <v>16639</v>
      </c>
      <c r="J7317" s="12" t="str">
        <f>HYPERLINK("https://www.boe.es/gazeta/dias/1800/08/01/pdfs/GMD-1800-61.pdf#page=10","Abrir facsímil")</f>
        <v>Abrir facsímil</v>
      </c>
      <c r="K7317" s="15" t="s">
        <v>23</v>
      </c>
    </row>
    <row r="7318" spans="1:11" ht="42" customHeight="1">
      <c r="A7318" s="4" t="s">
        <v>16640</v>
      </c>
      <c r="B7318" s="5" t="s">
        <v>16640</v>
      </c>
      <c r="C7318" s="5" t="s">
        <v>54</v>
      </c>
      <c r="D7318" s="5" t="s">
        <v>55</v>
      </c>
      <c r="E7318" s="5" t="s">
        <v>143</v>
      </c>
      <c r="F7318" s="9">
        <v>22</v>
      </c>
      <c r="G7318" s="9">
        <v>216</v>
      </c>
      <c r="H7318" s="5" t="s">
        <v>21</v>
      </c>
      <c r="I7318" s="5" t="s">
        <v>16641</v>
      </c>
      <c r="J7318" s="12" t="str">
        <f>HYPERLINK("https://www.boe.es/gazeta/dias/1800/03/18/pdfs/GMD-1800-22.pdf#page=8","Abrir facsímil")</f>
        <v>Abrir facsímil</v>
      </c>
      <c r="K7318" s="15" t="s">
        <v>23</v>
      </c>
    </row>
    <row r="7319" spans="1:11" ht="42" customHeight="1">
      <c r="A7319" s="4" t="s">
        <v>16642</v>
      </c>
      <c r="B7319" s="5" t="s">
        <v>16643</v>
      </c>
      <c r="C7319" s="5" t="s">
        <v>54</v>
      </c>
      <c r="D7319" s="5" t="s">
        <v>55</v>
      </c>
      <c r="E7319" s="5" t="s">
        <v>35</v>
      </c>
      <c r="F7319" s="9">
        <v>21</v>
      </c>
      <c r="G7319" s="9">
        <v>206</v>
      </c>
      <c r="H7319" s="5" t="s">
        <v>21</v>
      </c>
      <c r="I7319" s="5" t="s">
        <v>16644</v>
      </c>
      <c r="J7319" s="12" t="str">
        <f>HYPERLINK("https://www.boe.es/gazeta/dias/1800/03/14/pdfs/GMD-1800-21.pdf#page=10","Abrir facsímil")</f>
        <v>Abrir facsímil</v>
      </c>
      <c r="K7319" s="15" t="s">
        <v>23</v>
      </c>
    </row>
    <row r="7320" spans="1:11" ht="42" customHeight="1">
      <c r="A7320" s="4" t="s">
        <v>16645</v>
      </c>
      <c r="B7320" s="5" t="s">
        <v>16646</v>
      </c>
      <c r="C7320" s="5" t="s">
        <v>41</v>
      </c>
      <c r="D7320" s="5" t="s">
        <v>42</v>
      </c>
      <c r="E7320" s="5" t="s">
        <v>422</v>
      </c>
      <c r="F7320" s="9">
        <v>85</v>
      </c>
      <c r="G7320" s="9">
        <v>979</v>
      </c>
      <c r="H7320" s="5" t="s">
        <v>21</v>
      </c>
      <c r="I7320" s="5" t="s">
        <v>16647</v>
      </c>
      <c r="J7320" s="12" t="str">
        <f>HYPERLINK("https://www.boe.es/gazeta/dias/1800/10/21/pdfs/GMD-1800-85.pdf#page=1","Abrir facsímil")</f>
        <v>Abrir facsímil</v>
      </c>
      <c r="K7320" s="15" t="s">
        <v>23</v>
      </c>
    </row>
    <row r="7321" spans="1:11" ht="42" customHeight="1">
      <c r="A7321" s="4" t="s">
        <v>16648</v>
      </c>
      <c r="B7321" s="5" t="s">
        <v>16649</v>
      </c>
      <c r="C7321" s="5" t="s">
        <v>18</v>
      </c>
      <c r="D7321" s="5" t="s">
        <v>19</v>
      </c>
      <c r="E7321" s="5" t="s">
        <v>595</v>
      </c>
      <c r="F7321" s="9">
        <v>72</v>
      </c>
      <c r="G7321" s="9">
        <v>797</v>
      </c>
      <c r="H7321" s="5" t="s">
        <v>21</v>
      </c>
      <c r="I7321" s="5" t="s">
        <v>16650</v>
      </c>
      <c r="J7321" s="12" t="str">
        <f>HYPERLINK("https://www.boe.es/gazeta/dias/1800/09/05/pdfs/GMD-1800-72.pdf#page=7","Abrir facsímil")</f>
        <v>Abrir facsímil</v>
      </c>
      <c r="K7321" s="15" t="s">
        <v>23</v>
      </c>
    </row>
    <row r="7322" spans="1:11" ht="42" customHeight="1">
      <c r="A7322" s="4" t="s">
        <v>16651</v>
      </c>
      <c r="B7322" s="5" t="s">
        <v>16651</v>
      </c>
      <c r="C7322" s="5" t="s">
        <v>84</v>
      </c>
      <c r="D7322" s="5" t="s">
        <v>85</v>
      </c>
      <c r="E7322" s="5" t="s">
        <v>52</v>
      </c>
      <c r="F7322" s="9">
        <v>83</v>
      </c>
      <c r="G7322" s="9">
        <v>966</v>
      </c>
      <c r="H7322" s="5" t="s">
        <v>21</v>
      </c>
      <c r="I7322" s="5" t="s">
        <v>16652</v>
      </c>
      <c r="J7322" s="12" t="str">
        <f>HYPERLINK("https://www.boe.es/gazeta/dias/1800/10/14/pdfs/GMD-1800-83.pdf#page=12","Abrir facsímil")</f>
        <v>Abrir facsímil</v>
      </c>
      <c r="K7322" s="15" t="s">
        <v>23</v>
      </c>
    </row>
    <row r="7323" spans="1:11" ht="42" customHeight="1">
      <c r="A7323" s="4" t="s">
        <v>16653</v>
      </c>
      <c r="B7323" s="5" t="s">
        <v>16654</v>
      </c>
      <c r="C7323" s="5" t="s">
        <v>18</v>
      </c>
      <c r="D7323" s="5" t="s">
        <v>19</v>
      </c>
      <c r="E7323" s="5" t="s">
        <v>329</v>
      </c>
      <c r="F7323" s="9">
        <v>99</v>
      </c>
      <c r="G7323" s="9">
        <v>1138</v>
      </c>
      <c r="H7323" s="5" t="s">
        <v>21</v>
      </c>
      <c r="I7323" s="5" t="s">
        <v>16655</v>
      </c>
      <c r="J7323" s="12" t="str">
        <f>HYPERLINK("https://www.boe.es/gazeta/dias/1800/12/09/pdfs/GMD-1800-99.pdf#page=6","Abrir facsímil")</f>
        <v>Abrir facsímil</v>
      </c>
      <c r="K7323" s="15" t="s">
        <v>23</v>
      </c>
    </row>
    <row r="7324" spans="1:11" ht="42" customHeight="1">
      <c r="A7324" s="4" t="s">
        <v>16656</v>
      </c>
      <c r="B7324" s="5" t="s">
        <v>16657</v>
      </c>
      <c r="C7324" s="5" t="s">
        <v>18</v>
      </c>
      <c r="D7324" s="5" t="s">
        <v>19</v>
      </c>
      <c r="E7324" s="5" t="s">
        <v>139</v>
      </c>
      <c r="F7324" s="9">
        <v>2</v>
      </c>
      <c r="G7324" s="9">
        <v>18</v>
      </c>
      <c r="H7324" s="5" t="s">
        <v>21</v>
      </c>
      <c r="I7324" s="5" t="s">
        <v>16658</v>
      </c>
      <c r="J7324" s="12" t="str">
        <f>HYPERLINK("https://www.boe.es/gazeta/dias/1800/01/07/pdfs/GMD-1800-2.pdf#page=10","Abrir facsímil")</f>
        <v>Abrir facsímil</v>
      </c>
      <c r="K7324" s="15" t="s">
        <v>23</v>
      </c>
    </row>
    <row r="7325" spans="1:11" ht="42" customHeight="1">
      <c r="A7325" s="4" t="s">
        <v>16659</v>
      </c>
      <c r="B7325" s="5" t="s">
        <v>16659</v>
      </c>
      <c r="C7325" s="5" t="s">
        <v>25</v>
      </c>
      <c r="D7325" s="5" t="s">
        <v>26</v>
      </c>
      <c r="E7325" s="5" t="s">
        <v>48</v>
      </c>
      <c r="F7325" s="9">
        <v>66</v>
      </c>
      <c r="G7325" s="9">
        <v>747</v>
      </c>
      <c r="H7325" s="5" t="s">
        <v>21</v>
      </c>
      <c r="I7325" s="5" t="s">
        <v>16660</v>
      </c>
      <c r="J7325" s="12" t="str">
        <f>HYPERLINK("https://www.boe.es/gazeta/dias/1800/08/19/pdfs/GMD-1800-66.pdf#page=11","Abrir facsímil")</f>
        <v>Abrir facsímil</v>
      </c>
      <c r="K7325" s="15" t="s">
        <v>23</v>
      </c>
    </row>
    <row r="7326" spans="1:11" ht="42" customHeight="1">
      <c r="A7326" s="4" t="s">
        <v>16661</v>
      </c>
      <c r="B7326" s="5" t="s">
        <v>16662</v>
      </c>
      <c r="C7326" s="5" t="s">
        <v>18</v>
      </c>
      <c r="D7326" s="5" t="s">
        <v>19</v>
      </c>
      <c r="E7326" s="5" t="s">
        <v>64</v>
      </c>
      <c r="F7326" s="9">
        <v>54</v>
      </c>
      <c r="G7326" s="9">
        <v>606</v>
      </c>
      <c r="H7326" s="5" t="s">
        <v>21</v>
      </c>
      <c r="I7326" s="5" t="s">
        <v>16663</v>
      </c>
      <c r="J7326" s="12" t="str">
        <f>HYPERLINK("https://www.boe.es/gazeta/dias/1800/07/08/pdfs/GMD-1800-54.pdf#page=10","Abrir facsímil")</f>
        <v>Abrir facsímil</v>
      </c>
      <c r="K7326" s="15" t="s">
        <v>23</v>
      </c>
    </row>
    <row r="7327" spans="1:11" ht="42" customHeight="1">
      <c r="A7327" s="4" t="s">
        <v>16664</v>
      </c>
      <c r="B7327" s="5" t="s">
        <v>16664</v>
      </c>
      <c r="C7327" s="5" t="s">
        <v>18</v>
      </c>
      <c r="D7327" s="5" t="s">
        <v>19</v>
      </c>
      <c r="E7327" s="5" t="s">
        <v>445</v>
      </c>
      <c r="F7327" s="9">
        <v>96</v>
      </c>
      <c r="G7327" s="9">
        <v>1104</v>
      </c>
      <c r="H7327" s="5" t="s">
        <v>21</v>
      </c>
      <c r="I7327" s="5" t="s">
        <v>16665</v>
      </c>
      <c r="J7327" s="12" t="str">
        <f>HYPERLINK("https://www.boe.es/gazeta/dias/1800/11/28/pdfs/GMD-1800-96.pdf#page=8","Abrir facsímil")</f>
        <v>Abrir facsímil</v>
      </c>
      <c r="K7327" s="15" t="s">
        <v>23</v>
      </c>
    </row>
    <row r="7328" spans="1:11" ht="42" customHeight="1">
      <c r="A7328" s="4" t="s">
        <v>16666</v>
      </c>
      <c r="B7328" s="5" t="s">
        <v>16667</v>
      </c>
      <c r="C7328" s="5" t="s">
        <v>41</v>
      </c>
      <c r="D7328" s="5" t="s">
        <v>42</v>
      </c>
      <c r="E7328" s="5" t="s">
        <v>402</v>
      </c>
      <c r="F7328" s="9">
        <v>101</v>
      </c>
      <c r="G7328" s="9">
        <v>1172</v>
      </c>
      <c r="H7328" s="5" t="s">
        <v>21</v>
      </c>
      <c r="I7328" s="5" t="s">
        <v>16668</v>
      </c>
      <c r="J7328" s="12" t="str">
        <f>HYPERLINK("https://www.boe.es/gazeta/dias/1800/12/16/pdfs/GMD-1800-101.pdf#page=8","Abrir facsímil")</f>
        <v>Abrir facsímil</v>
      </c>
      <c r="K7328" s="15" t="s">
        <v>23</v>
      </c>
    </row>
    <row r="7329" spans="1:11" ht="42" customHeight="1">
      <c r="A7329" s="4" t="s">
        <v>16669</v>
      </c>
      <c r="B7329" s="5" t="s">
        <v>16669</v>
      </c>
      <c r="C7329" s="5" t="s">
        <v>25</v>
      </c>
      <c r="D7329" s="5" t="s">
        <v>26</v>
      </c>
      <c r="E7329" s="5" t="s">
        <v>214</v>
      </c>
      <c r="F7329" s="9">
        <v>41</v>
      </c>
      <c r="G7329" s="9">
        <v>424</v>
      </c>
      <c r="H7329" s="5" t="s">
        <v>21</v>
      </c>
      <c r="I7329" s="5" t="s">
        <v>16670</v>
      </c>
      <c r="J7329" s="12" t="str">
        <f>HYPERLINK("https://www.boe.es/gazeta/dias/1800/05/23/pdfs/GMD-1800-41.pdf#page=8","Abrir facsímil")</f>
        <v>Abrir facsímil</v>
      </c>
      <c r="K7329" s="15" t="s">
        <v>23</v>
      </c>
    </row>
    <row r="7330" spans="1:11" ht="42" customHeight="1">
      <c r="A7330" s="4" t="s">
        <v>16671</v>
      </c>
      <c r="B7330" s="5" t="s">
        <v>16671</v>
      </c>
      <c r="C7330" s="5" t="s">
        <v>41</v>
      </c>
      <c r="D7330" s="5" t="s">
        <v>42</v>
      </c>
      <c r="E7330" s="5" t="s">
        <v>135</v>
      </c>
      <c r="F7330" s="9">
        <v>73</v>
      </c>
      <c r="G7330" s="9">
        <v>812</v>
      </c>
      <c r="H7330" s="5" t="s">
        <v>21</v>
      </c>
      <c r="I7330" s="5" t="s">
        <v>16672</v>
      </c>
      <c r="J7330" s="12" t="str">
        <f>HYPERLINK("https://www.boe.es/gazeta/dias/1800/09/09/pdfs/GMD-1800-73.pdf#page=6","Abrir facsímil")</f>
        <v>Abrir facsímil</v>
      </c>
      <c r="K7330" s="15" t="s">
        <v>23</v>
      </c>
    </row>
    <row r="7331" spans="1:11" ht="42" customHeight="1">
      <c r="A7331" s="4" t="s">
        <v>16673</v>
      </c>
      <c r="B7331" s="5" t="s">
        <v>16674</v>
      </c>
      <c r="C7331" s="5" t="s">
        <v>25</v>
      </c>
      <c r="D7331" s="5" t="s">
        <v>26</v>
      </c>
      <c r="E7331" s="5" t="s">
        <v>45</v>
      </c>
      <c r="F7331" s="9">
        <v>47</v>
      </c>
      <c r="G7331" s="9">
        <v>502</v>
      </c>
      <c r="H7331" s="5" t="s">
        <v>21</v>
      </c>
      <c r="I7331" s="5" t="s">
        <v>16675</v>
      </c>
      <c r="J7331" s="12" t="str">
        <f>HYPERLINK("https://www.boe.es/gazeta/dias/1800/06/13/pdfs/GMD-1800-47.pdf#page=10","Abrir facsímil")</f>
        <v>Abrir facsímil</v>
      </c>
      <c r="K7331" s="15" t="s">
        <v>23</v>
      </c>
    </row>
    <row r="7332" spans="1:11" ht="42" customHeight="1">
      <c r="A7332" s="4" t="s">
        <v>16676</v>
      </c>
      <c r="B7332" s="5" t="s">
        <v>16677</v>
      </c>
      <c r="C7332" s="5" t="s">
        <v>54</v>
      </c>
      <c r="D7332" s="5" t="s">
        <v>55</v>
      </c>
      <c r="E7332" s="5" t="s">
        <v>314</v>
      </c>
      <c r="F7332" s="9">
        <v>74</v>
      </c>
      <c r="G7332" s="9">
        <v>834</v>
      </c>
      <c r="H7332" s="5" t="s">
        <v>21</v>
      </c>
      <c r="I7332" s="5" t="s">
        <v>16678</v>
      </c>
      <c r="J7332" s="12" t="str">
        <f>HYPERLINK("https://www.boe.es/gazeta/dias/1800/09/12/pdfs/GMD-1800-74.pdf#page=12","Abrir facsímil")</f>
        <v>Abrir facsímil</v>
      </c>
      <c r="K7332" s="15" t="s">
        <v>23</v>
      </c>
    </row>
    <row r="7333" spans="1:11" ht="42" customHeight="1">
      <c r="A7333" s="4" t="s">
        <v>16679</v>
      </c>
      <c r="B7333" s="5" t="s">
        <v>16680</v>
      </c>
      <c r="C7333" s="5" t="s">
        <v>207</v>
      </c>
      <c r="D7333" s="5" t="s">
        <v>55</v>
      </c>
      <c r="E7333" s="5" t="s">
        <v>590</v>
      </c>
      <c r="F7333" s="9">
        <v>69</v>
      </c>
      <c r="G7333" s="9">
        <v>775</v>
      </c>
      <c r="H7333" s="5" t="s">
        <v>21</v>
      </c>
      <c r="I7333" s="5" t="s">
        <v>16681</v>
      </c>
      <c r="J7333" s="12" t="str">
        <f>HYPERLINK("https://www.boe.es/gazeta/dias/1800/08/29/pdfs/GMD-1800-69.pdf#page=7","Abrir facsímil")</f>
        <v>Abrir facsímil</v>
      </c>
      <c r="K7333" s="15" t="s">
        <v>23</v>
      </c>
    </row>
    <row r="7334" spans="1:11" ht="42" customHeight="1">
      <c r="A7334" s="4" t="s">
        <v>16682</v>
      </c>
      <c r="B7334" s="5" t="s">
        <v>16683</v>
      </c>
      <c r="C7334" s="5" t="s">
        <v>18</v>
      </c>
      <c r="D7334" s="5" t="s">
        <v>19</v>
      </c>
      <c r="E7334" s="5" t="s">
        <v>787</v>
      </c>
      <c r="F7334" s="9">
        <v>6</v>
      </c>
      <c r="G7334" s="9">
        <v>53</v>
      </c>
      <c r="H7334" s="5" t="s">
        <v>21</v>
      </c>
      <c r="I7334" s="5" t="s">
        <v>16684</v>
      </c>
      <c r="J7334" s="12" t="str">
        <f>HYPERLINK("https://www.boe.es/gazeta/dias/1800/01/21/pdfs/GMD-1800-6.pdf#page=5","Abrir facsímil")</f>
        <v>Abrir facsímil</v>
      </c>
      <c r="K7334" s="15" t="s">
        <v>23</v>
      </c>
    </row>
    <row r="7335" spans="1:11" ht="42" customHeight="1">
      <c r="A7335" s="4" t="s">
        <v>16685</v>
      </c>
      <c r="B7335" s="5" t="s">
        <v>16686</v>
      </c>
      <c r="C7335" s="5" t="s">
        <v>18</v>
      </c>
      <c r="D7335" s="5" t="s">
        <v>19</v>
      </c>
      <c r="E7335" s="5" t="s">
        <v>595</v>
      </c>
      <c r="F7335" s="9">
        <v>72</v>
      </c>
      <c r="G7335" s="9">
        <v>797</v>
      </c>
      <c r="H7335" s="5" t="s">
        <v>21</v>
      </c>
      <c r="I7335" s="5" t="s">
        <v>16687</v>
      </c>
      <c r="J7335" s="12" t="str">
        <f>HYPERLINK("https://www.boe.es/gazeta/dias/1800/09/05/pdfs/GMD-1800-72.pdf#page=7","Abrir facsímil")</f>
        <v>Abrir facsímil</v>
      </c>
      <c r="K7335" s="15" t="s">
        <v>23</v>
      </c>
    </row>
    <row r="7336" spans="1:11" ht="42" customHeight="1">
      <c r="A7336" s="4" t="s">
        <v>16688</v>
      </c>
      <c r="B7336" s="5" t="s">
        <v>16689</v>
      </c>
      <c r="C7336" s="5" t="s">
        <v>18</v>
      </c>
      <c r="D7336" s="5" t="s">
        <v>19</v>
      </c>
      <c r="E7336" s="5" t="s">
        <v>43</v>
      </c>
      <c r="F7336" s="9">
        <v>46</v>
      </c>
      <c r="G7336" s="9">
        <v>480</v>
      </c>
      <c r="H7336" s="5" t="s">
        <v>21</v>
      </c>
      <c r="I7336" s="5" t="s">
        <v>16690</v>
      </c>
      <c r="J7336" s="12" t="str">
        <f>HYPERLINK("https://www.boe.es/gazeta/dias/1800/06/10/pdfs/GMD-1800-46.pdf#page=4","Abrir facsímil")</f>
        <v>Abrir facsímil</v>
      </c>
      <c r="K7336" s="15" t="s">
        <v>23</v>
      </c>
    </row>
    <row r="7337" spans="1:11" ht="42" customHeight="1">
      <c r="A7337" s="4" t="s">
        <v>16691</v>
      </c>
      <c r="B7337" s="5" t="s">
        <v>16691</v>
      </c>
      <c r="C7337" s="5" t="s">
        <v>25</v>
      </c>
      <c r="D7337" s="5" t="s">
        <v>26</v>
      </c>
      <c r="E7337" s="5" t="s">
        <v>402</v>
      </c>
      <c r="F7337" s="9">
        <v>101</v>
      </c>
      <c r="G7337" s="9">
        <v>1173</v>
      </c>
      <c r="H7337" s="5" t="s">
        <v>21</v>
      </c>
      <c r="I7337" s="5" t="s">
        <v>16692</v>
      </c>
      <c r="J7337" s="12" t="str">
        <f>HYPERLINK("https://www.boe.es/gazeta/dias/1800/12/16/pdfs/GMD-1800-101.pdf#page=9","Abrir facsímil")</f>
        <v>Abrir facsímil</v>
      </c>
      <c r="K7337" s="15" t="s">
        <v>23</v>
      </c>
    </row>
    <row r="7338" spans="1:11" ht="42" customHeight="1">
      <c r="A7338" s="4" t="s">
        <v>16693</v>
      </c>
      <c r="B7338" s="5" t="s">
        <v>16693</v>
      </c>
      <c r="C7338" s="5" t="s">
        <v>25</v>
      </c>
      <c r="D7338" s="5" t="s">
        <v>26</v>
      </c>
      <c r="E7338" s="5" t="s">
        <v>45</v>
      </c>
      <c r="F7338" s="9">
        <v>47</v>
      </c>
      <c r="G7338" s="9">
        <v>503</v>
      </c>
      <c r="H7338" s="5" t="s">
        <v>21</v>
      </c>
      <c r="I7338" s="5" t="s">
        <v>16694</v>
      </c>
      <c r="J7338" s="12" t="str">
        <f>HYPERLINK("https://www.boe.es/gazeta/dias/1800/06/13/pdfs/GMD-1800-47.pdf#page=11","Abrir facsímil")</f>
        <v>Abrir facsímil</v>
      </c>
      <c r="K7338" s="15" t="s">
        <v>23</v>
      </c>
    </row>
    <row r="7339" spans="1:11" ht="42" customHeight="1">
      <c r="A7339" s="4" t="s">
        <v>16695</v>
      </c>
      <c r="B7339" s="5" t="s">
        <v>16695</v>
      </c>
      <c r="C7339" s="5" t="s">
        <v>25</v>
      </c>
      <c r="D7339" s="5" t="s">
        <v>26</v>
      </c>
      <c r="E7339" s="5" t="s">
        <v>45</v>
      </c>
      <c r="F7339" s="9">
        <v>47</v>
      </c>
      <c r="G7339" s="9">
        <v>503</v>
      </c>
      <c r="H7339" s="5" t="s">
        <v>21</v>
      </c>
      <c r="I7339" s="5" t="s">
        <v>16696</v>
      </c>
      <c r="J7339" s="12" t="str">
        <f>HYPERLINK("https://www.boe.es/gazeta/dias/1800/06/13/pdfs/GMD-1800-47.pdf#page=11","Abrir facsímil")</f>
        <v>Abrir facsímil</v>
      </c>
      <c r="K7339" s="15" t="s">
        <v>23</v>
      </c>
    </row>
    <row r="7340" spans="1:11" ht="42" customHeight="1">
      <c r="A7340" s="4" t="s">
        <v>16697</v>
      </c>
      <c r="B7340" s="5" t="s">
        <v>16697</v>
      </c>
      <c r="C7340" s="5" t="s">
        <v>25</v>
      </c>
      <c r="D7340" s="5" t="s">
        <v>26</v>
      </c>
      <c r="E7340" s="5" t="s">
        <v>356</v>
      </c>
      <c r="F7340" s="9">
        <v>31</v>
      </c>
      <c r="G7340" s="9">
        <v>315</v>
      </c>
      <c r="H7340" s="5" t="s">
        <v>21</v>
      </c>
      <c r="I7340" s="5" t="s">
        <v>16698</v>
      </c>
      <c r="J7340" s="12" t="str">
        <f>HYPERLINK("https://www.boe.es/gazeta/dias/1800/04/18/pdfs/GMD-1800-31.pdf#page=7","Abrir facsímil")</f>
        <v>Abrir facsímil</v>
      </c>
      <c r="K7340" s="15" t="s">
        <v>23</v>
      </c>
    </row>
    <row r="7341" spans="1:11" ht="42" customHeight="1">
      <c r="A7341" s="4" t="s">
        <v>16699</v>
      </c>
      <c r="B7341" s="5" t="s">
        <v>16700</v>
      </c>
      <c r="C7341" s="5" t="s">
        <v>114</v>
      </c>
      <c r="D7341" s="5" t="s">
        <v>115</v>
      </c>
      <c r="E7341" s="5" t="s">
        <v>116</v>
      </c>
      <c r="F7341" s="9">
        <v>86</v>
      </c>
      <c r="G7341" s="9" t="s">
        <v>117</v>
      </c>
      <c r="H7341" s="5" t="s">
        <v>21</v>
      </c>
      <c r="I7341" s="5" t="s">
        <v>16701</v>
      </c>
      <c r="J7341" s="12" t="str">
        <f>HYPERLINK("https://www.boe.es/gazeta/dias/1800/10/24/pdfs/GMD-D-1800-86.pdf#page=3","Abrir facsímil")</f>
        <v>Abrir facsímil</v>
      </c>
      <c r="K7341" s="15" t="s">
        <v>23</v>
      </c>
    </row>
    <row r="7342" spans="1:11" ht="42" customHeight="1">
      <c r="A7342" s="4" t="s">
        <v>16702</v>
      </c>
      <c r="B7342" s="5" t="s">
        <v>16703</v>
      </c>
      <c r="C7342" s="5" t="s">
        <v>25</v>
      </c>
      <c r="D7342" s="5" t="s">
        <v>26</v>
      </c>
      <c r="E7342" s="5" t="s">
        <v>402</v>
      </c>
      <c r="F7342" s="9">
        <v>101</v>
      </c>
      <c r="G7342" s="9">
        <v>1173</v>
      </c>
      <c r="H7342" s="5" t="s">
        <v>21</v>
      </c>
      <c r="I7342" s="5" t="s">
        <v>16704</v>
      </c>
      <c r="J7342" s="12" t="str">
        <f>HYPERLINK("https://www.boe.es/gazeta/dias/1800/12/16/pdfs/GMD-1800-101.pdf#page=9","Abrir facsímil")</f>
        <v>Abrir facsímil</v>
      </c>
      <c r="K7342" s="15" t="s">
        <v>23</v>
      </c>
    </row>
    <row r="7343" spans="1:11" ht="42" customHeight="1">
      <c r="A7343" s="4" t="s">
        <v>16705</v>
      </c>
      <c r="B7343" s="5" t="s">
        <v>16706</v>
      </c>
      <c r="C7343" s="5" t="s">
        <v>18</v>
      </c>
      <c r="D7343" s="5" t="s">
        <v>19</v>
      </c>
      <c r="E7343" s="5" t="s">
        <v>595</v>
      </c>
      <c r="F7343" s="9">
        <v>72</v>
      </c>
      <c r="G7343" s="9">
        <v>797</v>
      </c>
      <c r="H7343" s="5" t="s">
        <v>21</v>
      </c>
      <c r="I7343" s="5" t="s">
        <v>16707</v>
      </c>
      <c r="J7343" s="12" t="str">
        <f>HYPERLINK("https://www.boe.es/gazeta/dias/1800/09/05/pdfs/GMD-1800-72.pdf#page=7","Abrir facsímil")</f>
        <v>Abrir facsímil</v>
      </c>
      <c r="K7343" s="15" t="s">
        <v>23</v>
      </c>
    </row>
    <row r="7344" spans="1:11" ht="42" customHeight="1">
      <c r="A7344" s="4" t="s">
        <v>16708</v>
      </c>
      <c r="B7344" s="5" t="s">
        <v>16709</v>
      </c>
      <c r="C7344" s="5" t="s">
        <v>41</v>
      </c>
      <c r="D7344" s="5" t="s">
        <v>42</v>
      </c>
      <c r="E7344" s="5" t="s">
        <v>90</v>
      </c>
      <c r="F7344" s="9">
        <v>58</v>
      </c>
      <c r="G7344" s="9">
        <v>653</v>
      </c>
      <c r="H7344" s="5" t="s">
        <v>21</v>
      </c>
      <c r="I7344" s="5" t="s">
        <v>16710</v>
      </c>
      <c r="J7344" s="12" t="str">
        <f>HYPERLINK("https://www.boe.es/gazeta/dias/1800/07/22/pdfs/GMD-1800-58.pdf#page=1","Abrir facsímil")</f>
        <v>Abrir facsímil</v>
      </c>
      <c r="K7344" s="15" t="s">
        <v>23</v>
      </c>
    </row>
    <row r="7345" spans="1:11" ht="42" customHeight="1">
      <c r="A7345" s="4" t="s">
        <v>16711</v>
      </c>
      <c r="B7345" s="5" t="s">
        <v>16712</v>
      </c>
      <c r="C7345" s="5" t="s">
        <v>41</v>
      </c>
      <c r="D7345" s="5" t="s">
        <v>42</v>
      </c>
      <c r="E7345" s="5" t="s">
        <v>823</v>
      </c>
      <c r="F7345" s="9">
        <v>50</v>
      </c>
      <c r="G7345" s="9">
        <v>540</v>
      </c>
      <c r="H7345" s="5" t="s">
        <v>21</v>
      </c>
      <c r="I7345" s="5" t="s">
        <v>16713</v>
      </c>
      <c r="J7345" s="12" t="str">
        <f>HYPERLINK("https://www.boe.es/gazeta/dias/1800/06/24/pdfs/GMD-1800-50.pdf#page=4","Abrir facsímil")</f>
        <v>Abrir facsímil</v>
      </c>
      <c r="K7345" s="15" t="s">
        <v>23</v>
      </c>
    </row>
    <row r="7346" spans="1:11" ht="42" customHeight="1">
      <c r="A7346" s="4" t="s">
        <v>16711</v>
      </c>
      <c r="B7346" s="5" t="s">
        <v>16712</v>
      </c>
      <c r="C7346" s="5" t="s">
        <v>41</v>
      </c>
      <c r="D7346" s="5" t="s">
        <v>42</v>
      </c>
      <c r="E7346" s="5" t="s">
        <v>825</v>
      </c>
      <c r="F7346" s="9">
        <v>51</v>
      </c>
      <c r="G7346" s="9">
        <v>557</v>
      </c>
      <c r="H7346" s="5" t="s">
        <v>21</v>
      </c>
      <c r="I7346" s="5" t="s">
        <v>16714</v>
      </c>
      <c r="J7346" s="12" t="str">
        <f>HYPERLINK("https://www.boe.es/gazeta/dias/1800/06/27/pdfs/GMD-1800-51.pdf#page=9","Abrir facsímil")</f>
        <v>Abrir facsímil</v>
      </c>
      <c r="K7346" s="15" t="s">
        <v>23</v>
      </c>
    </row>
    <row r="7347" spans="1:11" ht="42" customHeight="1">
      <c r="A7347" s="4" t="s">
        <v>16711</v>
      </c>
      <c r="B7347" s="5" t="s">
        <v>16712</v>
      </c>
      <c r="C7347" s="5" t="s">
        <v>41</v>
      </c>
      <c r="D7347" s="5" t="s">
        <v>42</v>
      </c>
      <c r="E7347" s="5" t="s">
        <v>255</v>
      </c>
      <c r="F7347" s="9">
        <v>75</v>
      </c>
      <c r="G7347" s="9">
        <v>853</v>
      </c>
      <c r="H7347" s="5" t="s">
        <v>21</v>
      </c>
      <c r="I7347" s="5" t="s">
        <v>16715</v>
      </c>
      <c r="J7347" s="12" t="str">
        <f>HYPERLINK("https://www.boe.es/gazeta/dias/1800/09/16/pdfs/GMD-1800-75.pdf#page=7","Abrir facsímil")</f>
        <v>Abrir facsímil</v>
      </c>
      <c r="K7347" s="15" t="s">
        <v>23</v>
      </c>
    </row>
    <row r="7348" spans="1:11" ht="42" customHeight="1">
      <c r="A7348" s="4" t="s">
        <v>16716</v>
      </c>
      <c r="B7348" s="5" t="s">
        <v>16717</v>
      </c>
      <c r="C7348" s="5" t="s">
        <v>84</v>
      </c>
      <c r="D7348" s="5" t="s">
        <v>85</v>
      </c>
      <c r="E7348" s="5" t="s">
        <v>314</v>
      </c>
      <c r="F7348" s="9">
        <v>74</v>
      </c>
      <c r="G7348" s="9">
        <v>838</v>
      </c>
      <c r="H7348" s="5" t="s">
        <v>21</v>
      </c>
      <c r="I7348" s="5" t="s">
        <v>16718</v>
      </c>
      <c r="J7348" s="12" t="str">
        <f>HYPERLINK("https://www.boe.es/gazeta/dias/1800/09/12/pdfs/GMD-1800-74.pdf#page=16","Abrir facsímil")</f>
        <v>Abrir facsímil</v>
      </c>
      <c r="K7348" s="15" t="s">
        <v>23</v>
      </c>
    </row>
    <row r="7349" spans="1:11" ht="42" customHeight="1">
      <c r="A7349" s="4" t="s">
        <v>16716</v>
      </c>
      <c r="B7349" s="5" t="s">
        <v>16717</v>
      </c>
      <c r="C7349" s="5" t="s">
        <v>84</v>
      </c>
      <c r="D7349" s="5" t="s">
        <v>85</v>
      </c>
      <c r="E7349" s="5" t="s">
        <v>615</v>
      </c>
      <c r="F7349" s="9">
        <v>95</v>
      </c>
      <c r="G7349" s="9">
        <v>1090</v>
      </c>
      <c r="H7349" s="5" t="s">
        <v>21</v>
      </c>
      <c r="I7349" s="5" t="s">
        <v>16719</v>
      </c>
      <c r="J7349" s="12" t="str">
        <f>HYPERLINK("https://www.boe.es/gazeta/dias/1800/11/25/pdfs/GMD-1800-95.pdf#page=8","Abrir facsímil")</f>
        <v>Abrir facsímil</v>
      </c>
      <c r="K7349" s="15" t="s">
        <v>23</v>
      </c>
    </row>
    <row r="7350" spans="1:11" ht="42" customHeight="1">
      <c r="A7350" s="4" t="s">
        <v>16720</v>
      </c>
      <c r="B7350" s="5" t="s">
        <v>16720</v>
      </c>
      <c r="C7350" s="5" t="s">
        <v>25</v>
      </c>
      <c r="D7350" s="5" t="s">
        <v>26</v>
      </c>
      <c r="E7350" s="5" t="s">
        <v>465</v>
      </c>
      <c r="F7350" s="9">
        <v>49</v>
      </c>
      <c r="G7350" s="9">
        <v>531</v>
      </c>
      <c r="H7350" s="5" t="s">
        <v>21</v>
      </c>
      <c r="I7350" s="5" t="s">
        <v>16721</v>
      </c>
      <c r="J7350" s="12" t="str">
        <f>HYPERLINK("https://www.boe.es/gazeta/dias/1800/06/20/pdfs/GMD-1800-49.pdf#page=7","Abrir facsímil")</f>
        <v>Abrir facsímil</v>
      </c>
      <c r="K7350" s="15" t="s">
        <v>23</v>
      </c>
    </row>
    <row r="7351" spans="1:11" ht="42" customHeight="1">
      <c r="A7351" s="4" t="s">
        <v>16722</v>
      </c>
      <c r="B7351" s="5" t="s">
        <v>16723</v>
      </c>
      <c r="C7351" s="5" t="s">
        <v>18</v>
      </c>
      <c r="D7351" s="5" t="s">
        <v>19</v>
      </c>
      <c r="E7351" s="5" t="s">
        <v>279</v>
      </c>
      <c r="F7351" s="9">
        <v>103</v>
      </c>
      <c r="G7351" s="9">
        <v>1197</v>
      </c>
      <c r="H7351" s="5" t="s">
        <v>21</v>
      </c>
      <c r="I7351" s="5" t="s">
        <v>16724</v>
      </c>
      <c r="J7351" s="12" t="str">
        <f>HYPERLINK("https://www.boe.es/gazeta/dias/1800/12/23/pdfs/GMD-1800-103.pdf#page=9","Abrir facsímil")</f>
        <v>Abrir facsímil</v>
      </c>
      <c r="K7351" s="15" t="s">
        <v>23</v>
      </c>
    </row>
    <row r="7352" spans="1:11" ht="42" customHeight="1">
      <c r="A7352" s="4" t="s">
        <v>16725</v>
      </c>
      <c r="B7352" s="5" t="s">
        <v>16725</v>
      </c>
      <c r="C7352" s="5" t="s">
        <v>41</v>
      </c>
      <c r="D7352" s="5" t="s">
        <v>42</v>
      </c>
      <c r="E7352" s="5" t="s">
        <v>478</v>
      </c>
      <c r="F7352" s="9">
        <v>34</v>
      </c>
      <c r="G7352" s="9">
        <v>337</v>
      </c>
      <c r="H7352" s="5" t="s">
        <v>21</v>
      </c>
      <c r="I7352" s="5" t="s">
        <v>16726</v>
      </c>
      <c r="J7352" s="12" t="str">
        <f>HYPERLINK("https://www.boe.es/gazeta/dias/1800/04/29/pdfs/GMD-1800-34.pdf#page=1","Abrir facsímil")</f>
        <v>Abrir facsímil</v>
      </c>
      <c r="K7352" s="15" t="s">
        <v>23</v>
      </c>
    </row>
    <row r="7353" spans="1:11" ht="42" customHeight="1">
      <c r="A7353" s="4" t="s">
        <v>16727</v>
      </c>
      <c r="B7353" s="5" t="s">
        <v>16728</v>
      </c>
      <c r="C7353" s="5" t="s">
        <v>18</v>
      </c>
      <c r="D7353" s="5" t="s">
        <v>19</v>
      </c>
      <c r="E7353" s="5" t="s">
        <v>39</v>
      </c>
      <c r="F7353" s="9">
        <v>43</v>
      </c>
      <c r="G7353" s="9">
        <v>449</v>
      </c>
      <c r="H7353" s="5" t="s">
        <v>21</v>
      </c>
      <c r="I7353" s="5" t="s">
        <v>16729</v>
      </c>
      <c r="J7353" s="12" t="str">
        <f>HYPERLINK("https://www.boe.es/gazeta/dias/1800/05/30/pdfs/GMD-1800-43.pdf#page=9","Abrir facsímil")</f>
        <v>Abrir facsímil</v>
      </c>
      <c r="K7353" s="15" t="s">
        <v>23</v>
      </c>
    </row>
    <row r="7354" spans="1:11" ht="42" customHeight="1">
      <c r="A7354" s="4" t="s">
        <v>16730</v>
      </c>
      <c r="B7354" s="5" t="s">
        <v>16731</v>
      </c>
      <c r="C7354" s="5" t="s">
        <v>25</v>
      </c>
      <c r="D7354" s="5" t="s">
        <v>26</v>
      </c>
      <c r="E7354" s="5" t="s">
        <v>52</v>
      </c>
      <c r="F7354" s="9">
        <v>83</v>
      </c>
      <c r="G7354" s="9">
        <v>963</v>
      </c>
      <c r="H7354" s="5" t="s">
        <v>21</v>
      </c>
      <c r="I7354" s="5" t="s">
        <v>16732</v>
      </c>
      <c r="J7354" s="12" t="str">
        <f>HYPERLINK("https://www.boe.es/gazeta/dias/1800/10/14/pdfs/GMD-1800-83.pdf#page=9","Abrir facsímil")</f>
        <v>Abrir facsímil</v>
      </c>
      <c r="K7354" s="15" t="s">
        <v>23</v>
      </c>
    </row>
    <row r="7355" spans="1:11" ht="42" customHeight="1">
      <c r="A7355" s="4" t="s">
        <v>16733</v>
      </c>
      <c r="B7355" s="5" t="s">
        <v>16733</v>
      </c>
      <c r="C7355" s="5" t="s">
        <v>18</v>
      </c>
      <c r="D7355" s="5" t="s">
        <v>19</v>
      </c>
      <c r="E7355" s="5" t="s">
        <v>90</v>
      </c>
      <c r="F7355" s="9">
        <v>58</v>
      </c>
      <c r="G7355" s="9">
        <v>663</v>
      </c>
      <c r="H7355" s="5" t="s">
        <v>21</v>
      </c>
      <c r="I7355" s="5" t="s">
        <v>16734</v>
      </c>
      <c r="J7355" s="12" t="str">
        <f>HYPERLINK("https://www.boe.es/gazeta/dias/1800/07/22/pdfs/GMD-1800-58.pdf#page=11","Abrir facsímil")</f>
        <v>Abrir facsímil</v>
      </c>
      <c r="K7355" s="15" t="s">
        <v>23</v>
      </c>
    </row>
    <row r="7356" spans="1:11" ht="42" customHeight="1">
      <c r="A7356" s="4" t="s">
        <v>16735</v>
      </c>
      <c r="B7356" s="5" t="s">
        <v>16736</v>
      </c>
      <c r="C7356" s="5" t="s">
        <v>18</v>
      </c>
      <c r="D7356" s="5" t="s">
        <v>19</v>
      </c>
      <c r="E7356" s="5" t="s">
        <v>139</v>
      </c>
      <c r="F7356" s="9">
        <v>2</v>
      </c>
      <c r="G7356" s="9">
        <v>17</v>
      </c>
      <c r="H7356" s="5" t="s">
        <v>21</v>
      </c>
      <c r="I7356" s="5" t="s">
        <v>16737</v>
      </c>
      <c r="J7356" s="12" t="str">
        <f>HYPERLINK("https://www.boe.es/gazeta/dias/1800/01/07/pdfs/GMD-1800-2.pdf#page=9","Abrir facsímil")</f>
        <v>Abrir facsímil</v>
      </c>
      <c r="K7356" s="15" t="s">
        <v>23</v>
      </c>
    </row>
    <row r="7357" spans="1:11" ht="42" customHeight="1">
      <c r="A7357" s="4" t="s">
        <v>16738</v>
      </c>
      <c r="B7357" s="5" t="s">
        <v>16739</v>
      </c>
      <c r="C7357" s="5" t="s">
        <v>41</v>
      </c>
      <c r="D7357" s="5" t="s">
        <v>42</v>
      </c>
      <c r="E7357" s="5" t="s">
        <v>787</v>
      </c>
      <c r="F7357" s="9">
        <v>6</v>
      </c>
      <c r="G7357" s="9">
        <v>56</v>
      </c>
      <c r="H7357" s="5" t="s">
        <v>21</v>
      </c>
      <c r="I7357" s="5" t="s">
        <v>16740</v>
      </c>
      <c r="J7357" s="12" t="str">
        <f>HYPERLINK("https://www.boe.es/gazeta/dias/1800/01/21/pdfs/GMD-1800-6.pdf#page=8","Abrir facsímil")</f>
        <v>Abrir facsímil</v>
      </c>
      <c r="K7357" s="15" t="s">
        <v>23</v>
      </c>
    </row>
    <row r="7358" spans="1:11" ht="42" customHeight="1">
      <c r="A7358" s="4" t="s">
        <v>16741</v>
      </c>
      <c r="B7358" s="5" t="s">
        <v>16742</v>
      </c>
      <c r="C7358" s="5" t="s">
        <v>18</v>
      </c>
      <c r="D7358" s="5" t="s">
        <v>19</v>
      </c>
      <c r="E7358" s="5" t="s">
        <v>255</v>
      </c>
      <c r="F7358" s="9">
        <v>75</v>
      </c>
      <c r="G7358" s="9">
        <v>855</v>
      </c>
      <c r="H7358" s="5" t="s">
        <v>21</v>
      </c>
      <c r="I7358" s="5" t="s">
        <v>16743</v>
      </c>
      <c r="J7358" s="12" t="str">
        <f>HYPERLINK("https://www.boe.es/gazeta/dias/1800/09/16/pdfs/GMD-1800-75.pdf#page=9","Abrir facsímil")</f>
        <v>Abrir facsímil</v>
      </c>
      <c r="K7358" s="15" t="s">
        <v>23</v>
      </c>
    </row>
    <row r="7359" spans="1:11" ht="42" customHeight="1">
      <c r="A7359" s="4" t="s">
        <v>16744</v>
      </c>
      <c r="B7359" s="5" t="s">
        <v>16745</v>
      </c>
      <c r="C7359" s="5" t="s">
        <v>18</v>
      </c>
      <c r="D7359" s="5" t="s">
        <v>19</v>
      </c>
      <c r="E7359" s="5" t="s">
        <v>52</v>
      </c>
      <c r="F7359" s="9">
        <v>83</v>
      </c>
      <c r="G7359" s="9">
        <v>963</v>
      </c>
      <c r="H7359" s="5" t="s">
        <v>21</v>
      </c>
      <c r="I7359" s="5" t="s">
        <v>16746</v>
      </c>
      <c r="J7359" s="12" t="str">
        <f>HYPERLINK("https://www.boe.es/gazeta/dias/1800/10/14/pdfs/GMD-1800-83.pdf#page=9","Abrir facsímil")</f>
        <v>Abrir facsímil</v>
      </c>
      <c r="K7359" s="15" t="s">
        <v>23</v>
      </c>
    </row>
    <row r="7360" spans="1:11" ht="42" customHeight="1">
      <c r="A7360" s="4" t="s">
        <v>16747</v>
      </c>
      <c r="B7360" s="5" t="s">
        <v>16748</v>
      </c>
      <c r="C7360" s="5" t="s">
        <v>41</v>
      </c>
      <c r="D7360" s="5" t="s">
        <v>42</v>
      </c>
      <c r="E7360" s="5" t="s">
        <v>534</v>
      </c>
      <c r="F7360" s="9">
        <v>100</v>
      </c>
      <c r="G7360" s="9">
        <v>1152</v>
      </c>
      <c r="H7360" s="5" t="s">
        <v>21</v>
      </c>
      <c r="I7360" s="5" t="s">
        <v>16749</v>
      </c>
      <c r="J7360" s="12" t="str">
        <f>HYPERLINK("https://www.boe.es/gazeta/dias/1800/12/12/pdfs/GMD-1800-100.pdf#page=4","Abrir facsímil")</f>
        <v>Abrir facsímil</v>
      </c>
      <c r="K7360" s="15" t="s">
        <v>23</v>
      </c>
    </row>
    <row r="7361" spans="1:11" ht="42" customHeight="1">
      <c r="A7361" s="4" t="s">
        <v>16750</v>
      </c>
      <c r="B7361" s="5" t="s">
        <v>16750</v>
      </c>
      <c r="C7361" s="5" t="s">
        <v>41</v>
      </c>
      <c r="D7361" s="5" t="s">
        <v>42</v>
      </c>
      <c r="E7361" s="5" t="s">
        <v>20</v>
      </c>
      <c r="F7361" s="9">
        <v>104</v>
      </c>
      <c r="G7361" s="9">
        <v>1201</v>
      </c>
      <c r="H7361" s="5" t="s">
        <v>21</v>
      </c>
      <c r="I7361" s="5" t="s">
        <v>16751</v>
      </c>
      <c r="J7361" s="12" t="str">
        <f>HYPERLINK("https://www.boe.es/gazeta/dias/1800/12/26/pdfs/GMD-1800-104.pdf#page=1","Abrir facsímil")</f>
        <v>Abrir facsímil</v>
      </c>
      <c r="K7361" s="15" t="s">
        <v>23</v>
      </c>
    </row>
    <row r="7362" spans="1:11" ht="42" customHeight="1">
      <c r="A7362" s="4" t="s">
        <v>16752</v>
      </c>
      <c r="B7362" s="5" t="s">
        <v>16753</v>
      </c>
      <c r="C7362" s="5" t="s">
        <v>41</v>
      </c>
      <c r="D7362" s="5" t="s">
        <v>42</v>
      </c>
      <c r="E7362" s="5" t="s">
        <v>143</v>
      </c>
      <c r="F7362" s="9">
        <v>22</v>
      </c>
      <c r="G7362" s="9">
        <v>209</v>
      </c>
      <c r="H7362" s="5" t="s">
        <v>21</v>
      </c>
      <c r="I7362" s="5" t="s">
        <v>16754</v>
      </c>
      <c r="J7362" s="12" t="str">
        <f>HYPERLINK("https://www.boe.es/gazeta/dias/1800/03/18/pdfs/GMD-1800-22.pdf#page=1","Abrir facsímil")</f>
        <v>Abrir facsímil</v>
      </c>
      <c r="K7362" s="15" t="s">
        <v>23</v>
      </c>
    </row>
    <row r="7363" spans="1:11" ht="42" customHeight="1">
      <c r="A7363" s="4" t="s">
        <v>16752</v>
      </c>
      <c r="B7363" s="5" t="s">
        <v>16753</v>
      </c>
      <c r="C7363" s="5" t="s">
        <v>84</v>
      </c>
      <c r="D7363" s="5" t="s">
        <v>85</v>
      </c>
      <c r="E7363" s="5" t="s">
        <v>445</v>
      </c>
      <c r="F7363" s="9">
        <v>96</v>
      </c>
      <c r="G7363" s="9">
        <v>1097</v>
      </c>
      <c r="H7363" s="5" t="s">
        <v>21</v>
      </c>
      <c r="I7363" s="5" t="s">
        <v>16755</v>
      </c>
      <c r="J7363" s="12" t="str">
        <f>HYPERLINK("https://www.boe.es/gazeta/dias/1800/11/28/pdfs/GMD-1800-96.pdf#page=1","Abrir facsímil")</f>
        <v>Abrir facsímil</v>
      </c>
      <c r="K7363" s="15" t="s">
        <v>23</v>
      </c>
    </row>
    <row r="7364" spans="1:11" ht="42" customHeight="1">
      <c r="A7364" s="4" t="s">
        <v>16752</v>
      </c>
      <c r="B7364" s="5" t="s">
        <v>16753</v>
      </c>
      <c r="C7364" s="5" t="s">
        <v>41</v>
      </c>
      <c r="D7364" s="5" t="s">
        <v>42</v>
      </c>
      <c r="E7364" s="5" t="s">
        <v>445</v>
      </c>
      <c r="F7364" s="9">
        <v>96</v>
      </c>
      <c r="G7364" s="9">
        <v>1098</v>
      </c>
      <c r="H7364" s="5" t="s">
        <v>21</v>
      </c>
      <c r="I7364" s="5" t="s">
        <v>16756</v>
      </c>
      <c r="J7364" s="12" t="str">
        <f>HYPERLINK("https://www.boe.es/gazeta/dias/1800/11/28/pdfs/GMD-1800-96.pdf#page=2","Abrir facsímil")</f>
        <v>Abrir facsímil</v>
      </c>
      <c r="K7364" s="15" t="s">
        <v>23</v>
      </c>
    </row>
    <row r="7365" spans="1:11" ht="42" customHeight="1">
      <c r="A7365" s="4" t="s">
        <v>16752</v>
      </c>
      <c r="B7365" s="5" t="s">
        <v>16753</v>
      </c>
      <c r="C7365" s="5" t="s">
        <v>41</v>
      </c>
      <c r="D7365" s="5" t="s">
        <v>42</v>
      </c>
      <c r="E7365" s="5" t="s">
        <v>20</v>
      </c>
      <c r="F7365" s="9">
        <v>104</v>
      </c>
      <c r="G7365" s="9">
        <v>1201</v>
      </c>
      <c r="H7365" s="5" t="s">
        <v>21</v>
      </c>
      <c r="I7365" s="5" t="s">
        <v>16757</v>
      </c>
      <c r="J7365" s="12" t="str">
        <f>HYPERLINK("https://www.boe.es/gazeta/dias/1800/12/26/pdfs/GMD-1800-104.pdf#page=1","Abrir facsímil")</f>
        <v>Abrir facsímil</v>
      </c>
      <c r="K7365" s="15" t="s">
        <v>23</v>
      </c>
    </row>
    <row r="7366" spans="1:11" ht="42" customHeight="1">
      <c r="A7366" s="4" t="s">
        <v>16758</v>
      </c>
      <c r="B7366" s="5" t="s">
        <v>16759</v>
      </c>
      <c r="C7366" s="5" t="s">
        <v>41</v>
      </c>
      <c r="D7366" s="5" t="s">
        <v>42</v>
      </c>
      <c r="E7366" s="5" t="s">
        <v>190</v>
      </c>
      <c r="F7366" s="9">
        <v>93</v>
      </c>
      <c r="G7366" s="9">
        <v>1055</v>
      </c>
      <c r="H7366" s="5" t="s">
        <v>21</v>
      </c>
      <c r="I7366" s="5" t="s">
        <v>16760</v>
      </c>
      <c r="J7366" s="12" t="str">
        <f>HYPERLINK("https://www.boe.es/gazeta/dias/1800/11/18/pdfs/GMD-1800-93.pdf#page=1","Abrir facsímil")</f>
        <v>Abrir facsímil</v>
      </c>
      <c r="K7366" s="15" t="s">
        <v>23</v>
      </c>
    </row>
    <row r="7367" spans="1:11" ht="42" customHeight="1">
      <c r="A7367" s="4" t="s">
        <v>16761</v>
      </c>
      <c r="B7367" s="5" t="s">
        <v>16762</v>
      </c>
      <c r="C7367" s="5" t="s">
        <v>18</v>
      </c>
      <c r="D7367" s="5" t="s">
        <v>19</v>
      </c>
      <c r="E7367" s="5" t="s">
        <v>190</v>
      </c>
      <c r="F7367" s="9">
        <v>93</v>
      </c>
      <c r="G7367" s="9">
        <v>1067</v>
      </c>
      <c r="H7367" s="5" t="s">
        <v>21</v>
      </c>
      <c r="I7367" s="5" t="s">
        <v>16763</v>
      </c>
      <c r="J7367" s="12" t="str">
        <f>HYPERLINK("https://www.boe.es/gazeta/dias/1800/11/18/pdfs/GMD-1800-93.pdf#page=13","Abrir facsímil")</f>
        <v>Abrir facsímil</v>
      </c>
      <c r="K7367" s="15" t="s">
        <v>23</v>
      </c>
    </row>
    <row r="7368" spans="1:11" ht="42" customHeight="1">
      <c r="A7368" s="4" t="s">
        <v>16764</v>
      </c>
      <c r="B7368" s="5" t="s">
        <v>16765</v>
      </c>
      <c r="C7368" s="5" t="s">
        <v>18</v>
      </c>
      <c r="D7368" s="5" t="s">
        <v>19</v>
      </c>
      <c r="E7368" s="5" t="s">
        <v>1287</v>
      </c>
      <c r="F7368" s="9">
        <v>57</v>
      </c>
      <c r="G7368" s="9">
        <v>648</v>
      </c>
      <c r="H7368" s="5" t="s">
        <v>21</v>
      </c>
      <c r="I7368" s="5" t="s">
        <v>16766</v>
      </c>
      <c r="J7368" s="12" t="str">
        <f>HYPERLINK("https://www.boe.es/gazeta/dias/1800/07/18/pdfs/GMD-1800-57.pdf#page=12","Abrir facsímil")</f>
        <v>Abrir facsímil</v>
      </c>
      <c r="K7368" s="15" t="s">
        <v>23</v>
      </c>
    </row>
    <row r="7369" spans="1:11" ht="42" customHeight="1">
      <c r="A7369" s="4" t="s">
        <v>16767</v>
      </c>
      <c r="B7369" s="5" t="s">
        <v>16767</v>
      </c>
      <c r="C7369" s="5" t="s">
        <v>41</v>
      </c>
      <c r="D7369" s="5" t="s">
        <v>42</v>
      </c>
      <c r="E7369" s="5" t="s">
        <v>478</v>
      </c>
      <c r="F7369" s="9">
        <v>34</v>
      </c>
      <c r="G7369" s="9">
        <v>337</v>
      </c>
      <c r="H7369" s="5" t="s">
        <v>21</v>
      </c>
      <c r="I7369" s="5" t="s">
        <v>16768</v>
      </c>
      <c r="J7369" s="12" t="str">
        <f>HYPERLINK("https://www.boe.es/gazeta/dias/1800/04/29/pdfs/GMD-1800-34.pdf#page=1","Abrir facsímil")</f>
        <v>Abrir facsímil</v>
      </c>
      <c r="K7369" s="15" t="s">
        <v>23</v>
      </c>
    </row>
    <row r="7370" spans="1:11" ht="42" customHeight="1">
      <c r="A7370" s="4" t="s">
        <v>16769</v>
      </c>
      <c r="B7370" s="5" t="s">
        <v>16770</v>
      </c>
      <c r="C7370" s="5" t="s">
        <v>207</v>
      </c>
      <c r="D7370" s="5" t="s">
        <v>55</v>
      </c>
      <c r="E7370" s="5" t="s">
        <v>279</v>
      </c>
      <c r="F7370" s="9">
        <v>103</v>
      </c>
      <c r="G7370" s="9">
        <v>1197</v>
      </c>
      <c r="H7370" s="5" t="s">
        <v>21</v>
      </c>
      <c r="I7370" s="5" t="s">
        <v>16771</v>
      </c>
      <c r="J7370" s="12" t="str">
        <f>HYPERLINK("https://www.boe.es/gazeta/dias/1800/12/23/pdfs/GMD-1800-103.pdf#page=9","Abrir facsímil")</f>
        <v>Abrir facsímil</v>
      </c>
      <c r="K7370" s="15" t="s">
        <v>23</v>
      </c>
    </row>
    <row r="7371" spans="1:11" ht="42" customHeight="1">
      <c r="A7371" s="4" t="s">
        <v>16772</v>
      </c>
      <c r="B7371" s="5" t="s">
        <v>16773</v>
      </c>
      <c r="C7371" s="5" t="s">
        <v>41</v>
      </c>
      <c r="D7371" s="5" t="s">
        <v>42</v>
      </c>
      <c r="E7371" s="5" t="s">
        <v>124</v>
      </c>
      <c r="F7371" s="9">
        <v>16</v>
      </c>
      <c r="G7371" s="9">
        <v>145</v>
      </c>
      <c r="H7371" s="5" t="s">
        <v>21</v>
      </c>
      <c r="I7371" s="5" t="s">
        <v>16774</v>
      </c>
      <c r="J7371" s="12" t="str">
        <f>HYPERLINK("https://www.boe.es/gazeta/dias/1800/02/25/pdfs/GMD-1800-16.pdf#page=1","Abrir facsímil")</f>
        <v>Abrir facsímil</v>
      </c>
      <c r="K7371" s="15" t="s">
        <v>23</v>
      </c>
    </row>
    <row r="7372" spans="1:11" ht="42" customHeight="1">
      <c r="A7372" s="4" t="s">
        <v>16775</v>
      </c>
      <c r="B7372" s="5" t="s">
        <v>16775</v>
      </c>
      <c r="C7372" s="5" t="s">
        <v>18</v>
      </c>
      <c r="D7372" s="5" t="s">
        <v>19</v>
      </c>
      <c r="E7372" s="5" t="s">
        <v>534</v>
      </c>
      <c r="F7372" s="9">
        <v>100</v>
      </c>
      <c r="G7372" s="9">
        <v>1159</v>
      </c>
      <c r="H7372" s="5" t="s">
        <v>21</v>
      </c>
      <c r="I7372" s="5" t="s">
        <v>16776</v>
      </c>
      <c r="J7372" s="12" t="str">
        <f>HYPERLINK("https://www.boe.es/gazeta/dias/1800/12/12/pdfs/GMD-1800-100.pdf#page=11","Abrir facsímil")</f>
        <v>Abrir facsímil</v>
      </c>
      <c r="K7372" s="15" t="s">
        <v>23</v>
      </c>
    </row>
    <row r="7373" spans="1:11" ht="42" customHeight="1">
      <c r="A7373" s="4" t="s">
        <v>16777</v>
      </c>
      <c r="B7373" s="5" t="s">
        <v>16777</v>
      </c>
      <c r="C7373" s="5" t="s">
        <v>41</v>
      </c>
      <c r="D7373" s="5" t="s">
        <v>42</v>
      </c>
      <c r="E7373" s="5" t="s">
        <v>68</v>
      </c>
      <c r="F7373" s="9">
        <v>67</v>
      </c>
      <c r="G7373" s="9">
        <v>753</v>
      </c>
      <c r="H7373" s="5" t="s">
        <v>21</v>
      </c>
      <c r="I7373" s="5" t="s">
        <v>16778</v>
      </c>
      <c r="J7373" s="12" t="str">
        <f>HYPERLINK("https://www.boe.es/gazeta/dias/1800/08/22/pdfs/GMD-1800-67.pdf#page=5","Abrir facsímil")</f>
        <v>Abrir facsímil</v>
      </c>
      <c r="K7373" s="15" t="s">
        <v>23</v>
      </c>
    </row>
    <row r="7374" spans="1:11" ht="42" customHeight="1">
      <c r="A7374" s="4" t="s">
        <v>16779</v>
      </c>
      <c r="B7374" s="5" t="s">
        <v>16779</v>
      </c>
      <c r="C7374" s="5" t="s">
        <v>41</v>
      </c>
      <c r="D7374" s="5" t="s">
        <v>42</v>
      </c>
      <c r="E7374" s="5" t="s">
        <v>545</v>
      </c>
      <c r="F7374" s="9">
        <v>14</v>
      </c>
      <c r="G7374" s="9">
        <v>133</v>
      </c>
      <c r="H7374" s="5" t="s">
        <v>21</v>
      </c>
      <c r="I7374" s="5" t="s">
        <v>16780</v>
      </c>
      <c r="J7374" s="12" t="str">
        <f>HYPERLINK("https://www.boe.es/gazeta/dias/1800/02/18/pdfs/GMD-1800-14.pdf#page=5","Abrir facsímil")</f>
        <v>Abrir facsímil</v>
      </c>
      <c r="K7374" s="15" t="s">
        <v>23</v>
      </c>
    </row>
    <row r="7375" spans="1:11" ht="42" customHeight="1">
      <c r="A7375" s="4" t="s">
        <v>16781</v>
      </c>
      <c r="B7375" s="5" t="s">
        <v>16782</v>
      </c>
      <c r="C7375" s="5" t="s">
        <v>18</v>
      </c>
      <c r="D7375" s="5" t="s">
        <v>19</v>
      </c>
      <c r="E7375" s="5" t="s">
        <v>673</v>
      </c>
      <c r="F7375" s="9">
        <v>89</v>
      </c>
      <c r="G7375" s="9">
        <v>1043</v>
      </c>
      <c r="H7375" s="5" t="s">
        <v>21</v>
      </c>
      <c r="I7375" s="5" t="s">
        <v>16783</v>
      </c>
      <c r="J7375" s="12" t="str">
        <f>HYPERLINK("https://www.boe.es/gazeta/dias/1800/11/04/pdfs/GMD-1800-89.pdf#page=9","Abrir facsímil")</f>
        <v>Abrir facsímil</v>
      </c>
      <c r="K7375" s="15" t="s">
        <v>23</v>
      </c>
    </row>
    <row r="7376" spans="1:11" ht="42" customHeight="1">
      <c r="A7376" s="4" t="s">
        <v>16784</v>
      </c>
      <c r="B7376" s="5" t="s">
        <v>16785</v>
      </c>
      <c r="C7376" s="5" t="s">
        <v>18</v>
      </c>
      <c r="D7376" s="5" t="s">
        <v>19</v>
      </c>
      <c r="E7376" s="5" t="s">
        <v>139</v>
      </c>
      <c r="F7376" s="9">
        <v>2</v>
      </c>
      <c r="G7376" s="9">
        <v>18</v>
      </c>
      <c r="H7376" s="5" t="s">
        <v>21</v>
      </c>
      <c r="I7376" s="5" t="s">
        <v>16786</v>
      </c>
      <c r="J7376" s="12" t="str">
        <f>HYPERLINK("https://www.boe.es/gazeta/dias/1800/01/07/pdfs/GMD-1800-2.pdf#page=10","Abrir facsímil")</f>
        <v>Abrir facsímil</v>
      </c>
      <c r="K7376" s="15" t="s">
        <v>23</v>
      </c>
    </row>
    <row r="7377" spans="1:11" ht="42" customHeight="1">
      <c r="A7377" s="4" t="s">
        <v>16787</v>
      </c>
      <c r="B7377" s="5" t="s">
        <v>16788</v>
      </c>
      <c r="C7377" s="5" t="s">
        <v>207</v>
      </c>
      <c r="D7377" s="5" t="s">
        <v>55</v>
      </c>
      <c r="E7377" s="5" t="s">
        <v>52</v>
      </c>
      <c r="F7377" s="9">
        <v>83</v>
      </c>
      <c r="G7377" s="9">
        <v>963</v>
      </c>
      <c r="H7377" s="5" t="s">
        <v>21</v>
      </c>
      <c r="I7377" s="5" t="s">
        <v>16789</v>
      </c>
      <c r="J7377" s="12" t="str">
        <f>HYPERLINK("https://www.boe.es/gazeta/dias/1800/10/14/pdfs/GMD-1800-83.pdf#page=9","Abrir facsímil")</f>
        <v>Abrir facsímil</v>
      </c>
      <c r="K7377" s="15" t="s">
        <v>23</v>
      </c>
    </row>
    <row r="7378" spans="1:11" ht="42" customHeight="1">
      <c r="A7378" s="4" t="s">
        <v>16790</v>
      </c>
      <c r="B7378" s="5" t="s">
        <v>16791</v>
      </c>
      <c r="C7378" s="5" t="s">
        <v>18</v>
      </c>
      <c r="D7378" s="5" t="s">
        <v>19</v>
      </c>
      <c r="E7378" s="5" t="s">
        <v>1287</v>
      </c>
      <c r="F7378" s="9">
        <v>57</v>
      </c>
      <c r="G7378" s="9">
        <v>648</v>
      </c>
      <c r="H7378" s="5" t="s">
        <v>21</v>
      </c>
      <c r="I7378" s="5" t="s">
        <v>16792</v>
      </c>
      <c r="J7378" s="12" t="str">
        <f>HYPERLINK("https://www.boe.es/gazeta/dias/1800/07/18/pdfs/GMD-1800-57.pdf#page=12","Abrir facsímil")</f>
        <v>Abrir facsímil</v>
      </c>
      <c r="K7378" s="15" t="s">
        <v>23</v>
      </c>
    </row>
    <row r="7379" spans="1:11" ht="42" customHeight="1">
      <c r="A7379" s="4" t="s">
        <v>16793</v>
      </c>
      <c r="B7379" s="5" t="s">
        <v>16794</v>
      </c>
      <c r="C7379" s="5" t="s">
        <v>207</v>
      </c>
      <c r="D7379" s="5" t="s">
        <v>55</v>
      </c>
      <c r="E7379" s="5" t="s">
        <v>43</v>
      </c>
      <c r="F7379" s="9">
        <v>46</v>
      </c>
      <c r="G7379" s="9">
        <v>487</v>
      </c>
      <c r="H7379" s="5" t="s">
        <v>21</v>
      </c>
      <c r="I7379" s="5" t="s">
        <v>16795</v>
      </c>
      <c r="J7379" s="12" t="str">
        <f>HYPERLINK("https://www.boe.es/gazeta/dias/1800/06/10/pdfs/GMD-1800-46.pdf#page=11","Abrir facsímil")</f>
        <v>Abrir facsímil</v>
      </c>
      <c r="K7379" s="15" t="s">
        <v>23</v>
      </c>
    </row>
    <row r="7380" spans="1:11" ht="42" customHeight="1">
      <c r="A7380" s="4" t="s">
        <v>16793</v>
      </c>
      <c r="B7380" s="5" t="s">
        <v>16794</v>
      </c>
      <c r="C7380" s="5" t="s">
        <v>18</v>
      </c>
      <c r="D7380" s="5" t="s">
        <v>19</v>
      </c>
      <c r="E7380" s="5" t="s">
        <v>43</v>
      </c>
      <c r="F7380" s="9">
        <v>46</v>
      </c>
      <c r="G7380" s="9">
        <v>488</v>
      </c>
      <c r="H7380" s="5" t="s">
        <v>21</v>
      </c>
      <c r="I7380" s="5" t="s">
        <v>16796</v>
      </c>
      <c r="J7380" s="12" t="str">
        <f>HYPERLINK("https://www.boe.es/gazeta/dias/1800/06/10/pdfs/GMD-1800-46.pdf#page=12","Abrir facsímil")</f>
        <v>Abrir facsímil</v>
      </c>
      <c r="K7380" s="15" t="s">
        <v>23</v>
      </c>
    </row>
    <row r="7381" spans="1:11" ht="42" customHeight="1">
      <c r="A7381" s="4" t="s">
        <v>16797</v>
      </c>
      <c r="B7381" s="5" t="s">
        <v>16798</v>
      </c>
      <c r="C7381" s="5" t="s">
        <v>207</v>
      </c>
      <c r="D7381" s="5" t="s">
        <v>55</v>
      </c>
      <c r="E7381" s="5" t="s">
        <v>275</v>
      </c>
      <c r="F7381" s="9">
        <v>60</v>
      </c>
      <c r="G7381" s="9">
        <v>687</v>
      </c>
      <c r="H7381" s="5" t="s">
        <v>21</v>
      </c>
      <c r="I7381" s="5" t="s">
        <v>16799</v>
      </c>
      <c r="J7381" s="12" t="str">
        <f>HYPERLINK("https://www.boe.es/gazeta/dias/1800/07/29/pdfs/GMD-1800-60.pdf#page=7","Abrir facsímil")</f>
        <v>Abrir facsímil</v>
      </c>
      <c r="K7381" s="15" t="s">
        <v>23</v>
      </c>
    </row>
    <row r="7382" spans="1:11" ht="42" customHeight="1">
      <c r="A7382" s="4" t="s">
        <v>16800</v>
      </c>
      <c r="B7382" s="5" t="s">
        <v>16801</v>
      </c>
      <c r="C7382" s="5" t="s">
        <v>18</v>
      </c>
      <c r="D7382" s="5" t="s">
        <v>19</v>
      </c>
      <c r="E7382" s="5" t="s">
        <v>196</v>
      </c>
      <c r="F7382" s="9">
        <v>97</v>
      </c>
      <c r="G7382" s="9">
        <v>1117</v>
      </c>
      <c r="H7382" s="5" t="s">
        <v>21</v>
      </c>
      <c r="I7382" s="5" t="s">
        <v>16802</v>
      </c>
      <c r="J7382" s="12" t="str">
        <f>HYPERLINK("https://www.boe.es/gazeta/dias/1800/12/02/pdfs/GMD-1800-97.pdf#page=9","Abrir facsímil")</f>
        <v>Abrir facsímil</v>
      </c>
      <c r="K7382" s="15" t="s">
        <v>23</v>
      </c>
    </row>
    <row r="7383" spans="1:11" ht="42" customHeight="1">
      <c r="A7383" s="4" t="s">
        <v>16803</v>
      </c>
      <c r="B7383" s="5" t="s">
        <v>16804</v>
      </c>
      <c r="C7383" s="5" t="s">
        <v>41</v>
      </c>
      <c r="D7383" s="5" t="s">
        <v>42</v>
      </c>
      <c r="E7383" s="5" t="s">
        <v>143</v>
      </c>
      <c r="F7383" s="9">
        <v>22</v>
      </c>
      <c r="G7383" s="9">
        <v>219</v>
      </c>
      <c r="H7383" s="5" t="s">
        <v>21</v>
      </c>
      <c r="I7383" s="5" t="s">
        <v>16805</v>
      </c>
      <c r="J7383" s="12" t="str">
        <f>HYPERLINK("https://www.boe.es/gazeta/dias/1800/03/18/pdfs/GMD-1800-22.pdf#page=11","Abrir facsímil")</f>
        <v>Abrir facsímil</v>
      </c>
      <c r="K7383" s="15" t="s">
        <v>23</v>
      </c>
    </row>
    <row r="7384" spans="1:11" ht="42" customHeight="1">
      <c r="A7384" s="4" t="s">
        <v>16806</v>
      </c>
      <c r="B7384" s="5" t="s">
        <v>16807</v>
      </c>
      <c r="C7384" s="5" t="s">
        <v>18</v>
      </c>
      <c r="D7384" s="5" t="s">
        <v>19</v>
      </c>
      <c r="E7384" s="5" t="s">
        <v>143</v>
      </c>
      <c r="F7384" s="9">
        <v>22</v>
      </c>
      <c r="G7384" s="9">
        <v>220</v>
      </c>
      <c r="H7384" s="5" t="s">
        <v>21</v>
      </c>
      <c r="I7384" s="5" t="s">
        <v>16808</v>
      </c>
      <c r="J7384" s="12" t="str">
        <f>HYPERLINK("https://www.boe.es/gazeta/dias/1800/03/18/pdfs/GMD-1800-22.pdf#page=12","Abrir facsímil")</f>
        <v>Abrir facsímil</v>
      </c>
      <c r="K7384" s="15" t="s">
        <v>23</v>
      </c>
    </row>
    <row r="7385" spans="1:11" ht="42" customHeight="1">
      <c r="A7385" s="4" t="s">
        <v>16809</v>
      </c>
      <c r="B7385" s="5" t="s">
        <v>16810</v>
      </c>
      <c r="C7385" s="5" t="s">
        <v>41</v>
      </c>
      <c r="D7385" s="5" t="s">
        <v>42</v>
      </c>
      <c r="E7385" s="5" t="s">
        <v>143</v>
      </c>
      <c r="F7385" s="9">
        <v>22</v>
      </c>
      <c r="G7385" s="9">
        <v>219</v>
      </c>
      <c r="H7385" s="5" t="s">
        <v>21</v>
      </c>
      <c r="I7385" s="5" t="s">
        <v>16811</v>
      </c>
      <c r="J7385" s="12" t="str">
        <f>HYPERLINK("https://www.boe.es/gazeta/dias/1800/03/18/pdfs/GMD-1800-22.pdf#page=11","Abrir facsímil")</f>
        <v>Abrir facsímil</v>
      </c>
      <c r="K7385" s="15" t="s">
        <v>23</v>
      </c>
    </row>
    <row r="7386" spans="1:11" ht="42" customHeight="1">
      <c r="A7386" s="4" t="s">
        <v>16812</v>
      </c>
      <c r="B7386" s="5" t="s">
        <v>16813</v>
      </c>
      <c r="C7386" s="5" t="s">
        <v>18</v>
      </c>
      <c r="D7386" s="5" t="s">
        <v>19</v>
      </c>
      <c r="E7386" s="5" t="s">
        <v>120</v>
      </c>
      <c r="F7386" s="9">
        <v>52</v>
      </c>
      <c r="G7386" s="9">
        <v>575</v>
      </c>
      <c r="H7386" s="5" t="s">
        <v>21</v>
      </c>
      <c r="I7386" s="5" t="s">
        <v>16814</v>
      </c>
      <c r="J7386" s="12" t="str">
        <f>HYPERLINK("https://www.boe.es/gazeta/dias/1800/07/01/pdfs/GMD-1800-52.pdf#page=11","Abrir facsímil")</f>
        <v>Abrir facsímil</v>
      </c>
      <c r="K7386" s="15" t="s">
        <v>23</v>
      </c>
    </row>
    <row r="7387" spans="1:11" ht="42" customHeight="1">
      <c r="A7387" s="4" t="s">
        <v>16815</v>
      </c>
      <c r="B7387" s="5" t="s">
        <v>16816</v>
      </c>
      <c r="C7387" s="5" t="s">
        <v>18</v>
      </c>
      <c r="D7387" s="5" t="s">
        <v>19</v>
      </c>
      <c r="E7387" s="5" t="s">
        <v>787</v>
      </c>
      <c r="F7387" s="9">
        <v>6</v>
      </c>
      <c r="G7387" s="9">
        <v>57</v>
      </c>
      <c r="H7387" s="5" t="s">
        <v>21</v>
      </c>
      <c r="I7387" s="5" t="s">
        <v>16817</v>
      </c>
      <c r="J7387" s="12" t="str">
        <f>HYPERLINK("https://www.boe.es/gazeta/dias/1800/01/21/pdfs/GMD-1800-6.pdf#page=9","Abrir facsímil")</f>
        <v>Abrir facsímil</v>
      </c>
      <c r="K7387" s="15" t="s">
        <v>23</v>
      </c>
    </row>
    <row r="7388" spans="1:11" ht="42" customHeight="1">
      <c r="A7388" s="4" t="s">
        <v>16818</v>
      </c>
      <c r="B7388" s="5" t="s">
        <v>16819</v>
      </c>
      <c r="C7388" s="5" t="s">
        <v>25</v>
      </c>
      <c r="D7388" s="5" t="s">
        <v>26</v>
      </c>
      <c r="E7388" s="5" t="s">
        <v>45</v>
      </c>
      <c r="F7388" s="9">
        <v>47</v>
      </c>
      <c r="G7388" s="9">
        <v>502</v>
      </c>
      <c r="H7388" s="5" t="s">
        <v>21</v>
      </c>
      <c r="I7388" s="5" t="s">
        <v>16820</v>
      </c>
      <c r="J7388" s="12" t="str">
        <f>HYPERLINK("https://www.boe.es/gazeta/dias/1800/06/13/pdfs/GMD-1800-47.pdf#page=10","Abrir facsímil")</f>
        <v>Abrir facsímil</v>
      </c>
      <c r="K7388" s="15" t="s">
        <v>23</v>
      </c>
    </row>
    <row r="7389" spans="1:11" ht="42" customHeight="1">
      <c r="A7389" s="4" t="s">
        <v>16821</v>
      </c>
      <c r="B7389" s="5" t="s">
        <v>16822</v>
      </c>
      <c r="C7389" s="5" t="s">
        <v>207</v>
      </c>
      <c r="D7389" s="5" t="s">
        <v>55</v>
      </c>
      <c r="E7389" s="5" t="s">
        <v>329</v>
      </c>
      <c r="F7389" s="9">
        <v>99</v>
      </c>
      <c r="G7389" s="9">
        <v>1138</v>
      </c>
      <c r="H7389" s="5" t="s">
        <v>21</v>
      </c>
      <c r="I7389" s="5" t="s">
        <v>16823</v>
      </c>
      <c r="J7389" s="12" t="str">
        <f>HYPERLINK("https://www.boe.es/gazeta/dias/1800/12/09/pdfs/GMD-1800-99.pdf#page=6","Abrir facsímil")</f>
        <v>Abrir facsímil</v>
      </c>
      <c r="K7389" s="15" t="s">
        <v>23</v>
      </c>
    </row>
    <row r="7390" spans="1:11" ht="42" customHeight="1">
      <c r="A7390" s="4" t="s">
        <v>16824</v>
      </c>
      <c r="B7390" s="5" t="s">
        <v>16825</v>
      </c>
      <c r="C7390" s="5" t="s">
        <v>207</v>
      </c>
      <c r="D7390" s="5" t="s">
        <v>55</v>
      </c>
      <c r="E7390" s="5" t="s">
        <v>52</v>
      </c>
      <c r="F7390" s="9">
        <v>83</v>
      </c>
      <c r="G7390" s="9">
        <v>962</v>
      </c>
      <c r="H7390" s="5" t="s">
        <v>21</v>
      </c>
      <c r="I7390" s="5" t="s">
        <v>16826</v>
      </c>
      <c r="J7390" s="12" t="str">
        <f>HYPERLINK("https://www.boe.es/gazeta/dias/1800/10/14/pdfs/GMD-1800-83.pdf#page=8","Abrir facsímil")</f>
        <v>Abrir facsímil</v>
      </c>
      <c r="K7390" s="15" t="s">
        <v>23</v>
      </c>
    </row>
    <row r="7391" spans="1:11" ht="42" customHeight="1">
      <c r="A7391" s="4" t="s">
        <v>16827</v>
      </c>
      <c r="B7391" s="5" t="s">
        <v>16828</v>
      </c>
      <c r="C7391" s="5" t="s">
        <v>171</v>
      </c>
      <c r="D7391" s="5" t="s">
        <v>172</v>
      </c>
      <c r="E7391" s="5" t="s">
        <v>465</v>
      </c>
      <c r="F7391" s="9">
        <v>49</v>
      </c>
      <c r="G7391" s="9">
        <v>533</v>
      </c>
      <c r="H7391" s="5" t="s">
        <v>21</v>
      </c>
      <c r="I7391" s="5" t="s">
        <v>16829</v>
      </c>
      <c r="J7391" s="12" t="str">
        <f>HYPERLINK("https://www.boe.es/gazeta/dias/1800/06/20/pdfs/GMD-C-1800-49.pdf#page=1","Abrir facsímil")</f>
        <v>Abrir facsímil</v>
      </c>
      <c r="K7391" s="15" t="s">
        <v>23</v>
      </c>
    </row>
    <row r="7392" spans="1:11" ht="42" customHeight="1">
      <c r="A7392" s="4" t="s">
        <v>16830</v>
      </c>
      <c r="B7392" s="5" t="s">
        <v>16830</v>
      </c>
      <c r="C7392" s="5" t="s">
        <v>18</v>
      </c>
      <c r="D7392" s="5" t="s">
        <v>19</v>
      </c>
      <c r="E7392" s="5" t="s">
        <v>154</v>
      </c>
      <c r="F7392" s="9">
        <v>61</v>
      </c>
      <c r="G7392" s="9">
        <v>697</v>
      </c>
      <c r="H7392" s="5" t="s">
        <v>21</v>
      </c>
      <c r="I7392" s="5" t="s">
        <v>16831</v>
      </c>
      <c r="J7392" s="12" t="str">
        <f>HYPERLINK("https://www.boe.es/gazeta/dias/1800/08/01/pdfs/GMD-1800-61.pdf#page=9","Abrir facsímil")</f>
        <v>Abrir facsímil</v>
      </c>
      <c r="K7392" s="15" t="s">
        <v>23</v>
      </c>
    </row>
    <row r="7393" spans="1:11" ht="42" customHeight="1">
      <c r="A7393" s="4" t="s">
        <v>16832</v>
      </c>
      <c r="B7393" s="5" t="s">
        <v>16832</v>
      </c>
      <c r="C7393" s="5" t="s">
        <v>84</v>
      </c>
      <c r="D7393" s="5" t="s">
        <v>85</v>
      </c>
      <c r="E7393" s="5" t="s">
        <v>58</v>
      </c>
      <c r="F7393" s="9">
        <v>92</v>
      </c>
      <c r="G7393" s="9">
        <v>1054</v>
      </c>
      <c r="H7393" s="5" t="s">
        <v>21</v>
      </c>
      <c r="I7393" s="5" t="s">
        <v>16833</v>
      </c>
      <c r="J7393" s="12" t="str">
        <f>HYPERLINK("https://www.boe.es/gazeta/dias/1800/11/14/pdfs/GMD-1800-92.pdf#page=8","Abrir facsímil")</f>
        <v>Abrir facsímil</v>
      </c>
      <c r="K7393" s="15" t="s">
        <v>23</v>
      </c>
    </row>
    <row r="7394" spans="1:11" ht="42" customHeight="1">
      <c r="A7394" s="4" t="s">
        <v>16832</v>
      </c>
      <c r="B7394" s="5" t="s">
        <v>16832</v>
      </c>
      <c r="C7394" s="5" t="s">
        <v>84</v>
      </c>
      <c r="D7394" s="5" t="s">
        <v>85</v>
      </c>
      <c r="E7394" s="5" t="s">
        <v>402</v>
      </c>
      <c r="F7394" s="9">
        <v>101</v>
      </c>
      <c r="G7394" s="9">
        <v>1176</v>
      </c>
      <c r="H7394" s="5" t="s">
        <v>21</v>
      </c>
      <c r="I7394" s="5" t="s">
        <v>16834</v>
      </c>
      <c r="J7394" s="12" t="str">
        <f>HYPERLINK("https://www.boe.es/gazeta/dias/1800/12/16/pdfs/GMD-1800-101.pdf#page=12","Abrir facsímil")</f>
        <v>Abrir facsímil</v>
      </c>
      <c r="K7394" s="15" t="s">
        <v>23</v>
      </c>
    </row>
    <row r="7395" spans="1:11" ht="42" customHeight="1">
      <c r="A7395" s="4" t="s">
        <v>16835</v>
      </c>
      <c r="B7395" s="5" t="s">
        <v>16835</v>
      </c>
      <c r="C7395" s="5" t="s">
        <v>1035</v>
      </c>
      <c r="D7395" s="5" t="s">
        <v>1036</v>
      </c>
      <c r="E7395" s="5" t="s">
        <v>50</v>
      </c>
      <c r="F7395" s="9">
        <v>81</v>
      </c>
      <c r="G7395" s="9">
        <v>942</v>
      </c>
      <c r="H7395" s="5" t="s">
        <v>21</v>
      </c>
      <c r="I7395" s="5" t="s">
        <v>16836</v>
      </c>
      <c r="J7395" s="12" t="str">
        <f>HYPERLINK("https://www.boe.es/gazeta/dias/1800/10/07/pdfs/GMD-C-1800-81.pdf#page=24","Abrir facsímil")</f>
        <v>Abrir facsímil</v>
      </c>
      <c r="K7395" s="15" t="s">
        <v>23</v>
      </c>
    </row>
    <row r="7396" spans="1:11" ht="42" customHeight="1">
      <c r="A7396" s="4" t="s">
        <v>16837</v>
      </c>
      <c r="B7396" s="5" t="s">
        <v>16837</v>
      </c>
      <c r="C7396" s="5" t="s">
        <v>114</v>
      </c>
      <c r="D7396" s="5" t="s">
        <v>115</v>
      </c>
      <c r="E7396" s="5" t="s">
        <v>116</v>
      </c>
      <c r="F7396" s="9">
        <v>86</v>
      </c>
      <c r="G7396" s="9" t="s">
        <v>725</v>
      </c>
      <c r="H7396" s="5" t="s">
        <v>21</v>
      </c>
      <c r="I7396" s="5" t="s">
        <v>16838</v>
      </c>
      <c r="J7396" s="12" t="str">
        <f>HYPERLINK("https://www.boe.es/gazeta/dias/1800/10/24/pdfs/GMD-D-1800-86.pdf#page=1","Abrir facsímil")</f>
        <v>Abrir facsímil</v>
      </c>
      <c r="K7396" s="15" t="s">
        <v>23</v>
      </c>
    </row>
    <row r="7397" spans="1:11" ht="42" customHeight="1">
      <c r="A7397" s="4" t="s">
        <v>16839</v>
      </c>
      <c r="B7397" s="5" t="s">
        <v>16840</v>
      </c>
      <c r="C7397" s="5" t="s">
        <v>54</v>
      </c>
      <c r="D7397" s="5" t="s">
        <v>55</v>
      </c>
      <c r="E7397" s="5" t="s">
        <v>230</v>
      </c>
      <c r="F7397" s="9">
        <v>35</v>
      </c>
      <c r="G7397" s="9">
        <v>355</v>
      </c>
      <c r="H7397" s="5" t="s">
        <v>21</v>
      </c>
      <c r="I7397" s="5" t="s">
        <v>16841</v>
      </c>
      <c r="J7397" s="12" t="str">
        <f>HYPERLINK("https://www.boe.es/gazeta/dias/1800/05/02/pdfs/GMD-1800-35.pdf#page=7","Abrir facsímil")</f>
        <v>Abrir facsímil</v>
      </c>
      <c r="K7397" s="15" t="s">
        <v>23</v>
      </c>
    </row>
    <row r="7398" spans="1:11" ht="42" customHeight="1">
      <c r="A7398" s="4" t="s">
        <v>16842</v>
      </c>
      <c r="B7398" s="5" t="s">
        <v>16843</v>
      </c>
      <c r="C7398" s="5" t="s">
        <v>18</v>
      </c>
      <c r="D7398" s="5" t="s">
        <v>19</v>
      </c>
      <c r="E7398" s="5" t="s">
        <v>48</v>
      </c>
      <c r="F7398" s="9">
        <v>66</v>
      </c>
      <c r="G7398" s="9">
        <v>747</v>
      </c>
      <c r="H7398" s="5" t="s">
        <v>21</v>
      </c>
      <c r="I7398" s="5" t="s">
        <v>16844</v>
      </c>
      <c r="J7398" s="12" t="str">
        <f>HYPERLINK("https://www.boe.es/gazeta/dias/1800/08/19/pdfs/GMD-1800-66.pdf#page=11","Abrir facsímil")</f>
        <v>Abrir facsímil</v>
      </c>
      <c r="K7398" s="15" t="s">
        <v>23</v>
      </c>
    </row>
    <row r="7399" spans="1:11" ht="42" customHeight="1">
      <c r="A7399" s="4" t="s">
        <v>16845</v>
      </c>
      <c r="B7399" s="5" t="s">
        <v>16846</v>
      </c>
      <c r="C7399" s="5" t="s">
        <v>18</v>
      </c>
      <c r="D7399" s="5" t="s">
        <v>19</v>
      </c>
      <c r="E7399" s="5" t="s">
        <v>595</v>
      </c>
      <c r="F7399" s="9">
        <v>72</v>
      </c>
      <c r="G7399" s="9">
        <v>797</v>
      </c>
      <c r="H7399" s="5" t="s">
        <v>21</v>
      </c>
      <c r="I7399" s="5" t="s">
        <v>16847</v>
      </c>
      <c r="J7399" s="12" t="str">
        <f>HYPERLINK("https://www.boe.es/gazeta/dias/1800/09/05/pdfs/GMD-1800-72.pdf#page=7","Abrir facsímil")</f>
        <v>Abrir facsímil</v>
      </c>
      <c r="K7399" s="15" t="s">
        <v>23</v>
      </c>
    </row>
    <row r="7400" spans="1:11" ht="42" customHeight="1">
      <c r="A7400" s="4" t="s">
        <v>16848</v>
      </c>
      <c r="B7400" s="5" t="s">
        <v>16849</v>
      </c>
      <c r="C7400" s="5" t="s">
        <v>54</v>
      </c>
      <c r="D7400" s="5" t="s">
        <v>55</v>
      </c>
      <c r="E7400" s="5" t="s">
        <v>143</v>
      </c>
      <c r="F7400" s="9">
        <v>22</v>
      </c>
      <c r="G7400" s="9">
        <v>219</v>
      </c>
      <c r="H7400" s="5" t="s">
        <v>21</v>
      </c>
      <c r="I7400" s="5" t="s">
        <v>16850</v>
      </c>
      <c r="J7400" s="12" t="str">
        <f>HYPERLINK("https://www.boe.es/gazeta/dias/1800/03/18/pdfs/GMD-1800-22.pdf#page=11","Abrir facsímil")</f>
        <v>Abrir facsímil</v>
      </c>
      <c r="K7400" s="15" t="s">
        <v>23</v>
      </c>
    </row>
    <row r="7401" spans="1:11" ht="42" customHeight="1">
      <c r="A7401" s="4" t="s">
        <v>16851</v>
      </c>
      <c r="B7401" s="5" t="s">
        <v>16852</v>
      </c>
      <c r="C7401" s="5" t="s">
        <v>18</v>
      </c>
      <c r="D7401" s="5" t="s">
        <v>19</v>
      </c>
      <c r="E7401" s="5" t="s">
        <v>79</v>
      </c>
      <c r="F7401" s="9">
        <v>7</v>
      </c>
      <c r="G7401" s="9">
        <v>66</v>
      </c>
      <c r="H7401" s="5" t="s">
        <v>21</v>
      </c>
      <c r="I7401" s="5" t="s">
        <v>16853</v>
      </c>
      <c r="J7401" s="12" t="str">
        <f>HYPERLINK("https://www.boe.es/gazeta/dias/1800/01/24/pdfs/GMD-1800-7.pdf#page=6","Abrir facsímil")</f>
        <v>Abrir facsímil</v>
      </c>
      <c r="K7401" s="15" t="s">
        <v>23</v>
      </c>
    </row>
    <row r="7402" spans="1:11" ht="42" customHeight="1">
      <c r="A7402" s="4" t="s">
        <v>16854</v>
      </c>
      <c r="B7402" s="5" t="s">
        <v>16855</v>
      </c>
      <c r="C7402" s="5" t="s">
        <v>84</v>
      </c>
      <c r="D7402" s="5" t="s">
        <v>85</v>
      </c>
      <c r="E7402" s="5" t="s">
        <v>1433</v>
      </c>
      <c r="F7402" s="9">
        <v>12</v>
      </c>
      <c r="G7402" s="9">
        <v>116</v>
      </c>
      <c r="H7402" s="5" t="s">
        <v>21</v>
      </c>
      <c r="I7402" s="5" t="s">
        <v>16856</v>
      </c>
      <c r="J7402" s="12" t="str">
        <f>HYPERLINK("https://www.boe.es/gazeta/dias/1800/02/11/pdfs/GMD-1800-12.pdf#page=8","Abrir facsímil")</f>
        <v>Abrir facsímil</v>
      </c>
      <c r="K7402" s="15" t="s">
        <v>23</v>
      </c>
    </row>
    <row r="7403" spans="1:11" ht="42" customHeight="1">
      <c r="A7403" s="4" t="s">
        <v>16854</v>
      </c>
      <c r="B7403" s="5" t="s">
        <v>16855</v>
      </c>
      <c r="C7403" s="5" t="s">
        <v>54</v>
      </c>
      <c r="D7403" s="5" t="s">
        <v>55</v>
      </c>
      <c r="E7403" s="5" t="s">
        <v>143</v>
      </c>
      <c r="F7403" s="9">
        <v>22</v>
      </c>
      <c r="G7403" s="9">
        <v>224</v>
      </c>
      <c r="H7403" s="5" t="s">
        <v>21</v>
      </c>
      <c r="I7403" s="5" t="s">
        <v>16857</v>
      </c>
      <c r="J7403" s="12" t="str">
        <f>HYPERLINK("https://www.boe.es/gazeta/dias/1800/03/18/pdfs/GMD-1800-22.pdf#page=16","Abrir facsímil")</f>
        <v>Abrir facsímil</v>
      </c>
      <c r="K7403" s="15" t="s">
        <v>23</v>
      </c>
    </row>
    <row r="7404" spans="1:11" ht="42" customHeight="1">
      <c r="A7404" s="4" t="s">
        <v>16858</v>
      </c>
      <c r="B7404" s="5" t="s">
        <v>16859</v>
      </c>
      <c r="C7404" s="5" t="s">
        <v>54</v>
      </c>
      <c r="D7404" s="5" t="s">
        <v>55</v>
      </c>
      <c r="E7404" s="5" t="s">
        <v>598</v>
      </c>
      <c r="F7404" s="9">
        <v>32</v>
      </c>
      <c r="G7404" s="9">
        <v>324</v>
      </c>
      <c r="H7404" s="5" t="s">
        <v>21</v>
      </c>
      <c r="I7404" s="5" t="s">
        <v>16860</v>
      </c>
      <c r="J7404" s="12" t="str">
        <f>HYPERLINK("https://www.boe.es/gazeta/dias/1800/04/22/pdfs/GMD-1800-32.pdf#page=8","Abrir facsímil")</f>
        <v>Abrir facsímil</v>
      </c>
      <c r="K7404" s="15" t="s">
        <v>23</v>
      </c>
    </row>
    <row r="7405" spans="1:11" ht="42" customHeight="1">
      <c r="A7405" s="4" t="s">
        <v>16861</v>
      </c>
      <c r="B7405" s="5" t="s">
        <v>16862</v>
      </c>
      <c r="C7405" s="5" t="s">
        <v>18</v>
      </c>
      <c r="D7405" s="5" t="s">
        <v>19</v>
      </c>
      <c r="E7405" s="5" t="s">
        <v>194</v>
      </c>
      <c r="F7405" s="9">
        <v>48</v>
      </c>
      <c r="G7405" s="9">
        <v>518</v>
      </c>
      <c r="H7405" s="5" t="s">
        <v>21</v>
      </c>
      <c r="I7405" s="5" t="s">
        <v>16863</v>
      </c>
      <c r="J7405" s="12" t="str">
        <f>HYPERLINK("https://www.boe.es/gazeta/dias/1800/06/17/pdfs/GMD-1800-48.pdf#page=10","Abrir facsímil")</f>
        <v>Abrir facsímil</v>
      </c>
      <c r="K7405" s="15" t="s">
        <v>23</v>
      </c>
    </row>
    <row r="7406" spans="1:11" ht="42" customHeight="1">
      <c r="A7406" s="4" t="s">
        <v>16858</v>
      </c>
      <c r="B7406" s="5" t="s">
        <v>16859</v>
      </c>
      <c r="C7406" s="5" t="s">
        <v>18</v>
      </c>
      <c r="D7406" s="5" t="s">
        <v>19</v>
      </c>
      <c r="E7406" s="5" t="s">
        <v>314</v>
      </c>
      <c r="F7406" s="9">
        <v>74</v>
      </c>
      <c r="G7406" s="9">
        <v>831</v>
      </c>
      <c r="H7406" s="5" t="s">
        <v>21</v>
      </c>
      <c r="I7406" s="5" t="s">
        <v>16864</v>
      </c>
      <c r="J7406" s="12" t="str">
        <f>HYPERLINK("https://www.boe.es/gazeta/dias/1800/09/12/pdfs/GMD-1800-74.pdf#page=9","Abrir facsímil")</f>
        <v>Abrir facsímil</v>
      </c>
      <c r="K7406" s="15" t="s">
        <v>23</v>
      </c>
    </row>
    <row r="7407" spans="1:11" ht="42" customHeight="1">
      <c r="A7407" s="4" t="s">
        <v>16865</v>
      </c>
      <c r="B7407" s="5" t="s">
        <v>16866</v>
      </c>
      <c r="C7407" s="5" t="s">
        <v>18</v>
      </c>
      <c r="D7407" s="5" t="s">
        <v>19</v>
      </c>
      <c r="E7407" s="5" t="s">
        <v>240</v>
      </c>
      <c r="F7407" s="9">
        <v>26</v>
      </c>
      <c r="G7407" s="9">
        <v>270</v>
      </c>
      <c r="H7407" s="5" t="s">
        <v>21</v>
      </c>
      <c r="I7407" s="5" t="s">
        <v>16867</v>
      </c>
      <c r="J7407" s="12" t="str">
        <f>HYPERLINK("https://www.boe.es/gazeta/dias/1800/04/01/pdfs/GMD-1800-26.pdf#page=10","Abrir facsímil")</f>
        <v>Abrir facsímil</v>
      </c>
      <c r="K7407" s="15" t="s">
        <v>23</v>
      </c>
    </row>
    <row r="7408" spans="1:11" ht="42" customHeight="1">
      <c r="A7408" s="4" t="s">
        <v>16868</v>
      </c>
      <c r="B7408" s="5" t="s">
        <v>16869</v>
      </c>
      <c r="C7408" s="5" t="s">
        <v>18</v>
      </c>
      <c r="D7408" s="5" t="s">
        <v>19</v>
      </c>
      <c r="E7408" s="5" t="s">
        <v>598</v>
      </c>
      <c r="F7408" s="9">
        <v>32</v>
      </c>
      <c r="G7408" s="9">
        <v>323</v>
      </c>
      <c r="H7408" s="5" t="s">
        <v>21</v>
      </c>
      <c r="I7408" s="5" t="s">
        <v>16870</v>
      </c>
      <c r="J7408" s="12" t="str">
        <f>HYPERLINK("https://www.boe.es/gazeta/dias/1800/04/22/pdfs/GMD-1800-32.pdf#page=7","Abrir facsímil")</f>
        <v>Abrir facsímil</v>
      </c>
      <c r="K7408" s="15" t="s">
        <v>23</v>
      </c>
    </row>
    <row r="7409" spans="1:11" ht="42" customHeight="1">
      <c r="A7409" s="4" t="s">
        <v>16871</v>
      </c>
      <c r="B7409" s="5" t="s">
        <v>16872</v>
      </c>
      <c r="C7409" s="5" t="s">
        <v>18</v>
      </c>
      <c r="D7409" s="5" t="s">
        <v>19</v>
      </c>
      <c r="E7409" s="5" t="s">
        <v>422</v>
      </c>
      <c r="F7409" s="9">
        <v>85</v>
      </c>
      <c r="G7409" s="9">
        <v>985</v>
      </c>
      <c r="H7409" s="5" t="s">
        <v>21</v>
      </c>
      <c r="I7409" s="5" t="s">
        <v>16873</v>
      </c>
      <c r="J7409" s="12" t="str">
        <f>HYPERLINK("https://www.boe.es/gazeta/dias/1800/10/21/pdfs/GMD-1800-85.pdf#page=7","Abrir facsímil")</f>
        <v>Abrir facsímil</v>
      </c>
      <c r="K7409" s="15" t="s">
        <v>23</v>
      </c>
    </row>
    <row r="7410" spans="1:11" ht="42" customHeight="1">
      <c r="A7410" s="4" t="s">
        <v>16874</v>
      </c>
      <c r="B7410" s="5" t="s">
        <v>16874</v>
      </c>
      <c r="C7410" s="5" t="s">
        <v>171</v>
      </c>
      <c r="D7410" s="5" t="s">
        <v>172</v>
      </c>
      <c r="E7410" s="5" t="s">
        <v>465</v>
      </c>
      <c r="F7410" s="9">
        <v>49</v>
      </c>
      <c r="G7410" s="9">
        <v>534</v>
      </c>
      <c r="H7410" s="5" t="s">
        <v>21</v>
      </c>
      <c r="I7410" s="5" t="s">
        <v>16875</v>
      </c>
      <c r="J7410" s="12" t="str">
        <f>HYPERLINK("https://www.boe.es/gazeta/dias/1800/06/20/pdfs/GMD-C-1800-49.pdf#page=2","Abrir facsímil")</f>
        <v>Abrir facsímil</v>
      </c>
      <c r="K7410" s="15" t="s">
        <v>23</v>
      </c>
    </row>
    <row r="7411" spans="1:11" ht="42" customHeight="1">
      <c r="A7411" s="4" t="s">
        <v>16876</v>
      </c>
      <c r="B7411" s="5" t="s">
        <v>16877</v>
      </c>
      <c r="C7411" s="5" t="s">
        <v>207</v>
      </c>
      <c r="D7411" s="5" t="s">
        <v>55</v>
      </c>
      <c r="E7411" s="5" t="s">
        <v>1108</v>
      </c>
      <c r="F7411" s="9">
        <v>30</v>
      </c>
      <c r="G7411" s="9">
        <v>307</v>
      </c>
      <c r="H7411" s="5" t="s">
        <v>21</v>
      </c>
      <c r="I7411" s="5" t="s">
        <v>16878</v>
      </c>
      <c r="J7411" s="12" t="str">
        <f>HYPERLINK("https://www.boe.es/gazeta/dias/1800/04/15/pdfs/GMD-1800-30.pdf#page=7","Abrir facsímil")</f>
        <v>Abrir facsímil</v>
      </c>
      <c r="K7411" s="15" t="s">
        <v>23</v>
      </c>
    </row>
    <row r="7412" spans="1:11" ht="42" customHeight="1">
      <c r="A7412" s="4" t="s">
        <v>16879</v>
      </c>
      <c r="B7412" s="5" t="s">
        <v>16880</v>
      </c>
      <c r="C7412" s="5" t="s">
        <v>18</v>
      </c>
      <c r="D7412" s="5" t="s">
        <v>19</v>
      </c>
      <c r="E7412" s="5" t="s">
        <v>120</v>
      </c>
      <c r="F7412" s="9">
        <v>52</v>
      </c>
      <c r="G7412" s="9">
        <v>575</v>
      </c>
      <c r="H7412" s="5" t="s">
        <v>21</v>
      </c>
      <c r="I7412" s="5" t="s">
        <v>16881</v>
      </c>
      <c r="J7412" s="12" t="str">
        <f>HYPERLINK("https://www.boe.es/gazeta/dias/1800/07/01/pdfs/GMD-1800-52.pdf#page=11","Abrir facsímil")</f>
        <v>Abrir facsímil</v>
      </c>
      <c r="K7412" s="15" t="s">
        <v>23</v>
      </c>
    </row>
    <row r="7413" spans="1:11" ht="42" customHeight="1">
      <c r="A7413" s="4" t="s">
        <v>16882</v>
      </c>
      <c r="B7413" s="5" t="s">
        <v>16883</v>
      </c>
      <c r="C7413" s="5" t="s">
        <v>18</v>
      </c>
      <c r="D7413" s="5" t="s">
        <v>19</v>
      </c>
      <c r="E7413" s="5" t="s">
        <v>787</v>
      </c>
      <c r="F7413" s="9">
        <v>6</v>
      </c>
      <c r="G7413" s="9">
        <v>58</v>
      </c>
      <c r="H7413" s="5" t="s">
        <v>21</v>
      </c>
      <c r="I7413" s="5" t="s">
        <v>16884</v>
      </c>
      <c r="J7413" s="12" t="str">
        <f>HYPERLINK("https://www.boe.es/gazeta/dias/1800/01/21/pdfs/GMD-1800-6.pdf#page=10","Abrir facsímil")</f>
        <v>Abrir facsímil</v>
      </c>
      <c r="K7413" s="15" t="s">
        <v>23</v>
      </c>
    </row>
    <row r="7414" spans="1:11" ht="42" customHeight="1">
      <c r="A7414" s="4" t="s">
        <v>16885</v>
      </c>
      <c r="B7414" s="5" t="s">
        <v>16886</v>
      </c>
      <c r="C7414" s="5" t="s">
        <v>18</v>
      </c>
      <c r="D7414" s="5" t="s">
        <v>19</v>
      </c>
      <c r="E7414" s="5" t="s">
        <v>595</v>
      </c>
      <c r="F7414" s="9">
        <v>72</v>
      </c>
      <c r="G7414" s="9">
        <v>797</v>
      </c>
      <c r="H7414" s="5" t="s">
        <v>21</v>
      </c>
      <c r="I7414" s="5" t="s">
        <v>16887</v>
      </c>
      <c r="J7414" s="12" t="str">
        <f>HYPERLINK("https://www.boe.es/gazeta/dias/1800/09/05/pdfs/GMD-1800-72.pdf#page=7","Abrir facsímil")</f>
        <v>Abrir facsímil</v>
      </c>
      <c r="K7414" s="15" t="s">
        <v>23</v>
      </c>
    </row>
    <row r="7415" spans="1:11" ht="42" customHeight="1">
      <c r="A7415" s="4" t="s">
        <v>16882</v>
      </c>
      <c r="B7415" s="5" t="s">
        <v>16883</v>
      </c>
      <c r="C7415" s="5" t="s">
        <v>207</v>
      </c>
      <c r="D7415" s="5" t="s">
        <v>55</v>
      </c>
      <c r="E7415" s="5" t="s">
        <v>306</v>
      </c>
      <c r="F7415" s="9">
        <v>79</v>
      </c>
      <c r="G7415" s="9">
        <v>899</v>
      </c>
      <c r="H7415" s="5" t="s">
        <v>21</v>
      </c>
      <c r="I7415" s="5" t="s">
        <v>16888</v>
      </c>
      <c r="J7415" s="12" t="str">
        <f>HYPERLINK("https://www.boe.es/gazeta/dias/1800/09/30/pdfs/GMD-1800-79.pdf#page=9","Abrir facsímil")</f>
        <v>Abrir facsímil</v>
      </c>
      <c r="K7415" s="15" t="s">
        <v>23</v>
      </c>
    </row>
    <row r="7416" spans="1:11" ht="42" customHeight="1">
      <c r="A7416" s="4" t="s">
        <v>16889</v>
      </c>
      <c r="B7416" s="5" t="s">
        <v>16890</v>
      </c>
      <c r="C7416" s="5" t="s">
        <v>18</v>
      </c>
      <c r="D7416" s="5" t="s">
        <v>19</v>
      </c>
      <c r="E7416" s="5" t="s">
        <v>244</v>
      </c>
      <c r="F7416" s="9">
        <v>9</v>
      </c>
      <c r="G7416" s="9">
        <v>85</v>
      </c>
      <c r="H7416" s="5" t="s">
        <v>21</v>
      </c>
      <c r="I7416" s="5" t="s">
        <v>16891</v>
      </c>
      <c r="J7416" s="12" t="str">
        <f>HYPERLINK("https://www.boe.es/gazeta/dias/1800/01/31/pdfs/GMD-1800-9.pdf#page=9","Abrir facsímil")</f>
        <v>Abrir facsímil</v>
      </c>
      <c r="K7416" s="15" t="s">
        <v>23</v>
      </c>
    </row>
    <row r="7417" spans="1:11" ht="42" customHeight="1">
      <c r="A7417" s="4" t="s">
        <v>16892</v>
      </c>
      <c r="B7417" s="5" t="s">
        <v>16893</v>
      </c>
      <c r="C7417" s="5" t="s">
        <v>18</v>
      </c>
      <c r="D7417" s="5" t="s">
        <v>19</v>
      </c>
      <c r="E7417" s="5" t="s">
        <v>283</v>
      </c>
      <c r="F7417" s="9">
        <v>68</v>
      </c>
      <c r="G7417" s="9">
        <v>764</v>
      </c>
      <c r="H7417" s="5" t="s">
        <v>21</v>
      </c>
      <c r="I7417" s="5" t="s">
        <v>16894</v>
      </c>
      <c r="J7417" s="12" t="str">
        <f>HYPERLINK("https://www.boe.es/gazeta/dias/1800/08/26/pdfs/GMD-1800-68.pdf#page=8","Abrir facsímil")</f>
        <v>Abrir facsímil</v>
      </c>
      <c r="K7417" s="15" t="s">
        <v>23</v>
      </c>
    </row>
    <row r="7418" spans="1:11" ht="42" customHeight="1">
      <c r="A7418" s="4" t="s">
        <v>16895</v>
      </c>
      <c r="B7418" s="5" t="s">
        <v>16895</v>
      </c>
      <c r="C7418" s="5" t="s">
        <v>18</v>
      </c>
      <c r="D7418" s="5" t="s">
        <v>19</v>
      </c>
      <c r="E7418" s="5" t="s">
        <v>194</v>
      </c>
      <c r="F7418" s="9">
        <v>48</v>
      </c>
      <c r="G7418" s="9">
        <v>512</v>
      </c>
      <c r="H7418" s="5" t="s">
        <v>21</v>
      </c>
      <c r="I7418" s="5" t="s">
        <v>16896</v>
      </c>
      <c r="J7418" s="12" t="str">
        <f>HYPERLINK("https://www.boe.es/gazeta/dias/1800/06/17/pdfs/GMD-1800-48.pdf#page=4","Abrir facsímil")</f>
        <v>Abrir facsímil</v>
      </c>
      <c r="K7418" s="15" t="s">
        <v>23</v>
      </c>
    </row>
    <row r="7419" spans="1:11" ht="42" customHeight="1">
      <c r="A7419" s="4" t="s">
        <v>16897</v>
      </c>
      <c r="B7419" s="5" t="s">
        <v>16897</v>
      </c>
      <c r="C7419" s="5" t="s">
        <v>18</v>
      </c>
      <c r="D7419" s="5" t="s">
        <v>19</v>
      </c>
      <c r="E7419" s="5" t="s">
        <v>530</v>
      </c>
      <c r="F7419" s="9">
        <v>55</v>
      </c>
      <c r="G7419" s="9">
        <v>616</v>
      </c>
      <c r="H7419" s="5" t="s">
        <v>21</v>
      </c>
      <c r="I7419" s="5" t="s">
        <v>16898</v>
      </c>
      <c r="J7419" s="12" t="str">
        <f>HYPERLINK("https://www.boe.es/gazeta/dias/1800/07/11/pdfs/GMD-1800-55.pdf#page=4","Abrir facsímil")</f>
        <v>Abrir facsímil</v>
      </c>
      <c r="K7419" s="15" t="s">
        <v>23</v>
      </c>
    </row>
    <row r="7420" spans="1:11" ht="42" customHeight="1">
      <c r="A7420" s="4" t="s">
        <v>16899</v>
      </c>
      <c r="B7420" s="5" t="s">
        <v>16899</v>
      </c>
      <c r="C7420" s="5" t="s">
        <v>41</v>
      </c>
      <c r="D7420" s="5" t="s">
        <v>42</v>
      </c>
      <c r="E7420" s="5" t="s">
        <v>1231</v>
      </c>
      <c r="F7420" s="9">
        <v>36</v>
      </c>
      <c r="G7420" s="9">
        <v>360</v>
      </c>
      <c r="H7420" s="5" t="s">
        <v>21</v>
      </c>
      <c r="I7420" s="5" t="s">
        <v>16900</v>
      </c>
      <c r="J7420" s="12" t="str">
        <f>HYPERLINK("https://www.boe.es/gazeta/dias/1800/05/06/pdfs/GMD-1800-36.pdf#page=4","Abrir facsímil")</f>
        <v>Abrir facsímil</v>
      </c>
      <c r="K7420" s="15" t="s">
        <v>23</v>
      </c>
    </row>
    <row r="7421" spans="1:11" ht="42" customHeight="1">
      <c r="A7421" s="4" t="s">
        <v>16901</v>
      </c>
      <c r="B7421" s="5" t="s">
        <v>16901</v>
      </c>
      <c r="C7421" s="5" t="s">
        <v>41</v>
      </c>
      <c r="D7421" s="5" t="s">
        <v>42</v>
      </c>
      <c r="E7421" s="5" t="s">
        <v>1294</v>
      </c>
      <c r="F7421" s="9">
        <v>59</v>
      </c>
      <c r="G7421" s="9">
        <v>673</v>
      </c>
      <c r="H7421" s="5" t="s">
        <v>21</v>
      </c>
      <c r="I7421" s="5" t="s">
        <v>16902</v>
      </c>
      <c r="J7421" s="12" t="str">
        <f>HYPERLINK("https://www.boe.es/gazeta/dias/1800/07/25/pdfs/GMD-1800-59.pdf#page=5","Abrir facsímil")</f>
        <v>Abrir facsímil</v>
      </c>
      <c r="K7421" s="15" t="s">
        <v>23</v>
      </c>
    </row>
    <row r="7422" spans="1:11" ht="42" customHeight="1">
      <c r="A7422" s="4" t="s">
        <v>16903</v>
      </c>
      <c r="B7422" s="5" t="s">
        <v>16904</v>
      </c>
      <c r="C7422" s="5" t="s">
        <v>18</v>
      </c>
      <c r="D7422" s="5" t="s">
        <v>19</v>
      </c>
      <c r="E7422" s="5" t="s">
        <v>75</v>
      </c>
      <c r="F7422" s="9">
        <v>64</v>
      </c>
      <c r="G7422" s="9">
        <v>733</v>
      </c>
      <c r="H7422" s="5" t="s">
        <v>21</v>
      </c>
      <c r="I7422" s="5" t="s">
        <v>16905</v>
      </c>
      <c r="J7422" s="12" t="str">
        <f>HYPERLINK("https://www.boe.es/gazeta/dias/1800/08/12/pdfs/GMD-1800-64.pdf#page=9","Abrir facsímil")</f>
        <v>Abrir facsímil</v>
      </c>
      <c r="K7422" s="15" t="s">
        <v>23</v>
      </c>
    </row>
    <row r="7423" spans="1:11" ht="42" customHeight="1">
      <c r="A7423" s="4" t="s">
        <v>16906</v>
      </c>
      <c r="B7423" s="5" t="s">
        <v>16907</v>
      </c>
      <c r="C7423" s="5" t="s">
        <v>25</v>
      </c>
      <c r="D7423" s="5" t="s">
        <v>26</v>
      </c>
      <c r="E7423" s="5" t="s">
        <v>583</v>
      </c>
      <c r="F7423" s="9">
        <v>77</v>
      </c>
      <c r="G7423" s="9">
        <v>880</v>
      </c>
      <c r="H7423" s="5" t="s">
        <v>21</v>
      </c>
      <c r="I7423" s="5" t="s">
        <v>16908</v>
      </c>
      <c r="J7423" s="12" t="str">
        <f>HYPERLINK("https://www.boe.es/gazeta/dias/1800/09/23/pdfs/GMD-1800-77.pdf#page=10","Abrir facsímil")</f>
        <v>Abrir facsímil</v>
      </c>
      <c r="K7423" s="15" t="s">
        <v>23</v>
      </c>
    </row>
    <row r="7424" spans="1:11" ht="42" customHeight="1">
      <c r="A7424" s="4" t="s">
        <v>16909</v>
      </c>
      <c r="B7424" s="5" t="s">
        <v>16910</v>
      </c>
      <c r="C7424" s="5" t="s">
        <v>18</v>
      </c>
      <c r="D7424" s="5" t="s">
        <v>19</v>
      </c>
      <c r="E7424" s="5" t="s">
        <v>39</v>
      </c>
      <c r="F7424" s="9">
        <v>43</v>
      </c>
      <c r="G7424" s="9">
        <v>447</v>
      </c>
      <c r="H7424" s="5" t="s">
        <v>21</v>
      </c>
      <c r="I7424" s="5" t="s">
        <v>16911</v>
      </c>
      <c r="J7424" s="12" t="str">
        <f>HYPERLINK("https://www.boe.es/gazeta/dias/1800/05/30/pdfs/GMD-1800-43.pdf#page=7","Abrir facsímil")</f>
        <v>Abrir facsímil</v>
      </c>
      <c r="K7424" s="15" t="s">
        <v>23</v>
      </c>
    </row>
    <row r="7425" spans="1:11" ht="42" customHeight="1">
      <c r="A7425" s="4" t="s">
        <v>16909</v>
      </c>
      <c r="B7425" s="5" t="s">
        <v>16910</v>
      </c>
      <c r="C7425" s="5" t="s">
        <v>41</v>
      </c>
      <c r="D7425" s="5" t="s">
        <v>42</v>
      </c>
      <c r="E7425" s="5" t="s">
        <v>465</v>
      </c>
      <c r="F7425" s="9">
        <v>49</v>
      </c>
      <c r="G7425" s="9">
        <v>528</v>
      </c>
      <c r="H7425" s="5" t="s">
        <v>21</v>
      </c>
      <c r="I7425" s="5" t="s">
        <v>16912</v>
      </c>
      <c r="J7425" s="12" t="str">
        <f>HYPERLINK("https://www.boe.es/gazeta/dias/1800/06/20/pdfs/GMD-1800-49.pdf#page=4","Abrir facsímil")</f>
        <v>Abrir facsímil</v>
      </c>
      <c r="K7425" s="15" t="s">
        <v>23</v>
      </c>
    </row>
    <row r="7426" spans="1:11" ht="42" customHeight="1">
      <c r="A7426" s="4" t="s">
        <v>16909</v>
      </c>
      <c r="B7426" s="5" t="s">
        <v>16910</v>
      </c>
      <c r="C7426" s="5" t="s">
        <v>25</v>
      </c>
      <c r="D7426" s="5" t="s">
        <v>26</v>
      </c>
      <c r="E7426" s="5" t="s">
        <v>465</v>
      </c>
      <c r="F7426" s="9">
        <v>49</v>
      </c>
      <c r="G7426" s="9">
        <v>531</v>
      </c>
      <c r="H7426" s="5" t="s">
        <v>21</v>
      </c>
      <c r="I7426" s="5" t="s">
        <v>16913</v>
      </c>
      <c r="J7426" s="12" t="str">
        <f>HYPERLINK("https://www.boe.es/gazeta/dias/1800/06/20/pdfs/GMD-1800-49.pdf#page=7","Abrir facsímil")</f>
        <v>Abrir facsímil</v>
      </c>
      <c r="K7426" s="15" t="s">
        <v>23</v>
      </c>
    </row>
    <row r="7427" spans="1:11" ht="42" customHeight="1">
      <c r="A7427" s="4" t="s">
        <v>16914</v>
      </c>
      <c r="B7427" s="5" t="s">
        <v>16915</v>
      </c>
      <c r="C7427" s="5" t="s">
        <v>18</v>
      </c>
      <c r="D7427" s="5" t="s">
        <v>19</v>
      </c>
      <c r="E7427" s="5" t="s">
        <v>248</v>
      </c>
      <c r="F7427" s="9">
        <v>33</v>
      </c>
      <c r="G7427" s="9">
        <v>329</v>
      </c>
      <c r="H7427" s="5" t="s">
        <v>21</v>
      </c>
      <c r="I7427" s="5" t="s">
        <v>16916</v>
      </c>
      <c r="J7427" s="12" t="str">
        <f>HYPERLINK("https://www.boe.es/gazeta/dias/1800/04/25/pdfs/GMD-1800-33.pdf#page=5","Abrir facsímil")</f>
        <v>Abrir facsímil</v>
      </c>
      <c r="K7427" s="15" t="s">
        <v>23</v>
      </c>
    </row>
    <row r="7428" spans="1:11" ht="42" customHeight="1">
      <c r="A7428" s="4" t="s">
        <v>16917</v>
      </c>
      <c r="B7428" s="5" t="s">
        <v>16918</v>
      </c>
      <c r="C7428" s="5" t="s">
        <v>171</v>
      </c>
      <c r="D7428" s="5" t="s">
        <v>172</v>
      </c>
      <c r="E7428" s="5" t="s">
        <v>465</v>
      </c>
      <c r="F7428" s="9">
        <v>49</v>
      </c>
      <c r="G7428" s="9">
        <v>536</v>
      </c>
      <c r="H7428" s="5" t="s">
        <v>21</v>
      </c>
      <c r="I7428" s="5" t="s">
        <v>16919</v>
      </c>
      <c r="J7428" s="12" t="str">
        <f>HYPERLINK("https://www.boe.es/gazeta/dias/1800/06/20/pdfs/GMD-C-1800-49.pdf#page=4","Abrir facsímil")</f>
        <v>Abrir facsímil</v>
      </c>
      <c r="K7428" s="15" t="s">
        <v>23</v>
      </c>
    </row>
    <row r="7429" spans="1:11" ht="42" customHeight="1">
      <c r="A7429" s="4" t="s">
        <v>16920</v>
      </c>
      <c r="B7429" s="5" t="s">
        <v>16921</v>
      </c>
      <c r="C7429" s="5" t="s">
        <v>18</v>
      </c>
      <c r="D7429" s="5" t="s">
        <v>19</v>
      </c>
      <c r="E7429" s="5" t="s">
        <v>39</v>
      </c>
      <c r="F7429" s="9">
        <v>43</v>
      </c>
      <c r="G7429" s="9">
        <v>449</v>
      </c>
      <c r="H7429" s="5" t="s">
        <v>21</v>
      </c>
      <c r="I7429" s="5" t="s">
        <v>16922</v>
      </c>
      <c r="J7429" s="12" t="str">
        <f>HYPERLINK("https://www.boe.es/gazeta/dias/1800/05/30/pdfs/GMD-1800-43.pdf#page=9","Abrir facsímil")</f>
        <v>Abrir facsímil</v>
      </c>
      <c r="K7429" s="15" t="s">
        <v>23</v>
      </c>
    </row>
    <row r="7430" spans="1:11" ht="42" customHeight="1">
      <c r="A7430" s="4" t="s">
        <v>16923</v>
      </c>
      <c r="B7430" s="5" t="s">
        <v>16924</v>
      </c>
      <c r="C7430" s="5" t="s">
        <v>207</v>
      </c>
      <c r="D7430" s="5" t="s">
        <v>55</v>
      </c>
      <c r="E7430" s="5" t="s">
        <v>64</v>
      </c>
      <c r="F7430" s="9">
        <v>54</v>
      </c>
      <c r="G7430" s="9">
        <v>607</v>
      </c>
      <c r="H7430" s="5" t="s">
        <v>21</v>
      </c>
      <c r="I7430" s="5" t="s">
        <v>16925</v>
      </c>
      <c r="J7430" s="12" t="str">
        <f>HYPERLINK("https://www.boe.es/gazeta/dias/1800/07/08/pdfs/GMD-1800-54.pdf#page=11","Abrir facsímil")</f>
        <v>Abrir facsímil</v>
      </c>
      <c r="K7430" s="15" t="s">
        <v>23</v>
      </c>
    </row>
    <row r="7431" spans="1:11" ht="42" customHeight="1">
      <c r="A7431" s="4" t="s">
        <v>16926</v>
      </c>
      <c r="B7431" s="5" t="s">
        <v>16927</v>
      </c>
      <c r="C7431" s="5" t="s">
        <v>84</v>
      </c>
      <c r="D7431" s="5" t="s">
        <v>85</v>
      </c>
      <c r="E7431" s="5" t="s">
        <v>406</v>
      </c>
      <c r="F7431" s="9">
        <v>44</v>
      </c>
      <c r="G7431" s="9">
        <v>464</v>
      </c>
      <c r="H7431" s="5" t="s">
        <v>21</v>
      </c>
      <c r="I7431" s="5" t="s">
        <v>16928</v>
      </c>
      <c r="J7431" s="12" t="str">
        <f>HYPERLINK("https://www.boe.es/gazeta/dias/1800/06/03/pdfs/GMD-1800-44.pdf#page=12","Abrir facsímil")</f>
        <v>Abrir facsímil</v>
      </c>
      <c r="K7431" s="15" t="s">
        <v>23</v>
      </c>
    </row>
    <row r="7432" spans="1:11" ht="42" customHeight="1">
      <c r="A7432" s="4" t="s">
        <v>16929</v>
      </c>
      <c r="B7432" s="5" t="s">
        <v>16930</v>
      </c>
      <c r="C7432" s="5" t="s">
        <v>18</v>
      </c>
      <c r="D7432" s="5" t="s">
        <v>19</v>
      </c>
      <c r="E7432" s="5" t="s">
        <v>184</v>
      </c>
      <c r="F7432" s="9">
        <v>82</v>
      </c>
      <c r="G7432" s="9">
        <v>951</v>
      </c>
      <c r="H7432" s="5" t="s">
        <v>21</v>
      </c>
      <c r="I7432" s="5" t="s">
        <v>16931</v>
      </c>
      <c r="J7432" s="12" t="str">
        <f>HYPERLINK("https://www.boe.es/gazeta/dias/1800/10/10/pdfs/GMD-1800-82.pdf#page=9","Abrir facsímil")</f>
        <v>Abrir facsímil</v>
      </c>
      <c r="K7432" s="15" t="s">
        <v>23</v>
      </c>
    </row>
    <row r="7433" spans="1:11" ht="42" customHeight="1">
      <c r="A7433" s="4" t="s">
        <v>16932</v>
      </c>
      <c r="B7433" s="5" t="s">
        <v>16933</v>
      </c>
      <c r="C7433" s="5" t="s">
        <v>25</v>
      </c>
      <c r="D7433" s="5" t="s">
        <v>26</v>
      </c>
      <c r="E7433" s="5" t="s">
        <v>845</v>
      </c>
      <c r="F7433" s="9">
        <v>80</v>
      </c>
      <c r="G7433" s="9">
        <v>910</v>
      </c>
      <c r="H7433" s="5" t="s">
        <v>21</v>
      </c>
      <c r="I7433" s="5" t="s">
        <v>16934</v>
      </c>
      <c r="J7433" s="12" t="str">
        <f>HYPERLINK("https://www.boe.es/gazeta/dias/1800/10/03/pdfs/GMD-1800-80.pdf#page=8","Abrir facsímil")</f>
        <v>Abrir facsímil</v>
      </c>
      <c r="K7433" s="15" t="s">
        <v>23</v>
      </c>
    </row>
    <row r="7434" spans="1:11" ht="42" customHeight="1">
      <c r="A7434" s="4" t="s">
        <v>16935</v>
      </c>
      <c r="B7434" s="5" t="s">
        <v>16936</v>
      </c>
      <c r="C7434" s="5" t="s">
        <v>18</v>
      </c>
      <c r="D7434" s="5" t="s">
        <v>19</v>
      </c>
      <c r="E7434" s="5" t="s">
        <v>279</v>
      </c>
      <c r="F7434" s="9">
        <v>103</v>
      </c>
      <c r="G7434" s="9">
        <v>1197</v>
      </c>
      <c r="H7434" s="5" t="s">
        <v>21</v>
      </c>
      <c r="I7434" s="5" t="s">
        <v>16937</v>
      </c>
      <c r="J7434" s="12" t="str">
        <f>HYPERLINK("https://www.boe.es/gazeta/dias/1800/12/23/pdfs/GMD-1800-103.pdf#page=9","Abrir facsímil")</f>
        <v>Abrir facsímil</v>
      </c>
      <c r="K7434" s="15" t="s">
        <v>23</v>
      </c>
    </row>
    <row r="7435" spans="1:11" ht="42" customHeight="1">
      <c r="A7435" s="4" t="s">
        <v>16938</v>
      </c>
      <c r="B7435" s="5" t="s">
        <v>16939</v>
      </c>
      <c r="C7435" s="5" t="s">
        <v>41</v>
      </c>
      <c r="D7435" s="5" t="s">
        <v>42</v>
      </c>
      <c r="E7435" s="5" t="s">
        <v>68</v>
      </c>
      <c r="F7435" s="9">
        <v>67</v>
      </c>
      <c r="G7435" s="9">
        <v>753</v>
      </c>
      <c r="H7435" s="5" t="s">
        <v>21</v>
      </c>
      <c r="I7435" s="5" t="s">
        <v>16940</v>
      </c>
      <c r="J7435" s="12" t="str">
        <f>HYPERLINK("https://www.boe.es/gazeta/dias/1800/08/22/pdfs/GMD-1800-67.pdf#page=5","Abrir facsímil")</f>
        <v>Abrir facsímil</v>
      </c>
      <c r="K7435" s="15" t="s">
        <v>23</v>
      </c>
    </row>
    <row r="7436" spans="1:11" ht="42" customHeight="1">
      <c r="A7436" s="4" t="s">
        <v>16941</v>
      </c>
      <c r="B7436" s="5" t="s">
        <v>16942</v>
      </c>
      <c r="C7436" s="5" t="s">
        <v>41</v>
      </c>
      <c r="D7436" s="5" t="s">
        <v>42</v>
      </c>
      <c r="E7436" s="5" t="s">
        <v>75</v>
      </c>
      <c r="F7436" s="9">
        <v>64</v>
      </c>
      <c r="G7436" s="9">
        <v>731</v>
      </c>
      <c r="H7436" s="5" t="s">
        <v>21</v>
      </c>
      <c r="I7436" s="5" t="s">
        <v>16943</v>
      </c>
      <c r="J7436" s="12" t="str">
        <f>HYPERLINK("https://www.boe.es/gazeta/dias/1800/08/12/pdfs/GMD-1800-64.pdf#page=7","Abrir facsímil")</f>
        <v>Abrir facsímil</v>
      </c>
      <c r="K7436" s="15" t="s">
        <v>23</v>
      </c>
    </row>
    <row r="7437" spans="1:11" ht="42" customHeight="1">
      <c r="A7437" s="4" t="s">
        <v>16941</v>
      </c>
      <c r="B7437" s="5" t="s">
        <v>16942</v>
      </c>
      <c r="C7437" s="5" t="s">
        <v>41</v>
      </c>
      <c r="D7437" s="5" t="s">
        <v>42</v>
      </c>
      <c r="E7437" s="5" t="s">
        <v>176</v>
      </c>
      <c r="F7437" s="9">
        <v>88</v>
      </c>
      <c r="G7437" s="9">
        <v>1025</v>
      </c>
      <c r="H7437" s="5" t="s">
        <v>21</v>
      </c>
      <c r="I7437" s="5" t="s">
        <v>16944</v>
      </c>
      <c r="J7437" s="12" t="str">
        <f>HYPERLINK("https://www.boe.es/gazeta/dias/1800/10/31/pdfs/GMD-1800-88.pdf#page=7","Abrir facsímil")</f>
        <v>Abrir facsímil</v>
      </c>
      <c r="K7437" s="15" t="s">
        <v>23</v>
      </c>
    </row>
    <row r="7438" spans="1:11" ht="42" customHeight="1">
      <c r="A7438" s="4" t="s">
        <v>16941</v>
      </c>
      <c r="B7438" s="5" t="s">
        <v>16942</v>
      </c>
      <c r="C7438" s="5" t="s">
        <v>41</v>
      </c>
      <c r="D7438" s="5" t="s">
        <v>42</v>
      </c>
      <c r="E7438" s="5" t="s">
        <v>576</v>
      </c>
      <c r="F7438" s="9">
        <v>91</v>
      </c>
      <c r="G7438" s="9">
        <v>1064</v>
      </c>
      <c r="H7438" s="5" t="s">
        <v>21</v>
      </c>
      <c r="I7438" s="5" t="s">
        <v>16945</v>
      </c>
      <c r="J7438" s="12" t="str">
        <f>HYPERLINK("https://www.boe.es/gazeta/dias/1800/11/11/pdfs/GMD-1800-91.pdf#page=6","Abrir facsímil")</f>
        <v>Abrir facsímil</v>
      </c>
      <c r="K7438" s="15" t="s">
        <v>23</v>
      </c>
    </row>
    <row r="7439" spans="1:11" ht="42" customHeight="1">
      <c r="A7439" s="4" t="s">
        <v>16941</v>
      </c>
      <c r="B7439" s="5" t="s">
        <v>16942</v>
      </c>
      <c r="C7439" s="5" t="s">
        <v>41</v>
      </c>
      <c r="D7439" s="5" t="s">
        <v>42</v>
      </c>
      <c r="E7439" s="5" t="s">
        <v>20</v>
      </c>
      <c r="F7439" s="9">
        <v>104</v>
      </c>
      <c r="G7439" s="9">
        <v>1208</v>
      </c>
      <c r="H7439" s="5" t="s">
        <v>21</v>
      </c>
      <c r="I7439" s="5" t="s">
        <v>16946</v>
      </c>
      <c r="J7439" s="12" t="str">
        <f>HYPERLINK("https://www.boe.es/gazeta/dias/1800/12/26/pdfs/GMD-1800-104.pdf#page=8","Abrir facsímil")</f>
        <v>Abrir facsímil</v>
      </c>
      <c r="K7439" s="15" t="s">
        <v>23</v>
      </c>
    </row>
    <row r="7440" spans="1:11" ht="42" customHeight="1">
      <c r="A7440" s="4" t="s">
        <v>16947</v>
      </c>
      <c r="B7440" s="5" t="s">
        <v>16948</v>
      </c>
      <c r="C7440" s="5" t="s">
        <v>18</v>
      </c>
      <c r="D7440" s="5" t="s">
        <v>19</v>
      </c>
      <c r="E7440" s="5" t="s">
        <v>673</v>
      </c>
      <c r="F7440" s="9">
        <v>89</v>
      </c>
      <c r="G7440" s="9">
        <v>1043</v>
      </c>
      <c r="H7440" s="5" t="s">
        <v>21</v>
      </c>
      <c r="I7440" s="5" t="s">
        <v>16949</v>
      </c>
      <c r="J7440" s="12" t="str">
        <f>HYPERLINK("https://www.boe.es/gazeta/dias/1800/11/04/pdfs/GMD-1800-89.pdf#page=9","Abrir facsímil")</f>
        <v>Abrir facsímil</v>
      </c>
      <c r="K7440" s="15" t="s">
        <v>23</v>
      </c>
    </row>
    <row r="7441" spans="1:11" ht="42" customHeight="1">
      <c r="A7441" s="4" t="s">
        <v>16950</v>
      </c>
      <c r="B7441" s="5" t="s">
        <v>16951</v>
      </c>
      <c r="C7441" s="5" t="s">
        <v>18</v>
      </c>
      <c r="D7441" s="5" t="s">
        <v>19</v>
      </c>
      <c r="E7441" s="5" t="s">
        <v>545</v>
      </c>
      <c r="F7441" s="9">
        <v>14</v>
      </c>
      <c r="G7441" s="9">
        <v>134</v>
      </c>
      <c r="H7441" s="5" t="s">
        <v>21</v>
      </c>
      <c r="I7441" s="5" t="s">
        <v>16952</v>
      </c>
      <c r="J7441" s="12" t="str">
        <f>HYPERLINK("https://www.boe.es/gazeta/dias/1800/02/18/pdfs/GMD-1800-14.pdf#page=6","Abrir facsímil")</f>
        <v>Abrir facsímil</v>
      </c>
      <c r="K7441" s="15" t="s">
        <v>23</v>
      </c>
    </row>
    <row r="7442" spans="1:11" ht="42" customHeight="1">
      <c r="A7442" s="4" t="s">
        <v>16953</v>
      </c>
      <c r="B7442" s="5" t="s">
        <v>16954</v>
      </c>
      <c r="C7442" s="5" t="s">
        <v>25</v>
      </c>
      <c r="D7442" s="5" t="s">
        <v>26</v>
      </c>
      <c r="E7442" s="5" t="s">
        <v>45</v>
      </c>
      <c r="F7442" s="9">
        <v>47</v>
      </c>
      <c r="G7442" s="9">
        <v>502</v>
      </c>
      <c r="H7442" s="5" t="s">
        <v>21</v>
      </c>
      <c r="I7442" s="5" t="s">
        <v>16955</v>
      </c>
      <c r="J7442" s="12" t="str">
        <f>HYPERLINK("https://www.boe.es/gazeta/dias/1800/06/13/pdfs/GMD-1800-47.pdf#page=10","Abrir facsímil")</f>
        <v>Abrir facsímil</v>
      </c>
      <c r="K7442" s="15" t="s">
        <v>23</v>
      </c>
    </row>
    <row r="7443" spans="1:11" ht="42" customHeight="1">
      <c r="A7443" s="4" t="s">
        <v>16956</v>
      </c>
      <c r="B7443" s="5" t="s">
        <v>16957</v>
      </c>
      <c r="C7443" s="5" t="s">
        <v>18</v>
      </c>
      <c r="D7443" s="5" t="s">
        <v>19</v>
      </c>
      <c r="E7443" s="5" t="s">
        <v>79</v>
      </c>
      <c r="F7443" s="9">
        <v>7</v>
      </c>
      <c r="G7443" s="9">
        <v>67</v>
      </c>
      <c r="H7443" s="5" t="s">
        <v>21</v>
      </c>
      <c r="I7443" s="5" t="s">
        <v>16958</v>
      </c>
      <c r="J7443" s="12" t="str">
        <f>HYPERLINK("https://www.boe.es/gazeta/dias/1800/01/24/pdfs/GMD-1800-7.pdf#page=7","Abrir facsímil")</f>
        <v>Abrir facsímil</v>
      </c>
      <c r="K7443" s="15" t="s">
        <v>23</v>
      </c>
    </row>
    <row r="7444" spans="1:11" ht="42" customHeight="1">
      <c r="A7444" s="4" t="s">
        <v>16959</v>
      </c>
      <c r="B7444" s="5" t="s">
        <v>16960</v>
      </c>
      <c r="C7444" s="5" t="s">
        <v>25</v>
      </c>
      <c r="D7444" s="5" t="s">
        <v>26</v>
      </c>
      <c r="E7444" s="5" t="s">
        <v>162</v>
      </c>
      <c r="F7444" s="9">
        <v>15</v>
      </c>
      <c r="G7444" s="9">
        <v>143</v>
      </c>
      <c r="H7444" s="5" t="s">
        <v>21</v>
      </c>
      <c r="I7444" s="5" t="s">
        <v>16961</v>
      </c>
      <c r="J7444" s="12" t="str">
        <f>HYPERLINK("https://www.boe.es/gazeta/dias/1800/02/21/pdfs/GMD-1800-15.pdf#page=7","Abrir facsímil")</f>
        <v>Abrir facsímil</v>
      </c>
      <c r="K7444" s="15" t="s">
        <v>23</v>
      </c>
    </row>
    <row r="7445" spans="1:11" ht="42" customHeight="1">
      <c r="A7445" s="4" t="s">
        <v>16959</v>
      </c>
      <c r="B7445" s="5" t="s">
        <v>16960</v>
      </c>
      <c r="C7445" s="5" t="s">
        <v>84</v>
      </c>
      <c r="D7445" s="5" t="s">
        <v>85</v>
      </c>
      <c r="E7445" s="5" t="s">
        <v>176</v>
      </c>
      <c r="F7445" s="9">
        <v>88</v>
      </c>
      <c r="G7445" s="9">
        <v>1034</v>
      </c>
      <c r="H7445" s="5" t="s">
        <v>21</v>
      </c>
      <c r="I7445" s="5" t="s">
        <v>16962</v>
      </c>
      <c r="J7445" s="12" t="str">
        <f>HYPERLINK("https://www.boe.es/gazeta/dias/1800/10/31/pdfs/GMD-1800-88.pdf#page=16","Abrir facsímil")</f>
        <v>Abrir facsímil</v>
      </c>
      <c r="K7445" s="15" t="s">
        <v>23</v>
      </c>
    </row>
    <row r="7446" spans="1:11" ht="42" customHeight="1">
      <c r="A7446" s="4" t="s">
        <v>16963</v>
      </c>
      <c r="B7446" s="5" t="s">
        <v>16964</v>
      </c>
      <c r="C7446" s="5" t="s">
        <v>84</v>
      </c>
      <c r="D7446" s="5" t="s">
        <v>85</v>
      </c>
      <c r="E7446" s="5" t="s">
        <v>306</v>
      </c>
      <c r="F7446" s="9">
        <v>79</v>
      </c>
      <c r="G7446" s="9">
        <v>902</v>
      </c>
      <c r="H7446" s="5" t="s">
        <v>21</v>
      </c>
      <c r="I7446" s="5" t="s">
        <v>16965</v>
      </c>
      <c r="J7446" s="12" t="str">
        <f>HYPERLINK("https://www.boe.es/gazeta/dias/1800/09/30/pdfs/GMD-1800-79.pdf#page=12","Abrir facsímil")</f>
        <v>Abrir facsímil</v>
      </c>
      <c r="K7446" s="15" t="s">
        <v>23</v>
      </c>
    </row>
    <row r="7447" spans="1:11" ht="42" customHeight="1">
      <c r="A7447" s="4" t="s">
        <v>16966</v>
      </c>
      <c r="B7447" s="5" t="s">
        <v>16967</v>
      </c>
      <c r="C7447" s="5" t="s">
        <v>54</v>
      </c>
      <c r="D7447" s="5" t="s">
        <v>55</v>
      </c>
      <c r="E7447" s="5" t="s">
        <v>50</v>
      </c>
      <c r="F7447" s="9">
        <v>81</v>
      </c>
      <c r="G7447" s="9">
        <v>918</v>
      </c>
      <c r="H7447" s="5" t="s">
        <v>21</v>
      </c>
      <c r="I7447" s="5" t="s">
        <v>16968</v>
      </c>
      <c r="J7447" s="12" t="str">
        <f>HYPERLINK("https://www.boe.es/gazeta/dias/1800/10/07/pdfs/GMD-1800-81.pdf#page=8","Abrir facsímil")</f>
        <v>Abrir facsímil</v>
      </c>
      <c r="K7447" s="15" t="s">
        <v>23</v>
      </c>
    </row>
    <row r="7448" spans="1:11" ht="42" customHeight="1">
      <c r="A7448" s="4" t="s">
        <v>16969</v>
      </c>
      <c r="B7448" s="5" t="s">
        <v>16970</v>
      </c>
      <c r="C7448" s="5" t="s">
        <v>18</v>
      </c>
      <c r="D7448" s="5" t="s">
        <v>19</v>
      </c>
      <c r="E7448" s="5" t="s">
        <v>620</v>
      </c>
      <c r="F7448" s="9">
        <v>19</v>
      </c>
      <c r="G7448" s="9">
        <v>182</v>
      </c>
      <c r="H7448" s="5" t="s">
        <v>21</v>
      </c>
      <c r="I7448" s="5" t="s">
        <v>16971</v>
      </c>
      <c r="J7448" s="12" t="str">
        <f>HYPERLINK("https://www.boe.es/gazeta/dias/1800/03/07/pdfs/GMD-1800-19.pdf#page=6","Abrir facsímil")</f>
        <v>Abrir facsímil</v>
      </c>
      <c r="K7448" s="15" t="s">
        <v>23</v>
      </c>
    </row>
    <row r="7449" spans="1:11" ht="42" customHeight="1">
      <c r="A7449" s="4" t="s">
        <v>16972</v>
      </c>
      <c r="B7449" s="5" t="s">
        <v>16973</v>
      </c>
      <c r="C7449" s="5" t="s">
        <v>84</v>
      </c>
      <c r="D7449" s="5" t="s">
        <v>85</v>
      </c>
      <c r="E7449" s="5" t="s">
        <v>88</v>
      </c>
      <c r="F7449" s="9">
        <v>23</v>
      </c>
      <c r="G7449" s="9">
        <v>236</v>
      </c>
      <c r="H7449" s="5" t="s">
        <v>21</v>
      </c>
      <c r="I7449" s="5" t="s">
        <v>16974</v>
      </c>
      <c r="J7449" s="12" t="str">
        <f>HYPERLINK("https://www.boe.es/gazeta/dias/1800/03/21/pdfs/GMD-1800-23.pdf#page=12","Abrir facsímil")</f>
        <v>Abrir facsímil</v>
      </c>
      <c r="K7449" s="15" t="s">
        <v>23</v>
      </c>
    </row>
    <row r="7450" spans="1:11" ht="42" customHeight="1">
      <c r="A7450" s="4" t="s">
        <v>16972</v>
      </c>
      <c r="B7450" s="5" t="s">
        <v>16973</v>
      </c>
      <c r="C7450" s="5" t="s">
        <v>18</v>
      </c>
      <c r="D7450" s="5" t="s">
        <v>19</v>
      </c>
      <c r="E7450" s="5" t="s">
        <v>583</v>
      </c>
      <c r="F7450" s="9">
        <v>77</v>
      </c>
      <c r="G7450" s="9">
        <v>878</v>
      </c>
      <c r="H7450" s="5" t="s">
        <v>21</v>
      </c>
      <c r="I7450" s="5" t="s">
        <v>16975</v>
      </c>
      <c r="J7450" s="12" t="str">
        <f>HYPERLINK("https://www.boe.es/gazeta/dias/1800/09/23/pdfs/GMD-1800-77.pdf#page=8","Abrir facsímil")</f>
        <v>Abrir facsímil</v>
      </c>
      <c r="K7450" s="15" t="s">
        <v>23</v>
      </c>
    </row>
    <row r="7451" spans="1:11" ht="42" customHeight="1">
      <c r="A7451" s="4" t="s">
        <v>16972</v>
      </c>
      <c r="B7451" s="5" t="s">
        <v>16973</v>
      </c>
      <c r="C7451" s="5" t="s">
        <v>18</v>
      </c>
      <c r="D7451" s="5" t="s">
        <v>19</v>
      </c>
      <c r="E7451" s="5" t="s">
        <v>329</v>
      </c>
      <c r="F7451" s="9">
        <v>99</v>
      </c>
      <c r="G7451" s="9">
        <v>1138</v>
      </c>
      <c r="H7451" s="5" t="s">
        <v>21</v>
      </c>
      <c r="I7451" s="5" t="s">
        <v>16976</v>
      </c>
      <c r="J7451" s="12" t="str">
        <f>HYPERLINK("https://www.boe.es/gazeta/dias/1800/12/09/pdfs/GMD-1800-99.pdf#page=6","Abrir facsímil")</f>
        <v>Abrir facsímil</v>
      </c>
      <c r="K7451" s="15" t="s">
        <v>23</v>
      </c>
    </row>
    <row r="7452" spans="1:11" ht="42" customHeight="1">
      <c r="A7452" s="4" t="s">
        <v>16977</v>
      </c>
      <c r="B7452" s="5" t="s">
        <v>16978</v>
      </c>
      <c r="C7452" s="5" t="s">
        <v>18</v>
      </c>
      <c r="D7452" s="5" t="s">
        <v>19</v>
      </c>
      <c r="E7452" s="5" t="s">
        <v>461</v>
      </c>
      <c r="F7452" s="9">
        <v>18</v>
      </c>
      <c r="G7452" s="9">
        <v>170</v>
      </c>
      <c r="H7452" s="5" t="s">
        <v>21</v>
      </c>
      <c r="I7452" s="5" t="s">
        <v>16979</v>
      </c>
      <c r="J7452" s="12" t="str">
        <f>HYPERLINK("https://www.boe.es/datos/pdfs/BOE//1800/018/C00173-00176.pdf#page=6","Abrir facsímil")</f>
        <v>Abrir facsímil</v>
      </c>
      <c r="K7452" s="15" t="s">
        <v>23</v>
      </c>
    </row>
    <row r="7453" spans="1:11" ht="42" customHeight="1">
      <c r="A7453" s="4" t="s">
        <v>16977</v>
      </c>
      <c r="B7453" s="5" t="s">
        <v>16978</v>
      </c>
      <c r="C7453" s="5" t="s">
        <v>171</v>
      </c>
      <c r="D7453" s="5" t="s">
        <v>172</v>
      </c>
      <c r="E7453" s="5" t="s">
        <v>90</v>
      </c>
      <c r="F7453" s="9">
        <v>58</v>
      </c>
      <c r="G7453" s="9">
        <v>668</v>
      </c>
      <c r="H7453" s="5" t="s">
        <v>21</v>
      </c>
      <c r="I7453" s="5" t="s">
        <v>16980</v>
      </c>
      <c r="J7453" s="12" t="str">
        <f>HYPERLINK("https://www.boe.es/gazeta/dias/1800/07/22/pdfs/GMD-C-1800-58.pdf#page=4","Abrir facsímil")</f>
        <v>Abrir facsímil</v>
      </c>
      <c r="K7453" s="15" t="s">
        <v>23</v>
      </c>
    </row>
    <row r="7454" spans="1:11" ht="42" customHeight="1">
      <c r="A7454" s="4" t="s">
        <v>16981</v>
      </c>
      <c r="B7454" s="5" t="s">
        <v>16982</v>
      </c>
      <c r="C7454" s="5" t="s">
        <v>18</v>
      </c>
      <c r="D7454" s="5" t="s">
        <v>19</v>
      </c>
      <c r="E7454" s="5" t="s">
        <v>314</v>
      </c>
      <c r="F7454" s="9">
        <v>74</v>
      </c>
      <c r="G7454" s="9">
        <v>833</v>
      </c>
      <c r="H7454" s="5" t="s">
        <v>21</v>
      </c>
      <c r="I7454" s="5" t="s">
        <v>16983</v>
      </c>
      <c r="J7454" s="12" t="str">
        <f>HYPERLINK("https://www.boe.es/gazeta/dias/1800/09/12/pdfs/GMD-1800-74.pdf#page=11","Abrir facsímil")</f>
        <v>Abrir facsímil</v>
      </c>
      <c r="K7454" s="15" t="s">
        <v>23</v>
      </c>
    </row>
    <row r="7455" spans="1:11" ht="42" customHeight="1">
      <c r="A7455" s="4" t="s">
        <v>16984</v>
      </c>
      <c r="B7455" s="5" t="s">
        <v>16985</v>
      </c>
      <c r="C7455" s="5" t="s">
        <v>18</v>
      </c>
      <c r="D7455" s="5" t="s">
        <v>19</v>
      </c>
      <c r="E7455" s="5" t="s">
        <v>255</v>
      </c>
      <c r="F7455" s="9">
        <v>75</v>
      </c>
      <c r="G7455" s="9">
        <v>854</v>
      </c>
      <c r="H7455" s="5" t="s">
        <v>21</v>
      </c>
      <c r="I7455" s="5" t="s">
        <v>16986</v>
      </c>
      <c r="J7455" s="12" t="str">
        <f>HYPERLINK("https://www.boe.es/gazeta/dias/1800/09/16/pdfs/GMD-1800-75.pdf#page=8","Abrir facsímil")</f>
        <v>Abrir facsímil</v>
      </c>
      <c r="K7455" s="15" t="s">
        <v>23</v>
      </c>
    </row>
    <row r="7456" spans="1:11" ht="42" customHeight="1">
      <c r="A7456" s="4" t="s">
        <v>16987</v>
      </c>
      <c r="B7456" s="5" t="s">
        <v>16988</v>
      </c>
      <c r="C7456" s="5" t="s">
        <v>18</v>
      </c>
      <c r="D7456" s="5" t="s">
        <v>19</v>
      </c>
      <c r="E7456" s="5" t="s">
        <v>135</v>
      </c>
      <c r="F7456" s="9">
        <v>73</v>
      </c>
      <c r="G7456" s="9">
        <v>816</v>
      </c>
      <c r="H7456" s="5" t="s">
        <v>21</v>
      </c>
      <c r="I7456" s="5" t="s">
        <v>16989</v>
      </c>
      <c r="J7456" s="12" t="str">
        <f>HYPERLINK("https://www.boe.es/gazeta/dias/1800/09/09/pdfs/GMD-1800-73.pdf#page=10","Abrir facsímil")</f>
        <v>Abrir facsímil</v>
      </c>
      <c r="K7456" s="15" t="s">
        <v>23</v>
      </c>
    </row>
    <row r="7457" spans="1:11" ht="42" customHeight="1">
      <c r="A7457" s="4" t="s">
        <v>16990</v>
      </c>
      <c r="B7457" s="5" t="s">
        <v>16991</v>
      </c>
      <c r="C7457" s="5" t="s">
        <v>54</v>
      </c>
      <c r="D7457" s="5" t="s">
        <v>55</v>
      </c>
      <c r="E7457" s="5" t="s">
        <v>147</v>
      </c>
      <c r="F7457" s="9">
        <v>84</v>
      </c>
      <c r="G7457" s="9">
        <v>973</v>
      </c>
      <c r="H7457" s="5" t="s">
        <v>21</v>
      </c>
      <c r="I7457" s="5" t="s">
        <v>16992</v>
      </c>
      <c r="J7457" s="12" t="str">
        <f>HYPERLINK("https://www.boe.es/gazeta/dias/1800/10/17/pdfs/GMD-1800-84.pdf#page=7","Abrir facsímil")</f>
        <v>Abrir facsímil</v>
      </c>
      <c r="K7457" s="15" t="s">
        <v>23</v>
      </c>
    </row>
    <row r="7458" spans="1:11" ht="42" customHeight="1">
      <c r="A7458" s="4" t="s">
        <v>16993</v>
      </c>
      <c r="B7458" s="5" t="s">
        <v>16994</v>
      </c>
      <c r="C7458" s="5" t="s">
        <v>18</v>
      </c>
      <c r="D7458" s="5" t="s">
        <v>19</v>
      </c>
      <c r="E7458" s="5" t="s">
        <v>615</v>
      </c>
      <c r="F7458" s="9">
        <v>95</v>
      </c>
      <c r="G7458" s="9">
        <v>1090</v>
      </c>
      <c r="H7458" s="5" t="s">
        <v>21</v>
      </c>
      <c r="I7458" s="5" t="s">
        <v>16995</v>
      </c>
      <c r="J7458" s="12" t="str">
        <f>HYPERLINK("https://www.boe.es/gazeta/dias/1800/11/25/pdfs/GMD-1800-95.pdf#page=8","Abrir facsímil")</f>
        <v>Abrir facsímil</v>
      </c>
      <c r="K7458" s="15" t="s">
        <v>23</v>
      </c>
    </row>
    <row r="7459" spans="1:11" ht="42" customHeight="1">
      <c r="A7459" s="4" t="s">
        <v>16996</v>
      </c>
      <c r="B7459" s="5" t="s">
        <v>16997</v>
      </c>
      <c r="C7459" s="5" t="s">
        <v>25</v>
      </c>
      <c r="D7459" s="5" t="s">
        <v>26</v>
      </c>
      <c r="E7459" s="5" t="s">
        <v>45</v>
      </c>
      <c r="F7459" s="9">
        <v>47</v>
      </c>
      <c r="G7459" s="9">
        <v>502</v>
      </c>
      <c r="H7459" s="5" t="s">
        <v>21</v>
      </c>
      <c r="I7459" s="5" t="s">
        <v>16998</v>
      </c>
      <c r="J7459" s="12" t="str">
        <f>HYPERLINK("https://www.boe.es/gazeta/dias/1800/06/13/pdfs/GMD-1800-47.pdf#page=10","Abrir facsímil")</f>
        <v>Abrir facsímil</v>
      </c>
      <c r="K7459" s="15" t="s">
        <v>23</v>
      </c>
    </row>
    <row r="7460" spans="1:11" ht="42" customHeight="1">
      <c r="A7460" s="4" t="s">
        <v>16999</v>
      </c>
      <c r="B7460" s="5" t="s">
        <v>17000</v>
      </c>
      <c r="C7460" s="5" t="s">
        <v>25</v>
      </c>
      <c r="D7460" s="5" t="s">
        <v>26</v>
      </c>
      <c r="E7460" s="5" t="s">
        <v>45</v>
      </c>
      <c r="F7460" s="9">
        <v>47</v>
      </c>
      <c r="G7460" s="9">
        <v>502</v>
      </c>
      <c r="H7460" s="5" t="s">
        <v>21</v>
      </c>
      <c r="I7460" s="5" t="s">
        <v>17001</v>
      </c>
      <c r="J7460" s="12" t="str">
        <f>HYPERLINK("https://www.boe.es/gazeta/dias/1800/06/13/pdfs/GMD-1800-47.pdf#page=10","Abrir facsímil")</f>
        <v>Abrir facsímil</v>
      </c>
      <c r="K7460" s="15" t="s">
        <v>23</v>
      </c>
    </row>
    <row r="7461" spans="1:11" ht="42" customHeight="1">
      <c r="A7461" s="4" t="s">
        <v>17002</v>
      </c>
      <c r="B7461" s="5" t="s">
        <v>17003</v>
      </c>
      <c r="C7461" s="5" t="s">
        <v>18</v>
      </c>
      <c r="D7461" s="5" t="s">
        <v>19</v>
      </c>
      <c r="E7461" s="5" t="s">
        <v>20</v>
      </c>
      <c r="F7461" s="9">
        <v>104</v>
      </c>
      <c r="G7461" s="9">
        <v>1211</v>
      </c>
      <c r="H7461" s="5" t="s">
        <v>21</v>
      </c>
      <c r="I7461" s="5" t="s">
        <v>17004</v>
      </c>
      <c r="J7461" s="12" t="str">
        <f>HYPERLINK("https://www.boe.es/gazeta/dias/1800/12/26/pdfs/GMD-1800-104.pdf#page=11","Abrir facsímil")</f>
        <v>Abrir facsímil</v>
      </c>
      <c r="K7461" s="15" t="s">
        <v>23</v>
      </c>
    </row>
    <row r="7462" spans="1:11" ht="42" customHeight="1">
      <c r="A7462" s="4" t="s">
        <v>17005</v>
      </c>
      <c r="B7462" s="5" t="s">
        <v>17006</v>
      </c>
      <c r="C7462" s="5" t="s">
        <v>18</v>
      </c>
      <c r="D7462" s="5" t="s">
        <v>19</v>
      </c>
      <c r="E7462" s="5" t="s">
        <v>139</v>
      </c>
      <c r="F7462" s="9">
        <v>2</v>
      </c>
      <c r="G7462" s="9">
        <v>17</v>
      </c>
      <c r="H7462" s="5" t="s">
        <v>21</v>
      </c>
      <c r="I7462" s="5" t="s">
        <v>17007</v>
      </c>
      <c r="J7462" s="12" t="str">
        <f>HYPERLINK("https://www.boe.es/gazeta/dias/1800/01/07/pdfs/GMD-1800-2.pdf#page=9","Abrir facsímil")</f>
        <v>Abrir facsímil</v>
      </c>
      <c r="K7462" s="15" t="s">
        <v>23</v>
      </c>
    </row>
    <row r="7463" spans="1:11" ht="42" customHeight="1">
      <c r="A7463" s="4" t="s">
        <v>17008</v>
      </c>
      <c r="B7463" s="5" t="s">
        <v>17009</v>
      </c>
      <c r="C7463" s="5" t="s">
        <v>18</v>
      </c>
      <c r="D7463" s="5" t="s">
        <v>19</v>
      </c>
      <c r="E7463" s="5" t="s">
        <v>139</v>
      </c>
      <c r="F7463" s="9">
        <v>2</v>
      </c>
      <c r="G7463" s="9">
        <v>18</v>
      </c>
      <c r="H7463" s="5" t="s">
        <v>21</v>
      </c>
      <c r="I7463" s="5" t="s">
        <v>17010</v>
      </c>
      <c r="J7463" s="12" t="str">
        <f>HYPERLINK("https://www.boe.es/gazeta/dias/1800/01/07/pdfs/GMD-1800-2.pdf#page=10","Abrir facsímil")</f>
        <v>Abrir facsímil</v>
      </c>
      <c r="K7463" s="15" t="s">
        <v>23</v>
      </c>
    </row>
    <row r="7464" spans="1:11" ht="42" customHeight="1">
      <c r="A7464" s="4" t="s">
        <v>17011</v>
      </c>
      <c r="B7464" s="5" t="s">
        <v>17012</v>
      </c>
      <c r="C7464" s="5" t="s">
        <v>171</v>
      </c>
      <c r="D7464" s="5" t="s">
        <v>172</v>
      </c>
      <c r="E7464" s="5" t="s">
        <v>461</v>
      </c>
      <c r="F7464" s="9">
        <v>18</v>
      </c>
      <c r="G7464" s="9">
        <v>175</v>
      </c>
      <c r="H7464" s="5" t="s">
        <v>21</v>
      </c>
      <c r="I7464" s="5" t="s">
        <v>17013</v>
      </c>
      <c r="J7464" s="12" t="str">
        <f>HYPERLINK("https://www.boe.es/datos/pdfs/BOE//1800/018/C00173-00176.pdf#page=3","Abrir facsímil")</f>
        <v>Abrir facsímil</v>
      </c>
      <c r="K7464" s="15" t="s">
        <v>23</v>
      </c>
    </row>
    <row r="7465" spans="1:11" ht="42" customHeight="1">
      <c r="A7465" s="4" t="s">
        <v>17014</v>
      </c>
      <c r="B7465" s="5" t="s">
        <v>17015</v>
      </c>
      <c r="C7465" s="5" t="s">
        <v>25</v>
      </c>
      <c r="D7465" s="5" t="s">
        <v>26</v>
      </c>
      <c r="E7465" s="5" t="s">
        <v>283</v>
      </c>
      <c r="F7465" s="9">
        <v>68</v>
      </c>
      <c r="G7465" s="9">
        <v>764</v>
      </c>
      <c r="H7465" s="5" t="s">
        <v>21</v>
      </c>
      <c r="I7465" s="5" t="s">
        <v>17016</v>
      </c>
      <c r="J7465" s="12" t="str">
        <f>HYPERLINK("https://www.boe.es/gazeta/dias/1800/08/26/pdfs/GMD-1800-68.pdf#page=8","Abrir facsímil")</f>
        <v>Abrir facsímil</v>
      </c>
      <c r="K7465" s="15" t="s">
        <v>23</v>
      </c>
    </row>
    <row r="7466" spans="1:11" ht="42" customHeight="1">
      <c r="A7466" s="4" t="s">
        <v>17017</v>
      </c>
      <c r="B7466" s="5" t="s">
        <v>17018</v>
      </c>
      <c r="C7466" s="5" t="s">
        <v>1035</v>
      </c>
      <c r="D7466" s="5" t="s">
        <v>1036</v>
      </c>
      <c r="E7466" s="5" t="s">
        <v>50</v>
      </c>
      <c r="F7466" s="9">
        <v>81</v>
      </c>
      <c r="G7466" s="9">
        <v>942</v>
      </c>
      <c r="H7466" s="5" t="s">
        <v>21</v>
      </c>
      <c r="I7466" s="5" t="s">
        <v>17019</v>
      </c>
      <c r="J7466" s="12" t="str">
        <f>HYPERLINK("https://www.boe.es/gazeta/dias/1800/10/07/pdfs/GMD-C-1800-81.pdf#page=24","Abrir facsímil")</f>
        <v>Abrir facsímil</v>
      </c>
      <c r="K7466" s="15" t="s">
        <v>23</v>
      </c>
    </row>
    <row r="7467" spans="1:11" ht="42" customHeight="1">
      <c r="A7467" s="4" t="s">
        <v>17020</v>
      </c>
      <c r="B7467" s="5" t="s">
        <v>17021</v>
      </c>
      <c r="C7467" s="5" t="s">
        <v>1035</v>
      </c>
      <c r="D7467" s="5" t="s">
        <v>1036</v>
      </c>
      <c r="E7467" s="5" t="s">
        <v>50</v>
      </c>
      <c r="F7467" s="9">
        <v>81</v>
      </c>
      <c r="G7467" s="9">
        <v>942</v>
      </c>
      <c r="H7467" s="5" t="s">
        <v>21</v>
      </c>
      <c r="I7467" s="5" t="s">
        <v>17022</v>
      </c>
      <c r="J7467" s="12" t="str">
        <f>HYPERLINK("https://www.boe.es/gazeta/dias/1800/10/07/pdfs/GMD-C-1800-81.pdf#page=24","Abrir facsímil")</f>
        <v>Abrir facsímil</v>
      </c>
      <c r="K7467" s="15" t="s">
        <v>23</v>
      </c>
    </row>
    <row r="7468" spans="1:11" ht="42" customHeight="1">
      <c r="A7468" s="4" t="s">
        <v>17023</v>
      </c>
      <c r="B7468" s="5" t="s">
        <v>17023</v>
      </c>
      <c r="C7468" s="5" t="s">
        <v>54</v>
      </c>
      <c r="D7468" s="5" t="s">
        <v>55</v>
      </c>
      <c r="E7468" s="5" t="s">
        <v>58</v>
      </c>
      <c r="F7468" s="9">
        <v>92</v>
      </c>
      <c r="G7468" s="9">
        <v>1054</v>
      </c>
      <c r="H7468" s="5" t="s">
        <v>21</v>
      </c>
      <c r="I7468" s="5" t="s">
        <v>17024</v>
      </c>
      <c r="J7468" s="12" t="str">
        <f>HYPERLINK("https://www.boe.es/gazeta/dias/1800/11/14/pdfs/GMD-1800-92.pdf#page=8","Abrir facsímil")</f>
        <v>Abrir facsímil</v>
      </c>
      <c r="K7468" s="15" t="s">
        <v>23</v>
      </c>
    </row>
    <row r="7469" spans="1:11" ht="42" customHeight="1">
      <c r="A7469" s="4" t="s">
        <v>17025</v>
      </c>
      <c r="B7469" s="5" t="s">
        <v>17025</v>
      </c>
      <c r="C7469" s="5" t="s">
        <v>207</v>
      </c>
      <c r="D7469" s="5" t="s">
        <v>55</v>
      </c>
      <c r="E7469" s="5" t="s">
        <v>52</v>
      </c>
      <c r="F7469" s="9">
        <v>83</v>
      </c>
      <c r="G7469" s="9">
        <v>962</v>
      </c>
      <c r="H7469" s="5" t="s">
        <v>21</v>
      </c>
      <c r="I7469" s="5" t="s">
        <v>17026</v>
      </c>
      <c r="J7469" s="12" t="str">
        <f>HYPERLINK("https://www.boe.es/gazeta/dias/1800/10/14/pdfs/GMD-1800-83.pdf#page=8","Abrir facsímil")</f>
        <v>Abrir facsímil</v>
      </c>
      <c r="K7469" s="15" t="s">
        <v>23</v>
      </c>
    </row>
    <row r="7470" spans="1:11" ht="42" customHeight="1">
      <c r="A7470" s="4" t="s">
        <v>17027</v>
      </c>
      <c r="B7470" s="5" t="s">
        <v>17028</v>
      </c>
      <c r="C7470" s="5" t="s">
        <v>18</v>
      </c>
      <c r="D7470" s="5" t="s">
        <v>19</v>
      </c>
      <c r="E7470" s="5" t="s">
        <v>454</v>
      </c>
      <c r="F7470" s="9">
        <v>63</v>
      </c>
      <c r="G7470" s="9">
        <v>720</v>
      </c>
      <c r="H7470" s="5" t="s">
        <v>21</v>
      </c>
      <c r="I7470" s="5" t="s">
        <v>17029</v>
      </c>
      <c r="J7470" s="12" t="str">
        <f>HYPERLINK("https://www.boe.es/gazeta/dias/1800/08/08/pdfs/GMD-1800-63.pdf#page=8","Abrir facsímil")</f>
        <v>Abrir facsímil</v>
      </c>
      <c r="K7470" s="15" t="s">
        <v>23</v>
      </c>
    </row>
    <row r="7471" spans="1:11" ht="42" customHeight="1">
      <c r="A7471" s="4" t="s">
        <v>17030</v>
      </c>
      <c r="B7471" s="5" t="s">
        <v>17031</v>
      </c>
      <c r="C7471" s="5" t="s">
        <v>41</v>
      </c>
      <c r="D7471" s="5" t="s">
        <v>42</v>
      </c>
      <c r="E7471" s="5" t="s">
        <v>240</v>
      </c>
      <c r="F7471" s="9">
        <v>26</v>
      </c>
      <c r="G7471" s="9">
        <v>263</v>
      </c>
      <c r="H7471" s="5" t="s">
        <v>21</v>
      </c>
      <c r="I7471" s="5" t="s">
        <v>17032</v>
      </c>
      <c r="J7471" s="12" t="str">
        <f>HYPERLINK("https://www.boe.es/gazeta/dias/1800/04/01/pdfs/GMD-1800-26.pdf#page=3","Abrir facsímil")</f>
        <v>Abrir facsímil</v>
      </c>
      <c r="K7471" s="15" t="s">
        <v>23</v>
      </c>
    </row>
    <row r="7472" spans="1:11" ht="42" customHeight="1">
      <c r="A7472" s="4" t="s">
        <v>17030</v>
      </c>
      <c r="B7472" s="5" t="s">
        <v>17031</v>
      </c>
      <c r="C7472" s="5" t="s">
        <v>41</v>
      </c>
      <c r="D7472" s="5" t="s">
        <v>42</v>
      </c>
      <c r="E7472" s="5" t="s">
        <v>240</v>
      </c>
      <c r="F7472" s="9">
        <v>26</v>
      </c>
      <c r="G7472" s="9">
        <v>264</v>
      </c>
      <c r="H7472" s="5" t="s">
        <v>21</v>
      </c>
      <c r="I7472" s="5" t="s">
        <v>17033</v>
      </c>
      <c r="J7472" s="12" t="str">
        <f>HYPERLINK("https://www.boe.es/gazeta/dias/1800/04/01/pdfs/GMD-1800-26.pdf#page=4","Abrir facsímil")</f>
        <v>Abrir facsímil</v>
      </c>
      <c r="K7472" s="15" t="s">
        <v>23</v>
      </c>
    </row>
    <row r="7473" spans="1:11" ht="42" customHeight="1">
      <c r="A7473" s="4" t="s">
        <v>17034</v>
      </c>
      <c r="B7473" s="5" t="s">
        <v>17035</v>
      </c>
      <c r="C7473" s="5" t="s">
        <v>84</v>
      </c>
      <c r="D7473" s="5" t="s">
        <v>85</v>
      </c>
      <c r="E7473" s="5" t="s">
        <v>319</v>
      </c>
      <c r="F7473" s="9">
        <v>62</v>
      </c>
      <c r="G7473" s="9">
        <v>712</v>
      </c>
      <c r="H7473" s="5" t="s">
        <v>21</v>
      </c>
      <c r="I7473" s="5" t="s">
        <v>17036</v>
      </c>
      <c r="J7473" s="12" t="str">
        <f>HYPERLINK("https://www.boe.es/gazeta/dias/1800/08/05/pdfs/GMD-1800-62.pdf#page=12","Abrir facsímil")</f>
        <v>Abrir facsímil</v>
      </c>
      <c r="K7473" s="15" t="s">
        <v>23</v>
      </c>
    </row>
    <row r="7474" spans="1:11" ht="42" customHeight="1">
      <c r="A7474" s="4" t="s">
        <v>17037</v>
      </c>
      <c r="B7474" s="5" t="s">
        <v>17038</v>
      </c>
      <c r="C7474" s="5" t="s">
        <v>84</v>
      </c>
      <c r="D7474" s="5" t="s">
        <v>85</v>
      </c>
      <c r="E7474" s="5" t="s">
        <v>196</v>
      </c>
      <c r="F7474" s="9">
        <v>97</v>
      </c>
      <c r="G7474" s="9">
        <v>1118</v>
      </c>
      <c r="H7474" s="5" t="s">
        <v>21</v>
      </c>
      <c r="I7474" s="5" t="s">
        <v>17039</v>
      </c>
      <c r="J7474" s="12" t="str">
        <f>HYPERLINK("https://www.boe.es/gazeta/dias/1800/12/02/pdfs/GMD-1800-97.pdf#page=10","Abrir facsímil")</f>
        <v>Abrir facsímil</v>
      </c>
      <c r="K7474" s="15" t="s">
        <v>23</v>
      </c>
    </row>
    <row r="7475" spans="1:11" ht="42" customHeight="1">
      <c r="A7475" s="4" t="s">
        <v>17040</v>
      </c>
      <c r="B7475" s="5" t="s">
        <v>17041</v>
      </c>
      <c r="C7475" s="5" t="s">
        <v>18</v>
      </c>
      <c r="D7475" s="5" t="s">
        <v>19</v>
      </c>
      <c r="E7475" s="5" t="s">
        <v>158</v>
      </c>
      <c r="F7475" s="9">
        <v>25</v>
      </c>
      <c r="G7475" s="9">
        <v>256</v>
      </c>
      <c r="H7475" s="5" t="s">
        <v>21</v>
      </c>
      <c r="I7475" s="5" t="s">
        <v>17042</v>
      </c>
      <c r="J7475" s="12" t="str">
        <f>HYPERLINK("https://www.boe.es/gazeta/dias/1800/03/28/pdfs/GMD-1800-25.pdf#page=8","Abrir facsímil")</f>
        <v>Abrir facsímil</v>
      </c>
      <c r="K7475" s="15" t="s">
        <v>23</v>
      </c>
    </row>
    <row r="7476" spans="1:11" ht="42" customHeight="1">
      <c r="A7476" s="4" t="s">
        <v>17043</v>
      </c>
      <c r="B7476" s="5" t="s">
        <v>17044</v>
      </c>
      <c r="C7476" s="5" t="s">
        <v>41</v>
      </c>
      <c r="D7476" s="5" t="s">
        <v>42</v>
      </c>
      <c r="E7476" s="5" t="s">
        <v>1231</v>
      </c>
      <c r="F7476" s="9">
        <v>36</v>
      </c>
      <c r="G7476" s="9">
        <v>362</v>
      </c>
      <c r="H7476" s="5" t="s">
        <v>21</v>
      </c>
      <c r="I7476" s="5" t="s">
        <v>17045</v>
      </c>
      <c r="J7476" s="12" t="str">
        <f>HYPERLINK("https://www.boe.es/gazeta/dias/1800/05/06/pdfs/GMD-1800-36.pdf#page=6","Abrir facsímil")</f>
        <v>Abrir facsímil</v>
      </c>
      <c r="K7476" s="15" t="s">
        <v>23</v>
      </c>
    </row>
    <row r="7477" spans="1:11" ht="42" customHeight="1">
      <c r="A7477" s="4" t="s">
        <v>17046</v>
      </c>
      <c r="B7477" s="5" t="s">
        <v>17047</v>
      </c>
      <c r="C7477" s="5" t="s">
        <v>18</v>
      </c>
      <c r="D7477" s="5" t="s">
        <v>19</v>
      </c>
      <c r="E7477" s="5" t="s">
        <v>422</v>
      </c>
      <c r="F7477" s="9">
        <v>85</v>
      </c>
      <c r="G7477" s="9">
        <v>985</v>
      </c>
      <c r="H7477" s="5" t="s">
        <v>21</v>
      </c>
      <c r="I7477" s="5" t="s">
        <v>17048</v>
      </c>
      <c r="J7477" s="12" t="str">
        <f>HYPERLINK("https://www.boe.es/gazeta/dias/1800/10/21/pdfs/GMD-1800-85.pdf#page=7","Abrir facsímil")</f>
        <v>Abrir facsímil</v>
      </c>
      <c r="K7477" s="15" t="s">
        <v>23</v>
      </c>
    </row>
    <row r="7478" spans="1:11" ht="42" customHeight="1">
      <c r="A7478" s="4" t="s">
        <v>17049</v>
      </c>
      <c r="B7478" s="5" t="s">
        <v>17049</v>
      </c>
      <c r="C7478" s="5" t="s">
        <v>18</v>
      </c>
      <c r="D7478" s="5" t="s">
        <v>19</v>
      </c>
      <c r="E7478" s="5" t="s">
        <v>116</v>
      </c>
      <c r="F7478" s="9">
        <v>86</v>
      </c>
      <c r="G7478" s="9">
        <v>997</v>
      </c>
      <c r="H7478" s="5" t="s">
        <v>21</v>
      </c>
      <c r="I7478" s="5" t="s">
        <v>17050</v>
      </c>
      <c r="J7478" s="12" t="str">
        <f>HYPERLINK("https://www.boe.es/gazeta/dias/1800/10/24/pdfs/GMD-1800-86.pdf#page=7","Abrir facsímil")</f>
        <v>Abrir facsímil</v>
      </c>
      <c r="K7478" s="15" t="s">
        <v>23</v>
      </c>
    </row>
    <row r="7479" spans="1:11" ht="42" customHeight="1">
      <c r="A7479" s="4" t="s">
        <v>17051</v>
      </c>
      <c r="B7479" s="5" t="s">
        <v>17052</v>
      </c>
      <c r="C7479" s="5" t="s">
        <v>54</v>
      </c>
      <c r="D7479" s="5" t="s">
        <v>55</v>
      </c>
      <c r="E7479" s="5" t="s">
        <v>478</v>
      </c>
      <c r="F7479" s="9">
        <v>34</v>
      </c>
      <c r="G7479" s="9">
        <v>347</v>
      </c>
      <c r="H7479" s="5" t="s">
        <v>21</v>
      </c>
      <c r="I7479" s="5" t="s">
        <v>17053</v>
      </c>
      <c r="J7479" s="12" t="str">
        <f>HYPERLINK("https://www.boe.es/gazeta/dias/1800/04/29/pdfs/GMD-1800-34.pdf#page=11","Abrir facsímil")</f>
        <v>Abrir facsímil</v>
      </c>
      <c r="K7479" s="15" t="s">
        <v>23</v>
      </c>
    </row>
    <row r="7480" spans="1:11" ht="42" customHeight="1">
      <c r="A7480" s="4" t="s">
        <v>17054</v>
      </c>
      <c r="B7480" s="5" t="s">
        <v>17055</v>
      </c>
      <c r="C7480" s="5" t="s">
        <v>18</v>
      </c>
      <c r="D7480" s="5" t="s">
        <v>19</v>
      </c>
      <c r="E7480" s="5" t="s">
        <v>180</v>
      </c>
      <c r="F7480" s="9">
        <v>102</v>
      </c>
      <c r="G7480" s="9">
        <v>1185</v>
      </c>
      <c r="H7480" s="5" t="s">
        <v>21</v>
      </c>
      <c r="I7480" s="5" t="s">
        <v>17056</v>
      </c>
      <c r="J7480" s="12" t="str">
        <f>HYPERLINK("https://www.boe.es/gazeta/dias/1800/12/19/pdfs/GMD-1800-102.pdf#page=9","Abrir facsímil")</f>
        <v>Abrir facsímil</v>
      </c>
      <c r="K7480" s="15" t="s">
        <v>23</v>
      </c>
    </row>
    <row r="7481" spans="1:11" ht="42" customHeight="1">
      <c r="A7481" s="4" t="s">
        <v>17057</v>
      </c>
      <c r="B7481" s="5" t="s">
        <v>17057</v>
      </c>
      <c r="C7481" s="5" t="s">
        <v>41</v>
      </c>
      <c r="D7481" s="5" t="s">
        <v>42</v>
      </c>
      <c r="E7481" s="5" t="s">
        <v>56</v>
      </c>
      <c r="F7481" s="9">
        <v>90</v>
      </c>
      <c r="G7481" s="9">
        <v>1052</v>
      </c>
      <c r="H7481" s="5" t="s">
        <v>21</v>
      </c>
      <c r="I7481" s="5" t="s">
        <v>17058</v>
      </c>
      <c r="J7481" s="12" t="str">
        <f>HYPERLINK("https://www.boe.es/gazeta/dias/1800/11/07/pdfs/GMD-1800-90.pdf#page=6","Abrir facsímil")</f>
        <v>Abrir facsímil</v>
      </c>
      <c r="K7481" s="15" t="s">
        <v>23</v>
      </c>
    </row>
    <row r="7482" spans="1:11" ht="42" customHeight="1">
      <c r="A7482" s="4" t="s">
        <v>17059</v>
      </c>
      <c r="B7482" s="5" t="s">
        <v>17060</v>
      </c>
      <c r="C7482" s="5" t="s">
        <v>18</v>
      </c>
      <c r="D7482" s="5" t="s">
        <v>19</v>
      </c>
      <c r="E7482" s="5" t="s">
        <v>534</v>
      </c>
      <c r="F7482" s="9">
        <v>100</v>
      </c>
      <c r="G7482" s="9">
        <v>1161</v>
      </c>
      <c r="H7482" s="5" t="s">
        <v>21</v>
      </c>
      <c r="I7482" s="5" t="s">
        <v>17061</v>
      </c>
      <c r="J7482" s="12" t="str">
        <f>HYPERLINK("https://www.boe.es/gazeta/dias/1800/12/12/pdfs/GMD-1800-100.pdf#page=13","Abrir facsímil")</f>
        <v>Abrir facsímil</v>
      </c>
      <c r="K7482" s="15" t="s">
        <v>23</v>
      </c>
    </row>
    <row r="7483" spans="1:11" ht="42" customHeight="1">
      <c r="A7483" s="4" t="s">
        <v>17062</v>
      </c>
      <c r="B7483" s="5" t="s">
        <v>17063</v>
      </c>
      <c r="C7483" s="5" t="s">
        <v>41</v>
      </c>
      <c r="D7483" s="5" t="s">
        <v>42</v>
      </c>
      <c r="E7483" s="5" t="s">
        <v>454</v>
      </c>
      <c r="F7483" s="9">
        <v>63</v>
      </c>
      <c r="G7483" s="9">
        <v>714</v>
      </c>
      <c r="H7483" s="5" t="s">
        <v>21</v>
      </c>
      <c r="I7483" s="5" t="s">
        <v>17064</v>
      </c>
      <c r="J7483" s="12" t="str">
        <f>HYPERLINK("https://www.boe.es/gazeta/dias/1800/08/08/pdfs/GMD-1800-63.pdf#page=2","Abrir facsímil")</f>
        <v>Abrir facsímil</v>
      </c>
      <c r="K7483" s="15" t="s">
        <v>23</v>
      </c>
    </row>
    <row r="7484" spans="1:11" ht="42" customHeight="1">
      <c r="A7484" s="4" t="s">
        <v>17065</v>
      </c>
      <c r="B7484" s="5" t="s">
        <v>17066</v>
      </c>
      <c r="C7484" s="5" t="s">
        <v>18</v>
      </c>
      <c r="D7484" s="5" t="s">
        <v>19</v>
      </c>
      <c r="E7484" s="5" t="s">
        <v>139</v>
      </c>
      <c r="F7484" s="9">
        <v>2</v>
      </c>
      <c r="G7484" s="9">
        <v>17</v>
      </c>
      <c r="H7484" s="5" t="s">
        <v>21</v>
      </c>
      <c r="I7484" s="5" t="s">
        <v>17067</v>
      </c>
      <c r="J7484" s="12" t="str">
        <f>HYPERLINK("https://www.boe.es/gazeta/dias/1800/01/07/pdfs/GMD-1800-2.pdf#page=9","Abrir facsímil")</f>
        <v>Abrir facsímil</v>
      </c>
      <c r="K7484" s="15" t="s">
        <v>23</v>
      </c>
    </row>
    <row r="7485" spans="1:11" ht="42" customHeight="1">
      <c r="A7485" s="4" t="s">
        <v>17068</v>
      </c>
      <c r="B7485" s="5" t="s">
        <v>17069</v>
      </c>
      <c r="C7485" s="5" t="s">
        <v>18</v>
      </c>
      <c r="D7485" s="5" t="s">
        <v>19</v>
      </c>
      <c r="E7485" s="5" t="s">
        <v>583</v>
      </c>
      <c r="F7485" s="9">
        <v>77</v>
      </c>
      <c r="G7485" s="9">
        <v>878</v>
      </c>
      <c r="H7485" s="5" t="s">
        <v>21</v>
      </c>
      <c r="I7485" s="5" t="s">
        <v>17070</v>
      </c>
      <c r="J7485" s="12" t="str">
        <f>HYPERLINK("https://www.boe.es/gazeta/dias/1800/09/23/pdfs/GMD-1800-77.pdf#page=8","Abrir facsímil")</f>
        <v>Abrir facsímil</v>
      </c>
      <c r="K7485" s="15" t="s">
        <v>23</v>
      </c>
    </row>
    <row r="7486" spans="1:11" ht="42" customHeight="1">
      <c r="A7486" s="4" t="s">
        <v>17071</v>
      </c>
      <c r="B7486" s="5" t="s">
        <v>17072</v>
      </c>
      <c r="C7486" s="5" t="s">
        <v>25</v>
      </c>
      <c r="D7486" s="5" t="s">
        <v>26</v>
      </c>
      <c r="E7486" s="5" t="s">
        <v>45</v>
      </c>
      <c r="F7486" s="9">
        <v>47</v>
      </c>
      <c r="G7486" s="9">
        <v>502</v>
      </c>
      <c r="H7486" s="5" t="s">
        <v>21</v>
      </c>
      <c r="I7486" s="5" t="s">
        <v>17073</v>
      </c>
      <c r="J7486" s="12" t="str">
        <f>HYPERLINK("https://www.boe.es/gazeta/dias/1800/06/13/pdfs/GMD-1800-47.pdf#page=10","Abrir facsímil")</f>
        <v>Abrir facsímil</v>
      </c>
      <c r="K7486" s="15" t="s">
        <v>23</v>
      </c>
    </row>
    <row r="7487" spans="1:11" ht="42" customHeight="1">
      <c r="A7487" s="4" t="s">
        <v>17074</v>
      </c>
      <c r="B7487" s="5" t="s">
        <v>17075</v>
      </c>
      <c r="C7487" s="5" t="s">
        <v>18</v>
      </c>
      <c r="D7487" s="5" t="s">
        <v>19</v>
      </c>
      <c r="E7487" s="5" t="s">
        <v>314</v>
      </c>
      <c r="F7487" s="9">
        <v>74</v>
      </c>
      <c r="G7487" s="9">
        <v>833</v>
      </c>
      <c r="H7487" s="5" t="s">
        <v>21</v>
      </c>
      <c r="I7487" s="5" t="s">
        <v>17076</v>
      </c>
      <c r="J7487" s="12" t="str">
        <f>HYPERLINK("https://www.boe.es/gazeta/dias/1800/09/12/pdfs/GMD-1800-74.pdf#page=11","Abrir facsímil")</f>
        <v>Abrir facsímil</v>
      </c>
      <c r="K7487" s="15" t="s">
        <v>23</v>
      </c>
    </row>
    <row r="7488" spans="1:11" ht="42" customHeight="1">
      <c r="A7488" s="4" t="s">
        <v>17077</v>
      </c>
      <c r="B7488" s="5" t="s">
        <v>17077</v>
      </c>
      <c r="C7488" s="5" t="s">
        <v>54</v>
      </c>
      <c r="D7488" s="5" t="s">
        <v>55</v>
      </c>
      <c r="E7488" s="5" t="s">
        <v>154</v>
      </c>
      <c r="F7488" s="9">
        <v>61</v>
      </c>
      <c r="G7488" s="9">
        <v>698</v>
      </c>
      <c r="H7488" s="5" t="s">
        <v>21</v>
      </c>
      <c r="I7488" s="5" t="s">
        <v>17078</v>
      </c>
      <c r="J7488" s="12" t="str">
        <f>HYPERLINK("https://www.boe.es/gazeta/dias/1800/08/01/pdfs/GMD-1800-61.pdf#page=10","Abrir facsímil")</f>
        <v>Abrir facsímil</v>
      </c>
      <c r="K7488" s="15" t="s">
        <v>23</v>
      </c>
    </row>
    <row r="7489" spans="1:11" ht="42" customHeight="1">
      <c r="A7489" s="4" t="s">
        <v>17079</v>
      </c>
      <c r="B7489" s="5" t="s">
        <v>17080</v>
      </c>
      <c r="C7489" s="5" t="s">
        <v>18</v>
      </c>
      <c r="D7489" s="5" t="s">
        <v>19</v>
      </c>
      <c r="E7489" s="5" t="s">
        <v>1213</v>
      </c>
      <c r="F7489" s="9">
        <v>4</v>
      </c>
      <c r="G7489" s="9">
        <v>36</v>
      </c>
      <c r="H7489" s="5" t="s">
        <v>21</v>
      </c>
      <c r="I7489" s="5" t="s">
        <v>17081</v>
      </c>
      <c r="J7489" s="12" t="str">
        <f>HYPERLINK("https://www.boe.es/gazeta/dias/1800/01/14/pdfs/GMD-1800-4.pdf#page=8","Abrir facsímil")</f>
        <v>Abrir facsímil</v>
      </c>
      <c r="K7489" s="15" t="s">
        <v>23</v>
      </c>
    </row>
    <row r="7490" spans="1:11" ht="42" customHeight="1">
      <c r="A7490" s="4" t="s">
        <v>17082</v>
      </c>
      <c r="B7490" s="5" t="s">
        <v>17083</v>
      </c>
      <c r="C7490" s="5" t="s">
        <v>18</v>
      </c>
      <c r="D7490" s="5" t="s">
        <v>19</v>
      </c>
      <c r="E7490" s="5" t="s">
        <v>194</v>
      </c>
      <c r="F7490" s="9">
        <v>48</v>
      </c>
      <c r="G7490" s="9">
        <v>518</v>
      </c>
      <c r="H7490" s="5" t="s">
        <v>21</v>
      </c>
      <c r="I7490" s="5" t="s">
        <v>17084</v>
      </c>
      <c r="J7490" s="12" t="str">
        <f>HYPERLINK("https://www.boe.es/gazeta/dias/1800/06/17/pdfs/GMD-1800-48.pdf#page=10","Abrir facsímil")</f>
        <v>Abrir facsímil</v>
      </c>
      <c r="K7490" s="15" t="s">
        <v>23</v>
      </c>
    </row>
    <row r="7491" spans="1:11" ht="42" customHeight="1">
      <c r="A7491" s="4" t="s">
        <v>17085</v>
      </c>
      <c r="B7491" s="5" t="s">
        <v>17086</v>
      </c>
      <c r="C7491" s="5" t="s">
        <v>41</v>
      </c>
      <c r="D7491" s="5" t="s">
        <v>42</v>
      </c>
      <c r="E7491" s="5" t="s">
        <v>356</v>
      </c>
      <c r="F7491" s="9">
        <v>31</v>
      </c>
      <c r="G7491" s="9">
        <v>312</v>
      </c>
      <c r="H7491" s="5" t="s">
        <v>21</v>
      </c>
      <c r="I7491" s="5" t="s">
        <v>17087</v>
      </c>
      <c r="J7491" s="12" t="str">
        <f>HYPERLINK("https://www.boe.es/gazeta/dias/1800/04/18/pdfs/GMD-1800-31.pdf#page=4","Abrir facsímil")</f>
        <v>Abrir facsímil</v>
      </c>
      <c r="K7491" s="15" t="s">
        <v>23</v>
      </c>
    </row>
    <row r="7492" spans="1:11" ht="42" customHeight="1">
      <c r="A7492" s="4" t="s">
        <v>17088</v>
      </c>
      <c r="B7492" s="5" t="s">
        <v>17089</v>
      </c>
      <c r="C7492" s="5" t="s">
        <v>207</v>
      </c>
      <c r="D7492" s="5" t="s">
        <v>55</v>
      </c>
      <c r="E7492" s="5" t="s">
        <v>615</v>
      </c>
      <c r="F7492" s="9">
        <v>95</v>
      </c>
      <c r="G7492" s="9">
        <v>1088</v>
      </c>
      <c r="H7492" s="5" t="s">
        <v>21</v>
      </c>
      <c r="I7492" s="5" t="s">
        <v>17090</v>
      </c>
      <c r="J7492" s="12" t="str">
        <f>HYPERLINK("https://www.boe.es/gazeta/dias/1800/11/25/pdfs/GMD-1800-95.pdf#page=6","Abrir facsímil")</f>
        <v>Abrir facsímil</v>
      </c>
      <c r="K7492" s="15" t="s">
        <v>23</v>
      </c>
    </row>
    <row r="7493" spans="1:11" ht="42" customHeight="1">
      <c r="A7493" s="4" t="s">
        <v>17091</v>
      </c>
      <c r="B7493" s="5" t="s">
        <v>17091</v>
      </c>
      <c r="C7493" s="5" t="s">
        <v>25</v>
      </c>
      <c r="D7493" s="5" t="s">
        <v>26</v>
      </c>
      <c r="E7493" s="5" t="s">
        <v>45</v>
      </c>
      <c r="F7493" s="9">
        <v>47</v>
      </c>
      <c r="G7493" s="9">
        <v>502</v>
      </c>
      <c r="H7493" s="5" t="s">
        <v>21</v>
      </c>
      <c r="I7493" s="5" t="s">
        <v>17092</v>
      </c>
      <c r="J7493" s="12" t="str">
        <f>HYPERLINK("https://www.boe.es/gazeta/dias/1800/06/13/pdfs/GMD-1800-47.pdf#page=10","Abrir facsímil")</f>
        <v>Abrir facsímil</v>
      </c>
      <c r="K7493" s="15" t="s">
        <v>23</v>
      </c>
    </row>
    <row r="7494" spans="1:11" ht="42" customHeight="1">
      <c r="A7494" s="4" t="s">
        <v>17093</v>
      </c>
      <c r="B7494" s="5" t="s">
        <v>17094</v>
      </c>
      <c r="C7494" s="5" t="s">
        <v>41</v>
      </c>
      <c r="D7494" s="5" t="s">
        <v>42</v>
      </c>
      <c r="E7494" s="5" t="s">
        <v>828</v>
      </c>
      <c r="F7494" s="9">
        <v>53</v>
      </c>
      <c r="G7494" s="9">
        <v>589</v>
      </c>
      <c r="H7494" s="5" t="s">
        <v>21</v>
      </c>
      <c r="I7494" s="5" t="s">
        <v>17095</v>
      </c>
      <c r="J7494" s="12" t="str">
        <f>HYPERLINK("https://www.boe.es/gazeta/dias/1800/07/04/pdfs/GMD-1800-53.pdf#page=9","Abrir facsímil")</f>
        <v>Abrir facsímil</v>
      </c>
      <c r="K7494" s="15" t="s">
        <v>23</v>
      </c>
    </row>
    <row r="7495" spans="1:11" ht="42" customHeight="1">
      <c r="A7495" s="4" t="s">
        <v>17093</v>
      </c>
      <c r="B7495" s="5" t="s">
        <v>17094</v>
      </c>
      <c r="C7495" s="5" t="s">
        <v>41</v>
      </c>
      <c r="D7495" s="5" t="s">
        <v>42</v>
      </c>
      <c r="E7495" s="5" t="s">
        <v>64</v>
      </c>
      <c r="F7495" s="9">
        <v>54</v>
      </c>
      <c r="G7495" s="9">
        <v>602</v>
      </c>
      <c r="H7495" s="5" t="s">
        <v>21</v>
      </c>
      <c r="I7495" s="5" t="s">
        <v>17096</v>
      </c>
      <c r="J7495" s="12" t="str">
        <f>HYPERLINK("https://www.boe.es/gazeta/dias/1800/07/08/pdfs/GMD-1800-54.pdf#page=6","Abrir facsímil")</f>
        <v>Abrir facsímil</v>
      </c>
      <c r="K7495" s="15" t="s">
        <v>23</v>
      </c>
    </row>
    <row r="7496" spans="1:11" ht="42" customHeight="1">
      <c r="A7496" s="4" t="s">
        <v>17093</v>
      </c>
      <c r="B7496" s="5" t="s">
        <v>17094</v>
      </c>
      <c r="C7496" s="5" t="s">
        <v>41</v>
      </c>
      <c r="D7496" s="5" t="s">
        <v>42</v>
      </c>
      <c r="E7496" s="5" t="s">
        <v>310</v>
      </c>
      <c r="F7496" s="9">
        <v>56</v>
      </c>
      <c r="G7496" s="9">
        <v>631</v>
      </c>
      <c r="H7496" s="5" t="s">
        <v>21</v>
      </c>
      <c r="I7496" s="5" t="s">
        <v>17097</v>
      </c>
      <c r="J7496" s="12" t="str">
        <f>HYPERLINK("https://www.boe.es/gazeta/dias/1800/07/15/pdfs/GMD-1800-56.pdf#page=7","Abrir facsímil")</f>
        <v>Abrir facsímil</v>
      </c>
      <c r="K7496" s="15" t="s">
        <v>23</v>
      </c>
    </row>
    <row r="7497" spans="1:11" ht="42" customHeight="1">
      <c r="A7497" s="4" t="s">
        <v>17093</v>
      </c>
      <c r="B7497" s="5" t="s">
        <v>17094</v>
      </c>
      <c r="C7497" s="5" t="s">
        <v>54</v>
      </c>
      <c r="D7497" s="5" t="s">
        <v>55</v>
      </c>
      <c r="E7497" s="5" t="s">
        <v>1287</v>
      </c>
      <c r="F7497" s="9">
        <v>57</v>
      </c>
      <c r="G7497" s="9">
        <v>642</v>
      </c>
      <c r="H7497" s="5" t="s">
        <v>21</v>
      </c>
      <c r="I7497" s="5" t="s">
        <v>17098</v>
      </c>
      <c r="J7497" s="12" t="str">
        <f>HYPERLINK("https://www.boe.es/gazeta/dias/1800/07/18/pdfs/GMD-1800-57.pdf#page=6","Abrir facsímil")</f>
        <v>Abrir facsímil</v>
      </c>
      <c r="K7497" s="15" t="s">
        <v>23</v>
      </c>
    </row>
    <row r="7498" spans="1:11" ht="42" customHeight="1">
      <c r="A7498" s="4" t="s">
        <v>17093</v>
      </c>
      <c r="B7498" s="5" t="s">
        <v>17094</v>
      </c>
      <c r="C7498" s="5" t="s">
        <v>41</v>
      </c>
      <c r="D7498" s="5" t="s">
        <v>42</v>
      </c>
      <c r="E7498" s="5" t="s">
        <v>1287</v>
      </c>
      <c r="F7498" s="9">
        <v>57</v>
      </c>
      <c r="G7498" s="9">
        <v>643</v>
      </c>
      <c r="H7498" s="5" t="s">
        <v>21</v>
      </c>
      <c r="I7498" s="5" t="s">
        <v>17099</v>
      </c>
      <c r="J7498" s="12" t="str">
        <f>HYPERLINK("https://www.boe.es/gazeta/dias/1800/07/18/pdfs/GMD-1800-57.pdf#page=7","Abrir facsímil")</f>
        <v>Abrir facsímil</v>
      </c>
      <c r="K7498" s="15" t="s">
        <v>23</v>
      </c>
    </row>
    <row r="7499" spans="1:11" ht="42" customHeight="1">
      <c r="A7499" s="4" t="s">
        <v>17093</v>
      </c>
      <c r="B7499" s="5" t="s">
        <v>17094</v>
      </c>
      <c r="C7499" s="5" t="s">
        <v>41</v>
      </c>
      <c r="D7499" s="5" t="s">
        <v>42</v>
      </c>
      <c r="E7499" s="5" t="s">
        <v>1294</v>
      </c>
      <c r="F7499" s="9">
        <v>59</v>
      </c>
      <c r="G7499" s="9">
        <v>675</v>
      </c>
      <c r="H7499" s="5" t="s">
        <v>21</v>
      </c>
      <c r="I7499" s="5" t="s">
        <v>17100</v>
      </c>
      <c r="J7499" s="12" t="str">
        <f>HYPERLINK("https://www.boe.es/gazeta/dias/1800/07/25/pdfs/GMD-1800-59.pdf#page=7","Abrir facsímil")</f>
        <v>Abrir facsímil</v>
      </c>
      <c r="K7499" s="15" t="s">
        <v>23</v>
      </c>
    </row>
    <row r="7500" spans="1:11" ht="42" customHeight="1">
      <c r="A7500" s="4" t="s">
        <v>17093</v>
      </c>
      <c r="B7500" s="5" t="s">
        <v>17094</v>
      </c>
      <c r="C7500" s="5" t="s">
        <v>41</v>
      </c>
      <c r="D7500" s="5" t="s">
        <v>42</v>
      </c>
      <c r="E7500" s="5" t="s">
        <v>319</v>
      </c>
      <c r="F7500" s="9">
        <v>62</v>
      </c>
      <c r="G7500" s="9">
        <v>705</v>
      </c>
      <c r="H7500" s="5" t="s">
        <v>21</v>
      </c>
      <c r="I7500" s="5" t="s">
        <v>17101</v>
      </c>
      <c r="J7500" s="12" t="str">
        <f>HYPERLINK("https://www.boe.es/gazeta/dias/1800/08/05/pdfs/GMD-1800-62.pdf#page=5","Abrir facsímil")</f>
        <v>Abrir facsímil</v>
      </c>
      <c r="K7500" s="15" t="s">
        <v>23</v>
      </c>
    </row>
    <row r="7501" spans="1:11" ht="42" customHeight="1">
      <c r="A7501" s="4" t="s">
        <v>17093</v>
      </c>
      <c r="B7501" s="5" t="s">
        <v>17094</v>
      </c>
      <c r="C7501" s="5" t="s">
        <v>41</v>
      </c>
      <c r="D7501" s="5" t="s">
        <v>42</v>
      </c>
      <c r="E7501" s="5" t="s">
        <v>836</v>
      </c>
      <c r="F7501" s="9">
        <v>71</v>
      </c>
      <c r="G7501" s="9">
        <v>787</v>
      </c>
      <c r="H7501" s="5" t="s">
        <v>21</v>
      </c>
      <c r="I7501" s="5" t="s">
        <v>17102</v>
      </c>
      <c r="J7501" s="12" t="str">
        <f>HYPERLINK("https://www.boe.es/gazeta/dias/1800/09/02/pdfs/GMD-1800-71.pdf#page=5","Abrir facsímil")</f>
        <v>Abrir facsímil</v>
      </c>
      <c r="K7501" s="15" t="s">
        <v>23</v>
      </c>
    </row>
    <row r="7502" spans="1:11" ht="42" customHeight="1">
      <c r="A7502" s="4" t="s">
        <v>17093</v>
      </c>
      <c r="B7502" s="5" t="s">
        <v>17094</v>
      </c>
      <c r="C7502" s="5" t="s">
        <v>18</v>
      </c>
      <c r="D7502" s="5" t="s">
        <v>19</v>
      </c>
      <c r="E7502" s="5" t="s">
        <v>402</v>
      </c>
      <c r="F7502" s="9">
        <v>101</v>
      </c>
      <c r="G7502" s="9">
        <v>1169</v>
      </c>
      <c r="H7502" s="5" t="s">
        <v>21</v>
      </c>
      <c r="I7502" s="5" t="s">
        <v>17103</v>
      </c>
      <c r="J7502" s="12" t="str">
        <f>HYPERLINK("https://www.boe.es/gazeta/dias/1800/12/16/pdfs/GMD-1800-101.pdf#page=5","Abrir facsímil")</f>
        <v>Abrir facsímil</v>
      </c>
      <c r="K7502" s="15" t="s">
        <v>23</v>
      </c>
    </row>
    <row r="7503" spans="1:11" ht="42" customHeight="1">
      <c r="A7503" s="4" t="s">
        <v>17104</v>
      </c>
      <c r="B7503" s="5" t="s">
        <v>17104</v>
      </c>
      <c r="C7503" s="5" t="s">
        <v>25</v>
      </c>
      <c r="D7503" s="5" t="s">
        <v>26</v>
      </c>
      <c r="E7503" s="5" t="s">
        <v>491</v>
      </c>
      <c r="F7503" s="9">
        <v>29</v>
      </c>
      <c r="G7503" s="9">
        <v>300</v>
      </c>
      <c r="H7503" s="5" t="s">
        <v>21</v>
      </c>
      <c r="I7503" s="5" t="s">
        <v>17105</v>
      </c>
      <c r="J7503" s="12" t="str">
        <f>HYPERLINK("https://www.boe.es/gazeta/dias/1800/04/11/pdfs/GMD-1800-29.pdf#page=8","Abrir facsímil")</f>
        <v>Abrir facsímil</v>
      </c>
      <c r="K7503" s="15" t="s">
        <v>23</v>
      </c>
    </row>
    <row r="7504" spans="1:11" ht="42" customHeight="1">
      <c r="A7504" s="4" t="s">
        <v>17106</v>
      </c>
      <c r="B7504" s="5" t="s">
        <v>17106</v>
      </c>
      <c r="C7504" s="5" t="s">
        <v>18</v>
      </c>
      <c r="D7504" s="5" t="s">
        <v>19</v>
      </c>
      <c r="E7504" s="5" t="s">
        <v>491</v>
      </c>
      <c r="F7504" s="9">
        <v>29</v>
      </c>
      <c r="G7504" s="9">
        <v>300</v>
      </c>
      <c r="H7504" s="5" t="s">
        <v>21</v>
      </c>
      <c r="I7504" s="5" t="s">
        <v>17107</v>
      </c>
      <c r="J7504" s="12" t="str">
        <f>HYPERLINK("https://www.boe.es/gazeta/dias/1800/04/11/pdfs/GMD-1800-29.pdf#page=8","Abrir facsímil")</f>
        <v>Abrir facsímil</v>
      </c>
      <c r="K7504" s="15" t="s">
        <v>23</v>
      </c>
    </row>
    <row r="7505" spans="1:11" ht="42" customHeight="1">
      <c r="A7505" s="4" t="s">
        <v>17108</v>
      </c>
      <c r="B7505" s="5" t="s">
        <v>17108</v>
      </c>
      <c r="C7505" s="5" t="s">
        <v>18</v>
      </c>
      <c r="D7505" s="5" t="s">
        <v>19</v>
      </c>
      <c r="E7505" s="5" t="s">
        <v>68</v>
      </c>
      <c r="F7505" s="9">
        <v>67</v>
      </c>
      <c r="G7505" s="9">
        <v>755</v>
      </c>
      <c r="H7505" s="5" t="s">
        <v>21</v>
      </c>
      <c r="I7505" s="5" t="s">
        <v>17109</v>
      </c>
      <c r="J7505" s="12" t="str">
        <f>HYPERLINK("https://www.boe.es/gazeta/dias/1800/08/22/pdfs/GMD-1800-67.pdf#page=7","Abrir facsímil")</f>
        <v>Abrir facsímil</v>
      </c>
      <c r="K7505" s="15" t="s">
        <v>23</v>
      </c>
    </row>
    <row r="7506" spans="1:11" ht="42" customHeight="1">
      <c r="A7506" s="4" t="s">
        <v>17110</v>
      </c>
      <c r="B7506" s="5" t="s">
        <v>17111</v>
      </c>
      <c r="C7506" s="5" t="s">
        <v>207</v>
      </c>
      <c r="D7506" s="5" t="s">
        <v>55</v>
      </c>
      <c r="E7506" s="5" t="s">
        <v>176</v>
      </c>
      <c r="F7506" s="9">
        <v>88</v>
      </c>
      <c r="G7506" s="9">
        <v>1031</v>
      </c>
      <c r="H7506" s="5" t="s">
        <v>21</v>
      </c>
      <c r="I7506" s="5" t="s">
        <v>17112</v>
      </c>
      <c r="J7506" s="12" t="str">
        <f>HYPERLINK("https://www.boe.es/gazeta/dias/1800/10/31/pdfs/GMD-1800-88.pdf#page=13","Abrir facsímil")</f>
        <v>Abrir facsímil</v>
      </c>
      <c r="K7506" s="15" t="s">
        <v>23</v>
      </c>
    </row>
    <row r="7507" spans="1:11" ht="42" customHeight="1">
      <c r="A7507" s="4" t="s">
        <v>17113</v>
      </c>
      <c r="B7507" s="5" t="s">
        <v>17114</v>
      </c>
      <c r="C7507" s="5" t="s">
        <v>114</v>
      </c>
      <c r="D7507" s="5" t="s">
        <v>115</v>
      </c>
      <c r="E7507" s="5" t="s">
        <v>116</v>
      </c>
      <c r="F7507" s="9">
        <v>86</v>
      </c>
      <c r="G7507" s="9" t="s">
        <v>725</v>
      </c>
      <c r="H7507" s="5" t="s">
        <v>21</v>
      </c>
      <c r="I7507" s="5" t="s">
        <v>17115</v>
      </c>
      <c r="J7507" s="12" t="str">
        <f>HYPERLINK("https://www.boe.es/gazeta/dias/1800/10/24/pdfs/GMD-D-1800-86.pdf#page=1","Abrir facsímil")</f>
        <v>Abrir facsímil</v>
      </c>
      <c r="K7507" s="15" t="s">
        <v>23</v>
      </c>
    </row>
    <row r="7508" spans="1:11" ht="42" customHeight="1">
      <c r="A7508" s="4" t="s">
        <v>17116</v>
      </c>
      <c r="B7508" s="5" t="s">
        <v>17117</v>
      </c>
      <c r="C7508" s="5" t="s">
        <v>25</v>
      </c>
      <c r="D7508" s="5" t="s">
        <v>26</v>
      </c>
      <c r="E7508" s="5" t="s">
        <v>75</v>
      </c>
      <c r="F7508" s="9">
        <v>64</v>
      </c>
      <c r="G7508" s="9">
        <v>733</v>
      </c>
      <c r="H7508" s="5" t="s">
        <v>21</v>
      </c>
      <c r="I7508" s="5" t="s">
        <v>17118</v>
      </c>
      <c r="J7508" s="12" t="str">
        <f>HYPERLINK("https://www.boe.es/gazeta/dias/1800/08/12/pdfs/GMD-1800-64.pdf#page=9","Abrir facsímil")</f>
        <v>Abrir facsímil</v>
      </c>
      <c r="K7508" s="15" t="s">
        <v>23</v>
      </c>
    </row>
    <row r="7509" spans="1:11" ht="42" customHeight="1">
      <c r="A7509" s="4" t="s">
        <v>17119</v>
      </c>
      <c r="B7509" s="5" t="s">
        <v>17120</v>
      </c>
      <c r="C7509" s="5" t="s">
        <v>25</v>
      </c>
      <c r="D7509" s="5" t="s">
        <v>26</v>
      </c>
      <c r="E7509" s="5" t="s">
        <v>158</v>
      </c>
      <c r="F7509" s="9">
        <v>25</v>
      </c>
      <c r="G7509" s="9">
        <v>258</v>
      </c>
      <c r="H7509" s="5" t="s">
        <v>21</v>
      </c>
      <c r="I7509" s="5" t="s">
        <v>17121</v>
      </c>
      <c r="J7509" s="12" t="str">
        <f>HYPERLINK("https://www.boe.es/gazeta/dias/1800/03/28/pdfs/GMD-1800-25.pdf#page=10","Abrir facsímil")</f>
        <v>Abrir facsímil</v>
      </c>
      <c r="K7509" s="15" t="s">
        <v>23</v>
      </c>
    </row>
    <row r="7510" spans="1:11" ht="42" customHeight="1">
      <c r="A7510" s="4" t="s">
        <v>17122</v>
      </c>
      <c r="B7510" s="5" t="s">
        <v>17123</v>
      </c>
      <c r="C7510" s="5" t="s">
        <v>18</v>
      </c>
      <c r="D7510" s="5" t="s">
        <v>19</v>
      </c>
      <c r="E7510" s="5" t="s">
        <v>598</v>
      </c>
      <c r="F7510" s="9">
        <v>32</v>
      </c>
      <c r="G7510" s="9">
        <v>323</v>
      </c>
      <c r="H7510" s="5" t="s">
        <v>21</v>
      </c>
      <c r="I7510" s="5" t="s">
        <v>17124</v>
      </c>
      <c r="J7510" s="12" t="str">
        <f>HYPERLINK("https://www.boe.es/gazeta/dias/1800/04/22/pdfs/GMD-1800-32.pdf#page=7","Abrir facsímil")</f>
        <v>Abrir facsímil</v>
      </c>
      <c r="K7510" s="15" t="s">
        <v>23</v>
      </c>
    </row>
    <row r="7511" spans="1:11" ht="42" customHeight="1">
      <c r="A7511" s="4" t="s">
        <v>17125</v>
      </c>
      <c r="B7511" s="5" t="s">
        <v>17125</v>
      </c>
      <c r="C7511" s="5" t="s">
        <v>84</v>
      </c>
      <c r="D7511" s="5" t="s">
        <v>85</v>
      </c>
      <c r="E7511" s="5" t="s">
        <v>534</v>
      </c>
      <c r="F7511" s="9">
        <v>100</v>
      </c>
      <c r="G7511" s="9">
        <v>1163</v>
      </c>
      <c r="H7511" s="5" t="s">
        <v>21</v>
      </c>
      <c r="I7511" s="5" t="s">
        <v>17126</v>
      </c>
      <c r="J7511" s="12" t="str">
        <f>HYPERLINK("https://www.boe.es/gazeta/dias/1800/12/12/pdfs/GMD-1800-100.pdf#page=15","Abrir facsímil")</f>
        <v>Abrir facsímil</v>
      </c>
      <c r="K7511" s="15" t="s">
        <v>23</v>
      </c>
    </row>
    <row r="7512" spans="1:11" ht="42" customHeight="1">
      <c r="A7512" s="4" t="s">
        <v>17127</v>
      </c>
      <c r="B7512" s="5" t="s">
        <v>17128</v>
      </c>
      <c r="C7512" s="5" t="s">
        <v>18</v>
      </c>
      <c r="D7512" s="5" t="s">
        <v>19</v>
      </c>
      <c r="E7512" s="5" t="s">
        <v>356</v>
      </c>
      <c r="F7512" s="9">
        <v>31</v>
      </c>
      <c r="G7512" s="9">
        <v>315</v>
      </c>
      <c r="H7512" s="5" t="s">
        <v>21</v>
      </c>
      <c r="I7512" s="5" t="s">
        <v>17129</v>
      </c>
      <c r="J7512" s="12" t="str">
        <f>HYPERLINK("https://www.boe.es/gazeta/dias/1800/04/18/pdfs/GMD-1800-31.pdf#page=7","Abrir facsímil")</f>
        <v>Abrir facsímil</v>
      </c>
      <c r="K7512" s="15" t="s">
        <v>23</v>
      </c>
    </row>
    <row r="7513" spans="1:11" ht="42" customHeight="1">
      <c r="A7513" s="4" t="s">
        <v>17130</v>
      </c>
      <c r="B7513" s="5" t="s">
        <v>17131</v>
      </c>
      <c r="C7513" s="5" t="s">
        <v>171</v>
      </c>
      <c r="D7513" s="5" t="s">
        <v>172</v>
      </c>
      <c r="E7513" s="5" t="s">
        <v>595</v>
      </c>
      <c r="F7513" s="9">
        <v>72</v>
      </c>
      <c r="G7513" s="9">
        <v>801</v>
      </c>
      <c r="H7513" s="5" t="s">
        <v>21</v>
      </c>
      <c r="I7513" s="5" t="s">
        <v>17132</v>
      </c>
      <c r="J7513" s="12" t="str">
        <f>HYPERLINK("https://www.boe.es/gazeta/dias/1800/09/05/pdfs/GMD-C-1800-72.pdf#page=3","Abrir facsímil")</f>
        <v>Abrir facsímil</v>
      </c>
      <c r="K7513" s="15" t="s">
        <v>23</v>
      </c>
    </row>
    <row r="7514" spans="1:11" ht="42" customHeight="1">
      <c r="A7514" s="4" t="s">
        <v>17133</v>
      </c>
      <c r="B7514" s="5" t="s">
        <v>17134</v>
      </c>
      <c r="C7514" s="5" t="s">
        <v>18</v>
      </c>
      <c r="D7514" s="5" t="s">
        <v>19</v>
      </c>
      <c r="E7514" s="5" t="s">
        <v>828</v>
      </c>
      <c r="F7514" s="9">
        <v>53</v>
      </c>
      <c r="G7514" s="9">
        <v>588</v>
      </c>
      <c r="H7514" s="5" t="s">
        <v>21</v>
      </c>
      <c r="I7514" s="5" t="s">
        <v>17135</v>
      </c>
      <c r="J7514" s="12" t="str">
        <f>HYPERLINK("https://www.boe.es/gazeta/dias/1800/07/04/pdfs/GMD-1800-53.pdf#page=8","Abrir facsímil")</f>
        <v>Abrir facsímil</v>
      </c>
      <c r="K7514" s="15" t="s">
        <v>23</v>
      </c>
    </row>
    <row r="7515" spans="1:11" ht="42" customHeight="1">
      <c r="A7515" s="4" t="s">
        <v>17136</v>
      </c>
      <c r="B7515" s="5" t="s">
        <v>17137</v>
      </c>
      <c r="C7515" s="5" t="s">
        <v>84</v>
      </c>
      <c r="D7515" s="5" t="s">
        <v>85</v>
      </c>
      <c r="E7515" s="5" t="s">
        <v>454</v>
      </c>
      <c r="F7515" s="9">
        <v>63</v>
      </c>
      <c r="G7515" s="9">
        <v>724</v>
      </c>
      <c r="H7515" s="5" t="s">
        <v>21</v>
      </c>
      <c r="I7515" s="5" t="s">
        <v>17138</v>
      </c>
      <c r="J7515" s="12" t="str">
        <f>HYPERLINK("https://www.boe.es/gazeta/dias/1800/08/08/pdfs/GMD-1800-63.pdf#page=12","Abrir facsímil")</f>
        <v>Abrir facsímil</v>
      </c>
      <c r="K7515" s="15" t="s">
        <v>23</v>
      </c>
    </row>
    <row r="7516" spans="1:11" ht="42" customHeight="1">
      <c r="A7516" s="4" t="s">
        <v>17139</v>
      </c>
      <c r="B7516" s="5" t="s">
        <v>17140</v>
      </c>
      <c r="C7516" s="5" t="s">
        <v>18</v>
      </c>
      <c r="D7516" s="5" t="s">
        <v>19</v>
      </c>
      <c r="E7516" s="5" t="s">
        <v>180</v>
      </c>
      <c r="F7516" s="9">
        <v>102</v>
      </c>
      <c r="G7516" s="9">
        <v>1185</v>
      </c>
      <c r="H7516" s="5" t="s">
        <v>21</v>
      </c>
      <c r="I7516" s="5" t="s">
        <v>17141</v>
      </c>
      <c r="J7516" s="12" t="str">
        <f>HYPERLINK("https://www.boe.es/gazeta/dias/1800/12/19/pdfs/GMD-1800-102.pdf#page=9","Abrir facsímil")</f>
        <v>Abrir facsímil</v>
      </c>
      <c r="K7516" s="15" t="s">
        <v>23</v>
      </c>
    </row>
    <row r="7517" spans="1:11" ht="42" customHeight="1">
      <c r="A7517" s="4" t="s">
        <v>17142</v>
      </c>
      <c r="B7517" s="5" t="s">
        <v>17143</v>
      </c>
      <c r="C7517" s="5" t="s">
        <v>18</v>
      </c>
      <c r="D7517" s="5" t="s">
        <v>19</v>
      </c>
      <c r="E7517" s="5" t="s">
        <v>534</v>
      </c>
      <c r="F7517" s="9">
        <v>100</v>
      </c>
      <c r="G7517" s="9">
        <v>1160</v>
      </c>
      <c r="H7517" s="5" t="s">
        <v>21</v>
      </c>
      <c r="I7517" s="5" t="s">
        <v>17144</v>
      </c>
      <c r="J7517" s="12" t="str">
        <f>HYPERLINK("https://www.boe.es/gazeta/dias/1800/12/12/pdfs/GMD-1800-100.pdf#page=12","Abrir facsímil")</f>
        <v>Abrir facsímil</v>
      </c>
      <c r="K7517" s="15" t="s">
        <v>23</v>
      </c>
    </row>
    <row r="7518" spans="1:11" ht="42" customHeight="1">
      <c r="A7518" s="4" t="s">
        <v>17145</v>
      </c>
      <c r="B7518" s="5" t="s">
        <v>17146</v>
      </c>
      <c r="C7518" s="5" t="s">
        <v>207</v>
      </c>
      <c r="D7518" s="5" t="s">
        <v>55</v>
      </c>
      <c r="E7518" s="5" t="s">
        <v>255</v>
      </c>
      <c r="F7518" s="9">
        <v>75</v>
      </c>
      <c r="G7518" s="9">
        <v>854</v>
      </c>
      <c r="H7518" s="5" t="s">
        <v>21</v>
      </c>
      <c r="I7518" s="5" t="s">
        <v>17147</v>
      </c>
      <c r="J7518" s="12" t="str">
        <f>HYPERLINK("https://www.boe.es/gazeta/dias/1800/09/16/pdfs/GMD-1800-75.pdf#page=8","Abrir facsímil")</f>
        <v>Abrir facsímil</v>
      </c>
      <c r="K7518" s="15" t="s">
        <v>23</v>
      </c>
    </row>
    <row r="7519" spans="1:11" ht="42" customHeight="1">
      <c r="A7519" s="4" t="s">
        <v>17148</v>
      </c>
      <c r="B7519" s="5" t="s">
        <v>17148</v>
      </c>
      <c r="C7519" s="5" t="s">
        <v>18</v>
      </c>
      <c r="D7519" s="5" t="s">
        <v>19</v>
      </c>
      <c r="E7519" s="5" t="s">
        <v>190</v>
      </c>
      <c r="F7519" s="9">
        <v>93</v>
      </c>
      <c r="G7519" s="9">
        <v>1065</v>
      </c>
      <c r="H7519" s="5" t="s">
        <v>21</v>
      </c>
      <c r="I7519" s="5" t="s">
        <v>17149</v>
      </c>
      <c r="J7519" s="12" t="str">
        <f>HYPERLINK("https://www.boe.es/gazeta/dias/1800/11/18/pdfs/GMD-1800-93.pdf#page=11","Abrir facsímil")</f>
        <v>Abrir facsímil</v>
      </c>
      <c r="K7519" s="15" t="s">
        <v>23</v>
      </c>
    </row>
    <row r="7520" spans="1:11" ht="42" customHeight="1">
      <c r="A7520" s="4" t="s">
        <v>17150</v>
      </c>
      <c r="B7520" s="5" t="s">
        <v>17151</v>
      </c>
      <c r="C7520" s="5" t="s">
        <v>54</v>
      </c>
      <c r="D7520" s="5" t="s">
        <v>55</v>
      </c>
      <c r="E7520" s="5" t="s">
        <v>445</v>
      </c>
      <c r="F7520" s="9">
        <v>96</v>
      </c>
      <c r="G7520" s="9">
        <v>1107</v>
      </c>
      <c r="H7520" s="5" t="s">
        <v>21</v>
      </c>
      <c r="I7520" s="5" t="s">
        <v>17152</v>
      </c>
      <c r="J7520" s="12" t="str">
        <f>HYPERLINK("https://www.boe.es/gazeta/dias/1800/11/28/pdfs/GMD-1800-96.pdf#page=11","Abrir facsímil")</f>
        <v>Abrir facsímil</v>
      </c>
      <c r="K7520" s="15" t="s">
        <v>23</v>
      </c>
    </row>
    <row r="7521" spans="1:11" ht="42" customHeight="1">
      <c r="A7521" s="4" t="s">
        <v>17153</v>
      </c>
      <c r="B7521" s="5" t="s">
        <v>17154</v>
      </c>
      <c r="C7521" s="5" t="s">
        <v>114</v>
      </c>
      <c r="D7521" s="5" t="s">
        <v>115</v>
      </c>
      <c r="E7521" s="5" t="s">
        <v>116</v>
      </c>
      <c r="F7521" s="9">
        <v>86</v>
      </c>
      <c r="G7521" s="9" t="s">
        <v>991</v>
      </c>
      <c r="H7521" s="5" t="s">
        <v>21</v>
      </c>
      <c r="I7521" s="5" t="s">
        <v>17155</v>
      </c>
      <c r="J7521" s="12" t="str">
        <f>HYPERLINK("https://www.boe.es/gazeta/dias/1800/10/24/pdfs/GMD-D-1800-86.pdf#page=4","Abrir facsímil")</f>
        <v>Abrir facsímil</v>
      </c>
      <c r="K7521" s="15" t="s">
        <v>23</v>
      </c>
    </row>
    <row r="7522" spans="1:11" ht="42" customHeight="1">
      <c r="A7522" s="4" t="s">
        <v>17156</v>
      </c>
      <c r="B7522" s="5" t="s">
        <v>17157</v>
      </c>
      <c r="C7522" s="5" t="s">
        <v>25</v>
      </c>
      <c r="D7522" s="5" t="s">
        <v>26</v>
      </c>
      <c r="E7522" s="5" t="s">
        <v>27</v>
      </c>
      <c r="F7522" s="9">
        <v>65</v>
      </c>
      <c r="G7522" s="9">
        <v>733</v>
      </c>
      <c r="H7522" s="5" t="s">
        <v>21</v>
      </c>
      <c r="I7522" s="5" t="s">
        <v>17158</v>
      </c>
      <c r="J7522" s="12" t="str">
        <f>HYPERLINK("https://www.boe.es/gazeta/dias/1800/08/15/pdfs/GMD-1800-65.pdf#page=9","Abrir facsímil")</f>
        <v>Abrir facsímil</v>
      </c>
      <c r="K7522" s="15" t="s">
        <v>23</v>
      </c>
    </row>
    <row r="7523" spans="1:11" ht="42" customHeight="1">
      <c r="A7523" s="4" t="s">
        <v>17159</v>
      </c>
      <c r="B7523" s="5" t="s">
        <v>17160</v>
      </c>
      <c r="C7523" s="5" t="s">
        <v>84</v>
      </c>
      <c r="D7523" s="5" t="s">
        <v>85</v>
      </c>
      <c r="E7523" s="5" t="s">
        <v>124</v>
      </c>
      <c r="F7523" s="9">
        <v>16</v>
      </c>
      <c r="G7523" s="9">
        <v>152</v>
      </c>
      <c r="H7523" s="5" t="s">
        <v>21</v>
      </c>
      <c r="I7523" s="5" t="s">
        <v>17161</v>
      </c>
      <c r="J7523" s="12" t="str">
        <f>HYPERLINK("https://www.boe.es/gazeta/dias/1800/02/25/pdfs/GMD-1800-16.pdf#page=8","Abrir facsímil")</f>
        <v>Abrir facsímil</v>
      </c>
      <c r="K7523" s="15" t="s">
        <v>23</v>
      </c>
    </row>
    <row r="7524" spans="1:11" ht="42" customHeight="1">
      <c r="A7524" s="4" t="s">
        <v>17159</v>
      </c>
      <c r="B7524" s="5" t="s">
        <v>17160</v>
      </c>
      <c r="C7524" s="5" t="s">
        <v>25</v>
      </c>
      <c r="D7524" s="5" t="s">
        <v>26</v>
      </c>
      <c r="E7524" s="5" t="s">
        <v>356</v>
      </c>
      <c r="F7524" s="9">
        <v>31</v>
      </c>
      <c r="G7524" s="9">
        <v>316</v>
      </c>
      <c r="H7524" s="5" t="s">
        <v>21</v>
      </c>
      <c r="I7524" s="5" t="s">
        <v>17162</v>
      </c>
      <c r="J7524" s="12" t="str">
        <f>HYPERLINK("https://www.boe.es/gazeta/dias/1800/04/18/pdfs/GMD-1800-31.pdf#page=8","Abrir facsímil")</f>
        <v>Abrir facsímil</v>
      </c>
      <c r="K7524" s="15" t="s">
        <v>23</v>
      </c>
    </row>
    <row r="7525" spans="1:11" ht="42" customHeight="1">
      <c r="A7525" s="4" t="s">
        <v>17163</v>
      </c>
      <c r="B7525" s="5" t="s">
        <v>17164</v>
      </c>
      <c r="C7525" s="5" t="s">
        <v>18</v>
      </c>
      <c r="D7525" s="5" t="s">
        <v>19</v>
      </c>
      <c r="E7525" s="5" t="s">
        <v>56</v>
      </c>
      <c r="F7525" s="9">
        <v>90</v>
      </c>
      <c r="G7525" s="9">
        <v>1055</v>
      </c>
      <c r="H7525" s="5" t="s">
        <v>21</v>
      </c>
      <c r="I7525" s="5" t="s">
        <v>17165</v>
      </c>
      <c r="J7525" s="12" t="str">
        <f>HYPERLINK("https://www.boe.es/gazeta/dias/1800/11/07/pdfs/GMD-1800-90.pdf#page=9","Abrir facsímil")</f>
        <v>Abrir facsímil</v>
      </c>
      <c r="K7525" s="15" t="s">
        <v>23</v>
      </c>
    </row>
    <row r="7526" spans="1:11" ht="42" customHeight="1">
      <c r="A7526" s="4" t="s">
        <v>17166</v>
      </c>
      <c r="B7526" s="5" t="s">
        <v>17167</v>
      </c>
      <c r="C7526" s="5" t="s">
        <v>18</v>
      </c>
      <c r="D7526" s="5" t="s">
        <v>19</v>
      </c>
      <c r="E7526" s="5" t="s">
        <v>346</v>
      </c>
      <c r="F7526" s="9">
        <v>24</v>
      </c>
      <c r="G7526" s="9">
        <v>244</v>
      </c>
      <c r="H7526" s="5" t="s">
        <v>21</v>
      </c>
      <c r="I7526" s="5" t="s">
        <v>17168</v>
      </c>
      <c r="J7526" s="12" t="str">
        <f>HYPERLINK("https://www.boe.es/gazeta/dias/1800/03/25/pdfs/GMD-1800-24.pdf#page=8","Abrir facsímil")</f>
        <v>Abrir facsímil</v>
      </c>
      <c r="K7526" s="15" t="s">
        <v>23</v>
      </c>
    </row>
    <row r="7527" spans="1:11" ht="42" customHeight="1">
      <c r="A7527" s="4" t="s">
        <v>17169</v>
      </c>
      <c r="B7527" s="5" t="s">
        <v>17170</v>
      </c>
      <c r="C7527" s="5" t="s">
        <v>18</v>
      </c>
      <c r="D7527" s="5" t="s">
        <v>19</v>
      </c>
      <c r="E7527" s="5" t="s">
        <v>306</v>
      </c>
      <c r="F7527" s="9">
        <v>79</v>
      </c>
      <c r="G7527" s="9">
        <v>900</v>
      </c>
      <c r="H7527" s="5" t="s">
        <v>21</v>
      </c>
      <c r="I7527" s="5" t="s">
        <v>17171</v>
      </c>
      <c r="J7527" s="12" t="str">
        <f>HYPERLINK("https://www.boe.es/gazeta/dias/1800/09/30/pdfs/GMD-1800-79.pdf#page=10","Abrir facsímil")</f>
        <v>Abrir facsímil</v>
      </c>
      <c r="K7527" s="15" t="s">
        <v>23</v>
      </c>
    </row>
    <row r="7528" spans="1:11" ht="42" customHeight="1">
      <c r="A7528" s="4" t="s">
        <v>17172</v>
      </c>
      <c r="B7528" s="5" t="s">
        <v>17173</v>
      </c>
      <c r="C7528" s="5" t="s">
        <v>54</v>
      </c>
      <c r="D7528" s="5" t="s">
        <v>55</v>
      </c>
      <c r="E7528" s="5" t="s">
        <v>88</v>
      </c>
      <c r="F7528" s="9">
        <v>23</v>
      </c>
      <c r="G7528" s="9">
        <v>228</v>
      </c>
      <c r="H7528" s="5" t="s">
        <v>21</v>
      </c>
      <c r="I7528" s="5" t="s">
        <v>17174</v>
      </c>
      <c r="J7528" s="12" t="str">
        <f>HYPERLINK("https://www.boe.es/gazeta/dias/1800/03/21/pdfs/GMD-1800-23.pdf#page=4","Abrir facsímil")</f>
        <v>Abrir facsímil</v>
      </c>
      <c r="K7528" s="15" t="s">
        <v>23</v>
      </c>
    </row>
    <row r="7529" spans="1:11" ht="42" customHeight="1">
      <c r="A7529" s="4" t="s">
        <v>17175</v>
      </c>
      <c r="B7529" s="5" t="s">
        <v>17176</v>
      </c>
      <c r="C7529" s="5" t="s">
        <v>41</v>
      </c>
      <c r="D7529" s="5" t="s">
        <v>42</v>
      </c>
      <c r="E7529" s="5" t="s">
        <v>60</v>
      </c>
      <c r="F7529" s="9">
        <v>105</v>
      </c>
      <c r="G7529" s="9">
        <v>1225</v>
      </c>
      <c r="H7529" s="5" t="s">
        <v>21</v>
      </c>
      <c r="I7529" s="5" t="s">
        <v>17177</v>
      </c>
      <c r="J7529" s="12" t="str">
        <f>HYPERLINK("https://www.boe.es/gazeta/dias/1800/12/30/pdfs/GMD-1800-105.pdf#page=9","Abrir facsímil")</f>
        <v>Abrir facsímil</v>
      </c>
      <c r="K7529" s="15" t="s">
        <v>23</v>
      </c>
    </row>
    <row r="7530" spans="1:11" ht="42" customHeight="1">
      <c r="A7530" s="4" t="s">
        <v>17178</v>
      </c>
      <c r="B7530" s="5" t="s">
        <v>17179</v>
      </c>
      <c r="C7530" s="5" t="s">
        <v>18</v>
      </c>
      <c r="D7530" s="5" t="s">
        <v>19</v>
      </c>
      <c r="E7530" s="5" t="s">
        <v>461</v>
      </c>
      <c r="F7530" s="9">
        <v>18</v>
      </c>
      <c r="G7530" s="9">
        <v>170</v>
      </c>
      <c r="H7530" s="5" t="s">
        <v>21</v>
      </c>
      <c r="I7530" s="5" t="s">
        <v>17180</v>
      </c>
      <c r="J7530" s="12" t="str">
        <f>HYPERLINK("https://www.boe.es/datos/pdfs/BOE//1800/018/C00173-00176.pdf#page=6","Abrir facsímil")</f>
        <v>Abrir facsímil</v>
      </c>
      <c r="K7530" s="15" t="s">
        <v>23</v>
      </c>
    </row>
    <row r="7531" spans="1:11" ht="42" customHeight="1">
      <c r="A7531" s="4" t="s">
        <v>17181</v>
      </c>
      <c r="B7531" s="5" t="s">
        <v>17182</v>
      </c>
      <c r="C7531" s="5" t="s">
        <v>171</v>
      </c>
      <c r="D7531" s="5" t="s">
        <v>172</v>
      </c>
      <c r="E7531" s="5" t="s">
        <v>595</v>
      </c>
      <c r="F7531" s="9">
        <v>72</v>
      </c>
      <c r="G7531" s="9">
        <v>801</v>
      </c>
      <c r="H7531" s="5" t="s">
        <v>21</v>
      </c>
      <c r="I7531" s="5" t="s">
        <v>17183</v>
      </c>
      <c r="J7531" s="12" t="str">
        <f>HYPERLINK("https://www.boe.es/gazeta/dias/1800/09/05/pdfs/GMD-C-1800-72.pdf#page=3","Abrir facsímil")</f>
        <v>Abrir facsímil</v>
      </c>
      <c r="K7531" s="15" t="s">
        <v>23</v>
      </c>
    </row>
    <row r="7532" spans="1:11" ht="42" customHeight="1">
      <c r="A7532" s="4" t="s">
        <v>17184</v>
      </c>
      <c r="B7532" s="5" t="s">
        <v>17185</v>
      </c>
      <c r="C7532" s="5" t="s">
        <v>18</v>
      </c>
      <c r="D7532" s="5" t="s">
        <v>19</v>
      </c>
      <c r="E7532" s="5" t="s">
        <v>262</v>
      </c>
      <c r="F7532" s="9">
        <v>39</v>
      </c>
      <c r="G7532" s="9">
        <v>401</v>
      </c>
      <c r="H7532" s="5" t="s">
        <v>21</v>
      </c>
      <c r="I7532" s="5" t="s">
        <v>17186</v>
      </c>
      <c r="J7532" s="12" t="str">
        <f>HYPERLINK("https://www.boe.es/gazeta/dias/1800/05/16/pdfs/GMD-1800-39.pdf#page=9","Abrir facsímil")</f>
        <v>Abrir facsímil</v>
      </c>
      <c r="K7532" s="15" t="s">
        <v>23</v>
      </c>
    </row>
    <row r="7533" spans="1:11" ht="42" customHeight="1">
      <c r="A7533" s="4" t="s">
        <v>17187</v>
      </c>
      <c r="B7533" s="5" t="s">
        <v>17188</v>
      </c>
      <c r="C7533" s="5" t="s">
        <v>18</v>
      </c>
      <c r="D7533" s="5" t="s">
        <v>19</v>
      </c>
      <c r="E7533" s="5" t="s">
        <v>823</v>
      </c>
      <c r="F7533" s="9">
        <v>50</v>
      </c>
      <c r="G7533" s="9">
        <v>546</v>
      </c>
      <c r="H7533" s="5" t="s">
        <v>21</v>
      </c>
      <c r="I7533" s="5" t="s">
        <v>17189</v>
      </c>
      <c r="J7533" s="12" t="str">
        <f>HYPERLINK("https://www.boe.es/gazeta/dias/1800/06/24/pdfs/GMD-1800-50.pdf#page=10","Abrir facsímil")</f>
        <v>Abrir facsímil</v>
      </c>
      <c r="K7533" s="15" t="s">
        <v>23</v>
      </c>
    </row>
    <row r="7534" spans="1:11" ht="42" customHeight="1">
      <c r="A7534" s="4" t="s">
        <v>17190</v>
      </c>
      <c r="B7534" s="5" t="s">
        <v>17191</v>
      </c>
      <c r="C7534" s="5" t="s">
        <v>18</v>
      </c>
      <c r="D7534" s="5" t="s">
        <v>19</v>
      </c>
      <c r="E7534" s="5" t="s">
        <v>314</v>
      </c>
      <c r="F7534" s="9">
        <v>74</v>
      </c>
      <c r="G7534" s="9">
        <v>833</v>
      </c>
      <c r="H7534" s="5" t="s">
        <v>21</v>
      </c>
      <c r="I7534" s="5" t="s">
        <v>17192</v>
      </c>
      <c r="J7534" s="12" t="str">
        <f>HYPERLINK("https://www.boe.es/gazeta/dias/1800/09/12/pdfs/GMD-1800-74.pdf#page=11","Abrir facsímil")</f>
        <v>Abrir facsímil</v>
      </c>
      <c r="K7534" s="15" t="s">
        <v>23</v>
      </c>
    </row>
    <row r="7535" spans="1:11" ht="42" customHeight="1">
      <c r="A7535" s="4" t="s">
        <v>17190</v>
      </c>
      <c r="B7535" s="5" t="s">
        <v>17191</v>
      </c>
      <c r="C7535" s="5" t="s">
        <v>18</v>
      </c>
      <c r="D7535" s="5" t="s">
        <v>19</v>
      </c>
      <c r="E7535" s="5" t="s">
        <v>196</v>
      </c>
      <c r="F7535" s="9">
        <v>97</v>
      </c>
      <c r="G7535" s="9">
        <v>1117</v>
      </c>
      <c r="H7535" s="5" t="s">
        <v>21</v>
      </c>
      <c r="I7535" s="5" t="s">
        <v>17193</v>
      </c>
      <c r="J7535" s="12" t="str">
        <f>HYPERLINK("https://www.boe.es/gazeta/dias/1800/12/02/pdfs/GMD-1800-97.pdf#page=9","Abrir facsímil")</f>
        <v>Abrir facsímil</v>
      </c>
      <c r="K7535" s="15" t="s">
        <v>23</v>
      </c>
    </row>
    <row r="7536" spans="1:11" ht="42" customHeight="1">
      <c r="A7536" s="4" t="s">
        <v>17194</v>
      </c>
      <c r="B7536" s="5" t="s">
        <v>17195</v>
      </c>
      <c r="C7536" s="5" t="s">
        <v>18</v>
      </c>
      <c r="D7536" s="5" t="s">
        <v>19</v>
      </c>
      <c r="E7536" s="5" t="s">
        <v>595</v>
      </c>
      <c r="F7536" s="9">
        <v>72</v>
      </c>
      <c r="G7536" s="9">
        <v>797</v>
      </c>
      <c r="H7536" s="5" t="s">
        <v>21</v>
      </c>
      <c r="I7536" s="5" t="s">
        <v>17196</v>
      </c>
      <c r="J7536" s="12" t="str">
        <f>HYPERLINK("https://www.boe.es/gazeta/dias/1800/09/05/pdfs/GMD-1800-72.pdf#page=7","Abrir facsímil")</f>
        <v>Abrir facsímil</v>
      </c>
      <c r="K7536" s="15" t="s">
        <v>23</v>
      </c>
    </row>
    <row r="7537" spans="1:11" ht="42" customHeight="1">
      <c r="A7537" s="4" t="s">
        <v>17197</v>
      </c>
      <c r="B7537" s="5" t="s">
        <v>17198</v>
      </c>
      <c r="C7537" s="5" t="s">
        <v>54</v>
      </c>
      <c r="D7537" s="5" t="s">
        <v>55</v>
      </c>
      <c r="E7537" s="5" t="s">
        <v>306</v>
      </c>
      <c r="F7537" s="9">
        <v>79</v>
      </c>
      <c r="G7537" s="9">
        <v>900</v>
      </c>
      <c r="H7537" s="5" t="s">
        <v>21</v>
      </c>
      <c r="I7537" s="5" t="s">
        <v>17199</v>
      </c>
      <c r="J7537" s="12" t="str">
        <f>HYPERLINK("https://www.boe.es/gazeta/dias/1800/09/30/pdfs/GMD-1800-79.pdf#page=10","Abrir facsímil")</f>
        <v>Abrir facsímil</v>
      </c>
      <c r="K7537" s="15" t="s">
        <v>23</v>
      </c>
    </row>
    <row r="7538" spans="1:11" ht="42" customHeight="1">
      <c r="A7538" s="4" t="s">
        <v>17200</v>
      </c>
      <c r="B7538" s="5" t="s">
        <v>17201</v>
      </c>
      <c r="C7538" s="5" t="s">
        <v>54</v>
      </c>
      <c r="D7538" s="5" t="s">
        <v>55</v>
      </c>
      <c r="E7538" s="5" t="s">
        <v>306</v>
      </c>
      <c r="F7538" s="9">
        <v>79</v>
      </c>
      <c r="G7538" s="9">
        <v>900</v>
      </c>
      <c r="H7538" s="5" t="s">
        <v>21</v>
      </c>
      <c r="I7538" s="5" t="s">
        <v>17202</v>
      </c>
      <c r="J7538" s="12" t="str">
        <f>HYPERLINK("https://www.boe.es/gazeta/dias/1800/09/30/pdfs/GMD-1800-79.pdf#page=10","Abrir facsímil")</f>
        <v>Abrir facsímil</v>
      </c>
      <c r="K7538" s="15" t="s">
        <v>23</v>
      </c>
    </row>
    <row r="7539" spans="1:11" ht="42" customHeight="1">
      <c r="A7539" s="4" t="s">
        <v>17203</v>
      </c>
      <c r="B7539" s="5" t="s">
        <v>17204</v>
      </c>
      <c r="C7539" s="5" t="s">
        <v>18</v>
      </c>
      <c r="D7539" s="5" t="s">
        <v>19</v>
      </c>
      <c r="E7539" s="5" t="s">
        <v>116</v>
      </c>
      <c r="F7539" s="9">
        <v>86</v>
      </c>
      <c r="G7539" s="9">
        <v>996</v>
      </c>
      <c r="H7539" s="5" t="s">
        <v>21</v>
      </c>
      <c r="I7539" s="5" t="s">
        <v>17205</v>
      </c>
      <c r="J7539" s="12" t="str">
        <f>HYPERLINK("https://www.boe.es/gazeta/dias/1800/10/24/pdfs/GMD-1800-86.pdf#page=6","Abrir facsímil")</f>
        <v>Abrir facsímil</v>
      </c>
      <c r="K7539" s="15" t="s">
        <v>23</v>
      </c>
    </row>
    <row r="7540" spans="1:11" ht="42" customHeight="1">
      <c r="A7540" s="4" t="s">
        <v>17206</v>
      </c>
      <c r="B7540" s="5" t="s">
        <v>17207</v>
      </c>
      <c r="C7540" s="5" t="s">
        <v>25</v>
      </c>
      <c r="D7540" s="5" t="s">
        <v>26</v>
      </c>
      <c r="E7540" s="5" t="s">
        <v>314</v>
      </c>
      <c r="F7540" s="9">
        <v>74</v>
      </c>
      <c r="G7540" s="9">
        <v>830</v>
      </c>
      <c r="H7540" s="5" t="s">
        <v>21</v>
      </c>
      <c r="I7540" s="5" t="s">
        <v>17208</v>
      </c>
      <c r="J7540" s="12" t="str">
        <f>HYPERLINK("https://www.boe.es/gazeta/dias/1800/09/12/pdfs/GMD-1800-74.pdf#page=8","Abrir facsímil")</f>
        <v>Abrir facsímil</v>
      </c>
      <c r="K7540" s="15" t="s">
        <v>23</v>
      </c>
    </row>
    <row r="7541" spans="1:11" ht="42" customHeight="1">
      <c r="A7541" s="4" t="s">
        <v>17209</v>
      </c>
      <c r="B7541" s="5" t="s">
        <v>17210</v>
      </c>
      <c r="C7541" s="5" t="s">
        <v>18</v>
      </c>
      <c r="D7541" s="5" t="s">
        <v>19</v>
      </c>
      <c r="E7541" s="5" t="s">
        <v>56</v>
      </c>
      <c r="F7541" s="9">
        <v>90</v>
      </c>
      <c r="G7541" s="9">
        <v>1055</v>
      </c>
      <c r="H7541" s="5" t="s">
        <v>21</v>
      </c>
      <c r="I7541" s="5" t="s">
        <v>17211</v>
      </c>
      <c r="J7541" s="12" t="str">
        <f>HYPERLINK("https://www.boe.es/gazeta/dias/1800/11/07/pdfs/GMD-1800-90.pdf#page=9","Abrir facsímil")</f>
        <v>Abrir facsímil</v>
      </c>
      <c r="K7541" s="15" t="s">
        <v>23</v>
      </c>
    </row>
    <row r="7542" spans="1:11" ht="42" customHeight="1">
      <c r="A7542" s="4" t="s">
        <v>17212</v>
      </c>
      <c r="B7542" s="5" t="s">
        <v>17213</v>
      </c>
      <c r="C7542" s="5" t="s">
        <v>25</v>
      </c>
      <c r="D7542" s="5" t="s">
        <v>26</v>
      </c>
      <c r="E7542" s="5" t="s">
        <v>283</v>
      </c>
      <c r="F7542" s="9">
        <v>68</v>
      </c>
      <c r="G7542" s="9">
        <v>764</v>
      </c>
      <c r="H7542" s="5" t="s">
        <v>21</v>
      </c>
      <c r="I7542" s="5" t="s">
        <v>17214</v>
      </c>
      <c r="J7542" s="12" t="str">
        <f>HYPERLINK("https://www.boe.es/gazeta/dias/1800/08/26/pdfs/GMD-1800-68.pdf#page=8","Abrir facsímil")</f>
        <v>Abrir facsímil</v>
      </c>
      <c r="K7542" s="15" t="s">
        <v>23</v>
      </c>
    </row>
    <row r="7543" spans="1:11" ht="42" customHeight="1">
      <c r="A7543" s="4" t="s">
        <v>17215</v>
      </c>
      <c r="B7543" s="5" t="s">
        <v>17216</v>
      </c>
      <c r="C7543" s="5" t="s">
        <v>18</v>
      </c>
      <c r="D7543" s="5" t="s">
        <v>19</v>
      </c>
      <c r="E7543" s="5" t="s">
        <v>240</v>
      </c>
      <c r="F7543" s="9">
        <v>26</v>
      </c>
      <c r="G7543" s="9">
        <v>268</v>
      </c>
      <c r="H7543" s="5" t="s">
        <v>21</v>
      </c>
      <c r="I7543" s="5" t="s">
        <v>17217</v>
      </c>
      <c r="J7543" s="12" t="str">
        <f>HYPERLINK("https://www.boe.es/gazeta/dias/1800/04/01/pdfs/GMD-1800-26.pdf#page=8","Abrir facsímil")</f>
        <v>Abrir facsímil</v>
      </c>
      <c r="K7543" s="15" t="s">
        <v>23</v>
      </c>
    </row>
    <row r="7544" spans="1:11" ht="42" customHeight="1">
      <c r="A7544" s="4" t="s">
        <v>17218</v>
      </c>
      <c r="B7544" s="5" t="s">
        <v>17219</v>
      </c>
      <c r="C7544" s="5" t="s">
        <v>18</v>
      </c>
      <c r="D7544" s="5" t="s">
        <v>19</v>
      </c>
      <c r="E7544" s="5" t="s">
        <v>176</v>
      </c>
      <c r="F7544" s="9">
        <v>88</v>
      </c>
      <c r="G7544" s="9">
        <v>1025</v>
      </c>
      <c r="H7544" s="5" t="s">
        <v>21</v>
      </c>
      <c r="I7544" s="5" t="s">
        <v>17220</v>
      </c>
      <c r="J7544" s="12" t="str">
        <f>HYPERLINK("https://www.boe.es/gazeta/dias/1800/10/31/pdfs/GMD-1800-88.pdf#page=7","Abrir facsímil")</f>
        <v>Abrir facsímil</v>
      </c>
      <c r="K7544" s="15" t="s">
        <v>23</v>
      </c>
    </row>
    <row r="7545" spans="1:11" ht="42" customHeight="1">
      <c r="A7545" s="4" t="s">
        <v>17221</v>
      </c>
      <c r="B7545" s="5" t="s">
        <v>17222</v>
      </c>
      <c r="C7545" s="5" t="s">
        <v>18</v>
      </c>
      <c r="D7545" s="5" t="s">
        <v>19</v>
      </c>
      <c r="E7545" s="5" t="s">
        <v>595</v>
      </c>
      <c r="F7545" s="9">
        <v>72</v>
      </c>
      <c r="G7545" s="9">
        <v>797</v>
      </c>
      <c r="H7545" s="5" t="s">
        <v>21</v>
      </c>
      <c r="I7545" s="5" t="s">
        <v>17223</v>
      </c>
      <c r="J7545" s="12" t="str">
        <f>HYPERLINK("https://www.boe.es/gazeta/dias/1800/09/05/pdfs/GMD-1800-72.pdf#page=7","Abrir facsímil")</f>
        <v>Abrir facsímil</v>
      </c>
      <c r="K7545" s="15" t="s">
        <v>23</v>
      </c>
    </row>
    <row r="7546" spans="1:11" ht="42" customHeight="1">
      <c r="A7546" s="4" t="s">
        <v>17224</v>
      </c>
      <c r="B7546" s="5" t="s">
        <v>17225</v>
      </c>
      <c r="C7546" s="5" t="s">
        <v>18</v>
      </c>
      <c r="D7546" s="5" t="s">
        <v>19</v>
      </c>
      <c r="E7546" s="5" t="s">
        <v>567</v>
      </c>
      <c r="F7546" s="9">
        <v>3</v>
      </c>
      <c r="G7546" s="9">
        <v>27</v>
      </c>
      <c r="H7546" s="5" t="s">
        <v>21</v>
      </c>
      <c r="I7546" s="5" t="s">
        <v>17226</v>
      </c>
      <c r="J7546" s="12" t="str">
        <f>HYPERLINK("https://www.boe.es/gazeta/dias/1800/01/10/pdfs/GMD-1800-3.pdf#page=7","Abrir facsímil")</f>
        <v>Abrir facsímil</v>
      </c>
      <c r="K7546" s="15" t="s">
        <v>23</v>
      </c>
    </row>
    <row r="7547" spans="1:11" ht="42" customHeight="1">
      <c r="A7547" s="4" t="s">
        <v>17227</v>
      </c>
      <c r="B7547" s="5" t="s">
        <v>17228</v>
      </c>
      <c r="C7547" s="5" t="s">
        <v>207</v>
      </c>
      <c r="D7547" s="5" t="s">
        <v>55</v>
      </c>
      <c r="E7547" s="5" t="s">
        <v>478</v>
      </c>
      <c r="F7547" s="9">
        <v>34</v>
      </c>
      <c r="G7547" s="9">
        <v>346</v>
      </c>
      <c r="H7547" s="5" t="s">
        <v>21</v>
      </c>
      <c r="I7547" s="5" t="s">
        <v>17229</v>
      </c>
      <c r="J7547" s="12" t="str">
        <f>HYPERLINK("https://www.boe.es/gazeta/dias/1800/04/29/pdfs/GMD-1800-34.pdf#page=10","Abrir facsímil")</f>
        <v>Abrir facsímil</v>
      </c>
      <c r="K7547" s="15" t="s">
        <v>23</v>
      </c>
    </row>
    <row r="7548" spans="1:11" ht="42" customHeight="1">
      <c r="A7548" s="4" t="s">
        <v>17230</v>
      </c>
      <c r="B7548" s="5" t="s">
        <v>17231</v>
      </c>
      <c r="C7548" s="5" t="s">
        <v>18</v>
      </c>
      <c r="D7548" s="5" t="s">
        <v>19</v>
      </c>
      <c r="E7548" s="5" t="s">
        <v>194</v>
      </c>
      <c r="F7548" s="9">
        <v>48</v>
      </c>
      <c r="G7548" s="9">
        <v>518</v>
      </c>
      <c r="H7548" s="5" t="s">
        <v>21</v>
      </c>
      <c r="I7548" s="5" t="s">
        <v>17232</v>
      </c>
      <c r="J7548" s="12" t="str">
        <f>HYPERLINK("https://www.boe.es/gazeta/dias/1800/06/17/pdfs/GMD-1800-48.pdf#page=10","Abrir facsímil")</f>
        <v>Abrir facsímil</v>
      </c>
      <c r="K7548" s="15" t="s">
        <v>23</v>
      </c>
    </row>
    <row r="7549" spans="1:11" ht="42" customHeight="1">
      <c r="A7549" s="4" t="s">
        <v>17233</v>
      </c>
      <c r="B7549" s="5" t="s">
        <v>17234</v>
      </c>
      <c r="C7549" s="5" t="s">
        <v>207</v>
      </c>
      <c r="D7549" s="5" t="s">
        <v>55</v>
      </c>
      <c r="E7549" s="5" t="s">
        <v>306</v>
      </c>
      <c r="F7549" s="9">
        <v>79</v>
      </c>
      <c r="G7549" s="9">
        <v>899</v>
      </c>
      <c r="H7549" s="5" t="s">
        <v>21</v>
      </c>
      <c r="I7549" s="5" t="s">
        <v>17235</v>
      </c>
      <c r="J7549" s="12" t="str">
        <f>HYPERLINK("https://www.boe.es/gazeta/dias/1800/09/30/pdfs/GMD-1800-79.pdf#page=9","Abrir facsímil")</f>
        <v>Abrir facsímil</v>
      </c>
      <c r="K7549" s="15" t="s">
        <v>23</v>
      </c>
    </row>
    <row r="7550" spans="1:11" ht="42" customHeight="1">
      <c r="A7550" s="4" t="s">
        <v>17236</v>
      </c>
      <c r="B7550" s="5" t="s">
        <v>17237</v>
      </c>
      <c r="C7550" s="5" t="s">
        <v>1035</v>
      </c>
      <c r="D7550" s="5" t="s">
        <v>1036</v>
      </c>
      <c r="E7550" s="5" t="s">
        <v>50</v>
      </c>
      <c r="F7550" s="9">
        <v>81</v>
      </c>
      <c r="G7550" s="9">
        <v>941</v>
      </c>
      <c r="H7550" s="5" t="s">
        <v>21</v>
      </c>
      <c r="I7550" s="5" t="s">
        <v>17238</v>
      </c>
      <c r="J7550" s="12" t="str">
        <f>HYPERLINK("https://www.boe.es/gazeta/dias/1800/10/07/pdfs/GMD-C-1800-81.pdf#page=23","Abrir facsímil")</f>
        <v>Abrir facsímil</v>
      </c>
      <c r="K7550" s="15" t="s">
        <v>23</v>
      </c>
    </row>
    <row r="7551" spans="1:11" ht="42" customHeight="1">
      <c r="A7551" s="4" t="s">
        <v>17239</v>
      </c>
      <c r="B7551" s="5" t="s">
        <v>17240</v>
      </c>
      <c r="C7551" s="5" t="s">
        <v>18</v>
      </c>
      <c r="D7551" s="5" t="s">
        <v>19</v>
      </c>
      <c r="E7551" s="5" t="s">
        <v>56</v>
      </c>
      <c r="F7551" s="9">
        <v>90</v>
      </c>
      <c r="G7551" s="9">
        <v>1056</v>
      </c>
      <c r="H7551" s="5" t="s">
        <v>21</v>
      </c>
      <c r="I7551" s="5" t="s">
        <v>17241</v>
      </c>
      <c r="J7551" s="12" t="str">
        <f>HYPERLINK("https://www.boe.es/gazeta/dias/1800/11/07/pdfs/GMD-1800-90.pdf#page=10","Abrir facsímil")</f>
        <v>Abrir facsímil</v>
      </c>
      <c r="K7551" s="15" t="s">
        <v>23</v>
      </c>
    </row>
    <row r="7552" spans="1:11" ht="42" customHeight="1">
      <c r="A7552" s="4" t="s">
        <v>17242</v>
      </c>
      <c r="B7552" s="5" t="s">
        <v>17242</v>
      </c>
      <c r="C7552" s="5" t="s">
        <v>54</v>
      </c>
      <c r="D7552" s="5" t="s">
        <v>55</v>
      </c>
      <c r="E7552" s="5" t="s">
        <v>283</v>
      </c>
      <c r="F7552" s="9">
        <v>68</v>
      </c>
      <c r="G7552" s="9">
        <v>760</v>
      </c>
      <c r="H7552" s="5" t="s">
        <v>21</v>
      </c>
      <c r="I7552" s="5" t="s">
        <v>17243</v>
      </c>
      <c r="J7552" s="12" t="str">
        <f>HYPERLINK("https://www.boe.es/gazeta/dias/1800/08/26/pdfs/GMD-1800-68.pdf#page=4","Abrir facsímil")</f>
        <v>Abrir facsímil</v>
      </c>
      <c r="K7552" s="15" t="s">
        <v>23</v>
      </c>
    </row>
    <row r="7553" spans="1:11" ht="42" customHeight="1">
      <c r="A7553" s="4" t="s">
        <v>17244</v>
      </c>
      <c r="B7553" s="5" t="s">
        <v>17245</v>
      </c>
      <c r="C7553" s="5" t="s">
        <v>18</v>
      </c>
      <c r="D7553" s="5" t="s">
        <v>19</v>
      </c>
      <c r="E7553" s="5" t="s">
        <v>283</v>
      </c>
      <c r="F7553" s="9">
        <v>68</v>
      </c>
      <c r="G7553" s="9">
        <v>760</v>
      </c>
      <c r="H7553" s="5" t="s">
        <v>21</v>
      </c>
      <c r="I7553" s="5" t="s">
        <v>17246</v>
      </c>
      <c r="J7553" s="12" t="str">
        <f>HYPERLINK("https://www.boe.es/gazeta/dias/1800/08/26/pdfs/GMD-1800-68.pdf#page=4","Abrir facsímil")</f>
        <v>Abrir facsímil</v>
      </c>
      <c r="K7553" s="15" t="s">
        <v>23</v>
      </c>
    </row>
    <row r="7554" spans="1:11" ht="42" customHeight="1">
      <c r="A7554" s="4" t="s">
        <v>17247</v>
      </c>
      <c r="B7554" s="5" t="s">
        <v>17247</v>
      </c>
      <c r="C7554" s="5" t="s">
        <v>171</v>
      </c>
      <c r="D7554" s="5" t="s">
        <v>172</v>
      </c>
      <c r="E7554" s="5" t="s">
        <v>64</v>
      </c>
      <c r="F7554" s="9">
        <v>54</v>
      </c>
      <c r="G7554" s="9">
        <v>609</v>
      </c>
      <c r="H7554" s="5" t="s">
        <v>21</v>
      </c>
      <c r="I7554" s="5" t="s">
        <v>17248</v>
      </c>
      <c r="J7554" s="12" t="str">
        <f>HYPERLINK("https://www.boe.es/gazeta/dias/1800/07/08/pdfs/GMD-C-1800-54.pdf#page=1","Abrir facsímil")</f>
        <v>Abrir facsímil</v>
      </c>
      <c r="K7554" s="15" t="s">
        <v>23</v>
      </c>
    </row>
    <row r="7555" spans="1:11" ht="42" customHeight="1">
      <c r="A7555" s="4" t="s">
        <v>17249</v>
      </c>
      <c r="B7555" s="5" t="s">
        <v>17250</v>
      </c>
      <c r="C7555" s="5" t="s">
        <v>18</v>
      </c>
      <c r="D7555" s="5" t="s">
        <v>19</v>
      </c>
      <c r="E7555" s="5" t="s">
        <v>56</v>
      </c>
      <c r="F7555" s="9">
        <v>90</v>
      </c>
      <c r="G7555" s="9">
        <v>1056</v>
      </c>
      <c r="H7555" s="5" t="s">
        <v>21</v>
      </c>
      <c r="I7555" s="5" t="s">
        <v>17251</v>
      </c>
      <c r="J7555" s="12" t="str">
        <f>HYPERLINK("https://www.boe.es/gazeta/dias/1800/11/07/pdfs/GMD-1800-90.pdf#page=10","Abrir facsímil")</f>
        <v>Abrir facsímil</v>
      </c>
      <c r="K7555" s="15" t="s">
        <v>23</v>
      </c>
    </row>
    <row r="7556" spans="1:11" ht="42" customHeight="1">
      <c r="A7556" s="4" t="s">
        <v>17252</v>
      </c>
      <c r="B7556" s="5" t="s">
        <v>17253</v>
      </c>
      <c r="C7556" s="5" t="s">
        <v>18</v>
      </c>
      <c r="D7556" s="5" t="s">
        <v>19</v>
      </c>
      <c r="E7556" s="5" t="s">
        <v>454</v>
      </c>
      <c r="F7556" s="9">
        <v>63</v>
      </c>
      <c r="G7556" s="9">
        <v>720</v>
      </c>
      <c r="H7556" s="5" t="s">
        <v>21</v>
      </c>
      <c r="I7556" s="5" t="s">
        <v>17254</v>
      </c>
      <c r="J7556" s="12" t="str">
        <f>HYPERLINK("https://www.boe.es/gazeta/dias/1800/08/08/pdfs/GMD-1800-63.pdf#page=8","Abrir facsímil")</f>
        <v>Abrir facsímil</v>
      </c>
      <c r="K7556" s="15" t="s">
        <v>23</v>
      </c>
    </row>
    <row r="7557" spans="1:11" ht="42" customHeight="1">
      <c r="A7557" s="4" t="s">
        <v>17255</v>
      </c>
      <c r="B7557" s="5" t="s">
        <v>17256</v>
      </c>
      <c r="C7557" s="5" t="s">
        <v>18</v>
      </c>
      <c r="D7557" s="5" t="s">
        <v>19</v>
      </c>
      <c r="E7557" s="5" t="s">
        <v>576</v>
      </c>
      <c r="F7557" s="9">
        <v>91</v>
      </c>
      <c r="G7557" s="9">
        <v>1067</v>
      </c>
      <c r="H7557" s="5" t="s">
        <v>21</v>
      </c>
      <c r="I7557" s="5" t="s">
        <v>17257</v>
      </c>
      <c r="J7557" s="12" t="str">
        <f>HYPERLINK("https://www.boe.es/gazeta/dias/1800/11/11/pdfs/GMD-1800-91.pdf#page=9","Abrir facsímil")</f>
        <v>Abrir facsímil</v>
      </c>
      <c r="K7557" s="15" t="s">
        <v>23</v>
      </c>
    </row>
    <row r="7558" spans="1:11" ht="42" customHeight="1">
      <c r="A7558" s="4" t="s">
        <v>17258</v>
      </c>
      <c r="B7558" s="5" t="s">
        <v>17259</v>
      </c>
      <c r="C7558" s="5" t="s">
        <v>41</v>
      </c>
      <c r="D7558" s="5" t="s">
        <v>42</v>
      </c>
      <c r="E7558" s="5" t="s">
        <v>64</v>
      </c>
      <c r="F7558" s="9">
        <v>54</v>
      </c>
      <c r="G7558" s="9">
        <v>599</v>
      </c>
      <c r="H7558" s="5" t="s">
        <v>21</v>
      </c>
      <c r="I7558" s="5" t="s">
        <v>17260</v>
      </c>
      <c r="J7558" s="12" t="str">
        <f>HYPERLINK("https://www.boe.es/gazeta/dias/1800/07/08/pdfs/GMD-1800-54.pdf#page=3","Abrir facsímil")</f>
        <v>Abrir facsímil</v>
      </c>
      <c r="K7558" s="15" t="s">
        <v>23</v>
      </c>
    </row>
    <row r="7559" spans="1:11" ht="42" customHeight="1">
      <c r="A7559" s="4" t="s">
        <v>17261</v>
      </c>
      <c r="B7559" s="5" t="s">
        <v>17262</v>
      </c>
      <c r="C7559" s="5" t="s">
        <v>41</v>
      </c>
      <c r="D7559" s="5" t="s">
        <v>42</v>
      </c>
      <c r="E7559" s="5" t="s">
        <v>410</v>
      </c>
      <c r="F7559" s="9">
        <v>87</v>
      </c>
      <c r="G7559" s="9">
        <v>1005</v>
      </c>
      <c r="H7559" s="5" t="s">
        <v>21</v>
      </c>
      <c r="I7559" s="5" t="s">
        <v>17263</v>
      </c>
      <c r="J7559" s="12" t="str">
        <f>HYPERLINK("https://www.boe.es/gazeta/dias/1800/10/28/pdfs/GMD-1800-87.pdf#page=3","Abrir facsímil")</f>
        <v>Abrir facsímil</v>
      </c>
      <c r="K7559" s="15" t="s">
        <v>23</v>
      </c>
    </row>
    <row r="7560" spans="1:11" ht="42" customHeight="1">
      <c r="A7560" s="4" t="s">
        <v>17264</v>
      </c>
      <c r="B7560" s="5" t="s">
        <v>17265</v>
      </c>
      <c r="C7560" s="5" t="s">
        <v>18</v>
      </c>
      <c r="D7560" s="5" t="s">
        <v>19</v>
      </c>
      <c r="E7560" s="5" t="s">
        <v>299</v>
      </c>
      <c r="F7560" s="9">
        <v>40</v>
      </c>
      <c r="G7560" s="9">
        <v>412</v>
      </c>
      <c r="H7560" s="5" t="s">
        <v>21</v>
      </c>
      <c r="I7560" s="5" t="s">
        <v>17266</v>
      </c>
      <c r="J7560" s="12" t="str">
        <f>HYPERLINK("https://www.boe.es/gazeta/dias/1800/05/20/pdfs/GMD-1800-40.pdf#page=8","Abrir facsímil")</f>
        <v>Abrir facsímil</v>
      </c>
      <c r="K7560" s="15" t="s">
        <v>23</v>
      </c>
    </row>
    <row r="7561" spans="1:11" ht="42" customHeight="1">
      <c r="A7561" s="4" t="s">
        <v>17267</v>
      </c>
      <c r="B7561" s="5" t="s">
        <v>17268</v>
      </c>
      <c r="C7561" s="5" t="s">
        <v>207</v>
      </c>
      <c r="D7561" s="5" t="s">
        <v>55</v>
      </c>
      <c r="E7561" s="5" t="s">
        <v>43</v>
      </c>
      <c r="F7561" s="9">
        <v>46</v>
      </c>
      <c r="G7561" s="9">
        <v>487</v>
      </c>
      <c r="H7561" s="5" t="s">
        <v>21</v>
      </c>
      <c r="I7561" s="5" t="s">
        <v>17269</v>
      </c>
      <c r="J7561" s="12" t="str">
        <f>HYPERLINK("https://www.boe.es/gazeta/dias/1800/06/10/pdfs/GMD-1800-46.pdf#page=11","Abrir facsímil")</f>
        <v>Abrir facsímil</v>
      </c>
      <c r="K7561" s="15" t="s">
        <v>23</v>
      </c>
    </row>
    <row r="7562" spans="1:11" ht="42" customHeight="1">
      <c r="A7562" s="4" t="s">
        <v>17270</v>
      </c>
      <c r="B7562" s="5" t="s">
        <v>17271</v>
      </c>
      <c r="C7562" s="5" t="s">
        <v>207</v>
      </c>
      <c r="D7562" s="5" t="s">
        <v>55</v>
      </c>
      <c r="E7562" s="5" t="s">
        <v>346</v>
      </c>
      <c r="F7562" s="9">
        <v>24</v>
      </c>
      <c r="G7562" s="9">
        <v>244</v>
      </c>
      <c r="H7562" s="5" t="s">
        <v>21</v>
      </c>
      <c r="I7562" s="5" t="s">
        <v>17272</v>
      </c>
      <c r="J7562" s="12" t="str">
        <f>HYPERLINK("https://www.boe.es/gazeta/dias/1800/03/25/pdfs/GMD-1800-24.pdf#page=8","Abrir facsímil")</f>
        <v>Abrir facsímil</v>
      </c>
      <c r="K7562" s="15" t="s">
        <v>23</v>
      </c>
    </row>
    <row r="7563" spans="1:11" ht="42" customHeight="1">
      <c r="A7563" s="4" t="s">
        <v>17273</v>
      </c>
      <c r="B7563" s="5" t="s">
        <v>17274</v>
      </c>
      <c r="C7563" s="5" t="s">
        <v>18</v>
      </c>
      <c r="D7563" s="5" t="s">
        <v>19</v>
      </c>
      <c r="E7563" s="5" t="s">
        <v>35</v>
      </c>
      <c r="F7563" s="9">
        <v>21</v>
      </c>
      <c r="G7563" s="9">
        <v>205</v>
      </c>
      <c r="H7563" s="5" t="s">
        <v>21</v>
      </c>
      <c r="I7563" s="5" t="s">
        <v>17275</v>
      </c>
      <c r="J7563" s="12" t="str">
        <f>HYPERLINK("https://www.boe.es/gazeta/dias/1800/03/14/pdfs/GMD-1800-21.pdf#page=9","Abrir facsímil")</f>
        <v>Abrir facsímil</v>
      </c>
      <c r="K7563" s="15" t="s">
        <v>23</v>
      </c>
    </row>
    <row r="7564" spans="1:11" ht="42" customHeight="1">
      <c r="A7564" s="4" t="s">
        <v>17276</v>
      </c>
      <c r="B7564" s="5" t="s">
        <v>17276</v>
      </c>
      <c r="C7564" s="5" t="s">
        <v>207</v>
      </c>
      <c r="D7564" s="5" t="s">
        <v>55</v>
      </c>
      <c r="E7564" s="5" t="s">
        <v>139</v>
      </c>
      <c r="F7564" s="9">
        <v>2</v>
      </c>
      <c r="G7564" s="9">
        <v>20</v>
      </c>
      <c r="H7564" s="5" t="s">
        <v>21</v>
      </c>
      <c r="I7564" s="5" t="s">
        <v>17277</v>
      </c>
      <c r="J7564" s="12" t="str">
        <f>HYPERLINK("https://www.boe.es/gazeta/dias/1800/01/07/pdfs/GMD-1800-2.pdf#page=12","Abrir facsímil")</f>
        <v>Abrir facsímil</v>
      </c>
      <c r="K7564" s="15" t="s">
        <v>23</v>
      </c>
    </row>
    <row r="7565" spans="1:11" ht="42" customHeight="1">
      <c r="A7565" s="4" t="s">
        <v>17278</v>
      </c>
      <c r="B7565" s="5" t="s">
        <v>17279</v>
      </c>
      <c r="C7565" s="5" t="s">
        <v>41</v>
      </c>
      <c r="D7565" s="5" t="s">
        <v>42</v>
      </c>
      <c r="E7565" s="5" t="s">
        <v>194</v>
      </c>
      <c r="F7565" s="9">
        <v>48</v>
      </c>
      <c r="G7565" s="9">
        <v>515</v>
      </c>
      <c r="H7565" s="5" t="s">
        <v>21</v>
      </c>
      <c r="I7565" s="5" t="s">
        <v>17280</v>
      </c>
      <c r="J7565" s="12" t="str">
        <f>HYPERLINK("https://www.boe.es/gazeta/dias/1800/06/17/pdfs/GMD-1800-48.pdf#page=7","Abrir facsímil")</f>
        <v>Abrir facsímil</v>
      </c>
      <c r="K7565" s="15" t="s">
        <v>23</v>
      </c>
    </row>
    <row r="7566" spans="1:11" ht="42" customHeight="1">
      <c r="A7566" s="4" t="s">
        <v>17281</v>
      </c>
      <c r="B7566" s="5" t="s">
        <v>17282</v>
      </c>
      <c r="C7566" s="5" t="s">
        <v>18</v>
      </c>
      <c r="D7566" s="5" t="s">
        <v>19</v>
      </c>
      <c r="E7566" s="5" t="s">
        <v>105</v>
      </c>
      <c r="F7566" s="9">
        <v>28</v>
      </c>
      <c r="G7566" s="9">
        <v>287</v>
      </c>
      <c r="H7566" s="5" t="s">
        <v>21</v>
      </c>
      <c r="I7566" s="5" t="s">
        <v>17283</v>
      </c>
      <c r="J7566" s="12" t="str">
        <f>HYPERLINK("https://www.boe.es/gazeta/dias/1800/04/08/pdfs/GMD-1800-28.pdf#page=3","Abrir facsímil")</f>
        <v>Abrir facsímil</v>
      </c>
      <c r="K7566" s="15" t="s">
        <v>23</v>
      </c>
    </row>
    <row r="7567" spans="1:11" ht="42" customHeight="1">
      <c r="A7567" s="4" t="s">
        <v>17284</v>
      </c>
      <c r="B7567" s="5" t="s">
        <v>17284</v>
      </c>
      <c r="C7567" s="5" t="s">
        <v>41</v>
      </c>
      <c r="D7567" s="5" t="s">
        <v>42</v>
      </c>
      <c r="E7567" s="5" t="s">
        <v>75</v>
      </c>
      <c r="F7567" s="9">
        <v>64</v>
      </c>
      <c r="G7567" s="9">
        <v>730</v>
      </c>
      <c r="H7567" s="5" t="s">
        <v>21</v>
      </c>
      <c r="I7567" s="5" t="s">
        <v>17285</v>
      </c>
      <c r="J7567" s="12" t="str">
        <f>HYPERLINK("https://www.boe.es/gazeta/dias/1800/08/12/pdfs/GMD-1800-64.pdf#page=6","Abrir facsímil")</f>
        <v>Abrir facsímil</v>
      </c>
      <c r="K7567" s="15" t="s">
        <v>23</v>
      </c>
    </row>
    <row r="7568" spans="1:11" ht="42" customHeight="1">
      <c r="A7568" s="4" t="s">
        <v>17286</v>
      </c>
      <c r="B7568" s="5" t="s">
        <v>17287</v>
      </c>
      <c r="C7568" s="5" t="s">
        <v>41</v>
      </c>
      <c r="D7568" s="5" t="s">
        <v>42</v>
      </c>
      <c r="E7568" s="5" t="s">
        <v>190</v>
      </c>
      <c r="F7568" s="9">
        <v>93</v>
      </c>
      <c r="G7568" s="9">
        <v>1055</v>
      </c>
      <c r="H7568" s="5" t="s">
        <v>21</v>
      </c>
      <c r="I7568" s="5" t="s">
        <v>17288</v>
      </c>
      <c r="J7568" s="12" t="str">
        <f>HYPERLINK("https://www.boe.es/gazeta/dias/1800/11/18/pdfs/GMD-1800-93.pdf#page=1","Abrir facsímil")</f>
        <v>Abrir facsímil</v>
      </c>
      <c r="K7568" s="15" t="s">
        <v>23</v>
      </c>
    </row>
    <row r="7569" spans="1:11" ht="42" customHeight="1">
      <c r="A7569" s="4" t="s">
        <v>17289</v>
      </c>
      <c r="B7569" s="5" t="s">
        <v>17290</v>
      </c>
      <c r="C7569" s="5" t="s">
        <v>41</v>
      </c>
      <c r="D7569" s="5" t="s">
        <v>42</v>
      </c>
      <c r="E7569" s="5" t="s">
        <v>445</v>
      </c>
      <c r="F7569" s="9">
        <v>96</v>
      </c>
      <c r="G7569" s="9">
        <v>1102</v>
      </c>
      <c r="H7569" s="5" t="s">
        <v>21</v>
      </c>
      <c r="I7569" s="5" t="s">
        <v>17291</v>
      </c>
      <c r="J7569" s="12" t="str">
        <f>HYPERLINK("https://www.boe.es/gazeta/dias/1800/11/28/pdfs/GMD-1800-96.pdf#page=6","Abrir facsímil")</f>
        <v>Abrir facsímil</v>
      </c>
      <c r="K7569" s="15" t="s">
        <v>23</v>
      </c>
    </row>
    <row r="7570" spans="1:11" ht="42" customHeight="1">
      <c r="A7570" s="4" t="s">
        <v>17292</v>
      </c>
      <c r="B7570" s="5" t="s">
        <v>17292</v>
      </c>
      <c r="C7570" s="5" t="s">
        <v>41</v>
      </c>
      <c r="D7570" s="5" t="s">
        <v>42</v>
      </c>
      <c r="E7570" s="5" t="s">
        <v>836</v>
      </c>
      <c r="F7570" s="9">
        <v>71</v>
      </c>
      <c r="G7570" s="9">
        <v>786</v>
      </c>
      <c r="H7570" s="5" t="s">
        <v>21</v>
      </c>
      <c r="I7570" s="5" t="s">
        <v>17293</v>
      </c>
      <c r="J7570" s="12" t="str">
        <f>HYPERLINK("https://www.boe.es/gazeta/dias/1800/09/02/pdfs/GMD-1800-71.pdf#page=4","Abrir facsímil")</f>
        <v>Abrir facsímil</v>
      </c>
      <c r="K7570" s="15" t="s">
        <v>23</v>
      </c>
    </row>
    <row r="7571" spans="1:11" ht="42" customHeight="1">
      <c r="A7571" s="4" t="s">
        <v>17294</v>
      </c>
      <c r="B7571" s="5" t="s">
        <v>17295</v>
      </c>
      <c r="C7571" s="5" t="s">
        <v>18</v>
      </c>
      <c r="D7571" s="5" t="s">
        <v>19</v>
      </c>
      <c r="E7571" s="5" t="s">
        <v>58</v>
      </c>
      <c r="F7571" s="9">
        <v>92</v>
      </c>
      <c r="G7571" s="9">
        <v>1049</v>
      </c>
      <c r="H7571" s="5" t="s">
        <v>21</v>
      </c>
      <c r="I7571" s="5" t="s">
        <v>17296</v>
      </c>
      <c r="J7571" s="12" t="str">
        <f>HYPERLINK("https://www.boe.es/gazeta/dias/1800/11/14/pdfs/GMD-1800-92.pdf#page=3","Abrir facsímil")</f>
        <v>Abrir facsímil</v>
      </c>
      <c r="K7571" s="15" t="s">
        <v>23</v>
      </c>
    </row>
    <row r="7572" spans="1:11" ht="42" customHeight="1">
      <c r="A7572" s="4" t="s">
        <v>17297</v>
      </c>
      <c r="B7572" s="5" t="s">
        <v>17298</v>
      </c>
      <c r="C7572" s="5" t="s">
        <v>18</v>
      </c>
      <c r="D7572" s="5" t="s">
        <v>19</v>
      </c>
      <c r="E7572" s="5" t="s">
        <v>176</v>
      </c>
      <c r="F7572" s="9">
        <v>88</v>
      </c>
      <c r="G7572" s="9">
        <v>1031</v>
      </c>
      <c r="H7572" s="5" t="s">
        <v>21</v>
      </c>
      <c r="I7572" s="5" t="s">
        <v>17299</v>
      </c>
      <c r="J7572" s="12" t="str">
        <f>HYPERLINK("https://www.boe.es/gazeta/dias/1800/10/31/pdfs/GMD-1800-88.pdf#page=13","Abrir facsímil")</f>
        <v>Abrir facsímil</v>
      </c>
      <c r="K7572" s="15" t="s">
        <v>23</v>
      </c>
    </row>
    <row r="7573" spans="1:11" ht="42" customHeight="1">
      <c r="A7573" s="4" t="s">
        <v>17300</v>
      </c>
      <c r="B7573" s="5" t="s">
        <v>17301</v>
      </c>
      <c r="C7573" s="5" t="s">
        <v>18</v>
      </c>
      <c r="D7573" s="5" t="s">
        <v>19</v>
      </c>
      <c r="E7573" s="5" t="s">
        <v>56</v>
      </c>
      <c r="F7573" s="9">
        <v>90</v>
      </c>
      <c r="G7573" s="9">
        <v>1055</v>
      </c>
      <c r="H7573" s="5" t="s">
        <v>21</v>
      </c>
      <c r="I7573" s="5" t="s">
        <v>17302</v>
      </c>
      <c r="J7573" s="12" t="str">
        <f>HYPERLINK("https://www.boe.es/gazeta/dias/1800/11/07/pdfs/GMD-1800-90.pdf#page=9","Abrir facsímil")</f>
        <v>Abrir facsímil</v>
      </c>
      <c r="K7573" s="15" t="s">
        <v>23</v>
      </c>
    </row>
    <row r="7574" spans="1:11" ht="42" customHeight="1">
      <c r="A7574" s="4" t="s">
        <v>17303</v>
      </c>
      <c r="B7574" s="5" t="s">
        <v>17303</v>
      </c>
      <c r="C7574" s="5" t="s">
        <v>41</v>
      </c>
      <c r="D7574" s="5" t="s">
        <v>42</v>
      </c>
      <c r="E7574" s="5" t="s">
        <v>31</v>
      </c>
      <c r="F7574" s="9">
        <v>20</v>
      </c>
      <c r="G7574" s="9">
        <v>187</v>
      </c>
      <c r="H7574" s="5" t="s">
        <v>21</v>
      </c>
      <c r="I7574" s="5" t="s">
        <v>17304</v>
      </c>
      <c r="J7574" s="12" t="str">
        <f>HYPERLINK("https://www.boe.es/gazeta/dias/1800/03/11/pdfs/GMD-1800-20.pdf#page=3","Abrir facsímil")</f>
        <v>Abrir facsímil</v>
      </c>
      <c r="K7574" s="15" t="s">
        <v>23</v>
      </c>
    </row>
    <row r="7575" spans="1:11" ht="42" customHeight="1">
      <c r="A7575" s="4" t="s">
        <v>17305</v>
      </c>
      <c r="B7575" s="5" t="s">
        <v>17306</v>
      </c>
      <c r="C7575" s="5" t="s">
        <v>41</v>
      </c>
      <c r="D7575" s="5" t="s">
        <v>42</v>
      </c>
      <c r="E7575" s="5" t="s">
        <v>31</v>
      </c>
      <c r="F7575" s="9">
        <v>20</v>
      </c>
      <c r="G7575" s="9">
        <v>187</v>
      </c>
      <c r="H7575" s="5" t="s">
        <v>21</v>
      </c>
      <c r="I7575" s="5" t="s">
        <v>17307</v>
      </c>
      <c r="J7575" s="12" t="str">
        <f>HYPERLINK("https://www.boe.es/gazeta/dias/1800/03/11/pdfs/GMD-1800-20.pdf#page=3","Abrir facsímil")</f>
        <v>Abrir facsímil</v>
      </c>
      <c r="K7575" s="15" t="s">
        <v>23</v>
      </c>
    </row>
    <row r="7576" spans="1:11" ht="42" customHeight="1">
      <c r="A7576" s="4" t="s">
        <v>17305</v>
      </c>
      <c r="B7576" s="5" t="s">
        <v>17306</v>
      </c>
      <c r="C7576" s="5" t="s">
        <v>41</v>
      </c>
      <c r="D7576" s="5" t="s">
        <v>42</v>
      </c>
      <c r="E7576" s="5" t="s">
        <v>31</v>
      </c>
      <c r="F7576" s="9">
        <v>20</v>
      </c>
      <c r="G7576" s="9">
        <v>188</v>
      </c>
      <c r="H7576" s="5" t="s">
        <v>21</v>
      </c>
      <c r="I7576" s="5" t="s">
        <v>17308</v>
      </c>
      <c r="J7576" s="12" t="str">
        <f>HYPERLINK("https://www.boe.es/gazeta/dias/1800/03/11/pdfs/GMD-1800-20.pdf#page=4","Abrir facsímil")</f>
        <v>Abrir facsímil</v>
      </c>
      <c r="K7576" s="15" t="s">
        <v>23</v>
      </c>
    </row>
    <row r="7577" spans="1:11" ht="42" customHeight="1">
      <c r="A7577" s="4" t="s">
        <v>17305</v>
      </c>
      <c r="B7577" s="5" t="s">
        <v>17306</v>
      </c>
      <c r="C7577" s="5" t="s">
        <v>41</v>
      </c>
      <c r="D7577" s="5" t="s">
        <v>42</v>
      </c>
      <c r="E7577" s="5" t="s">
        <v>35</v>
      </c>
      <c r="F7577" s="9">
        <v>21</v>
      </c>
      <c r="G7577" s="9">
        <v>201</v>
      </c>
      <c r="H7577" s="5" t="s">
        <v>21</v>
      </c>
      <c r="I7577" s="5" t="s">
        <v>17309</v>
      </c>
      <c r="J7577" s="12" t="str">
        <f>HYPERLINK("https://www.boe.es/gazeta/dias/1800/03/14/pdfs/GMD-1800-21.pdf#page=5","Abrir facsímil")</f>
        <v>Abrir facsímil</v>
      </c>
      <c r="K7577" s="15" t="s">
        <v>23</v>
      </c>
    </row>
    <row r="7578" spans="1:11" ht="42" customHeight="1">
      <c r="A7578" s="4" t="s">
        <v>17305</v>
      </c>
      <c r="B7578" s="5" t="s">
        <v>17306</v>
      </c>
      <c r="C7578" s="5" t="s">
        <v>54</v>
      </c>
      <c r="D7578" s="5" t="s">
        <v>55</v>
      </c>
      <c r="E7578" s="5" t="s">
        <v>1108</v>
      </c>
      <c r="F7578" s="9">
        <v>30</v>
      </c>
      <c r="G7578" s="9">
        <v>305</v>
      </c>
      <c r="H7578" s="5" t="s">
        <v>21</v>
      </c>
      <c r="I7578" s="5" t="s">
        <v>17310</v>
      </c>
      <c r="J7578" s="12" t="str">
        <f>HYPERLINK("https://www.boe.es/gazeta/dias/1800/04/15/pdfs/GMD-1800-30.pdf#page=5","Abrir facsímil")</f>
        <v>Abrir facsímil</v>
      </c>
      <c r="K7578" s="15" t="s">
        <v>23</v>
      </c>
    </row>
    <row r="7579" spans="1:11" ht="42" customHeight="1">
      <c r="A7579" s="4" t="s">
        <v>17305</v>
      </c>
      <c r="B7579" s="5" t="s">
        <v>17306</v>
      </c>
      <c r="C7579" s="5" t="s">
        <v>207</v>
      </c>
      <c r="D7579" s="5" t="s">
        <v>55</v>
      </c>
      <c r="E7579" s="5" t="s">
        <v>478</v>
      </c>
      <c r="F7579" s="9">
        <v>34</v>
      </c>
      <c r="G7579" s="9">
        <v>340</v>
      </c>
      <c r="H7579" s="5" t="s">
        <v>21</v>
      </c>
      <c r="I7579" s="5" t="s">
        <v>17311</v>
      </c>
      <c r="J7579" s="12" t="str">
        <f>HYPERLINK("https://www.boe.es/gazeta/dias/1800/04/29/pdfs/GMD-1800-34.pdf#page=4","Abrir facsímil")</f>
        <v>Abrir facsímil</v>
      </c>
      <c r="K7579" s="15" t="s">
        <v>23</v>
      </c>
    </row>
    <row r="7580" spans="1:11" ht="42" customHeight="1">
      <c r="A7580" s="4" t="s">
        <v>17312</v>
      </c>
      <c r="B7580" s="5" t="s">
        <v>17313</v>
      </c>
      <c r="C7580" s="5" t="s">
        <v>41</v>
      </c>
      <c r="D7580" s="5" t="s">
        <v>42</v>
      </c>
      <c r="E7580" s="5" t="s">
        <v>31</v>
      </c>
      <c r="F7580" s="9">
        <v>20</v>
      </c>
      <c r="G7580" s="9">
        <v>187</v>
      </c>
      <c r="H7580" s="5" t="s">
        <v>21</v>
      </c>
      <c r="I7580" s="5" t="s">
        <v>17314</v>
      </c>
      <c r="J7580" s="12" t="str">
        <f>HYPERLINK("https://www.boe.es/gazeta/dias/1800/03/11/pdfs/GMD-1800-20.pdf#page=3","Abrir facsímil")</f>
        <v>Abrir facsímil</v>
      </c>
      <c r="K7580" s="15" t="s">
        <v>23</v>
      </c>
    </row>
    <row r="7581" spans="1:11" ht="42" customHeight="1">
      <c r="A7581" s="4" t="s">
        <v>17315</v>
      </c>
      <c r="B7581" s="5" t="s">
        <v>17315</v>
      </c>
      <c r="C7581" s="5" t="s">
        <v>41</v>
      </c>
      <c r="D7581" s="5" t="s">
        <v>42</v>
      </c>
      <c r="E7581" s="5" t="s">
        <v>45</v>
      </c>
      <c r="F7581" s="9">
        <v>47</v>
      </c>
      <c r="G7581" s="9">
        <v>499</v>
      </c>
      <c r="H7581" s="5" t="s">
        <v>21</v>
      </c>
      <c r="I7581" s="5" t="s">
        <v>17316</v>
      </c>
      <c r="J7581" s="12" t="str">
        <f>HYPERLINK("https://www.boe.es/gazeta/dias/1800/06/13/pdfs/GMD-1800-47.pdf#page=7","Abrir facsímil")</f>
        <v>Abrir facsímil</v>
      </c>
      <c r="K7581" s="15" t="s">
        <v>23</v>
      </c>
    </row>
    <row r="7582" spans="1:11" ht="42" customHeight="1">
      <c r="A7582" s="4" t="s">
        <v>17317</v>
      </c>
      <c r="B7582" s="5" t="s">
        <v>17318</v>
      </c>
      <c r="C7582" s="5" t="s">
        <v>41</v>
      </c>
      <c r="D7582" s="5" t="s">
        <v>42</v>
      </c>
      <c r="E7582" s="5" t="s">
        <v>218</v>
      </c>
      <c r="F7582" s="9">
        <v>5</v>
      </c>
      <c r="G7582" s="9">
        <v>46</v>
      </c>
      <c r="H7582" s="5" t="s">
        <v>21</v>
      </c>
      <c r="I7582" s="5" t="s">
        <v>17319</v>
      </c>
      <c r="J7582" s="12" t="str">
        <f>HYPERLINK("https://www.boe.es/gazeta/dias/1800/01/17/pdfs/GMD-1800-5.pdf#page=6","Abrir facsímil")</f>
        <v>Abrir facsímil</v>
      </c>
      <c r="K7582" s="15" t="s">
        <v>23</v>
      </c>
    </row>
    <row r="7583" spans="1:11" ht="42" customHeight="1">
      <c r="A7583" s="4" t="s">
        <v>17317</v>
      </c>
      <c r="B7583" s="5" t="s">
        <v>17318</v>
      </c>
      <c r="C7583" s="5" t="s">
        <v>54</v>
      </c>
      <c r="D7583" s="5" t="s">
        <v>55</v>
      </c>
      <c r="E7583" s="5" t="s">
        <v>131</v>
      </c>
      <c r="F7583" s="9">
        <v>8</v>
      </c>
      <c r="G7583" s="9">
        <v>73</v>
      </c>
      <c r="H7583" s="5" t="s">
        <v>21</v>
      </c>
      <c r="I7583" s="5" t="s">
        <v>17320</v>
      </c>
      <c r="J7583" s="12" t="str">
        <f>HYPERLINK("https://www.boe.es/gazeta/dias/1800/01/28/pdfs/GMD-1800-8.pdf#page=5","Abrir facsímil")</f>
        <v>Abrir facsímil</v>
      </c>
      <c r="K7583" s="15" t="s">
        <v>23</v>
      </c>
    </row>
    <row r="7584" spans="1:11" ht="42" customHeight="1">
      <c r="A7584" s="4" t="s">
        <v>17317</v>
      </c>
      <c r="B7584" s="5" t="s">
        <v>17318</v>
      </c>
      <c r="C7584" s="5" t="s">
        <v>41</v>
      </c>
      <c r="D7584" s="5" t="s">
        <v>42</v>
      </c>
      <c r="E7584" s="5" t="s">
        <v>45</v>
      </c>
      <c r="F7584" s="9">
        <v>47</v>
      </c>
      <c r="G7584" s="9">
        <v>499</v>
      </c>
      <c r="H7584" s="5" t="s">
        <v>21</v>
      </c>
      <c r="I7584" s="5" t="s">
        <v>17321</v>
      </c>
      <c r="J7584" s="12" t="str">
        <f>HYPERLINK("https://www.boe.es/gazeta/dias/1800/06/13/pdfs/GMD-1800-47.pdf#page=7","Abrir facsímil")</f>
        <v>Abrir facsímil</v>
      </c>
      <c r="K7584" s="15" t="s">
        <v>23</v>
      </c>
    </row>
    <row r="7585" spans="1:11" ht="42" customHeight="1">
      <c r="A7585" s="4" t="s">
        <v>17317</v>
      </c>
      <c r="B7585" s="5" t="s">
        <v>17318</v>
      </c>
      <c r="C7585" s="5" t="s">
        <v>41</v>
      </c>
      <c r="D7585" s="5" t="s">
        <v>42</v>
      </c>
      <c r="E7585" s="5" t="s">
        <v>64</v>
      </c>
      <c r="F7585" s="9">
        <v>54</v>
      </c>
      <c r="G7585" s="9">
        <v>602</v>
      </c>
      <c r="H7585" s="5" t="s">
        <v>21</v>
      </c>
      <c r="I7585" s="5" t="s">
        <v>17322</v>
      </c>
      <c r="J7585" s="12" t="str">
        <f>HYPERLINK("https://www.boe.es/gazeta/dias/1800/07/08/pdfs/GMD-1800-54.pdf#page=6","Abrir facsímil")</f>
        <v>Abrir facsímil</v>
      </c>
      <c r="K7585" s="15" t="s">
        <v>23</v>
      </c>
    </row>
    <row r="7586" spans="1:11" ht="42" customHeight="1">
      <c r="A7586" s="4" t="s">
        <v>17317</v>
      </c>
      <c r="B7586" s="5" t="s">
        <v>17318</v>
      </c>
      <c r="C7586" s="5" t="s">
        <v>41</v>
      </c>
      <c r="D7586" s="5" t="s">
        <v>42</v>
      </c>
      <c r="E7586" s="5" t="s">
        <v>310</v>
      </c>
      <c r="F7586" s="9">
        <v>56</v>
      </c>
      <c r="G7586" s="9">
        <v>630</v>
      </c>
      <c r="H7586" s="5" t="s">
        <v>21</v>
      </c>
      <c r="I7586" s="5" t="s">
        <v>17323</v>
      </c>
      <c r="J7586" s="12" t="str">
        <f>HYPERLINK("https://www.boe.es/gazeta/dias/1800/07/15/pdfs/GMD-1800-56.pdf#page=6","Abrir facsímil")</f>
        <v>Abrir facsímil</v>
      </c>
      <c r="K7586" s="15" t="s">
        <v>23</v>
      </c>
    </row>
    <row r="7587" spans="1:11" ht="42" customHeight="1">
      <c r="A7587" s="4" t="s">
        <v>17317</v>
      </c>
      <c r="B7587" s="5" t="s">
        <v>17318</v>
      </c>
      <c r="C7587" s="5" t="s">
        <v>18</v>
      </c>
      <c r="D7587" s="5" t="s">
        <v>19</v>
      </c>
      <c r="E7587" s="5" t="s">
        <v>1287</v>
      </c>
      <c r="F7587" s="9">
        <v>57</v>
      </c>
      <c r="G7587" s="9">
        <v>645</v>
      </c>
      <c r="H7587" s="5" t="s">
        <v>21</v>
      </c>
      <c r="I7587" s="5" t="s">
        <v>17324</v>
      </c>
      <c r="J7587" s="12" t="str">
        <f>HYPERLINK("https://www.boe.es/gazeta/dias/1800/07/18/pdfs/GMD-1800-57.pdf#page=9","Abrir facsímil")</f>
        <v>Abrir facsímil</v>
      </c>
      <c r="K7587" s="15" t="s">
        <v>23</v>
      </c>
    </row>
    <row r="7588" spans="1:11" ht="42" customHeight="1">
      <c r="A7588" s="4" t="s">
        <v>17317</v>
      </c>
      <c r="B7588" s="5" t="s">
        <v>17318</v>
      </c>
      <c r="C7588" s="5" t="s">
        <v>18</v>
      </c>
      <c r="D7588" s="5" t="s">
        <v>19</v>
      </c>
      <c r="E7588" s="5" t="s">
        <v>583</v>
      </c>
      <c r="F7588" s="9">
        <v>77</v>
      </c>
      <c r="G7588" s="9">
        <v>877</v>
      </c>
      <c r="H7588" s="5" t="s">
        <v>21</v>
      </c>
      <c r="I7588" s="5" t="s">
        <v>17325</v>
      </c>
      <c r="J7588" s="12" t="str">
        <f>HYPERLINK("https://www.boe.es/gazeta/dias/1800/09/23/pdfs/GMD-1800-77.pdf#page=7","Abrir facsímil")</f>
        <v>Abrir facsímil</v>
      </c>
      <c r="K7588" s="15" t="s">
        <v>23</v>
      </c>
    </row>
    <row r="7589" spans="1:11" ht="42" customHeight="1">
      <c r="A7589" s="4" t="s">
        <v>17317</v>
      </c>
      <c r="B7589" s="5" t="s">
        <v>17318</v>
      </c>
      <c r="C7589" s="5" t="s">
        <v>41</v>
      </c>
      <c r="D7589" s="5" t="s">
        <v>42</v>
      </c>
      <c r="E7589" s="5" t="s">
        <v>190</v>
      </c>
      <c r="F7589" s="9">
        <v>93</v>
      </c>
      <c r="G7589" s="9">
        <v>1061</v>
      </c>
      <c r="H7589" s="5" t="s">
        <v>21</v>
      </c>
      <c r="I7589" s="5" t="s">
        <v>17326</v>
      </c>
      <c r="J7589" s="12" t="str">
        <f>HYPERLINK("https://www.boe.es/gazeta/dias/1800/11/18/pdfs/GMD-1800-93.pdf#page=7","Abrir facsímil")</f>
        <v>Abrir facsímil</v>
      </c>
      <c r="K7589" s="15" t="s">
        <v>23</v>
      </c>
    </row>
    <row r="7590" spans="1:11" ht="42" customHeight="1">
      <c r="A7590" s="4" t="s">
        <v>17327</v>
      </c>
      <c r="B7590" s="5" t="s">
        <v>17328</v>
      </c>
      <c r="C7590" s="5" t="s">
        <v>41</v>
      </c>
      <c r="D7590" s="5" t="s">
        <v>42</v>
      </c>
      <c r="E7590" s="5" t="s">
        <v>422</v>
      </c>
      <c r="F7590" s="9">
        <v>85</v>
      </c>
      <c r="G7590" s="9">
        <v>981</v>
      </c>
      <c r="H7590" s="5" t="s">
        <v>21</v>
      </c>
      <c r="I7590" s="5" t="s">
        <v>17329</v>
      </c>
      <c r="J7590" s="12" t="str">
        <f>HYPERLINK("https://www.boe.es/gazeta/dias/1800/10/21/pdfs/GMD-1800-85.pdf#page=3","Abrir facsímil")</f>
        <v>Abrir facsímil</v>
      </c>
      <c r="K7590" s="15" t="s">
        <v>23</v>
      </c>
    </row>
    <row r="7591" spans="1:11" ht="42" customHeight="1">
      <c r="A7591" s="4" t="s">
        <v>17330</v>
      </c>
      <c r="B7591" s="5" t="s">
        <v>17331</v>
      </c>
      <c r="C7591" s="5" t="s">
        <v>41</v>
      </c>
      <c r="D7591" s="5" t="s">
        <v>42</v>
      </c>
      <c r="E7591" s="5" t="s">
        <v>196</v>
      </c>
      <c r="F7591" s="9">
        <v>97</v>
      </c>
      <c r="G7591" s="9">
        <v>1112</v>
      </c>
      <c r="H7591" s="5" t="s">
        <v>21</v>
      </c>
      <c r="I7591" s="5" t="s">
        <v>17332</v>
      </c>
      <c r="J7591" s="12" t="str">
        <f>HYPERLINK("https://www.boe.es/gazeta/dias/1800/12/02/pdfs/GMD-1800-97.pdf#page=4","Abrir facsímil")</f>
        <v>Abrir facsímil</v>
      </c>
      <c r="K7591" s="15" t="s">
        <v>23</v>
      </c>
    </row>
    <row r="7592" spans="1:11" ht="42" customHeight="1">
      <c r="A7592" s="4" t="s">
        <v>17333</v>
      </c>
      <c r="B7592" s="5" t="s">
        <v>17333</v>
      </c>
      <c r="C7592" s="5" t="s">
        <v>41</v>
      </c>
      <c r="D7592" s="5" t="s">
        <v>42</v>
      </c>
      <c r="E7592" s="5" t="s">
        <v>196</v>
      </c>
      <c r="F7592" s="9">
        <v>97</v>
      </c>
      <c r="G7592" s="9">
        <v>1112</v>
      </c>
      <c r="H7592" s="5" t="s">
        <v>21</v>
      </c>
      <c r="I7592" s="5" t="s">
        <v>17334</v>
      </c>
      <c r="J7592" s="12" t="str">
        <f>HYPERLINK("https://www.boe.es/gazeta/dias/1800/12/02/pdfs/GMD-1800-97.pdf#page=4","Abrir facsímil")</f>
        <v>Abrir facsímil</v>
      </c>
      <c r="K7592" s="15" t="s">
        <v>23</v>
      </c>
    </row>
    <row r="7593" spans="1:11" ht="42" customHeight="1">
      <c r="A7593" s="4" t="s">
        <v>17335</v>
      </c>
      <c r="B7593" s="5" t="s">
        <v>17335</v>
      </c>
      <c r="C7593" s="5" t="s">
        <v>41</v>
      </c>
      <c r="D7593" s="5" t="s">
        <v>42</v>
      </c>
      <c r="E7593" s="5" t="s">
        <v>843</v>
      </c>
      <c r="F7593" s="9">
        <v>78</v>
      </c>
      <c r="G7593" s="9">
        <v>887</v>
      </c>
      <c r="H7593" s="5" t="s">
        <v>21</v>
      </c>
      <c r="I7593" s="5" t="s">
        <v>17336</v>
      </c>
      <c r="J7593" s="12" t="str">
        <f>HYPERLINK("https://www.boe.es/gazeta/dias/1800/09/26/pdfs/GMD-1800-78.pdf#page=5","Abrir facsímil")</f>
        <v>Abrir facsímil</v>
      </c>
      <c r="K7593" s="15" t="s">
        <v>23</v>
      </c>
    </row>
    <row r="7594" spans="1:11" ht="42" customHeight="1">
      <c r="A7594" s="4" t="s">
        <v>17337</v>
      </c>
      <c r="B7594" s="5" t="s">
        <v>17337</v>
      </c>
      <c r="C7594" s="5" t="s">
        <v>41</v>
      </c>
      <c r="D7594" s="5" t="s">
        <v>42</v>
      </c>
      <c r="E7594" s="5" t="s">
        <v>454</v>
      </c>
      <c r="F7594" s="9">
        <v>63</v>
      </c>
      <c r="G7594" s="9">
        <v>716</v>
      </c>
      <c r="H7594" s="5" t="s">
        <v>21</v>
      </c>
      <c r="I7594" s="5" t="s">
        <v>17338</v>
      </c>
      <c r="J7594" s="12" t="str">
        <f>HYPERLINK("https://www.boe.es/gazeta/dias/1800/08/08/pdfs/GMD-1800-63.pdf#page=4","Abrir facsímil")</f>
        <v>Abrir facsímil</v>
      </c>
      <c r="K7594" s="15" t="s">
        <v>23</v>
      </c>
    </row>
    <row r="7595" spans="1:11" ht="42" customHeight="1">
      <c r="A7595" s="4" t="s">
        <v>17337</v>
      </c>
      <c r="B7595" s="5" t="s">
        <v>17337</v>
      </c>
      <c r="C7595" s="5" t="s">
        <v>41</v>
      </c>
      <c r="D7595" s="5" t="s">
        <v>42</v>
      </c>
      <c r="E7595" s="5" t="s">
        <v>75</v>
      </c>
      <c r="F7595" s="9">
        <v>64</v>
      </c>
      <c r="G7595" s="9">
        <v>728</v>
      </c>
      <c r="H7595" s="5" t="s">
        <v>21</v>
      </c>
      <c r="I7595" s="5" t="s">
        <v>17339</v>
      </c>
      <c r="J7595" s="12" t="str">
        <f>HYPERLINK("https://www.boe.es/gazeta/dias/1800/08/12/pdfs/GMD-1800-64.pdf#page=4","Abrir facsímil")</f>
        <v>Abrir facsímil</v>
      </c>
      <c r="K7595" s="15" t="s">
        <v>23</v>
      </c>
    </row>
    <row r="7596" spans="1:11" ht="42" customHeight="1">
      <c r="A7596" s="4" t="s">
        <v>17340</v>
      </c>
      <c r="B7596" s="5" t="s">
        <v>17340</v>
      </c>
      <c r="C7596" s="5" t="s">
        <v>41</v>
      </c>
      <c r="D7596" s="5" t="s">
        <v>42</v>
      </c>
      <c r="E7596" s="5" t="s">
        <v>503</v>
      </c>
      <c r="F7596" s="9">
        <v>13</v>
      </c>
      <c r="G7596" s="9">
        <v>119</v>
      </c>
      <c r="H7596" s="5" t="s">
        <v>21</v>
      </c>
      <c r="I7596" s="5" t="s">
        <v>17341</v>
      </c>
      <c r="J7596" s="12" t="str">
        <f>HYPERLINK("https://www.boe.es/gazeta/dias/1800/02/14/pdfs/GMD-1800-13.pdf#page=3","Abrir facsímil")</f>
        <v>Abrir facsímil</v>
      </c>
      <c r="K7596" s="15" t="s">
        <v>23</v>
      </c>
    </row>
    <row r="7597" spans="1:11" ht="42" customHeight="1">
      <c r="A7597" s="4" t="s">
        <v>17340</v>
      </c>
      <c r="B7597" s="5" t="s">
        <v>17340</v>
      </c>
      <c r="C7597" s="5" t="s">
        <v>41</v>
      </c>
      <c r="D7597" s="5" t="s">
        <v>42</v>
      </c>
      <c r="E7597" s="5" t="s">
        <v>503</v>
      </c>
      <c r="F7597" s="9">
        <v>13</v>
      </c>
      <c r="G7597" s="9">
        <v>120</v>
      </c>
      <c r="H7597" s="5" t="s">
        <v>21</v>
      </c>
      <c r="I7597" s="5" t="s">
        <v>17342</v>
      </c>
      <c r="J7597" s="12" t="str">
        <f>HYPERLINK("https://www.boe.es/gazeta/dias/1800/02/14/pdfs/GMD-1800-13.pdf#page=4","Abrir facsímil")</f>
        <v>Abrir facsímil</v>
      </c>
      <c r="K7597" s="15" t="s">
        <v>23</v>
      </c>
    </row>
    <row r="7598" spans="1:11" ht="42" customHeight="1">
      <c r="A7598" s="4" t="s">
        <v>17340</v>
      </c>
      <c r="B7598" s="5" t="s">
        <v>17340</v>
      </c>
      <c r="C7598" s="5" t="s">
        <v>18</v>
      </c>
      <c r="D7598" s="5" t="s">
        <v>19</v>
      </c>
      <c r="E7598" s="5" t="s">
        <v>31</v>
      </c>
      <c r="F7598" s="9">
        <v>20</v>
      </c>
      <c r="G7598" s="9">
        <v>186</v>
      </c>
      <c r="H7598" s="5" t="s">
        <v>21</v>
      </c>
      <c r="I7598" s="5" t="s">
        <v>17343</v>
      </c>
      <c r="J7598" s="12" t="str">
        <f>HYPERLINK("https://www.boe.es/gazeta/dias/1800/03/11/pdfs/GMD-1800-20.pdf#page=2","Abrir facsímil")</f>
        <v>Abrir facsímil</v>
      </c>
      <c r="K7598" s="15" t="s">
        <v>23</v>
      </c>
    </row>
    <row r="7599" spans="1:11" ht="42" customHeight="1">
      <c r="A7599" s="4" t="s">
        <v>17340</v>
      </c>
      <c r="B7599" s="5" t="s">
        <v>17340</v>
      </c>
      <c r="C7599" s="5" t="s">
        <v>41</v>
      </c>
      <c r="D7599" s="5" t="s">
        <v>42</v>
      </c>
      <c r="E7599" s="5" t="s">
        <v>314</v>
      </c>
      <c r="F7599" s="9">
        <v>74</v>
      </c>
      <c r="G7599" s="9">
        <v>825</v>
      </c>
      <c r="H7599" s="5" t="s">
        <v>21</v>
      </c>
      <c r="I7599" s="5" t="s">
        <v>17344</v>
      </c>
      <c r="J7599" s="12" t="str">
        <f>HYPERLINK("https://www.boe.es/gazeta/dias/1800/09/12/pdfs/GMD-1800-74.pdf#page=3","Abrir facsímil")</f>
        <v>Abrir facsímil</v>
      </c>
      <c r="K7599" s="15" t="s">
        <v>23</v>
      </c>
    </row>
    <row r="7600" spans="1:11" ht="42" customHeight="1">
      <c r="A7600" s="4" t="s">
        <v>17340</v>
      </c>
      <c r="B7600" s="5" t="s">
        <v>17340</v>
      </c>
      <c r="C7600" s="5" t="s">
        <v>41</v>
      </c>
      <c r="D7600" s="5" t="s">
        <v>42</v>
      </c>
      <c r="E7600" s="5" t="s">
        <v>843</v>
      </c>
      <c r="F7600" s="9">
        <v>78</v>
      </c>
      <c r="G7600" s="9">
        <v>885</v>
      </c>
      <c r="H7600" s="5" t="s">
        <v>21</v>
      </c>
      <c r="I7600" s="5" t="s">
        <v>17345</v>
      </c>
      <c r="J7600" s="12" t="str">
        <f>HYPERLINK("https://www.boe.es/gazeta/dias/1800/09/26/pdfs/GMD-1800-78.pdf#page=3","Abrir facsímil")</f>
        <v>Abrir facsímil</v>
      </c>
      <c r="K7600" s="15" t="s">
        <v>23</v>
      </c>
    </row>
    <row r="7601" spans="1:11" ht="42" customHeight="1">
      <c r="A7601" s="4" t="s">
        <v>17346</v>
      </c>
      <c r="B7601" s="5" t="s">
        <v>17347</v>
      </c>
      <c r="C7601" s="5" t="s">
        <v>18</v>
      </c>
      <c r="D7601" s="5" t="s">
        <v>19</v>
      </c>
      <c r="E7601" s="5" t="s">
        <v>86</v>
      </c>
      <c r="F7601" s="9">
        <v>17</v>
      </c>
      <c r="G7601" s="9">
        <v>162</v>
      </c>
      <c r="H7601" s="5" t="s">
        <v>21</v>
      </c>
      <c r="I7601" s="5" t="s">
        <v>17348</v>
      </c>
      <c r="J7601" s="12" t="str">
        <f>HYPERLINK("https://www.boe.es/gazeta/dias/1800/02/28/pdfs/GMD-1800-17.pdf#page=10","Abrir facsímil")</f>
        <v>Abrir facsímil</v>
      </c>
      <c r="K7601" s="15" t="s">
        <v>23</v>
      </c>
    </row>
    <row r="7602" spans="1:11" ht="42" customHeight="1">
      <c r="A7602" s="4" t="s">
        <v>17349</v>
      </c>
      <c r="B7602" s="5" t="s">
        <v>17349</v>
      </c>
      <c r="C7602" s="5" t="s">
        <v>84</v>
      </c>
      <c r="D7602" s="5" t="s">
        <v>85</v>
      </c>
      <c r="E7602" s="5" t="s">
        <v>454</v>
      </c>
      <c r="F7602" s="9">
        <v>63</v>
      </c>
      <c r="G7602" s="9">
        <v>715</v>
      </c>
      <c r="H7602" s="5" t="s">
        <v>21</v>
      </c>
      <c r="I7602" s="5" t="s">
        <v>17350</v>
      </c>
      <c r="J7602" s="12" t="str">
        <f>HYPERLINK("https://www.boe.es/gazeta/dias/1800/08/08/pdfs/GMD-1800-63.pdf#page=3","Abrir facsímil")</f>
        <v>Abrir facsímil</v>
      </c>
      <c r="K7602" s="15" t="s">
        <v>23</v>
      </c>
    </row>
    <row r="7603" spans="1:11" ht="42" customHeight="1">
      <c r="A7603" s="4" t="s">
        <v>17349</v>
      </c>
      <c r="B7603" s="5" t="s">
        <v>17349</v>
      </c>
      <c r="C7603" s="5" t="s">
        <v>54</v>
      </c>
      <c r="D7603" s="5" t="s">
        <v>55</v>
      </c>
      <c r="E7603" s="5" t="s">
        <v>454</v>
      </c>
      <c r="F7603" s="9">
        <v>63</v>
      </c>
      <c r="G7603" s="9">
        <v>716</v>
      </c>
      <c r="H7603" s="5" t="s">
        <v>21</v>
      </c>
      <c r="I7603" s="5" t="s">
        <v>17351</v>
      </c>
      <c r="J7603" s="12" t="str">
        <f>HYPERLINK("https://www.boe.es/gazeta/dias/1800/08/08/pdfs/GMD-1800-63.pdf#page=4","Abrir facsímil")</f>
        <v>Abrir facsímil</v>
      </c>
      <c r="K7603" s="15" t="s">
        <v>23</v>
      </c>
    </row>
    <row r="7604" spans="1:11" ht="42" customHeight="1">
      <c r="A7604" s="4" t="s">
        <v>17352</v>
      </c>
      <c r="B7604" s="5" t="s">
        <v>17353</v>
      </c>
      <c r="C7604" s="5" t="s">
        <v>41</v>
      </c>
      <c r="D7604" s="5" t="s">
        <v>42</v>
      </c>
      <c r="E7604" s="5" t="s">
        <v>618</v>
      </c>
      <c r="F7604" s="9">
        <v>1</v>
      </c>
      <c r="G7604" s="9">
        <v>3</v>
      </c>
      <c r="H7604" s="5" t="s">
        <v>21</v>
      </c>
      <c r="I7604" s="5" t="s">
        <v>17354</v>
      </c>
      <c r="J7604" s="12" t="str">
        <f>HYPERLINK("https://www.boe.es/gazeta/dias/1800/01/03/pdfs/GMD-1800-1.pdf#page=3","Abrir facsímil")</f>
        <v>Abrir facsímil</v>
      </c>
      <c r="K7604" s="15" t="s">
        <v>23</v>
      </c>
    </row>
    <row r="7605" spans="1:11" ht="42" customHeight="1">
      <c r="A7605" s="4" t="s">
        <v>17352</v>
      </c>
      <c r="B7605" s="5" t="s">
        <v>17353</v>
      </c>
      <c r="C7605" s="5" t="s">
        <v>84</v>
      </c>
      <c r="D7605" s="5" t="s">
        <v>85</v>
      </c>
      <c r="E7605" s="5" t="s">
        <v>218</v>
      </c>
      <c r="F7605" s="9">
        <v>5</v>
      </c>
      <c r="G7605" s="9">
        <v>45</v>
      </c>
      <c r="H7605" s="5" t="s">
        <v>21</v>
      </c>
      <c r="I7605" s="5" t="s">
        <v>17355</v>
      </c>
      <c r="J7605" s="12" t="str">
        <f>HYPERLINK("https://www.boe.es/gazeta/dias/1800/01/17/pdfs/GMD-1800-5.pdf#page=5","Abrir facsímil")</f>
        <v>Abrir facsímil</v>
      </c>
      <c r="K7605" s="15" t="s">
        <v>23</v>
      </c>
    </row>
    <row r="7606" spans="1:11" ht="42" customHeight="1">
      <c r="A7606" s="4" t="s">
        <v>17352</v>
      </c>
      <c r="B7606" s="5" t="s">
        <v>17353</v>
      </c>
      <c r="C7606" s="5" t="s">
        <v>41</v>
      </c>
      <c r="D7606" s="5" t="s">
        <v>42</v>
      </c>
      <c r="E7606" s="5" t="s">
        <v>43</v>
      </c>
      <c r="F7606" s="9">
        <v>46</v>
      </c>
      <c r="G7606" s="9">
        <v>482</v>
      </c>
      <c r="H7606" s="5" t="s">
        <v>21</v>
      </c>
      <c r="I7606" s="5" t="s">
        <v>17356</v>
      </c>
      <c r="J7606" s="12" t="str">
        <f>HYPERLINK("https://www.boe.es/gazeta/dias/1800/06/10/pdfs/GMD-1800-46.pdf#page=6","Abrir facsímil")</f>
        <v>Abrir facsímil</v>
      </c>
      <c r="K7606" s="15" t="s">
        <v>23</v>
      </c>
    </row>
    <row r="7607" spans="1:11" ht="42" customHeight="1">
      <c r="A7607" s="4" t="s">
        <v>17352</v>
      </c>
      <c r="B7607" s="5" t="s">
        <v>17353</v>
      </c>
      <c r="C7607" s="5" t="s">
        <v>41</v>
      </c>
      <c r="D7607" s="5" t="s">
        <v>42</v>
      </c>
      <c r="E7607" s="5" t="s">
        <v>45</v>
      </c>
      <c r="F7607" s="9">
        <v>47</v>
      </c>
      <c r="G7607" s="9">
        <v>495</v>
      </c>
      <c r="H7607" s="5" t="s">
        <v>21</v>
      </c>
      <c r="I7607" s="5" t="s">
        <v>17357</v>
      </c>
      <c r="J7607" s="12" t="str">
        <f>HYPERLINK("https://www.boe.es/gazeta/dias/1800/06/13/pdfs/GMD-1800-47.pdf#page=3","Abrir facsímil")</f>
        <v>Abrir facsímil</v>
      </c>
      <c r="K7607" s="15" t="s">
        <v>23</v>
      </c>
    </row>
    <row r="7608" spans="1:11" ht="42" customHeight="1">
      <c r="A7608" s="4" t="s">
        <v>17352</v>
      </c>
      <c r="B7608" s="5" t="s">
        <v>17353</v>
      </c>
      <c r="C7608" s="5" t="s">
        <v>41</v>
      </c>
      <c r="D7608" s="5" t="s">
        <v>42</v>
      </c>
      <c r="E7608" s="5" t="s">
        <v>45</v>
      </c>
      <c r="F7608" s="9">
        <v>47</v>
      </c>
      <c r="G7608" s="9">
        <v>497</v>
      </c>
      <c r="H7608" s="5" t="s">
        <v>21</v>
      </c>
      <c r="I7608" s="5" t="s">
        <v>17358</v>
      </c>
      <c r="J7608" s="12" t="str">
        <f>HYPERLINK("https://www.boe.es/gazeta/dias/1800/06/13/pdfs/GMD-1800-47.pdf#page=5","Abrir facsímil")</f>
        <v>Abrir facsímil</v>
      </c>
      <c r="K7608" s="15" t="s">
        <v>23</v>
      </c>
    </row>
    <row r="7609" spans="1:11" ht="42" customHeight="1">
      <c r="A7609" s="4" t="s">
        <v>17352</v>
      </c>
      <c r="B7609" s="5" t="s">
        <v>17353</v>
      </c>
      <c r="C7609" s="5" t="s">
        <v>41</v>
      </c>
      <c r="D7609" s="5" t="s">
        <v>42</v>
      </c>
      <c r="E7609" s="5" t="s">
        <v>194</v>
      </c>
      <c r="F7609" s="9">
        <v>48</v>
      </c>
      <c r="G7609" s="9">
        <v>513</v>
      </c>
      <c r="H7609" s="5" t="s">
        <v>21</v>
      </c>
      <c r="I7609" s="5" t="s">
        <v>17359</v>
      </c>
      <c r="J7609" s="12" t="str">
        <f>HYPERLINK("https://www.boe.es/gazeta/dias/1800/06/17/pdfs/GMD-1800-48.pdf#page=5","Abrir facsímil")</f>
        <v>Abrir facsímil</v>
      </c>
      <c r="K7609" s="15" t="s">
        <v>23</v>
      </c>
    </row>
    <row r="7610" spans="1:11" ht="42" customHeight="1">
      <c r="A7610" s="4" t="s">
        <v>17360</v>
      </c>
      <c r="B7610" s="5" t="s">
        <v>17361</v>
      </c>
      <c r="C7610" s="5" t="s">
        <v>41</v>
      </c>
      <c r="D7610" s="5" t="s">
        <v>42</v>
      </c>
      <c r="E7610" s="5" t="s">
        <v>545</v>
      </c>
      <c r="F7610" s="9">
        <v>14</v>
      </c>
      <c r="G7610" s="9">
        <v>130</v>
      </c>
      <c r="H7610" s="5" t="s">
        <v>21</v>
      </c>
      <c r="I7610" s="5" t="s">
        <v>17362</v>
      </c>
      <c r="J7610" s="12" t="str">
        <f>HYPERLINK("https://www.boe.es/gazeta/dias/1800/02/18/pdfs/GMD-1800-14.pdf#page=2","Abrir facsímil")</f>
        <v>Abrir facsímil</v>
      </c>
      <c r="K7610" s="15" t="s">
        <v>23</v>
      </c>
    </row>
    <row r="7611" spans="1:11" ht="42" customHeight="1">
      <c r="A7611" s="4" t="s">
        <v>17363</v>
      </c>
      <c r="B7611" s="5" t="s">
        <v>17364</v>
      </c>
      <c r="C7611" s="5" t="s">
        <v>41</v>
      </c>
      <c r="D7611" s="5" t="s">
        <v>42</v>
      </c>
      <c r="E7611" s="5" t="s">
        <v>131</v>
      </c>
      <c r="F7611" s="9">
        <v>8</v>
      </c>
      <c r="G7611" s="9">
        <v>69</v>
      </c>
      <c r="H7611" s="5" t="s">
        <v>21</v>
      </c>
      <c r="I7611" s="5" t="s">
        <v>17365</v>
      </c>
      <c r="J7611" s="12" t="str">
        <f>HYPERLINK("https://www.boe.es/gazeta/dias/1800/01/28/pdfs/GMD-1800-8.pdf#page=1","Abrir facsímil")</f>
        <v>Abrir facsímil</v>
      </c>
      <c r="K7611" s="15" t="s">
        <v>23</v>
      </c>
    </row>
    <row r="7612" spans="1:11" ht="42" customHeight="1">
      <c r="A7612" s="4" t="s">
        <v>17366</v>
      </c>
      <c r="B7612" s="5" t="s">
        <v>17366</v>
      </c>
      <c r="C7612" s="5" t="s">
        <v>41</v>
      </c>
      <c r="D7612" s="5" t="s">
        <v>42</v>
      </c>
      <c r="E7612" s="5" t="s">
        <v>1127</v>
      </c>
      <c r="F7612" s="9">
        <v>11</v>
      </c>
      <c r="G7612" s="9">
        <v>102</v>
      </c>
      <c r="H7612" s="5" t="s">
        <v>21</v>
      </c>
      <c r="I7612" s="5" t="s">
        <v>17367</v>
      </c>
      <c r="J7612" s="12" t="str">
        <f>HYPERLINK("https://www.boe.es/gazeta/dias/1800/02/07/pdfs/GMD-1800-11.pdf#page=2","Abrir facsímil")</f>
        <v>Abrir facsímil</v>
      </c>
      <c r="K7612" s="15" t="s">
        <v>23</v>
      </c>
    </row>
    <row r="7613" spans="1:11" ht="42" customHeight="1">
      <c r="A7613" s="4" t="s">
        <v>17366</v>
      </c>
      <c r="B7613" s="5" t="s">
        <v>17366</v>
      </c>
      <c r="C7613" s="5" t="s">
        <v>41</v>
      </c>
      <c r="D7613" s="5" t="s">
        <v>42</v>
      </c>
      <c r="E7613" s="5" t="s">
        <v>124</v>
      </c>
      <c r="F7613" s="9">
        <v>16</v>
      </c>
      <c r="G7613" s="9">
        <v>147</v>
      </c>
      <c r="H7613" s="5" t="s">
        <v>21</v>
      </c>
      <c r="I7613" s="5" t="s">
        <v>17368</v>
      </c>
      <c r="J7613" s="12" t="str">
        <f>HYPERLINK("https://www.boe.es/gazeta/dias/1800/02/25/pdfs/GMD-1800-16.pdf#page=3","Abrir facsímil")</f>
        <v>Abrir facsímil</v>
      </c>
      <c r="K7613" s="15" t="s">
        <v>23</v>
      </c>
    </row>
    <row r="7614" spans="1:11" ht="42" customHeight="1">
      <c r="A7614" s="4" t="s">
        <v>17366</v>
      </c>
      <c r="B7614" s="5" t="s">
        <v>17366</v>
      </c>
      <c r="C7614" s="5" t="s">
        <v>54</v>
      </c>
      <c r="D7614" s="5" t="s">
        <v>55</v>
      </c>
      <c r="E7614" s="5" t="s">
        <v>75</v>
      </c>
      <c r="F7614" s="9">
        <v>64</v>
      </c>
      <c r="G7614" s="9">
        <v>728</v>
      </c>
      <c r="H7614" s="5" t="s">
        <v>21</v>
      </c>
      <c r="I7614" s="5" t="s">
        <v>17369</v>
      </c>
      <c r="J7614" s="12" t="str">
        <f>HYPERLINK("https://www.boe.es/gazeta/dias/1800/08/12/pdfs/GMD-1800-64.pdf#page=4","Abrir facsímil")</f>
        <v>Abrir facsímil</v>
      </c>
      <c r="K7614" s="15" t="s">
        <v>23</v>
      </c>
    </row>
    <row r="7615" spans="1:11" ht="42" customHeight="1">
      <c r="A7615" s="4" t="s">
        <v>17370</v>
      </c>
      <c r="B7615" s="5" t="s">
        <v>17371</v>
      </c>
      <c r="C7615" s="5" t="s">
        <v>84</v>
      </c>
      <c r="D7615" s="5" t="s">
        <v>85</v>
      </c>
      <c r="E7615" s="5" t="s">
        <v>105</v>
      </c>
      <c r="F7615" s="9">
        <v>28</v>
      </c>
      <c r="G7615" s="9">
        <v>287</v>
      </c>
      <c r="H7615" s="5" t="s">
        <v>21</v>
      </c>
      <c r="I7615" s="5" t="s">
        <v>17372</v>
      </c>
      <c r="J7615" s="12" t="str">
        <f>HYPERLINK("https://www.boe.es/gazeta/dias/1800/04/08/pdfs/GMD-1800-28.pdf#page=3","Abrir facsímil")</f>
        <v>Abrir facsímil</v>
      </c>
      <c r="K7615" s="15" t="s">
        <v>23</v>
      </c>
    </row>
    <row r="7616" spans="1:11" ht="42" customHeight="1">
      <c r="A7616" s="4" t="s">
        <v>17373</v>
      </c>
      <c r="B7616" s="5" t="s">
        <v>17374</v>
      </c>
      <c r="C7616" s="5" t="s">
        <v>18</v>
      </c>
      <c r="D7616" s="5" t="s">
        <v>19</v>
      </c>
      <c r="E7616" s="5" t="s">
        <v>1108</v>
      </c>
      <c r="F7616" s="9">
        <v>30</v>
      </c>
      <c r="G7616" s="9">
        <v>304</v>
      </c>
      <c r="H7616" s="5" t="s">
        <v>21</v>
      </c>
      <c r="I7616" s="5" t="s">
        <v>17375</v>
      </c>
      <c r="J7616" s="12" t="str">
        <f>HYPERLINK("https://www.boe.es/gazeta/dias/1800/04/15/pdfs/GMD-1800-30.pdf#page=4","Abrir facsímil")</f>
        <v>Abrir facsímil</v>
      </c>
      <c r="K7616" s="15" t="s">
        <v>23</v>
      </c>
    </row>
    <row r="7617" spans="1:11" ht="42" customHeight="1">
      <c r="A7617" s="4" t="s">
        <v>17376</v>
      </c>
      <c r="B7617" s="5" t="s">
        <v>17377</v>
      </c>
      <c r="C7617" s="5" t="s">
        <v>84</v>
      </c>
      <c r="D7617" s="5" t="s">
        <v>85</v>
      </c>
      <c r="E7617" s="5" t="s">
        <v>402</v>
      </c>
      <c r="F7617" s="9">
        <v>101</v>
      </c>
      <c r="G7617" s="9">
        <v>1168</v>
      </c>
      <c r="H7617" s="5" t="s">
        <v>21</v>
      </c>
      <c r="I7617" s="5" t="s">
        <v>17378</v>
      </c>
      <c r="J7617" s="12" t="str">
        <f>HYPERLINK("https://www.boe.es/gazeta/dias/1800/12/16/pdfs/GMD-1800-101.pdf#page=4","Abrir facsímil")</f>
        <v>Abrir facsímil</v>
      </c>
      <c r="K7617" s="15" t="s">
        <v>23</v>
      </c>
    </row>
    <row r="7618" spans="1:11" ht="42" customHeight="1">
      <c r="A7618" s="4" t="s">
        <v>17379</v>
      </c>
      <c r="B7618" s="5" t="s">
        <v>17379</v>
      </c>
      <c r="C7618" s="5" t="s">
        <v>41</v>
      </c>
      <c r="D7618" s="5" t="s">
        <v>42</v>
      </c>
      <c r="E7618" s="5" t="s">
        <v>620</v>
      </c>
      <c r="F7618" s="9">
        <v>19</v>
      </c>
      <c r="G7618" s="9">
        <v>177</v>
      </c>
      <c r="H7618" s="5" t="s">
        <v>21</v>
      </c>
      <c r="I7618" s="5" t="s">
        <v>17380</v>
      </c>
      <c r="J7618" s="12" t="str">
        <f>HYPERLINK("https://www.boe.es/gazeta/dias/1800/03/07/pdfs/GMD-1800-19.pdf#page=1","Abrir facsímil")</f>
        <v>Abrir facsímil</v>
      </c>
      <c r="K7618" s="15" t="s">
        <v>23</v>
      </c>
    </row>
    <row r="7619" spans="1:11" ht="42" customHeight="1">
      <c r="A7619" s="4" t="s">
        <v>17379</v>
      </c>
      <c r="B7619" s="5" t="s">
        <v>17379</v>
      </c>
      <c r="C7619" s="5" t="s">
        <v>18</v>
      </c>
      <c r="D7619" s="5" t="s">
        <v>19</v>
      </c>
      <c r="E7619" s="5" t="s">
        <v>50</v>
      </c>
      <c r="F7619" s="9">
        <v>81</v>
      </c>
      <c r="G7619" s="9">
        <v>911</v>
      </c>
      <c r="H7619" s="5" t="s">
        <v>21</v>
      </c>
      <c r="I7619" s="5" t="s">
        <v>17381</v>
      </c>
      <c r="J7619" s="12" t="str">
        <f>HYPERLINK("https://www.boe.es/gazeta/dias/1800/10/07/pdfs/GMD-1800-81.pdf#page=1","Abrir facsímil")</f>
        <v>Abrir facsímil</v>
      </c>
      <c r="K7619" s="15" t="s">
        <v>23</v>
      </c>
    </row>
    <row r="7620" spans="1:11" ht="42" customHeight="1">
      <c r="A7620" s="4" t="s">
        <v>17382</v>
      </c>
      <c r="B7620" s="5" t="s">
        <v>17383</v>
      </c>
      <c r="C7620" s="5" t="s">
        <v>41</v>
      </c>
      <c r="D7620" s="5" t="s">
        <v>42</v>
      </c>
      <c r="E7620" s="5" t="s">
        <v>135</v>
      </c>
      <c r="F7620" s="9">
        <v>73</v>
      </c>
      <c r="G7620" s="9">
        <v>810</v>
      </c>
      <c r="H7620" s="5" t="s">
        <v>21</v>
      </c>
      <c r="I7620" s="5" t="s">
        <v>17384</v>
      </c>
      <c r="J7620" s="12" t="str">
        <f>HYPERLINK("https://www.boe.es/gazeta/dias/1800/09/09/pdfs/GMD-1800-73.pdf#page=4","Abrir facsímil")</f>
        <v>Abrir facsímil</v>
      </c>
      <c r="K7620" s="15" t="s">
        <v>23</v>
      </c>
    </row>
    <row r="7621" spans="1:11" ht="42" customHeight="1">
      <c r="A7621" s="4" t="s">
        <v>17385</v>
      </c>
      <c r="B7621" s="5" t="s">
        <v>17386</v>
      </c>
      <c r="C7621" s="5" t="s">
        <v>18</v>
      </c>
      <c r="D7621" s="5" t="s">
        <v>19</v>
      </c>
      <c r="E7621" s="5" t="s">
        <v>406</v>
      </c>
      <c r="F7621" s="9">
        <v>44</v>
      </c>
      <c r="G7621" s="9">
        <v>455</v>
      </c>
      <c r="H7621" s="5" t="s">
        <v>21</v>
      </c>
      <c r="I7621" s="5" t="s">
        <v>17387</v>
      </c>
      <c r="J7621" s="12" t="str">
        <f>HYPERLINK("https://www.boe.es/gazeta/dias/1800/06/03/pdfs/GMD-1800-44.pdf#page=3","Abrir facsímil")</f>
        <v>Abrir facsímil</v>
      </c>
      <c r="K7621" s="15" t="s">
        <v>23</v>
      </c>
    </row>
    <row r="7622" spans="1:11" ht="42" customHeight="1">
      <c r="A7622" s="4" t="s">
        <v>17388</v>
      </c>
      <c r="B7622" s="5" t="s">
        <v>17389</v>
      </c>
      <c r="C7622" s="5" t="s">
        <v>41</v>
      </c>
      <c r="D7622" s="5" t="s">
        <v>42</v>
      </c>
      <c r="E7622" s="5" t="s">
        <v>283</v>
      </c>
      <c r="F7622" s="9">
        <v>68</v>
      </c>
      <c r="G7622" s="9">
        <v>760</v>
      </c>
      <c r="H7622" s="5" t="s">
        <v>21</v>
      </c>
      <c r="I7622" s="5" t="s">
        <v>17390</v>
      </c>
      <c r="J7622" s="12" t="str">
        <f>HYPERLINK("https://www.boe.es/gazeta/dias/1800/08/26/pdfs/GMD-1800-68.pdf#page=4","Abrir facsímil")</f>
        <v>Abrir facsímil</v>
      </c>
      <c r="K7622" s="15" t="s">
        <v>23</v>
      </c>
    </row>
    <row r="7623" spans="1:11" ht="42" customHeight="1">
      <c r="A7623" s="4" t="s">
        <v>17388</v>
      </c>
      <c r="B7623" s="5" t="s">
        <v>17389</v>
      </c>
      <c r="C7623" s="5" t="s">
        <v>41</v>
      </c>
      <c r="D7623" s="5" t="s">
        <v>42</v>
      </c>
      <c r="E7623" s="5" t="s">
        <v>135</v>
      </c>
      <c r="F7623" s="9">
        <v>73</v>
      </c>
      <c r="G7623" s="9">
        <v>810</v>
      </c>
      <c r="H7623" s="5" t="s">
        <v>21</v>
      </c>
      <c r="I7623" s="5" t="s">
        <v>17391</v>
      </c>
      <c r="J7623" s="12" t="str">
        <f>HYPERLINK("https://www.boe.es/gazeta/dias/1800/09/09/pdfs/GMD-1800-73.pdf#page=4","Abrir facsímil")</f>
        <v>Abrir facsímil</v>
      </c>
      <c r="K7623" s="15" t="s">
        <v>23</v>
      </c>
    </row>
    <row r="7624" spans="1:11" ht="42" customHeight="1">
      <c r="A7624" s="4" t="s">
        <v>17388</v>
      </c>
      <c r="B7624" s="5" t="s">
        <v>17389</v>
      </c>
      <c r="C7624" s="5" t="s">
        <v>41</v>
      </c>
      <c r="D7624" s="5" t="s">
        <v>42</v>
      </c>
      <c r="E7624" s="5" t="s">
        <v>572</v>
      </c>
      <c r="F7624" s="9">
        <v>76</v>
      </c>
      <c r="G7624" s="9">
        <v>859</v>
      </c>
      <c r="H7624" s="5" t="s">
        <v>21</v>
      </c>
      <c r="I7624" s="5" t="s">
        <v>17392</v>
      </c>
      <c r="J7624" s="12" t="str">
        <f>HYPERLINK("https://www.boe.es/gazeta/dias/1800/09/19/pdfs/GMD-1800-76.pdf#page=1","Abrir facsímil")</f>
        <v>Abrir facsímil</v>
      </c>
      <c r="K7624" s="15" t="s">
        <v>23</v>
      </c>
    </row>
    <row r="7625" spans="1:11" ht="42" customHeight="1">
      <c r="A7625" s="4" t="s">
        <v>17388</v>
      </c>
      <c r="B7625" s="5" t="s">
        <v>17389</v>
      </c>
      <c r="C7625" s="5" t="s">
        <v>41</v>
      </c>
      <c r="D7625" s="5" t="s">
        <v>42</v>
      </c>
      <c r="E7625" s="5" t="s">
        <v>572</v>
      </c>
      <c r="F7625" s="9">
        <v>76</v>
      </c>
      <c r="G7625" s="9">
        <v>862</v>
      </c>
      <c r="H7625" s="5" t="s">
        <v>21</v>
      </c>
      <c r="I7625" s="5" t="s">
        <v>17393</v>
      </c>
      <c r="J7625" s="12" t="str">
        <f>HYPERLINK("https://www.boe.es/gazeta/dias/1800/09/19/pdfs/GMD-1800-76.pdf#page=4","Abrir facsímil")</f>
        <v>Abrir facsímil</v>
      </c>
      <c r="K7625" s="15" t="s">
        <v>23</v>
      </c>
    </row>
    <row r="7626" spans="1:11" ht="42" customHeight="1">
      <c r="A7626" s="4" t="s">
        <v>17388</v>
      </c>
      <c r="B7626" s="5" t="s">
        <v>17389</v>
      </c>
      <c r="C7626" s="5" t="s">
        <v>41</v>
      </c>
      <c r="D7626" s="5" t="s">
        <v>42</v>
      </c>
      <c r="E7626" s="5" t="s">
        <v>583</v>
      </c>
      <c r="F7626" s="9">
        <v>77</v>
      </c>
      <c r="G7626" s="9">
        <v>873</v>
      </c>
      <c r="H7626" s="5" t="s">
        <v>21</v>
      </c>
      <c r="I7626" s="5" t="s">
        <v>17394</v>
      </c>
      <c r="J7626" s="12" t="str">
        <f>HYPERLINK("https://www.boe.es/gazeta/dias/1800/09/23/pdfs/GMD-1800-77.pdf#page=3","Abrir facsímil")</f>
        <v>Abrir facsímil</v>
      </c>
      <c r="K7626" s="15" t="s">
        <v>23</v>
      </c>
    </row>
    <row r="7627" spans="1:11" ht="42" customHeight="1">
      <c r="A7627" s="4" t="s">
        <v>17388</v>
      </c>
      <c r="B7627" s="5" t="s">
        <v>17389</v>
      </c>
      <c r="C7627" s="5" t="s">
        <v>41</v>
      </c>
      <c r="D7627" s="5" t="s">
        <v>42</v>
      </c>
      <c r="E7627" s="5" t="s">
        <v>843</v>
      </c>
      <c r="F7627" s="9">
        <v>78</v>
      </c>
      <c r="G7627" s="9">
        <v>884</v>
      </c>
      <c r="H7627" s="5" t="s">
        <v>21</v>
      </c>
      <c r="I7627" s="5" t="s">
        <v>17395</v>
      </c>
      <c r="J7627" s="12" t="str">
        <f>HYPERLINK("https://www.boe.es/gazeta/dias/1800/09/26/pdfs/GMD-1800-78.pdf#page=2","Abrir facsímil")</f>
        <v>Abrir facsímil</v>
      </c>
      <c r="K7627" s="15" t="s">
        <v>23</v>
      </c>
    </row>
    <row r="7628" spans="1:11" ht="42" customHeight="1">
      <c r="A7628" s="4" t="s">
        <v>17388</v>
      </c>
      <c r="B7628" s="5" t="s">
        <v>17389</v>
      </c>
      <c r="C7628" s="5" t="s">
        <v>41</v>
      </c>
      <c r="D7628" s="5" t="s">
        <v>42</v>
      </c>
      <c r="E7628" s="5" t="s">
        <v>845</v>
      </c>
      <c r="F7628" s="9">
        <v>80</v>
      </c>
      <c r="G7628" s="9">
        <v>905</v>
      </c>
      <c r="H7628" s="5" t="s">
        <v>21</v>
      </c>
      <c r="I7628" s="5" t="s">
        <v>17396</v>
      </c>
      <c r="J7628" s="12" t="str">
        <f>HYPERLINK("https://www.boe.es/gazeta/dias/1800/10/03/pdfs/GMD-1800-80.pdf#page=3","Abrir facsímil")</f>
        <v>Abrir facsímil</v>
      </c>
      <c r="K7628" s="15" t="s">
        <v>23</v>
      </c>
    </row>
    <row r="7629" spans="1:11" ht="42" customHeight="1">
      <c r="A7629" s="4" t="s">
        <v>17388</v>
      </c>
      <c r="B7629" s="5" t="s">
        <v>17389</v>
      </c>
      <c r="C7629" s="5" t="s">
        <v>41</v>
      </c>
      <c r="D7629" s="5" t="s">
        <v>42</v>
      </c>
      <c r="E7629" s="5" t="s">
        <v>50</v>
      </c>
      <c r="F7629" s="9">
        <v>81</v>
      </c>
      <c r="G7629" s="9">
        <v>911</v>
      </c>
      <c r="H7629" s="5" t="s">
        <v>21</v>
      </c>
      <c r="I7629" s="5" t="s">
        <v>17397</v>
      </c>
      <c r="J7629" s="12" t="str">
        <f>HYPERLINK("https://www.boe.es/gazeta/dias/1800/10/07/pdfs/GMD-1800-81.pdf#page=1","Abrir facsímil")</f>
        <v>Abrir facsímil</v>
      </c>
      <c r="K7629" s="15" t="s">
        <v>23</v>
      </c>
    </row>
    <row r="7630" spans="1:11" ht="42" customHeight="1">
      <c r="A7630" s="4" t="s">
        <v>17388</v>
      </c>
      <c r="B7630" s="5" t="s">
        <v>17389</v>
      </c>
      <c r="C7630" s="5" t="s">
        <v>41</v>
      </c>
      <c r="D7630" s="5" t="s">
        <v>42</v>
      </c>
      <c r="E7630" s="5" t="s">
        <v>50</v>
      </c>
      <c r="F7630" s="9">
        <v>81</v>
      </c>
      <c r="G7630" s="9">
        <v>914</v>
      </c>
      <c r="H7630" s="5" t="s">
        <v>21</v>
      </c>
      <c r="I7630" s="5" t="s">
        <v>17398</v>
      </c>
      <c r="J7630" s="12" t="str">
        <f>HYPERLINK("https://www.boe.es/gazeta/dias/1800/10/07/pdfs/GMD-1800-81.pdf#page=4","Abrir facsímil")</f>
        <v>Abrir facsímil</v>
      </c>
      <c r="K7630" s="15" t="s">
        <v>23</v>
      </c>
    </row>
    <row r="7631" spans="1:11" ht="42" customHeight="1">
      <c r="A7631" s="4" t="s">
        <v>17388</v>
      </c>
      <c r="B7631" s="5" t="s">
        <v>17389</v>
      </c>
      <c r="C7631" s="5" t="s">
        <v>41</v>
      </c>
      <c r="D7631" s="5" t="s">
        <v>42</v>
      </c>
      <c r="E7631" s="5" t="s">
        <v>184</v>
      </c>
      <c r="F7631" s="9">
        <v>82</v>
      </c>
      <c r="G7631" s="9">
        <v>943</v>
      </c>
      <c r="H7631" s="5" t="s">
        <v>21</v>
      </c>
      <c r="I7631" s="5" t="s">
        <v>17399</v>
      </c>
      <c r="J7631" s="12" t="str">
        <f>HYPERLINK("https://www.boe.es/gazeta/dias/1800/10/10/pdfs/GMD-1800-82.pdf#page=1","Abrir facsímil")</f>
        <v>Abrir facsímil</v>
      </c>
      <c r="K7631" s="15" t="s">
        <v>23</v>
      </c>
    </row>
    <row r="7632" spans="1:11" ht="42" customHeight="1">
      <c r="A7632" s="4" t="s">
        <v>17388</v>
      </c>
      <c r="B7632" s="5" t="s">
        <v>17389</v>
      </c>
      <c r="C7632" s="5" t="s">
        <v>41</v>
      </c>
      <c r="D7632" s="5" t="s">
        <v>42</v>
      </c>
      <c r="E7632" s="5" t="s">
        <v>52</v>
      </c>
      <c r="F7632" s="9">
        <v>83</v>
      </c>
      <c r="G7632" s="9">
        <v>955</v>
      </c>
      <c r="H7632" s="5" t="s">
        <v>21</v>
      </c>
      <c r="I7632" s="5" t="s">
        <v>17400</v>
      </c>
      <c r="J7632" s="12" t="str">
        <f>HYPERLINK("https://www.boe.es/gazeta/dias/1800/10/14/pdfs/GMD-1800-83.pdf#page=1","Abrir facsímil")</f>
        <v>Abrir facsímil</v>
      </c>
      <c r="K7632" s="15" t="s">
        <v>23</v>
      </c>
    </row>
    <row r="7633" spans="1:11" ht="42" customHeight="1">
      <c r="A7633" s="4" t="s">
        <v>17388</v>
      </c>
      <c r="B7633" s="5" t="s">
        <v>17389</v>
      </c>
      <c r="C7633" s="5" t="s">
        <v>41</v>
      </c>
      <c r="D7633" s="5" t="s">
        <v>42</v>
      </c>
      <c r="E7633" s="5" t="s">
        <v>116</v>
      </c>
      <c r="F7633" s="9">
        <v>86</v>
      </c>
      <c r="G7633" s="9">
        <v>992</v>
      </c>
      <c r="H7633" s="5" t="s">
        <v>21</v>
      </c>
      <c r="I7633" s="5" t="s">
        <v>17401</v>
      </c>
      <c r="J7633" s="12" t="str">
        <f>HYPERLINK("https://www.boe.es/gazeta/dias/1800/10/24/pdfs/GMD-1800-86.pdf#page=2","Abrir facsímil")</f>
        <v>Abrir facsímil</v>
      </c>
      <c r="K7633" s="15" t="s">
        <v>23</v>
      </c>
    </row>
    <row r="7634" spans="1:11" ht="42" customHeight="1">
      <c r="A7634" s="4" t="s">
        <v>17388</v>
      </c>
      <c r="B7634" s="5" t="s">
        <v>17389</v>
      </c>
      <c r="C7634" s="5" t="s">
        <v>41</v>
      </c>
      <c r="D7634" s="5" t="s">
        <v>42</v>
      </c>
      <c r="E7634" s="5" t="s">
        <v>176</v>
      </c>
      <c r="F7634" s="9">
        <v>88</v>
      </c>
      <c r="G7634" s="9">
        <v>1020</v>
      </c>
      <c r="H7634" s="5" t="s">
        <v>21</v>
      </c>
      <c r="I7634" s="5" t="s">
        <v>17402</v>
      </c>
      <c r="J7634" s="12" t="str">
        <f>HYPERLINK("https://www.boe.es/gazeta/dias/1800/10/31/pdfs/GMD-1800-88.pdf#page=2","Abrir facsímil")</f>
        <v>Abrir facsímil</v>
      </c>
      <c r="K7634" s="15" t="s">
        <v>23</v>
      </c>
    </row>
    <row r="7635" spans="1:11" ht="42" customHeight="1">
      <c r="A7635" s="4" t="s">
        <v>17388</v>
      </c>
      <c r="B7635" s="5" t="s">
        <v>17389</v>
      </c>
      <c r="C7635" s="5" t="s">
        <v>41</v>
      </c>
      <c r="D7635" s="5" t="s">
        <v>42</v>
      </c>
      <c r="E7635" s="5" t="s">
        <v>176</v>
      </c>
      <c r="F7635" s="9">
        <v>88</v>
      </c>
      <c r="G7635" s="9">
        <v>1021</v>
      </c>
      <c r="H7635" s="5" t="s">
        <v>21</v>
      </c>
      <c r="I7635" s="5" t="s">
        <v>17403</v>
      </c>
      <c r="J7635" s="12" t="str">
        <f>HYPERLINK("https://www.boe.es/gazeta/dias/1800/10/31/pdfs/GMD-1800-88.pdf#page=3","Abrir facsímil")</f>
        <v>Abrir facsímil</v>
      </c>
      <c r="K7635" s="15" t="s">
        <v>23</v>
      </c>
    </row>
    <row r="7636" spans="1:11" ht="42" customHeight="1">
      <c r="A7636" s="4" t="s">
        <v>17388</v>
      </c>
      <c r="B7636" s="5" t="s">
        <v>17389</v>
      </c>
      <c r="C7636" s="5" t="s">
        <v>41</v>
      </c>
      <c r="D7636" s="5" t="s">
        <v>42</v>
      </c>
      <c r="E7636" s="5" t="s">
        <v>673</v>
      </c>
      <c r="F7636" s="9">
        <v>89</v>
      </c>
      <c r="G7636" s="9">
        <v>1035</v>
      </c>
      <c r="H7636" s="5" t="s">
        <v>21</v>
      </c>
      <c r="I7636" s="5" t="s">
        <v>17404</v>
      </c>
      <c r="J7636" s="12" t="str">
        <f>HYPERLINK("https://www.boe.es/gazeta/dias/1800/11/04/pdfs/GMD-1800-89.pdf#page=1","Abrir facsímil")</f>
        <v>Abrir facsímil</v>
      </c>
      <c r="K7636" s="15" t="s">
        <v>23</v>
      </c>
    </row>
    <row r="7637" spans="1:11" ht="42" customHeight="1">
      <c r="A7637" s="4" t="s">
        <v>17388</v>
      </c>
      <c r="B7637" s="5" t="s">
        <v>17389</v>
      </c>
      <c r="C7637" s="5" t="s">
        <v>41</v>
      </c>
      <c r="D7637" s="5" t="s">
        <v>42</v>
      </c>
      <c r="E7637" s="5" t="s">
        <v>56</v>
      </c>
      <c r="F7637" s="9">
        <v>90</v>
      </c>
      <c r="G7637" s="9">
        <v>1047</v>
      </c>
      <c r="H7637" s="5" t="s">
        <v>21</v>
      </c>
      <c r="I7637" s="5" t="s">
        <v>17405</v>
      </c>
      <c r="J7637" s="12" t="str">
        <f>HYPERLINK("https://www.boe.es/gazeta/dias/1800/11/07/pdfs/GMD-1800-90.pdf#page=1","Abrir facsímil")</f>
        <v>Abrir facsímil</v>
      </c>
      <c r="K7637" s="15" t="s">
        <v>23</v>
      </c>
    </row>
    <row r="7638" spans="1:11" ht="42" customHeight="1">
      <c r="A7638" s="4" t="s">
        <v>17406</v>
      </c>
      <c r="B7638" s="5" t="s">
        <v>17407</v>
      </c>
      <c r="C7638" s="5" t="s">
        <v>41</v>
      </c>
      <c r="D7638" s="5" t="s">
        <v>42</v>
      </c>
      <c r="E7638" s="5" t="s">
        <v>845</v>
      </c>
      <c r="F7638" s="9">
        <v>80</v>
      </c>
      <c r="G7638" s="9">
        <v>904</v>
      </c>
      <c r="H7638" s="5" t="s">
        <v>21</v>
      </c>
      <c r="I7638" s="5" t="s">
        <v>17408</v>
      </c>
      <c r="J7638" s="12" t="str">
        <f>HYPERLINK("https://www.boe.es/gazeta/dias/1800/10/03/pdfs/GMD-1800-80.pdf#page=2","Abrir facsímil")</f>
        <v>Abrir facsímil</v>
      </c>
      <c r="K7638" s="15" t="s">
        <v>23</v>
      </c>
    </row>
    <row r="7639" spans="1:11" ht="42" customHeight="1">
      <c r="A7639" s="4" t="s">
        <v>17409</v>
      </c>
      <c r="B7639" s="5" t="s">
        <v>17410</v>
      </c>
      <c r="C7639" s="5" t="s">
        <v>41</v>
      </c>
      <c r="D7639" s="5" t="s">
        <v>42</v>
      </c>
      <c r="E7639" s="5" t="s">
        <v>576</v>
      </c>
      <c r="F7639" s="9">
        <v>91</v>
      </c>
      <c r="G7639" s="9">
        <v>1060</v>
      </c>
      <c r="H7639" s="5" t="s">
        <v>21</v>
      </c>
      <c r="I7639" s="5" t="s">
        <v>17411</v>
      </c>
      <c r="J7639" s="12" t="str">
        <f>HYPERLINK("https://www.boe.es/gazeta/dias/1800/11/11/pdfs/GMD-1800-91.pdf#page=2","Abrir facsímil")</f>
        <v>Abrir facsímil</v>
      </c>
      <c r="K7639" s="15" t="s">
        <v>23</v>
      </c>
    </row>
    <row r="7640" spans="1:11" ht="42" customHeight="1">
      <c r="A7640" s="4" t="s">
        <v>17412</v>
      </c>
      <c r="B7640" s="5" t="s">
        <v>17413</v>
      </c>
      <c r="C7640" s="5" t="s">
        <v>41</v>
      </c>
      <c r="D7640" s="5" t="s">
        <v>42</v>
      </c>
      <c r="E7640" s="5" t="s">
        <v>27</v>
      </c>
      <c r="F7640" s="9">
        <v>65</v>
      </c>
      <c r="G7640" s="9">
        <v>725</v>
      </c>
      <c r="H7640" s="5" t="s">
        <v>21</v>
      </c>
      <c r="I7640" s="5" t="s">
        <v>17414</v>
      </c>
      <c r="J7640" s="12" t="str">
        <f>HYPERLINK("https://www.boe.es/gazeta/dias/1800/08/15/pdfs/GMD-1800-65.pdf#page=1","Abrir facsímil")</f>
        <v>Abrir facsímil</v>
      </c>
      <c r="K7640" s="15" t="s">
        <v>23</v>
      </c>
    </row>
    <row r="7641" spans="1:11" ht="42" customHeight="1">
      <c r="A7641" s="4" t="s">
        <v>17415</v>
      </c>
      <c r="B7641" s="5" t="s">
        <v>17416</v>
      </c>
      <c r="C7641" s="5" t="s">
        <v>18</v>
      </c>
      <c r="D7641" s="5" t="s">
        <v>19</v>
      </c>
      <c r="E7641" s="5" t="s">
        <v>534</v>
      </c>
      <c r="F7641" s="9">
        <v>100</v>
      </c>
      <c r="G7641" s="9">
        <v>1160</v>
      </c>
      <c r="H7641" s="5" t="s">
        <v>21</v>
      </c>
      <c r="I7641" s="5" t="s">
        <v>17417</v>
      </c>
      <c r="J7641" s="12" t="str">
        <f>HYPERLINK("https://www.boe.es/gazeta/dias/1800/12/12/pdfs/GMD-1800-100.pdf#page=12","Abrir facsímil")</f>
        <v>Abrir facsímil</v>
      </c>
      <c r="K7641" s="15" t="s">
        <v>23</v>
      </c>
    </row>
    <row r="7642" spans="1:11" ht="42" customHeight="1">
      <c r="A7642" s="4" t="s">
        <v>17418</v>
      </c>
      <c r="B7642" s="5" t="s">
        <v>17418</v>
      </c>
      <c r="C7642" s="5" t="s">
        <v>41</v>
      </c>
      <c r="D7642" s="5" t="s">
        <v>42</v>
      </c>
      <c r="E7642" s="5" t="s">
        <v>825</v>
      </c>
      <c r="F7642" s="9">
        <v>51</v>
      </c>
      <c r="G7642" s="9">
        <v>551</v>
      </c>
      <c r="H7642" s="5" t="s">
        <v>21</v>
      </c>
      <c r="I7642" s="5" t="s">
        <v>17419</v>
      </c>
      <c r="J7642" s="12" t="str">
        <f>HYPERLINK("https://www.boe.es/gazeta/dias/1800/06/27/pdfs/GMD-1800-51.pdf#page=3","Abrir facsímil")</f>
        <v>Abrir facsímil</v>
      </c>
      <c r="K7642" s="15" t="s">
        <v>23</v>
      </c>
    </row>
    <row r="7643" spans="1:11" ht="42" customHeight="1">
      <c r="A7643" s="4" t="s">
        <v>17420</v>
      </c>
      <c r="B7643" s="5" t="s">
        <v>17421</v>
      </c>
      <c r="C7643" s="5" t="s">
        <v>18</v>
      </c>
      <c r="D7643" s="5" t="s">
        <v>19</v>
      </c>
      <c r="E7643" s="5" t="s">
        <v>825</v>
      </c>
      <c r="F7643" s="9">
        <v>51</v>
      </c>
      <c r="G7643" s="9">
        <v>551</v>
      </c>
      <c r="H7643" s="5" t="s">
        <v>21</v>
      </c>
      <c r="I7643" s="5" t="s">
        <v>17422</v>
      </c>
      <c r="J7643" s="12" t="str">
        <f>HYPERLINK("https://www.boe.es/gazeta/dias/1800/06/27/pdfs/GMD-1800-51.pdf#page=3","Abrir facsímil")</f>
        <v>Abrir facsímil</v>
      </c>
      <c r="K7643" s="15" t="s">
        <v>23</v>
      </c>
    </row>
    <row r="7644" spans="1:11" ht="42" customHeight="1">
      <c r="A7644" s="4" t="s">
        <v>17423</v>
      </c>
      <c r="B7644" s="5" t="s">
        <v>17423</v>
      </c>
      <c r="C7644" s="5" t="s">
        <v>54</v>
      </c>
      <c r="D7644" s="5" t="s">
        <v>55</v>
      </c>
      <c r="E7644" s="5" t="s">
        <v>598</v>
      </c>
      <c r="F7644" s="9">
        <v>32</v>
      </c>
      <c r="G7644" s="9">
        <v>322</v>
      </c>
      <c r="H7644" s="5" t="s">
        <v>21</v>
      </c>
      <c r="I7644" s="5" t="s">
        <v>17424</v>
      </c>
      <c r="J7644" s="12" t="str">
        <f>HYPERLINK("https://www.boe.es/gazeta/dias/1800/04/22/pdfs/GMD-1800-32.pdf#page=6","Abrir facsímil")</f>
        <v>Abrir facsímil</v>
      </c>
      <c r="K7644" s="15" t="s">
        <v>23</v>
      </c>
    </row>
    <row r="7645" spans="1:11" ht="42" customHeight="1">
      <c r="A7645" s="4" t="s">
        <v>17425</v>
      </c>
      <c r="B7645" s="5" t="s">
        <v>17425</v>
      </c>
      <c r="C7645" s="5" t="s">
        <v>41</v>
      </c>
      <c r="D7645" s="5" t="s">
        <v>42</v>
      </c>
      <c r="E7645" s="5" t="s">
        <v>68</v>
      </c>
      <c r="F7645" s="9">
        <v>67</v>
      </c>
      <c r="G7645" s="9">
        <v>754</v>
      </c>
      <c r="H7645" s="5" t="s">
        <v>21</v>
      </c>
      <c r="I7645" s="5" t="s">
        <v>17426</v>
      </c>
      <c r="J7645" s="12" t="str">
        <f>HYPERLINK("https://www.boe.es/gazeta/dias/1800/08/22/pdfs/GMD-1800-67.pdf#page=6","Abrir facsímil")</f>
        <v>Abrir facsímil</v>
      </c>
      <c r="K7645" s="15" t="s">
        <v>23</v>
      </c>
    </row>
    <row r="7646" spans="1:11" ht="42" customHeight="1">
      <c r="A7646" s="4" t="s">
        <v>17427</v>
      </c>
      <c r="B7646" s="5" t="s">
        <v>17428</v>
      </c>
      <c r="C7646" s="5" t="s">
        <v>41</v>
      </c>
      <c r="D7646" s="5" t="s">
        <v>42</v>
      </c>
      <c r="E7646" s="5" t="s">
        <v>50</v>
      </c>
      <c r="F7646" s="9">
        <v>81</v>
      </c>
      <c r="G7646" s="9">
        <v>911</v>
      </c>
      <c r="H7646" s="5" t="s">
        <v>21</v>
      </c>
      <c r="I7646" s="5" t="s">
        <v>17429</v>
      </c>
      <c r="J7646" s="12" t="str">
        <f>HYPERLINK("https://www.boe.es/gazeta/dias/1800/10/07/pdfs/GMD-1800-81.pdf#page=1","Abrir facsímil")</f>
        <v>Abrir facsímil</v>
      </c>
      <c r="K7646" s="15" t="s">
        <v>23</v>
      </c>
    </row>
    <row r="7647" spans="1:11" ht="42" customHeight="1">
      <c r="A7647" s="4" t="s">
        <v>17427</v>
      </c>
      <c r="B7647" s="5" t="s">
        <v>17428</v>
      </c>
      <c r="C7647" s="5" t="s">
        <v>41</v>
      </c>
      <c r="D7647" s="5" t="s">
        <v>42</v>
      </c>
      <c r="E7647" s="5" t="s">
        <v>445</v>
      </c>
      <c r="F7647" s="9">
        <v>96</v>
      </c>
      <c r="G7647" s="9">
        <v>1098</v>
      </c>
      <c r="H7647" s="5" t="s">
        <v>21</v>
      </c>
      <c r="I7647" s="5" t="s">
        <v>17430</v>
      </c>
      <c r="J7647" s="12" t="str">
        <f>HYPERLINK("https://www.boe.es/gazeta/dias/1800/11/28/pdfs/GMD-1800-96.pdf#page=2","Abrir facsímil")</f>
        <v>Abrir facsímil</v>
      </c>
      <c r="K7647" s="15" t="s">
        <v>23</v>
      </c>
    </row>
    <row r="7648" spans="1:11" ht="42" customHeight="1">
      <c r="A7648" s="4" t="s">
        <v>17431</v>
      </c>
      <c r="B7648" s="5" t="s">
        <v>17432</v>
      </c>
      <c r="C7648" s="5" t="s">
        <v>18</v>
      </c>
      <c r="D7648" s="5" t="s">
        <v>19</v>
      </c>
      <c r="E7648" s="5" t="s">
        <v>154</v>
      </c>
      <c r="F7648" s="9">
        <v>61</v>
      </c>
      <c r="G7648" s="9">
        <v>690</v>
      </c>
      <c r="H7648" s="5" t="s">
        <v>21</v>
      </c>
      <c r="I7648" s="5" t="s">
        <v>17433</v>
      </c>
      <c r="J7648" s="12" t="str">
        <f>HYPERLINK("https://www.boe.es/gazeta/dias/1800/08/01/pdfs/GMD-1800-61.pdf#page=2","Abrir facsímil")</f>
        <v>Abrir facsímil</v>
      </c>
      <c r="K7648" s="15" t="s">
        <v>23</v>
      </c>
    </row>
    <row r="7649" spans="1:11" ht="42" customHeight="1">
      <c r="A7649" s="4" t="s">
        <v>17434</v>
      </c>
      <c r="B7649" s="5" t="s">
        <v>17435</v>
      </c>
      <c r="C7649" s="5" t="s">
        <v>54</v>
      </c>
      <c r="D7649" s="5" t="s">
        <v>55</v>
      </c>
      <c r="E7649" s="5" t="s">
        <v>90</v>
      </c>
      <c r="F7649" s="9">
        <v>58</v>
      </c>
      <c r="G7649" s="9">
        <v>655</v>
      </c>
      <c r="H7649" s="5" t="s">
        <v>21</v>
      </c>
      <c r="I7649" s="5" t="s">
        <v>17436</v>
      </c>
      <c r="J7649" s="12" t="str">
        <f>HYPERLINK("https://www.boe.es/gazeta/dias/1800/07/22/pdfs/GMD-1800-58.pdf#page=3","Abrir facsímil")</f>
        <v>Abrir facsímil</v>
      </c>
      <c r="K7649" s="15" t="s">
        <v>23</v>
      </c>
    </row>
    <row r="7650" spans="1:11" ht="42" customHeight="1">
      <c r="A7650" s="4" t="s">
        <v>17437</v>
      </c>
      <c r="B7650" s="5" t="s">
        <v>17438</v>
      </c>
      <c r="C7650" s="5" t="s">
        <v>41</v>
      </c>
      <c r="D7650" s="5" t="s">
        <v>42</v>
      </c>
      <c r="E7650" s="5" t="s">
        <v>530</v>
      </c>
      <c r="F7650" s="9">
        <v>55</v>
      </c>
      <c r="G7650" s="9">
        <v>620</v>
      </c>
      <c r="H7650" s="5" t="s">
        <v>21</v>
      </c>
      <c r="I7650" s="5" t="s">
        <v>17439</v>
      </c>
      <c r="J7650" s="12" t="str">
        <f>HYPERLINK("https://www.boe.es/gazeta/dias/1800/07/11/pdfs/GMD-1800-55.pdf#page=8","Abrir facsímil")</f>
        <v>Abrir facsímil</v>
      </c>
      <c r="K7650" s="15" t="s">
        <v>23</v>
      </c>
    </row>
    <row r="7651" spans="1:11" ht="42" customHeight="1">
      <c r="A7651" s="4" t="s">
        <v>17440</v>
      </c>
      <c r="B7651" s="5" t="s">
        <v>17441</v>
      </c>
      <c r="C7651" s="5" t="s">
        <v>18</v>
      </c>
      <c r="D7651" s="5" t="s">
        <v>19</v>
      </c>
      <c r="E7651" s="5" t="s">
        <v>135</v>
      </c>
      <c r="F7651" s="9">
        <v>73</v>
      </c>
      <c r="G7651" s="9">
        <v>815</v>
      </c>
      <c r="H7651" s="5" t="s">
        <v>21</v>
      </c>
      <c r="I7651" s="5" t="s">
        <v>17442</v>
      </c>
      <c r="J7651" s="12" t="str">
        <f>HYPERLINK("https://www.boe.es/gazeta/dias/1800/09/09/pdfs/GMD-1800-73.pdf#page=9","Abrir facsímil")</f>
        <v>Abrir facsímil</v>
      </c>
      <c r="K7651" s="15" t="s">
        <v>23</v>
      </c>
    </row>
    <row r="7652" spans="1:11" ht="42" customHeight="1">
      <c r="A7652" s="4" t="s">
        <v>17443</v>
      </c>
      <c r="B7652" s="5" t="s">
        <v>17443</v>
      </c>
      <c r="C7652" s="5" t="s">
        <v>41</v>
      </c>
      <c r="D7652" s="5" t="s">
        <v>42</v>
      </c>
      <c r="E7652" s="5" t="s">
        <v>845</v>
      </c>
      <c r="F7652" s="9">
        <v>80</v>
      </c>
      <c r="G7652" s="9">
        <v>907</v>
      </c>
      <c r="H7652" s="5" t="s">
        <v>21</v>
      </c>
      <c r="I7652" s="5" t="s">
        <v>17444</v>
      </c>
      <c r="J7652" s="12" t="str">
        <f>HYPERLINK("https://www.boe.es/gazeta/dias/1800/10/03/pdfs/GMD-1800-80.pdf#page=5","Abrir facsímil")</f>
        <v>Abrir facsímil</v>
      </c>
      <c r="K7652" s="15" t="s">
        <v>23</v>
      </c>
    </row>
    <row r="7653" spans="1:11" ht="42" customHeight="1">
      <c r="A7653" s="4" t="s">
        <v>17445</v>
      </c>
      <c r="B7653" s="5" t="s">
        <v>17446</v>
      </c>
      <c r="C7653" s="5" t="s">
        <v>18</v>
      </c>
      <c r="D7653" s="5" t="s">
        <v>19</v>
      </c>
      <c r="E7653" s="5" t="s">
        <v>154</v>
      </c>
      <c r="F7653" s="9">
        <v>61</v>
      </c>
      <c r="G7653" s="9">
        <v>694</v>
      </c>
      <c r="H7653" s="5" t="s">
        <v>21</v>
      </c>
      <c r="I7653" s="5" t="s">
        <v>17447</v>
      </c>
      <c r="J7653" s="12" t="str">
        <f>HYPERLINK("https://www.boe.es/gazeta/dias/1800/08/01/pdfs/GMD-1800-61.pdf#page=6","Abrir facsímil")</f>
        <v>Abrir facsímil</v>
      </c>
      <c r="K7653" s="15" t="s">
        <v>1346</v>
      </c>
    </row>
    <row r="7654" spans="1:11" ht="42" customHeight="1">
      <c r="A7654" s="4" t="s">
        <v>17448</v>
      </c>
      <c r="B7654" s="5" t="s">
        <v>17449</v>
      </c>
      <c r="C7654" s="5" t="s">
        <v>1179</v>
      </c>
      <c r="D7654" s="5" t="s">
        <v>1180</v>
      </c>
      <c r="E7654" s="5" t="s">
        <v>314</v>
      </c>
      <c r="F7654" s="9">
        <v>74</v>
      </c>
      <c r="G7654" s="9">
        <v>844</v>
      </c>
      <c r="H7654" s="5" t="s">
        <v>21</v>
      </c>
      <c r="I7654" s="5" t="s">
        <v>17450</v>
      </c>
      <c r="J7654" s="12" t="str">
        <f>HYPERLINK("https://www.boe.es/gazeta/dias/1800/09/12/pdfs/GMD-C-1800-74.pdf#page=6","Abrir facsímil")</f>
        <v>Abrir facsímil</v>
      </c>
      <c r="K7654" s="15" t="s">
        <v>23</v>
      </c>
    </row>
    <row r="7655" spans="1:11" ht="42" customHeight="1">
      <c r="A7655" s="4" t="s">
        <v>17451</v>
      </c>
      <c r="B7655" s="5" t="s">
        <v>17451</v>
      </c>
      <c r="C7655" s="5" t="s">
        <v>18</v>
      </c>
      <c r="D7655" s="5" t="s">
        <v>19</v>
      </c>
      <c r="E7655" s="5" t="s">
        <v>68</v>
      </c>
      <c r="F7655" s="9">
        <v>67</v>
      </c>
      <c r="G7655" s="9">
        <v>750</v>
      </c>
      <c r="H7655" s="5" t="s">
        <v>21</v>
      </c>
      <c r="I7655" s="5" t="s">
        <v>2994</v>
      </c>
      <c r="J7655" s="12" t="str">
        <f>HYPERLINK("https://www.boe.es/gazeta/dias/1800/08/22/pdfs/GMD-1800-67.pdf#page=2","Abrir facsímil")</f>
        <v>Abrir facsímil</v>
      </c>
      <c r="K7655" s="15" t="s">
        <v>23</v>
      </c>
    </row>
    <row r="7656" spans="1:11" ht="42" customHeight="1">
      <c r="A7656" s="4" t="s">
        <v>17452</v>
      </c>
      <c r="B7656" s="5" t="s">
        <v>17453</v>
      </c>
      <c r="C7656" s="5" t="s">
        <v>41</v>
      </c>
      <c r="D7656" s="5" t="s">
        <v>42</v>
      </c>
      <c r="E7656" s="5" t="s">
        <v>1287</v>
      </c>
      <c r="F7656" s="9">
        <v>57</v>
      </c>
      <c r="G7656" s="9">
        <v>641</v>
      </c>
      <c r="H7656" s="5" t="s">
        <v>21</v>
      </c>
      <c r="I7656" s="5" t="s">
        <v>17454</v>
      </c>
      <c r="J7656" s="12" t="str">
        <f>HYPERLINK("https://www.boe.es/gazeta/dias/1800/07/18/pdfs/GMD-1800-57.pdf#page=5","Abrir facsímil")</f>
        <v>Abrir facsímil</v>
      </c>
      <c r="K7656" s="15" t="s">
        <v>23</v>
      </c>
    </row>
    <row r="7657" spans="1:11" ht="42" customHeight="1">
      <c r="A7657" s="4" t="s">
        <v>17455</v>
      </c>
      <c r="B7657" s="5" t="s">
        <v>17456</v>
      </c>
      <c r="C7657" s="5" t="s">
        <v>207</v>
      </c>
      <c r="D7657" s="5" t="s">
        <v>55</v>
      </c>
      <c r="E7657" s="5" t="s">
        <v>329</v>
      </c>
      <c r="F7657" s="9">
        <v>99</v>
      </c>
      <c r="G7657" s="9">
        <v>1138</v>
      </c>
      <c r="H7657" s="5" t="s">
        <v>21</v>
      </c>
      <c r="I7657" s="5" t="s">
        <v>17457</v>
      </c>
      <c r="J7657" s="12" t="str">
        <f>HYPERLINK("https://www.boe.es/gazeta/dias/1800/12/09/pdfs/GMD-1800-99.pdf#page=6","Abrir facsímil")</f>
        <v>Abrir facsímil</v>
      </c>
      <c r="K7657" s="15" t="s">
        <v>23</v>
      </c>
    </row>
    <row r="7658" spans="1:11" ht="42" customHeight="1">
      <c r="A7658" s="4" t="s">
        <v>17458</v>
      </c>
      <c r="B7658" s="5" t="s">
        <v>17459</v>
      </c>
      <c r="C7658" s="5" t="s">
        <v>18</v>
      </c>
      <c r="D7658" s="5" t="s">
        <v>19</v>
      </c>
      <c r="E7658" s="5" t="s">
        <v>420</v>
      </c>
      <c r="F7658" s="9">
        <v>38</v>
      </c>
      <c r="G7658" s="9">
        <v>388</v>
      </c>
      <c r="H7658" s="5" t="s">
        <v>21</v>
      </c>
      <c r="I7658" s="5" t="s">
        <v>17460</v>
      </c>
      <c r="J7658" s="12" t="str">
        <f>HYPERLINK("https://www.boe.es/gazeta/dias/1800/05/13/pdfs/GMD-1800-38.pdf#page=8","Abrir facsímil")</f>
        <v>Abrir facsímil</v>
      </c>
      <c r="K7658" s="15" t="s">
        <v>23</v>
      </c>
    </row>
    <row r="7659" spans="1:11" ht="42" customHeight="1">
      <c r="A7659" s="4" t="s">
        <v>17461</v>
      </c>
      <c r="B7659" s="5" t="s">
        <v>17462</v>
      </c>
      <c r="C7659" s="5" t="s">
        <v>54</v>
      </c>
      <c r="D7659" s="5" t="s">
        <v>55</v>
      </c>
      <c r="E7659" s="5" t="s">
        <v>154</v>
      </c>
      <c r="F7659" s="9">
        <v>61</v>
      </c>
      <c r="G7659" s="9">
        <v>697</v>
      </c>
      <c r="H7659" s="5" t="s">
        <v>21</v>
      </c>
      <c r="I7659" s="5" t="s">
        <v>17463</v>
      </c>
      <c r="J7659" s="12" t="str">
        <f>HYPERLINK("https://www.boe.es/gazeta/dias/1800/08/01/pdfs/GMD-1800-61.pdf#page=9","Abrir facsímil")</f>
        <v>Abrir facsímil</v>
      </c>
      <c r="K7659" s="15" t="s">
        <v>23</v>
      </c>
    </row>
    <row r="7660" spans="1:11" ht="42" customHeight="1">
      <c r="A7660" s="4" t="s">
        <v>17464</v>
      </c>
      <c r="B7660" s="5" t="s">
        <v>17464</v>
      </c>
      <c r="C7660" s="5" t="s">
        <v>54</v>
      </c>
      <c r="D7660" s="5" t="s">
        <v>55</v>
      </c>
      <c r="E7660" s="5" t="s">
        <v>139</v>
      </c>
      <c r="F7660" s="9">
        <v>2</v>
      </c>
      <c r="G7660" s="9">
        <v>19</v>
      </c>
      <c r="H7660" s="5" t="s">
        <v>21</v>
      </c>
      <c r="I7660" s="5" t="s">
        <v>17465</v>
      </c>
      <c r="J7660" s="12" t="str">
        <f>HYPERLINK("https://www.boe.es/gazeta/dias/1800/01/07/pdfs/GMD-1800-2.pdf#page=11","Abrir facsímil")</f>
        <v>Abrir facsímil</v>
      </c>
      <c r="K7660" s="15" t="s">
        <v>23</v>
      </c>
    </row>
    <row r="7661" spans="1:11" ht="42" customHeight="1">
      <c r="A7661" s="4" t="s">
        <v>17466</v>
      </c>
      <c r="B7661" s="5" t="s">
        <v>17466</v>
      </c>
      <c r="C7661" s="5" t="s">
        <v>25</v>
      </c>
      <c r="D7661" s="5" t="s">
        <v>26</v>
      </c>
      <c r="E7661" s="5" t="s">
        <v>180</v>
      </c>
      <c r="F7661" s="9">
        <v>102</v>
      </c>
      <c r="G7661" s="9">
        <v>1187</v>
      </c>
      <c r="H7661" s="5" t="s">
        <v>21</v>
      </c>
      <c r="I7661" s="5" t="s">
        <v>17467</v>
      </c>
      <c r="J7661" s="12" t="str">
        <f>HYPERLINK("https://www.boe.es/gazeta/dias/1800/12/19/pdfs/GMD-1800-102.pdf#page=11","Abrir facsímil")</f>
        <v>Abrir facsímil</v>
      </c>
      <c r="K7661" s="15" t="s">
        <v>23</v>
      </c>
    </row>
    <row r="7662" spans="1:11" ht="42" customHeight="1">
      <c r="A7662" s="4" t="s">
        <v>17468</v>
      </c>
      <c r="B7662" s="5" t="s">
        <v>17469</v>
      </c>
      <c r="C7662" s="5" t="s">
        <v>18</v>
      </c>
      <c r="D7662" s="5" t="s">
        <v>19</v>
      </c>
      <c r="E7662" s="5" t="s">
        <v>75</v>
      </c>
      <c r="F7662" s="9">
        <v>64</v>
      </c>
      <c r="G7662" s="9">
        <v>733</v>
      </c>
      <c r="H7662" s="5" t="s">
        <v>21</v>
      </c>
      <c r="I7662" s="5" t="s">
        <v>17470</v>
      </c>
      <c r="J7662" s="12" t="str">
        <f>HYPERLINK("https://www.boe.es/gazeta/dias/1800/08/12/pdfs/GMD-1800-64.pdf#page=9","Abrir facsímil")</f>
        <v>Abrir facsímil</v>
      </c>
      <c r="K7662" s="15" t="s">
        <v>23</v>
      </c>
    </row>
    <row r="7663" spans="1:11" ht="42" customHeight="1">
      <c r="A7663" s="4" t="s">
        <v>17468</v>
      </c>
      <c r="B7663" s="5" t="s">
        <v>17469</v>
      </c>
      <c r="C7663" s="5" t="s">
        <v>18</v>
      </c>
      <c r="D7663" s="5" t="s">
        <v>19</v>
      </c>
      <c r="E7663" s="5" t="s">
        <v>56</v>
      </c>
      <c r="F7663" s="9">
        <v>90</v>
      </c>
      <c r="G7663" s="9">
        <v>1055</v>
      </c>
      <c r="H7663" s="5" t="s">
        <v>21</v>
      </c>
      <c r="I7663" s="5" t="s">
        <v>17471</v>
      </c>
      <c r="J7663" s="12" t="str">
        <f>HYPERLINK("https://www.boe.es/gazeta/dias/1800/11/07/pdfs/GMD-1800-90.pdf#page=9","Abrir facsímil")</f>
        <v>Abrir facsímil</v>
      </c>
      <c r="K7663" s="15" t="s">
        <v>23</v>
      </c>
    </row>
    <row r="7664" spans="1:11" ht="42" customHeight="1">
      <c r="A7664" s="4" t="s">
        <v>17472</v>
      </c>
      <c r="B7664" s="5" t="s">
        <v>17473</v>
      </c>
      <c r="C7664" s="5" t="s">
        <v>207</v>
      </c>
      <c r="D7664" s="5" t="s">
        <v>55</v>
      </c>
      <c r="E7664" s="5" t="s">
        <v>64</v>
      </c>
      <c r="F7664" s="9">
        <v>54</v>
      </c>
      <c r="G7664" s="9">
        <v>606</v>
      </c>
      <c r="H7664" s="5" t="s">
        <v>21</v>
      </c>
      <c r="I7664" s="5" t="s">
        <v>17474</v>
      </c>
      <c r="J7664" s="12" t="str">
        <f>HYPERLINK("https://www.boe.es/gazeta/dias/1800/07/08/pdfs/GMD-1800-54.pdf#page=10","Abrir facsímil")</f>
        <v>Abrir facsímil</v>
      </c>
      <c r="K7664" s="15" t="s">
        <v>23</v>
      </c>
    </row>
    <row r="7665" spans="1:11" ht="42" customHeight="1">
      <c r="A7665" s="4" t="s">
        <v>17472</v>
      </c>
      <c r="B7665" s="5" t="s">
        <v>17473</v>
      </c>
      <c r="C7665" s="5" t="s">
        <v>207</v>
      </c>
      <c r="D7665" s="5" t="s">
        <v>55</v>
      </c>
      <c r="E7665" s="5" t="s">
        <v>184</v>
      </c>
      <c r="F7665" s="9">
        <v>82</v>
      </c>
      <c r="G7665" s="9">
        <v>949</v>
      </c>
      <c r="H7665" s="5" t="s">
        <v>21</v>
      </c>
      <c r="I7665" s="5" t="s">
        <v>17475</v>
      </c>
      <c r="J7665" s="12" t="str">
        <f>HYPERLINK("https://www.boe.es/gazeta/dias/1800/10/10/pdfs/GMD-1800-82.pdf#page=7","Abrir facsímil")</f>
        <v>Abrir facsímil</v>
      </c>
      <c r="K7665" s="15" t="s">
        <v>23</v>
      </c>
    </row>
    <row r="7666" spans="1:11" ht="42" customHeight="1">
      <c r="A7666" s="4" t="s">
        <v>17476</v>
      </c>
      <c r="B7666" s="5" t="s">
        <v>17477</v>
      </c>
      <c r="C7666" s="5" t="s">
        <v>25</v>
      </c>
      <c r="D7666" s="5" t="s">
        <v>26</v>
      </c>
      <c r="E7666" s="5" t="s">
        <v>20</v>
      </c>
      <c r="F7666" s="9">
        <v>104</v>
      </c>
      <c r="G7666" s="9">
        <v>1211</v>
      </c>
      <c r="H7666" s="5" t="s">
        <v>21</v>
      </c>
      <c r="I7666" s="5" t="s">
        <v>17478</v>
      </c>
      <c r="J7666" s="12" t="str">
        <f>HYPERLINK("https://www.boe.es/gazeta/dias/1800/12/26/pdfs/GMD-1800-104.pdf#page=11","Abrir facsímil")</f>
        <v>Abrir facsímil</v>
      </c>
      <c r="K7666" s="15" t="s">
        <v>23</v>
      </c>
    </row>
    <row r="7667" spans="1:11" ht="42" customHeight="1">
      <c r="A7667" s="4" t="s">
        <v>17479</v>
      </c>
      <c r="B7667" s="5" t="s">
        <v>17480</v>
      </c>
      <c r="C7667" s="5" t="s">
        <v>207</v>
      </c>
      <c r="D7667" s="5" t="s">
        <v>55</v>
      </c>
      <c r="E7667" s="5" t="s">
        <v>214</v>
      </c>
      <c r="F7667" s="9">
        <v>41</v>
      </c>
      <c r="G7667" s="9">
        <v>423</v>
      </c>
      <c r="H7667" s="5" t="s">
        <v>21</v>
      </c>
      <c r="I7667" s="5" t="s">
        <v>17481</v>
      </c>
      <c r="J7667" s="12" t="str">
        <f>HYPERLINK("https://www.boe.es/gazeta/dias/1800/05/23/pdfs/GMD-1800-41.pdf#page=7","Abrir facsímil")</f>
        <v>Abrir facsímil</v>
      </c>
      <c r="K7667" s="15" t="s">
        <v>23</v>
      </c>
    </row>
    <row r="7668" spans="1:11" ht="42" customHeight="1">
      <c r="A7668" s="4" t="s">
        <v>17482</v>
      </c>
      <c r="B7668" s="5" t="s">
        <v>17482</v>
      </c>
      <c r="C7668" s="5" t="s">
        <v>18</v>
      </c>
      <c r="D7668" s="5" t="s">
        <v>19</v>
      </c>
      <c r="E7668" s="5" t="s">
        <v>255</v>
      </c>
      <c r="F7668" s="9">
        <v>75</v>
      </c>
      <c r="G7668" s="9">
        <v>855</v>
      </c>
      <c r="H7668" s="5" t="s">
        <v>21</v>
      </c>
      <c r="I7668" s="5" t="s">
        <v>17483</v>
      </c>
      <c r="J7668" s="12" t="str">
        <f>HYPERLINK("https://www.boe.es/gazeta/dias/1800/09/16/pdfs/GMD-1800-75.pdf#page=9","Abrir facsímil")</f>
        <v>Abrir facsímil</v>
      </c>
      <c r="K7668" s="15" t="s">
        <v>23</v>
      </c>
    </row>
    <row r="7669" spans="1:11" ht="42" customHeight="1">
      <c r="A7669" s="4" t="s">
        <v>17484</v>
      </c>
      <c r="B7669" s="5" t="s">
        <v>17485</v>
      </c>
      <c r="C7669" s="5" t="s">
        <v>18</v>
      </c>
      <c r="D7669" s="5" t="s">
        <v>19</v>
      </c>
      <c r="E7669" s="5" t="s">
        <v>194</v>
      </c>
      <c r="F7669" s="9">
        <v>48</v>
      </c>
      <c r="G7669" s="9">
        <v>518</v>
      </c>
      <c r="H7669" s="5" t="s">
        <v>21</v>
      </c>
      <c r="I7669" s="5" t="s">
        <v>17486</v>
      </c>
      <c r="J7669" s="12" t="str">
        <f>HYPERLINK("https://www.boe.es/gazeta/dias/1800/06/17/pdfs/GMD-1800-48.pdf#page=10","Abrir facsímil")</f>
        <v>Abrir facsímil</v>
      </c>
      <c r="K7669" s="15" t="s">
        <v>23</v>
      </c>
    </row>
    <row r="7670" spans="1:11" ht="42" customHeight="1">
      <c r="A7670" s="4" t="s">
        <v>17487</v>
      </c>
      <c r="B7670" s="5" t="s">
        <v>17488</v>
      </c>
      <c r="C7670" s="5" t="s">
        <v>25</v>
      </c>
      <c r="D7670" s="5" t="s">
        <v>26</v>
      </c>
      <c r="E7670" s="5" t="s">
        <v>673</v>
      </c>
      <c r="F7670" s="9">
        <v>89</v>
      </c>
      <c r="G7670" s="9">
        <v>1044</v>
      </c>
      <c r="H7670" s="5" t="s">
        <v>21</v>
      </c>
      <c r="I7670" s="5" t="s">
        <v>17489</v>
      </c>
      <c r="J7670" s="12" t="str">
        <f>HYPERLINK("https://www.boe.es/gazeta/dias/1800/11/04/pdfs/GMD-1800-89.pdf#page=10","Abrir facsímil")</f>
        <v>Abrir facsímil</v>
      </c>
      <c r="K7670" s="15" t="s">
        <v>23</v>
      </c>
    </row>
    <row r="7671" spans="1:11" ht="42" customHeight="1">
      <c r="A7671" s="4" t="s">
        <v>17490</v>
      </c>
      <c r="B7671" s="5" t="s">
        <v>17491</v>
      </c>
      <c r="C7671" s="5" t="s">
        <v>18</v>
      </c>
      <c r="D7671" s="5" t="s">
        <v>19</v>
      </c>
      <c r="E7671" s="5" t="s">
        <v>31</v>
      </c>
      <c r="F7671" s="9">
        <v>20</v>
      </c>
      <c r="G7671" s="9">
        <v>192</v>
      </c>
      <c r="H7671" s="5" t="s">
        <v>21</v>
      </c>
      <c r="I7671" s="5" t="s">
        <v>17492</v>
      </c>
      <c r="J7671" s="12" t="str">
        <f>HYPERLINK("https://www.boe.es/gazeta/dias/1800/03/11/pdfs/GMD-1800-20.pdf#page=8","Abrir facsímil")</f>
        <v>Abrir facsímil</v>
      </c>
      <c r="K7671" s="15" t="s">
        <v>23</v>
      </c>
    </row>
    <row r="7672" spans="1:11" ht="42" customHeight="1">
      <c r="A7672" s="4" t="s">
        <v>17493</v>
      </c>
      <c r="B7672" s="5" t="s">
        <v>17494</v>
      </c>
      <c r="C7672" s="5" t="s">
        <v>25</v>
      </c>
      <c r="D7672" s="5" t="s">
        <v>26</v>
      </c>
      <c r="E7672" s="5" t="s">
        <v>306</v>
      </c>
      <c r="F7672" s="9">
        <v>79</v>
      </c>
      <c r="G7672" s="9">
        <v>899</v>
      </c>
      <c r="H7672" s="5" t="s">
        <v>21</v>
      </c>
      <c r="I7672" s="5" t="s">
        <v>17495</v>
      </c>
      <c r="J7672" s="12" t="str">
        <f>HYPERLINK("https://www.boe.es/gazeta/dias/1800/09/30/pdfs/GMD-1800-79.pdf#page=9","Abrir facsímil")</f>
        <v>Abrir facsímil</v>
      </c>
      <c r="K7672" s="15" t="s">
        <v>23</v>
      </c>
    </row>
    <row r="7673" spans="1:11" ht="42" customHeight="1">
      <c r="A7673" s="4" t="s">
        <v>17496</v>
      </c>
      <c r="B7673" s="5" t="s">
        <v>17497</v>
      </c>
      <c r="C7673" s="5" t="s">
        <v>18</v>
      </c>
      <c r="D7673" s="5" t="s">
        <v>19</v>
      </c>
      <c r="E7673" s="5" t="s">
        <v>196</v>
      </c>
      <c r="F7673" s="9">
        <v>97</v>
      </c>
      <c r="G7673" s="9">
        <v>1117</v>
      </c>
      <c r="H7673" s="5" t="s">
        <v>21</v>
      </c>
      <c r="I7673" s="5" t="s">
        <v>17498</v>
      </c>
      <c r="J7673" s="12" t="str">
        <f>HYPERLINK("https://www.boe.es/gazeta/dias/1800/12/02/pdfs/GMD-1800-97.pdf#page=9","Abrir facsímil")</f>
        <v>Abrir facsímil</v>
      </c>
      <c r="K7673" s="15" t="s">
        <v>23</v>
      </c>
    </row>
    <row r="7674" spans="1:11" ht="42" customHeight="1">
      <c r="A7674" s="4" t="s">
        <v>17499</v>
      </c>
      <c r="B7674" s="5" t="s">
        <v>17500</v>
      </c>
      <c r="C7674" s="5" t="s">
        <v>18</v>
      </c>
      <c r="D7674" s="5" t="s">
        <v>19</v>
      </c>
      <c r="E7674" s="5" t="s">
        <v>203</v>
      </c>
      <c r="F7674" s="9">
        <v>94</v>
      </c>
      <c r="G7674" s="9">
        <v>1077</v>
      </c>
      <c r="H7674" s="5" t="s">
        <v>21</v>
      </c>
      <c r="I7674" s="5" t="s">
        <v>17501</v>
      </c>
      <c r="J7674" s="12" t="str">
        <f>HYPERLINK("https://www.boe.es/gazeta/dias/1800/11/21/pdfs/GMD-1800-94.pdf#page=7","Abrir facsímil")</f>
        <v>Abrir facsímil</v>
      </c>
      <c r="K7674" s="15" t="s">
        <v>23</v>
      </c>
    </row>
    <row r="7675" spans="1:11" ht="42" customHeight="1">
      <c r="A7675" s="4" t="s">
        <v>17502</v>
      </c>
      <c r="B7675" s="5" t="s">
        <v>17503</v>
      </c>
      <c r="C7675" s="5" t="s">
        <v>18</v>
      </c>
      <c r="D7675" s="5" t="s">
        <v>19</v>
      </c>
      <c r="E7675" s="5" t="s">
        <v>139</v>
      </c>
      <c r="F7675" s="9">
        <v>2</v>
      </c>
      <c r="G7675" s="9">
        <v>16</v>
      </c>
      <c r="H7675" s="5" t="s">
        <v>21</v>
      </c>
      <c r="I7675" s="5" t="s">
        <v>17504</v>
      </c>
      <c r="J7675" s="12" t="str">
        <f>HYPERLINK("https://www.boe.es/gazeta/dias/1800/01/07/pdfs/GMD-1800-2.pdf#page=8","Abrir facsímil")</f>
        <v>Abrir facsímil</v>
      </c>
      <c r="K7675" s="15" t="s">
        <v>23</v>
      </c>
    </row>
    <row r="7676" spans="1:11" ht="42" customHeight="1">
      <c r="A7676" s="4" t="s">
        <v>17505</v>
      </c>
      <c r="B7676" s="5" t="s">
        <v>17506</v>
      </c>
      <c r="C7676" s="5" t="s">
        <v>207</v>
      </c>
      <c r="D7676" s="5" t="s">
        <v>55</v>
      </c>
      <c r="E7676" s="5" t="s">
        <v>184</v>
      </c>
      <c r="F7676" s="9">
        <v>82</v>
      </c>
      <c r="G7676" s="9">
        <v>949</v>
      </c>
      <c r="H7676" s="5" t="s">
        <v>21</v>
      </c>
      <c r="I7676" s="5" t="s">
        <v>17507</v>
      </c>
      <c r="J7676" s="12" t="str">
        <f>HYPERLINK("https://www.boe.es/gazeta/dias/1800/10/10/pdfs/GMD-1800-82.pdf#page=7","Abrir facsímil")</f>
        <v>Abrir facsímil</v>
      </c>
      <c r="K7676" s="15" t="s">
        <v>23</v>
      </c>
    </row>
    <row r="7677" spans="1:11" ht="42" customHeight="1">
      <c r="A7677" s="4" t="s">
        <v>17508</v>
      </c>
      <c r="B7677" s="5" t="s">
        <v>17509</v>
      </c>
      <c r="C7677" s="5" t="s">
        <v>18</v>
      </c>
      <c r="D7677" s="5" t="s">
        <v>19</v>
      </c>
      <c r="E7677" s="5" t="s">
        <v>248</v>
      </c>
      <c r="F7677" s="9">
        <v>33</v>
      </c>
      <c r="G7677" s="9">
        <v>333</v>
      </c>
      <c r="H7677" s="5" t="s">
        <v>21</v>
      </c>
      <c r="I7677" s="5" t="s">
        <v>17510</v>
      </c>
      <c r="J7677" s="12" t="str">
        <f>HYPERLINK("https://www.boe.es/gazeta/dias/1800/04/25/pdfs/GMD-1800-33.pdf#page=9","Abrir facsímil")</f>
        <v>Abrir facsímil</v>
      </c>
      <c r="K7677" s="15" t="s">
        <v>23</v>
      </c>
    </row>
    <row r="7678" spans="1:11" ht="42" customHeight="1">
      <c r="A7678" s="4" t="s">
        <v>17511</v>
      </c>
      <c r="B7678" s="5" t="s">
        <v>17512</v>
      </c>
      <c r="C7678" s="5" t="s">
        <v>18</v>
      </c>
      <c r="D7678" s="5" t="s">
        <v>19</v>
      </c>
      <c r="E7678" s="5" t="s">
        <v>314</v>
      </c>
      <c r="F7678" s="9">
        <v>74</v>
      </c>
      <c r="G7678" s="9">
        <v>830</v>
      </c>
      <c r="H7678" s="5" t="s">
        <v>21</v>
      </c>
      <c r="I7678" s="5" t="s">
        <v>17513</v>
      </c>
      <c r="J7678" s="12" t="str">
        <f>HYPERLINK("https://www.boe.es/gazeta/dias/1800/09/12/pdfs/GMD-1800-74.pdf#page=8","Abrir facsímil")</f>
        <v>Abrir facsímil</v>
      </c>
      <c r="K7678" s="15" t="s">
        <v>23</v>
      </c>
    </row>
    <row r="7679" spans="1:11" ht="42" customHeight="1">
      <c r="A7679" s="4" t="s">
        <v>17514</v>
      </c>
      <c r="B7679" s="5" t="s">
        <v>17515</v>
      </c>
      <c r="C7679" s="5" t="s">
        <v>18</v>
      </c>
      <c r="D7679" s="5" t="s">
        <v>19</v>
      </c>
      <c r="E7679" s="5" t="s">
        <v>56</v>
      </c>
      <c r="F7679" s="9">
        <v>90</v>
      </c>
      <c r="G7679" s="9">
        <v>1055</v>
      </c>
      <c r="H7679" s="5" t="s">
        <v>21</v>
      </c>
      <c r="I7679" s="5" t="s">
        <v>17516</v>
      </c>
      <c r="J7679" s="12" t="str">
        <f>HYPERLINK("https://www.boe.es/gazeta/dias/1800/11/07/pdfs/GMD-1800-90.pdf#page=9","Abrir facsímil")</f>
        <v>Abrir facsímil</v>
      </c>
      <c r="K7679" s="15" t="s">
        <v>23</v>
      </c>
    </row>
    <row r="7680" spans="1:11" ht="42" customHeight="1">
      <c r="A7680" s="4" t="s">
        <v>17517</v>
      </c>
      <c r="B7680" s="5" t="s">
        <v>17518</v>
      </c>
      <c r="C7680" s="5" t="s">
        <v>84</v>
      </c>
      <c r="D7680" s="5" t="s">
        <v>85</v>
      </c>
      <c r="E7680" s="5" t="s">
        <v>1213</v>
      </c>
      <c r="F7680" s="9">
        <v>4</v>
      </c>
      <c r="G7680" s="9">
        <v>40</v>
      </c>
      <c r="H7680" s="5" t="s">
        <v>21</v>
      </c>
      <c r="I7680" s="5" t="s">
        <v>17519</v>
      </c>
      <c r="J7680" s="12" t="str">
        <f>HYPERLINK("https://www.boe.es/gazeta/dias/1800/01/14/pdfs/GMD-1800-4.pdf#page=12","Abrir facsímil")</f>
        <v>Abrir facsímil</v>
      </c>
      <c r="K7680" s="15" t="s">
        <v>23</v>
      </c>
    </row>
    <row r="7681" spans="1:11" ht="42" customHeight="1">
      <c r="A7681" s="4" t="s">
        <v>17517</v>
      </c>
      <c r="B7681" s="5" t="s">
        <v>17518</v>
      </c>
      <c r="C7681" s="5" t="s">
        <v>18</v>
      </c>
      <c r="D7681" s="5" t="s">
        <v>19</v>
      </c>
      <c r="E7681" s="5" t="s">
        <v>162</v>
      </c>
      <c r="F7681" s="9">
        <v>15</v>
      </c>
      <c r="G7681" s="9">
        <v>142</v>
      </c>
      <c r="H7681" s="5" t="s">
        <v>21</v>
      </c>
      <c r="I7681" s="5" t="s">
        <v>17520</v>
      </c>
      <c r="J7681" s="12" t="str">
        <f>HYPERLINK("https://www.boe.es/gazeta/dias/1800/02/21/pdfs/GMD-1800-15.pdf#page=6","Abrir facsímil")</f>
        <v>Abrir facsímil</v>
      </c>
      <c r="K7681" s="15" t="s">
        <v>23</v>
      </c>
    </row>
    <row r="7682" spans="1:11" ht="42" customHeight="1">
      <c r="A7682" s="4" t="s">
        <v>17517</v>
      </c>
      <c r="B7682" s="5" t="s">
        <v>17518</v>
      </c>
      <c r="C7682" s="5" t="s">
        <v>18</v>
      </c>
      <c r="D7682" s="5" t="s">
        <v>19</v>
      </c>
      <c r="E7682" s="5" t="s">
        <v>314</v>
      </c>
      <c r="F7682" s="9">
        <v>74</v>
      </c>
      <c r="G7682" s="9">
        <v>831</v>
      </c>
      <c r="H7682" s="5" t="s">
        <v>21</v>
      </c>
      <c r="I7682" s="5" t="s">
        <v>17521</v>
      </c>
      <c r="J7682" s="12" t="str">
        <f>HYPERLINK("https://www.boe.es/gazeta/dias/1800/09/12/pdfs/GMD-1800-74.pdf#page=9","Abrir facsímil")</f>
        <v>Abrir facsímil</v>
      </c>
      <c r="K7682" s="15" t="s">
        <v>23</v>
      </c>
    </row>
    <row r="7683" spans="1:11" ht="42" customHeight="1">
      <c r="A7683" s="4" t="s">
        <v>17522</v>
      </c>
      <c r="B7683" s="5" t="s">
        <v>17523</v>
      </c>
      <c r="C7683" s="5" t="s">
        <v>207</v>
      </c>
      <c r="D7683" s="5" t="s">
        <v>55</v>
      </c>
      <c r="E7683" s="5" t="s">
        <v>184</v>
      </c>
      <c r="F7683" s="9">
        <v>82</v>
      </c>
      <c r="G7683" s="9">
        <v>950</v>
      </c>
      <c r="H7683" s="5" t="s">
        <v>21</v>
      </c>
      <c r="I7683" s="5" t="s">
        <v>17524</v>
      </c>
      <c r="J7683" s="12" t="str">
        <f>HYPERLINK("https://www.boe.es/gazeta/dias/1800/10/10/pdfs/GMD-1800-82.pdf#page=8","Abrir facsímil")</f>
        <v>Abrir facsímil</v>
      </c>
      <c r="K7683" s="15" t="s">
        <v>23</v>
      </c>
    </row>
    <row r="7684" spans="1:11" ht="42" customHeight="1">
      <c r="A7684" s="4" t="s">
        <v>17525</v>
      </c>
      <c r="B7684" s="5" t="s">
        <v>17526</v>
      </c>
      <c r="C7684" s="5" t="s">
        <v>18</v>
      </c>
      <c r="D7684" s="5" t="s">
        <v>19</v>
      </c>
      <c r="E7684" s="5" t="s">
        <v>598</v>
      </c>
      <c r="F7684" s="9">
        <v>32</v>
      </c>
      <c r="G7684" s="9">
        <v>324</v>
      </c>
      <c r="H7684" s="5" t="s">
        <v>21</v>
      </c>
      <c r="I7684" s="5" t="s">
        <v>17527</v>
      </c>
      <c r="J7684" s="12" t="str">
        <f>HYPERLINK("https://www.boe.es/gazeta/dias/1800/04/22/pdfs/GMD-1800-32.pdf#page=8","Abrir facsímil")</f>
        <v>Abrir facsímil</v>
      </c>
      <c r="K7684" s="15" t="s">
        <v>23</v>
      </c>
    </row>
    <row r="7685" spans="1:11" ht="42" customHeight="1">
      <c r="A7685" s="4" t="s">
        <v>17528</v>
      </c>
      <c r="B7685" s="5" t="s">
        <v>17529</v>
      </c>
      <c r="C7685" s="5" t="s">
        <v>207</v>
      </c>
      <c r="D7685" s="5" t="s">
        <v>55</v>
      </c>
      <c r="E7685" s="5" t="s">
        <v>275</v>
      </c>
      <c r="F7685" s="9">
        <v>60</v>
      </c>
      <c r="G7685" s="9">
        <v>687</v>
      </c>
      <c r="H7685" s="5" t="s">
        <v>21</v>
      </c>
      <c r="I7685" s="5" t="s">
        <v>17530</v>
      </c>
      <c r="J7685" s="12" t="str">
        <f>HYPERLINK("https://www.boe.es/gazeta/dias/1800/07/29/pdfs/GMD-1800-60.pdf#page=7","Abrir facsímil")</f>
        <v>Abrir facsímil</v>
      </c>
      <c r="K7685" s="15" t="s">
        <v>23</v>
      </c>
    </row>
    <row r="7686" spans="1:11" ht="42" customHeight="1">
      <c r="A7686" s="4" t="s">
        <v>17531</v>
      </c>
      <c r="B7686" s="5" t="s">
        <v>17532</v>
      </c>
      <c r="C7686" s="5" t="s">
        <v>41</v>
      </c>
      <c r="D7686" s="5" t="s">
        <v>42</v>
      </c>
      <c r="E7686" s="5" t="s">
        <v>43</v>
      </c>
      <c r="F7686" s="9">
        <v>46</v>
      </c>
      <c r="G7686" s="9">
        <v>486</v>
      </c>
      <c r="H7686" s="5" t="s">
        <v>21</v>
      </c>
      <c r="I7686" s="5" t="s">
        <v>17533</v>
      </c>
      <c r="J7686" s="12" t="str">
        <f>HYPERLINK("https://www.boe.es/gazeta/dias/1800/06/10/pdfs/GMD-1800-46.pdf#page=10","Abrir facsímil")</f>
        <v>Abrir facsímil</v>
      </c>
      <c r="K7686" s="15" t="s">
        <v>23</v>
      </c>
    </row>
    <row r="7687" spans="1:11" ht="42" customHeight="1">
      <c r="A7687" s="4" t="s">
        <v>17531</v>
      </c>
      <c r="B7687" s="5" t="s">
        <v>17532</v>
      </c>
      <c r="C7687" s="5" t="s">
        <v>18</v>
      </c>
      <c r="D7687" s="5" t="s">
        <v>19</v>
      </c>
      <c r="E7687" s="5" t="s">
        <v>283</v>
      </c>
      <c r="F7687" s="9">
        <v>68</v>
      </c>
      <c r="G7687" s="9">
        <v>765</v>
      </c>
      <c r="H7687" s="5" t="s">
        <v>21</v>
      </c>
      <c r="I7687" s="5" t="s">
        <v>17534</v>
      </c>
      <c r="J7687" s="12" t="str">
        <f>HYPERLINK("https://www.boe.es/gazeta/dias/1800/08/26/pdfs/GMD-1800-68.pdf#page=9","Abrir facsímil")</f>
        <v>Abrir facsímil</v>
      </c>
      <c r="K7687" s="15" t="s">
        <v>23</v>
      </c>
    </row>
    <row r="7688" spans="1:11" ht="42" customHeight="1">
      <c r="A7688" s="4" t="s">
        <v>17531</v>
      </c>
      <c r="B7688" s="5" t="s">
        <v>17532</v>
      </c>
      <c r="C7688" s="5" t="s">
        <v>18</v>
      </c>
      <c r="D7688" s="5" t="s">
        <v>19</v>
      </c>
      <c r="E7688" s="5" t="s">
        <v>314</v>
      </c>
      <c r="F7688" s="9">
        <v>74</v>
      </c>
      <c r="G7688" s="9">
        <v>831</v>
      </c>
      <c r="H7688" s="5" t="s">
        <v>21</v>
      </c>
      <c r="I7688" s="5" t="s">
        <v>17535</v>
      </c>
      <c r="J7688" s="12" t="str">
        <f>HYPERLINK("https://www.boe.es/gazeta/dias/1800/09/12/pdfs/GMD-1800-74.pdf#page=9","Abrir facsímil")</f>
        <v>Abrir facsímil</v>
      </c>
      <c r="K7688" s="15" t="s">
        <v>23</v>
      </c>
    </row>
    <row r="7689" spans="1:11" ht="42" customHeight="1">
      <c r="A7689" s="4" t="s">
        <v>17536</v>
      </c>
      <c r="B7689" s="5" t="s">
        <v>17537</v>
      </c>
      <c r="C7689" s="5" t="s">
        <v>18</v>
      </c>
      <c r="D7689" s="5" t="s">
        <v>19</v>
      </c>
      <c r="E7689" s="5" t="s">
        <v>314</v>
      </c>
      <c r="F7689" s="9">
        <v>74</v>
      </c>
      <c r="G7689" s="9">
        <v>831</v>
      </c>
      <c r="H7689" s="5" t="s">
        <v>21</v>
      </c>
      <c r="I7689" s="5" t="s">
        <v>17538</v>
      </c>
      <c r="J7689" s="12" t="str">
        <f>HYPERLINK("https://www.boe.es/gazeta/dias/1800/09/12/pdfs/GMD-1800-74.pdf#page=9","Abrir facsímil")</f>
        <v>Abrir facsímil</v>
      </c>
      <c r="K7689" s="15" t="s">
        <v>23</v>
      </c>
    </row>
    <row r="7690" spans="1:11" ht="42" customHeight="1">
      <c r="A7690" s="4" t="s">
        <v>17536</v>
      </c>
      <c r="B7690" s="5" t="s">
        <v>17537</v>
      </c>
      <c r="C7690" s="5" t="s">
        <v>207</v>
      </c>
      <c r="D7690" s="5" t="s">
        <v>55</v>
      </c>
      <c r="E7690" s="5" t="s">
        <v>445</v>
      </c>
      <c r="F7690" s="9">
        <v>96</v>
      </c>
      <c r="G7690" s="9">
        <v>1105</v>
      </c>
      <c r="H7690" s="5" t="s">
        <v>21</v>
      </c>
      <c r="I7690" s="5" t="s">
        <v>17539</v>
      </c>
      <c r="J7690" s="12" t="str">
        <f>HYPERLINK("https://www.boe.es/gazeta/dias/1800/11/28/pdfs/GMD-1800-96.pdf#page=9","Abrir facsímil")</f>
        <v>Abrir facsímil</v>
      </c>
      <c r="K7690" s="15" t="s">
        <v>23</v>
      </c>
    </row>
    <row r="7691" spans="1:11" ht="42" customHeight="1">
      <c r="A7691" s="4" t="s">
        <v>17536</v>
      </c>
      <c r="B7691" s="5" t="s">
        <v>17537</v>
      </c>
      <c r="C7691" s="5" t="s">
        <v>18</v>
      </c>
      <c r="D7691" s="5" t="s">
        <v>19</v>
      </c>
      <c r="E7691" s="5" t="s">
        <v>20</v>
      </c>
      <c r="F7691" s="9">
        <v>104</v>
      </c>
      <c r="G7691" s="9">
        <v>1210</v>
      </c>
      <c r="H7691" s="5" t="s">
        <v>21</v>
      </c>
      <c r="I7691" s="5" t="s">
        <v>17540</v>
      </c>
      <c r="J7691" s="12" t="str">
        <f>HYPERLINK("https://www.boe.es/gazeta/dias/1800/12/26/pdfs/GMD-1800-104.pdf#page=10","Abrir facsímil")</f>
        <v>Abrir facsímil</v>
      </c>
      <c r="K7691" s="15" t="s">
        <v>23</v>
      </c>
    </row>
    <row r="7692" spans="1:11" ht="42" customHeight="1">
      <c r="A7692" s="4" t="s">
        <v>17541</v>
      </c>
      <c r="B7692" s="5" t="s">
        <v>17542</v>
      </c>
      <c r="C7692" s="5" t="s">
        <v>18</v>
      </c>
      <c r="D7692" s="5" t="s">
        <v>19</v>
      </c>
      <c r="E7692" s="5" t="s">
        <v>39</v>
      </c>
      <c r="F7692" s="9">
        <v>43</v>
      </c>
      <c r="G7692" s="9">
        <v>449</v>
      </c>
      <c r="H7692" s="5" t="s">
        <v>21</v>
      </c>
      <c r="I7692" s="5" t="s">
        <v>17543</v>
      </c>
      <c r="J7692" s="12" t="str">
        <f>HYPERLINK("https://www.boe.es/gazeta/dias/1800/05/30/pdfs/GMD-1800-43.pdf#page=9","Abrir facsímil")</f>
        <v>Abrir facsímil</v>
      </c>
      <c r="K7692" s="15" t="s">
        <v>23</v>
      </c>
    </row>
    <row r="7693" spans="1:11" ht="42" customHeight="1">
      <c r="A7693" s="4" t="s">
        <v>17541</v>
      </c>
      <c r="B7693" s="5" t="s">
        <v>17542</v>
      </c>
      <c r="C7693" s="5" t="s">
        <v>18</v>
      </c>
      <c r="D7693" s="5" t="s">
        <v>19</v>
      </c>
      <c r="E7693" s="5" t="s">
        <v>314</v>
      </c>
      <c r="F7693" s="9">
        <v>74</v>
      </c>
      <c r="G7693" s="9">
        <v>831</v>
      </c>
      <c r="H7693" s="5" t="s">
        <v>21</v>
      </c>
      <c r="I7693" s="5" t="s">
        <v>17544</v>
      </c>
      <c r="J7693" s="12" t="str">
        <f>HYPERLINK("https://www.boe.es/gazeta/dias/1800/09/12/pdfs/GMD-1800-74.pdf#page=9","Abrir facsímil")</f>
        <v>Abrir facsímil</v>
      </c>
      <c r="K7693" s="15" t="s">
        <v>23</v>
      </c>
    </row>
    <row r="7694" spans="1:11" ht="42" customHeight="1">
      <c r="A7694" s="4" t="s">
        <v>17541</v>
      </c>
      <c r="B7694" s="5" t="s">
        <v>17542</v>
      </c>
      <c r="C7694" s="5" t="s">
        <v>18</v>
      </c>
      <c r="D7694" s="5" t="s">
        <v>19</v>
      </c>
      <c r="E7694" s="5" t="s">
        <v>255</v>
      </c>
      <c r="F7694" s="9">
        <v>75</v>
      </c>
      <c r="G7694" s="9">
        <v>855</v>
      </c>
      <c r="H7694" s="5" t="s">
        <v>21</v>
      </c>
      <c r="I7694" s="5" t="s">
        <v>17545</v>
      </c>
      <c r="J7694" s="12" t="str">
        <f>HYPERLINK("https://www.boe.es/gazeta/dias/1800/09/16/pdfs/GMD-1800-75.pdf#page=9","Abrir facsímil")</f>
        <v>Abrir facsímil</v>
      </c>
      <c r="K7694" s="15" t="s">
        <v>23</v>
      </c>
    </row>
    <row r="7695" spans="1:11" ht="42" customHeight="1">
      <c r="A7695" s="4" t="s">
        <v>17546</v>
      </c>
      <c r="B7695" s="5" t="s">
        <v>17547</v>
      </c>
      <c r="C7695" s="5" t="s">
        <v>84</v>
      </c>
      <c r="D7695" s="5" t="s">
        <v>85</v>
      </c>
      <c r="E7695" s="5" t="s">
        <v>86</v>
      </c>
      <c r="F7695" s="9">
        <v>17</v>
      </c>
      <c r="G7695" s="9">
        <v>163</v>
      </c>
      <c r="H7695" s="5" t="s">
        <v>21</v>
      </c>
      <c r="I7695" s="5" t="s">
        <v>17548</v>
      </c>
      <c r="J7695" s="12" t="str">
        <f>HYPERLINK("https://www.boe.es/gazeta/dias/1800/02/28/pdfs/GMD-1800-17.pdf#page=11","Abrir facsímil")</f>
        <v>Abrir facsímil</v>
      </c>
      <c r="K7695" s="15" t="s">
        <v>23</v>
      </c>
    </row>
    <row r="7696" spans="1:11" ht="42" customHeight="1">
      <c r="A7696" s="4" t="s">
        <v>17549</v>
      </c>
      <c r="B7696" s="5" t="s">
        <v>17550</v>
      </c>
      <c r="C7696" s="5" t="s">
        <v>25</v>
      </c>
      <c r="D7696" s="5" t="s">
        <v>26</v>
      </c>
      <c r="E7696" s="5" t="s">
        <v>131</v>
      </c>
      <c r="F7696" s="9">
        <v>8</v>
      </c>
      <c r="G7696" s="9">
        <v>74</v>
      </c>
      <c r="H7696" s="5" t="s">
        <v>21</v>
      </c>
      <c r="I7696" s="5" t="s">
        <v>17551</v>
      </c>
      <c r="J7696" s="12" t="str">
        <f>HYPERLINK("https://www.boe.es/gazeta/dias/1800/01/28/pdfs/GMD-1800-8.pdf#page=6","Abrir facsímil")</f>
        <v>Abrir facsímil</v>
      </c>
      <c r="K7696" s="15" t="s">
        <v>23</v>
      </c>
    </row>
    <row r="7697" spans="1:11" ht="42" customHeight="1">
      <c r="A7697" s="4" t="s">
        <v>17552</v>
      </c>
      <c r="B7697" s="5" t="s">
        <v>17552</v>
      </c>
      <c r="C7697" s="5" t="s">
        <v>25</v>
      </c>
      <c r="D7697" s="5" t="s">
        <v>26</v>
      </c>
      <c r="E7697" s="5" t="s">
        <v>572</v>
      </c>
      <c r="F7697" s="9">
        <v>76</v>
      </c>
      <c r="G7697" s="9">
        <v>869</v>
      </c>
      <c r="H7697" s="5" t="s">
        <v>21</v>
      </c>
      <c r="I7697" s="5" t="s">
        <v>17553</v>
      </c>
      <c r="J7697" s="12" t="str">
        <f>HYPERLINK("https://www.boe.es/gazeta/dias/1800/09/19/pdfs/GMD-1800-76.pdf#page=11","Abrir facsímil")</f>
        <v>Abrir facsímil</v>
      </c>
      <c r="K7697" s="15" t="s">
        <v>23</v>
      </c>
    </row>
    <row r="7698" spans="1:11" ht="42" customHeight="1">
      <c r="A7698" s="4" t="s">
        <v>17554</v>
      </c>
      <c r="B7698" s="5" t="s">
        <v>17555</v>
      </c>
      <c r="C7698" s="5" t="s">
        <v>207</v>
      </c>
      <c r="D7698" s="5" t="s">
        <v>55</v>
      </c>
      <c r="E7698" s="5" t="s">
        <v>135</v>
      </c>
      <c r="F7698" s="9">
        <v>73</v>
      </c>
      <c r="G7698" s="9">
        <v>814</v>
      </c>
      <c r="H7698" s="5" t="s">
        <v>21</v>
      </c>
      <c r="I7698" s="5" t="s">
        <v>17556</v>
      </c>
      <c r="J7698" s="12" t="str">
        <f>HYPERLINK("https://www.boe.es/gazeta/dias/1800/09/09/pdfs/GMD-1800-73.pdf#page=8","Abrir facsímil")</f>
        <v>Abrir facsímil</v>
      </c>
      <c r="K7698" s="15" t="s">
        <v>23</v>
      </c>
    </row>
    <row r="7699" spans="1:11" ht="42" customHeight="1">
      <c r="A7699" s="4" t="s">
        <v>17557</v>
      </c>
      <c r="B7699" s="5" t="s">
        <v>17558</v>
      </c>
      <c r="C7699" s="5" t="s">
        <v>41</v>
      </c>
      <c r="D7699" s="5" t="s">
        <v>42</v>
      </c>
      <c r="E7699" s="5" t="s">
        <v>194</v>
      </c>
      <c r="F7699" s="9">
        <v>48</v>
      </c>
      <c r="G7699" s="9">
        <v>517</v>
      </c>
      <c r="H7699" s="5" t="s">
        <v>21</v>
      </c>
      <c r="I7699" s="5" t="s">
        <v>17559</v>
      </c>
      <c r="J7699" s="12" t="str">
        <f>HYPERLINK("https://www.boe.es/gazeta/dias/1800/06/17/pdfs/GMD-1800-48.pdf#page=9","Abrir facsímil")</f>
        <v>Abrir facsímil</v>
      </c>
      <c r="K7699" s="15" t="s">
        <v>23</v>
      </c>
    </row>
    <row r="7700" spans="1:11" ht="42" customHeight="1">
      <c r="A7700" s="4" t="s">
        <v>17560</v>
      </c>
      <c r="B7700" s="5" t="s">
        <v>17561</v>
      </c>
      <c r="C7700" s="5" t="s">
        <v>207</v>
      </c>
      <c r="D7700" s="5" t="s">
        <v>55</v>
      </c>
      <c r="E7700" s="5" t="s">
        <v>478</v>
      </c>
      <c r="F7700" s="9">
        <v>34</v>
      </c>
      <c r="G7700" s="9">
        <v>346</v>
      </c>
      <c r="H7700" s="5" t="s">
        <v>21</v>
      </c>
      <c r="I7700" s="5" t="s">
        <v>17562</v>
      </c>
      <c r="J7700" s="12" t="str">
        <f>HYPERLINK("https://www.boe.es/gazeta/dias/1800/04/29/pdfs/GMD-1800-34.pdf#page=10","Abrir facsímil")</f>
        <v>Abrir facsímil</v>
      </c>
      <c r="K7700" s="15" t="s">
        <v>23</v>
      </c>
    </row>
    <row r="7701" spans="1:11" ht="42" customHeight="1">
      <c r="A7701" s="4" t="s">
        <v>17563</v>
      </c>
      <c r="B7701" s="5" t="s">
        <v>17564</v>
      </c>
      <c r="C7701" s="5" t="s">
        <v>18</v>
      </c>
      <c r="D7701" s="5" t="s">
        <v>19</v>
      </c>
      <c r="E7701" s="5" t="s">
        <v>56</v>
      </c>
      <c r="F7701" s="9">
        <v>90</v>
      </c>
      <c r="G7701" s="9">
        <v>1055</v>
      </c>
      <c r="H7701" s="5" t="s">
        <v>21</v>
      </c>
      <c r="I7701" s="5" t="s">
        <v>17565</v>
      </c>
      <c r="J7701" s="12" t="str">
        <f>HYPERLINK("https://www.boe.es/gazeta/dias/1800/11/07/pdfs/GMD-1800-90.pdf#page=9","Abrir facsímil")</f>
        <v>Abrir facsímil</v>
      </c>
      <c r="K7701" s="15" t="s">
        <v>23</v>
      </c>
    </row>
    <row r="7702" spans="1:11" ht="42" customHeight="1">
      <c r="A7702" s="4" t="s">
        <v>17566</v>
      </c>
      <c r="B7702" s="5" t="s">
        <v>17567</v>
      </c>
      <c r="C7702" s="5" t="s">
        <v>18</v>
      </c>
      <c r="D7702" s="5" t="s">
        <v>19</v>
      </c>
      <c r="E7702" s="5" t="s">
        <v>255</v>
      </c>
      <c r="F7702" s="9">
        <v>75</v>
      </c>
      <c r="G7702" s="9">
        <v>855</v>
      </c>
      <c r="H7702" s="5" t="s">
        <v>21</v>
      </c>
      <c r="I7702" s="5" t="s">
        <v>17568</v>
      </c>
      <c r="J7702" s="12" t="str">
        <f>HYPERLINK("https://www.boe.es/gazeta/dias/1800/09/16/pdfs/GMD-1800-75.pdf#page=9","Abrir facsímil")</f>
        <v>Abrir facsímil</v>
      </c>
      <c r="K7702" s="15" t="s">
        <v>23</v>
      </c>
    </row>
    <row r="7703" spans="1:11" ht="42" customHeight="1">
      <c r="A7703" s="4" t="s">
        <v>17569</v>
      </c>
      <c r="B7703" s="5" t="s">
        <v>17570</v>
      </c>
      <c r="C7703" s="5" t="s">
        <v>41</v>
      </c>
      <c r="D7703" s="5" t="s">
        <v>42</v>
      </c>
      <c r="E7703" s="5" t="s">
        <v>226</v>
      </c>
      <c r="F7703" s="9">
        <v>27</v>
      </c>
      <c r="G7703" s="9">
        <v>277</v>
      </c>
      <c r="H7703" s="5" t="s">
        <v>21</v>
      </c>
      <c r="I7703" s="5" t="s">
        <v>17571</v>
      </c>
      <c r="J7703" s="12" t="str">
        <f>HYPERLINK("https://www.boe.es/gazeta/dias/1800/04/04/pdfs/GMD-1800-27.pdf#page=5","Abrir facsímil")</f>
        <v>Abrir facsímil</v>
      </c>
      <c r="K7703" s="15" t="s">
        <v>23</v>
      </c>
    </row>
    <row r="7704" spans="1:11" ht="42" customHeight="1">
      <c r="A7704" s="4" t="s">
        <v>17572</v>
      </c>
      <c r="B7704" s="5" t="s">
        <v>17573</v>
      </c>
      <c r="C7704" s="5" t="s">
        <v>41</v>
      </c>
      <c r="D7704" s="5" t="s">
        <v>42</v>
      </c>
      <c r="E7704" s="5" t="s">
        <v>105</v>
      </c>
      <c r="F7704" s="9">
        <v>28</v>
      </c>
      <c r="G7704" s="9">
        <v>285</v>
      </c>
      <c r="H7704" s="5" t="s">
        <v>21</v>
      </c>
      <c r="I7704" s="5" t="s">
        <v>17574</v>
      </c>
      <c r="J7704" s="12" t="str">
        <f>HYPERLINK("https://www.boe.es/gazeta/dias/1800/04/08/pdfs/GMD-1800-28.pdf#page=1","Abrir facsímil")</f>
        <v>Abrir facsímil</v>
      </c>
      <c r="K7704" s="15" t="s">
        <v>1346</v>
      </c>
    </row>
    <row r="7705" spans="1:11" ht="42" customHeight="1">
      <c r="A7705" s="4" t="s">
        <v>17572</v>
      </c>
      <c r="B7705" s="5" t="s">
        <v>17573</v>
      </c>
      <c r="C7705" s="5" t="s">
        <v>41</v>
      </c>
      <c r="D7705" s="5" t="s">
        <v>42</v>
      </c>
      <c r="E7705" s="5" t="s">
        <v>75</v>
      </c>
      <c r="F7705" s="9">
        <v>64</v>
      </c>
      <c r="G7705" s="9">
        <v>726</v>
      </c>
      <c r="H7705" s="5" t="s">
        <v>21</v>
      </c>
      <c r="I7705" s="5" t="s">
        <v>17575</v>
      </c>
      <c r="J7705" s="12" t="str">
        <f>HYPERLINK("https://www.boe.es/gazeta/dias/1800/08/12/pdfs/GMD-1800-64.pdf#page=2","Abrir facsímil")</f>
        <v>Abrir facsímil</v>
      </c>
      <c r="K7705" s="15" t="s">
        <v>1346</v>
      </c>
    </row>
    <row r="7706" spans="1:11" ht="42" customHeight="1">
      <c r="A7706" s="4" t="s">
        <v>17576</v>
      </c>
      <c r="B7706" s="5" t="s">
        <v>17577</v>
      </c>
      <c r="C7706" s="5" t="s">
        <v>54</v>
      </c>
      <c r="D7706" s="5" t="s">
        <v>55</v>
      </c>
      <c r="E7706" s="5" t="s">
        <v>218</v>
      </c>
      <c r="F7706" s="9">
        <v>5</v>
      </c>
      <c r="G7706" s="9">
        <v>48</v>
      </c>
      <c r="H7706" s="5" t="s">
        <v>21</v>
      </c>
      <c r="I7706" s="5" t="s">
        <v>17578</v>
      </c>
      <c r="J7706" s="12" t="str">
        <f>HYPERLINK("https://www.boe.es/gazeta/dias/1800/01/17/pdfs/GMD-1800-5.pdf#page=8","Abrir facsímil")</f>
        <v>Abrir facsímil</v>
      </c>
      <c r="K7706" s="15" t="s">
        <v>23</v>
      </c>
    </row>
    <row r="7707" spans="1:11" ht="42" customHeight="1">
      <c r="A7707" s="4" t="s">
        <v>17579</v>
      </c>
      <c r="B7707" s="5" t="s">
        <v>17580</v>
      </c>
      <c r="C7707" s="5" t="s">
        <v>114</v>
      </c>
      <c r="D7707" s="5" t="s">
        <v>115</v>
      </c>
      <c r="E7707" s="5" t="s">
        <v>116</v>
      </c>
      <c r="F7707" s="9">
        <v>86</v>
      </c>
      <c r="G7707" s="9" t="s">
        <v>1501</v>
      </c>
      <c r="H7707" s="5" t="s">
        <v>21</v>
      </c>
      <c r="I7707" s="5" t="s">
        <v>17581</v>
      </c>
      <c r="J7707" s="12" t="str">
        <f>HYPERLINK("https://www.boe.es/gazeta/dias/1800/10/24/pdfs/GMD-D-1800-86.pdf#page=2","Abrir facsímil")</f>
        <v>Abrir facsímil</v>
      </c>
      <c r="K7707" s="15" t="s">
        <v>23</v>
      </c>
    </row>
    <row r="7708" spans="1:11" ht="42" customHeight="1">
      <c r="A7708" s="4" t="s">
        <v>17582</v>
      </c>
      <c r="B7708" s="5" t="s">
        <v>17583</v>
      </c>
      <c r="C7708" s="5" t="s">
        <v>114</v>
      </c>
      <c r="D7708" s="5" t="s">
        <v>115</v>
      </c>
      <c r="E7708" s="5" t="s">
        <v>116</v>
      </c>
      <c r="F7708" s="9">
        <v>86</v>
      </c>
      <c r="G7708" s="9" t="s">
        <v>725</v>
      </c>
      <c r="H7708" s="5" t="s">
        <v>21</v>
      </c>
      <c r="I7708" s="5" t="s">
        <v>17584</v>
      </c>
      <c r="J7708" s="12" t="str">
        <f>HYPERLINK("https://www.boe.es/gazeta/dias/1800/10/24/pdfs/GMD-D-1800-86.pdf#page=1","Abrir facsímil")</f>
        <v>Abrir facsímil</v>
      </c>
      <c r="K7708" s="15" t="s">
        <v>23</v>
      </c>
    </row>
    <row r="7709" spans="1:11" ht="42" customHeight="1">
      <c r="A7709" s="4" t="s">
        <v>17585</v>
      </c>
      <c r="B7709" s="5" t="s">
        <v>17586</v>
      </c>
      <c r="C7709" s="5" t="s">
        <v>84</v>
      </c>
      <c r="D7709" s="5" t="s">
        <v>85</v>
      </c>
      <c r="E7709" s="5" t="s">
        <v>82</v>
      </c>
      <c r="F7709" s="9">
        <v>10</v>
      </c>
      <c r="G7709" s="9">
        <v>100</v>
      </c>
      <c r="H7709" s="5" t="s">
        <v>21</v>
      </c>
      <c r="I7709" s="5" t="s">
        <v>17587</v>
      </c>
      <c r="J7709" s="12" t="str">
        <f>HYPERLINK("https://www.boe.es/gazeta/dias/1800/02/04/pdfs/GMD-1800-10.pdf#page=12","Abrir facsímil")</f>
        <v>Abrir facsímil</v>
      </c>
      <c r="K7709" s="15" t="s">
        <v>23</v>
      </c>
    </row>
    <row r="7710" spans="1:11" ht="42" customHeight="1">
      <c r="A7710" s="4" t="s">
        <v>17585</v>
      </c>
      <c r="B7710" s="5" t="s">
        <v>17586</v>
      </c>
      <c r="C7710" s="5" t="s">
        <v>84</v>
      </c>
      <c r="D7710" s="5" t="s">
        <v>85</v>
      </c>
      <c r="E7710" s="5" t="s">
        <v>346</v>
      </c>
      <c r="F7710" s="9">
        <v>24</v>
      </c>
      <c r="G7710" s="9">
        <v>248</v>
      </c>
      <c r="H7710" s="5" t="s">
        <v>21</v>
      </c>
      <c r="I7710" s="5" t="s">
        <v>17588</v>
      </c>
      <c r="J7710" s="12" t="str">
        <f>HYPERLINK("https://www.boe.es/gazeta/dias/1800/03/25/pdfs/GMD-1800-24.pdf#page=12","Abrir facsímil")</f>
        <v>Abrir facsímil</v>
      </c>
      <c r="K7710" s="15" t="s">
        <v>23</v>
      </c>
    </row>
    <row r="7711" spans="1:11" ht="42" customHeight="1">
      <c r="A7711" s="4" t="s">
        <v>17589</v>
      </c>
      <c r="B7711" s="5" t="s">
        <v>17590</v>
      </c>
      <c r="C7711" s="5" t="s">
        <v>207</v>
      </c>
      <c r="D7711" s="5" t="s">
        <v>55</v>
      </c>
      <c r="E7711" s="5" t="s">
        <v>139</v>
      </c>
      <c r="F7711" s="9">
        <v>2</v>
      </c>
      <c r="G7711" s="9">
        <v>20</v>
      </c>
      <c r="H7711" s="5" t="s">
        <v>21</v>
      </c>
      <c r="I7711" s="5" t="s">
        <v>17591</v>
      </c>
      <c r="J7711" s="12" t="str">
        <f>HYPERLINK("https://www.boe.es/gazeta/dias/1800/01/07/pdfs/GMD-1800-2.pdf#page=12","Abrir facsímil")</f>
        <v>Abrir facsímil</v>
      </c>
      <c r="K7711" s="15" t="s">
        <v>23</v>
      </c>
    </row>
    <row r="7712" spans="1:11" ht="42" customHeight="1">
      <c r="A7712" s="4" t="s">
        <v>17592</v>
      </c>
      <c r="B7712" s="5" t="s">
        <v>17593</v>
      </c>
      <c r="C7712" s="5" t="s">
        <v>114</v>
      </c>
      <c r="D7712" s="5" t="s">
        <v>115</v>
      </c>
      <c r="E7712" s="5" t="s">
        <v>116</v>
      </c>
      <c r="F7712" s="9">
        <v>86</v>
      </c>
      <c r="G7712" s="9" t="s">
        <v>117</v>
      </c>
      <c r="H7712" s="5" t="s">
        <v>21</v>
      </c>
      <c r="I7712" s="5" t="s">
        <v>17594</v>
      </c>
      <c r="J7712" s="12" t="str">
        <f>HYPERLINK("https://www.boe.es/gazeta/dias/1800/10/24/pdfs/GMD-D-1800-86.pdf#page=3","Abrir facsímil")</f>
        <v>Abrir facsímil</v>
      </c>
      <c r="K7712" s="15" t="s">
        <v>23</v>
      </c>
    </row>
    <row r="7713" spans="1:11" ht="42" customHeight="1">
      <c r="A7713" s="4" t="s">
        <v>17595</v>
      </c>
      <c r="B7713" s="5" t="s">
        <v>17596</v>
      </c>
      <c r="C7713" s="5" t="s">
        <v>114</v>
      </c>
      <c r="D7713" s="5" t="s">
        <v>115</v>
      </c>
      <c r="E7713" s="5" t="s">
        <v>116</v>
      </c>
      <c r="F7713" s="9">
        <v>86</v>
      </c>
      <c r="G7713" s="9" t="s">
        <v>991</v>
      </c>
      <c r="H7713" s="5" t="s">
        <v>21</v>
      </c>
      <c r="I7713" s="5" t="s">
        <v>17597</v>
      </c>
      <c r="J7713" s="12" t="str">
        <f>HYPERLINK("https://www.boe.es/gazeta/dias/1800/10/24/pdfs/GMD-D-1800-86.pdf#page=4","Abrir facsímil")</f>
        <v>Abrir facsímil</v>
      </c>
      <c r="K7713" s="15" t="s">
        <v>23</v>
      </c>
    </row>
    <row r="7714" spans="1:11" ht="42" customHeight="1">
      <c r="A7714" s="4" t="s">
        <v>17598</v>
      </c>
      <c r="B7714" s="5" t="s">
        <v>17599</v>
      </c>
      <c r="C7714" s="5" t="s">
        <v>114</v>
      </c>
      <c r="D7714" s="5" t="s">
        <v>115</v>
      </c>
      <c r="E7714" s="5" t="s">
        <v>116</v>
      </c>
      <c r="F7714" s="9">
        <v>86</v>
      </c>
      <c r="G7714" s="9" t="s">
        <v>725</v>
      </c>
      <c r="H7714" s="5" t="s">
        <v>21</v>
      </c>
      <c r="I7714" s="5" t="s">
        <v>17600</v>
      </c>
      <c r="J7714" s="12" t="str">
        <f>HYPERLINK("https://www.boe.es/gazeta/dias/1800/10/24/pdfs/GMD-D-1800-86.pdf#page=1","Abrir facsímil")</f>
        <v>Abrir facsímil</v>
      </c>
      <c r="K7714" s="15" t="s">
        <v>23</v>
      </c>
    </row>
    <row r="7715" spans="1:11" ht="42" customHeight="1">
      <c r="A7715" s="4" t="s">
        <v>17601</v>
      </c>
      <c r="B7715" s="5" t="s">
        <v>17602</v>
      </c>
      <c r="C7715" s="5" t="s">
        <v>207</v>
      </c>
      <c r="D7715" s="5" t="s">
        <v>55</v>
      </c>
      <c r="E7715" s="5" t="s">
        <v>139</v>
      </c>
      <c r="F7715" s="9">
        <v>2</v>
      </c>
      <c r="G7715" s="9">
        <v>20</v>
      </c>
      <c r="H7715" s="5" t="s">
        <v>21</v>
      </c>
      <c r="I7715" s="5" t="s">
        <v>17603</v>
      </c>
      <c r="J7715" s="12" t="str">
        <f>HYPERLINK("https://www.boe.es/gazeta/dias/1800/01/07/pdfs/GMD-1800-2.pdf#page=12","Abrir facsímil")</f>
        <v>Abrir facsímil</v>
      </c>
      <c r="K7715" s="15" t="s">
        <v>23</v>
      </c>
    </row>
    <row r="7716" spans="1:11" ht="42" customHeight="1">
      <c r="A7716" s="4" t="s">
        <v>17604</v>
      </c>
      <c r="B7716" s="5" t="s">
        <v>17605</v>
      </c>
      <c r="C7716" s="5" t="s">
        <v>114</v>
      </c>
      <c r="D7716" s="5" t="s">
        <v>115</v>
      </c>
      <c r="E7716" s="5" t="s">
        <v>116</v>
      </c>
      <c r="F7716" s="9">
        <v>86</v>
      </c>
      <c r="G7716" s="9" t="s">
        <v>991</v>
      </c>
      <c r="H7716" s="5" t="s">
        <v>21</v>
      </c>
      <c r="I7716" s="5" t="s">
        <v>17606</v>
      </c>
      <c r="J7716" s="12" t="str">
        <f>HYPERLINK("https://www.boe.es/gazeta/dias/1800/10/24/pdfs/GMD-D-1800-86.pdf#page=4","Abrir facsímil")</f>
        <v>Abrir facsímil</v>
      </c>
      <c r="K7716" s="15" t="s">
        <v>23</v>
      </c>
    </row>
    <row r="7717" spans="1:11" ht="42" customHeight="1">
      <c r="A7717" s="4" t="s">
        <v>17607</v>
      </c>
      <c r="B7717" s="5" t="s">
        <v>17608</v>
      </c>
      <c r="C7717" s="5" t="s">
        <v>114</v>
      </c>
      <c r="D7717" s="5" t="s">
        <v>115</v>
      </c>
      <c r="E7717" s="5" t="s">
        <v>116</v>
      </c>
      <c r="F7717" s="9">
        <v>86</v>
      </c>
      <c r="G7717" s="9" t="s">
        <v>725</v>
      </c>
      <c r="H7717" s="5" t="s">
        <v>21</v>
      </c>
      <c r="I7717" s="5" t="s">
        <v>17609</v>
      </c>
      <c r="J7717" s="12" t="str">
        <f>HYPERLINK("https://www.boe.es/gazeta/dias/1800/10/24/pdfs/GMD-D-1800-86.pdf#page=1","Abrir facsímil")</f>
        <v>Abrir facsímil</v>
      </c>
      <c r="K7717" s="15" t="s">
        <v>23</v>
      </c>
    </row>
    <row r="7718" spans="1:11" ht="42" customHeight="1">
      <c r="A7718" s="4" t="s">
        <v>17610</v>
      </c>
      <c r="B7718" s="5" t="s">
        <v>17611</v>
      </c>
      <c r="C7718" s="5" t="s">
        <v>114</v>
      </c>
      <c r="D7718" s="5" t="s">
        <v>115</v>
      </c>
      <c r="E7718" s="5" t="s">
        <v>116</v>
      </c>
      <c r="F7718" s="9">
        <v>86</v>
      </c>
      <c r="G7718" s="9" t="s">
        <v>1501</v>
      </c>
      <c r="H7718" s="5" t="s">
        <v>21</v>
      </c>
      <c r="I7718" s="5" t="s">
        <v>17612</v>
      </c>
      <c r="J7718" s="12" t="str">
        <f>HYPERLINK("https://www.boe.es/gazeta/dias/1800/10/24/pdfs/GMD-D-1800-86.pdf#page=2","Abrir facsímil")</f>
        <v>Abrir facsímil</v>
      </c>
      <c r="K7718" s="15" t="s">
        <v>23</v>
      </c>
    </row>
    <row r="7719" spans="1:11" ht="42" customHeight="1">
      <c r="A7719" s="4" t="s">
        <v>17613</v>
      </c>
      <c r="B7719" s="5" t="s">
        <v>17614</v>
      </c>
      <c r="C7719" s="5" t="s">
        <v>114</v>
      </c>
      <c r="D7719" s="5" t="s">
        <v>115</v>
      </c>
      <c r="E7719" s="5" t="s">
        <v>116</v>
      </c>
      <c r="F7719" s="9">
        <v>86</v>
      </c>
      <c r="G7719" s="9" t="s">
        <v>991</v>
      </c>
      <c r="H7719" s="5" t="s">
        <v>21</v>
      </c>
      <c r="I7719" s="5" t="s">
        <v>17615</v>
      </c>
      <c r="J7719" s="12" t="str">
        <f>HYPERLINK("https://www.boe.es/gazeta/dias/1800/10/24/pdfs/GMD-D-1800-86.pdf#page=4","Abrir facsímil")</f>
        <v>Abrir facsímil</v>
      </c>
      <c r="K7719" s="15" t="s">
        <v>23</v>
      </c>
    </row>
    <row r="7720" spans="1:11" ht="42" customHeight="1">
      <c r="A7720" s="4" t="s">
        <v>17616</v>
      </c>
      <c r="B7720" s="5" t="s">
        <v>17617</v>
      </c>
      <c r="C7720" s="5" t="s">
        <v>114</v>
      </c>
      <c r="D7720" s="5" t="s">
        <v>115</v>
      </c>
      <c r="E7720" s="5" t="s">
        <v>116</v>
      </c>
      <c r="F7720" s="9">
        <v>86</v>
      </c>
      <c r="G7720" s="9" t="s">
        <v>725</v>
      </c>
      <c r="H7720" s="5" t="s">
        <v>21</v>
      </c>
      <c r="I7720" s="5" t="s">
        <v>17618</v>
      </c>
      <c r="J7720" s="12" t="str">
        <f>HYPERLINK("https://www.boe.es/gazeta/dias/1800/10/24/pdfs/GMD-D-1800-86.pdf#page=1","Abrir facsímil")</f>
        <v>Abrir facsímil</v>
      </c>
      <c r="K7720" s="15" t="s">
        <v>23</v>
      </c>
    </row>
    <row r="7721" spans="1:11" ht="42" customHeight="1">
      <c r="A7721" s="4" t="s">
        <v>17616</v>
      </c>
      <c r="B7721" s="5" t="s">
        <v>17617</v>
      </c>
      <c r="C7721" s="5" t="s">
        <v>114</v>
      </c>
      <c r="D7721" s="5" t="s">
        <v>115</v>
      </c>
      <c r="E7721" s="5" t="s">
        <v>116</v>
      </c>
      <c r="F7721" s="9">
        <v>86</v>
      </c>
      <c r="G7721" s="9" t="s">
        <v>991</v>
      </c>
      <c r="H7721" s="5" t="s">
        <v>21</v>
      </c>
      <c r="I7721" s="5" t="s">
        <v>17619</v>
      </c>
      <c r="J7721" s="12" t="str">
        <f>HYPERLINK("https://www.boe.es/gazeta/dias/1800/10/24/pdfs/GMD-D-1800-86.pdf#page=4","Abrir facsímil")</f>
        <v>Abrir facsímil</v>
      </c>
      <c r="K7721" s="15" t="s">
        <v>23</v>
      </c>
    </row>
    <row r="7722" spans="1:11" ht="42" customHeight="1">
      <c r="A7722" s="4" t="s">
        <v>17620</v>
      </c>
      <c r="B7722" s="5" t="s">
        <v>17621</v>
      </c>
      <c r="C7722" s="5" t="s">
        <v>114</v>
      </c>
      <c r="D7722" s="5" t="s">
        <v>115</v>
      </c>
      <c r="E7722" s="5" t="s">
        <v>116</v>
      </c>
      <c r="F7722" s="9">
        <v>86</v>
      </c>
      <c r="G7722" s="9" t="s">
        <v>117</v>
      </c>
      <c r="H7722" s="5" t="s">
        <v>21</v>
      </c>
      <c r="I7722" s="5" t="s">
        <v>17622</v>
      </c>
      <c r="J7722" s="12" t="str">
        <f>HYPERLINK("https://www.boe.es/gazeta/dias/1800/10/24/pdfs/GMD-D-1800-86.pdf#page=3","Abrir facsímil")</f>
        <v>Abrir facsímil</v>
      </c>
      <c r="K7722" s="15" t="s">
        <v>23</v>
      </c>
    </row>
    <row r="7723" spans="1:11" ht="42" customHeight="1">
      <c r="A7723" s="4" t="s">
        <v>17623</v>
      </c>
      <c r="B7723" s="5" t="s">
        <v>17624</v>
      </c>
      <c r="C7723" s="5" t="s">
        <v>41</v>
      </c>
      <c r="D7723" s="5" t="s">
        <v>42</v>
      </c>
      <c r="E7723" s="5" t="s">
        <v>1294</v>
      </c>
      <c r="F7723" s="9">
        <v>59</v>
      </c>
      <c r="G7723" s="9">
        <v>677</v>
      </c>
      <c r="H7723" s="5" t="s">
        <v>21</v>
      </c>
      <c r="I7723" s="5" t="s">
        <v>17625</v>
      </c>
      <c r="J7723" s="12" t="str">
        <f>HYPERLINK("https://www.boe.es/gazeta/dias/1800/07/25/pdfs/GMD-1800-59.pdf#page=9","Abrir facsímil")</f>
        <v>Abrir facsímil</v>
      </c>
      <c r="K7723" s="15" t="s">
        <v>23</v>
      </c>
    </row>
    <row r="7724" spans="1:11" ht="42" customHeight="1">
      <c r="A7724" s="4" t="s">
        <v>17626</v>
      </c>
      <c r="B7724" s="5" t="s">
        <v>17627</v>
      </c>
      <c r="C7724" s="5" t="s">
        <v>114</v>
      </c>
      <c r="D7724" s="5" t="s">
        <v>115</v>
      </c>
      <c r="E7724" s="5" t="s">
        <v>116</v>
      </c>
      <c r="F7724" s="9">
        <v>86</v>
      </c>
      <c r="G7724" s="9" t="s">
        <v>991</v>
      </c>
      <c r="H7724" s="5" t="s">
        <v>21</v>
      </c>
      <c r="I7724" s="5" t="s">
        <v>17628</v>
      </c>
      <c r="J7724" s="12" t="str">
        <f>HYPERLINK("https://www.boe.es/gazeta/dias/1800/10/24/pdfs/GMD-D-1800-86.pdf#page=4","Abrir facsímil")</f>
        <v>Abrir facsímil</v>
      </c>
      <c r="K7724" s="15" t="s">
        <v>23</v>
      </c>
    </row>
    <row r="7725" spans="1:11" ht="42" customHeight="1">
      <c r="A7725" s="4" t="s">
        <v>17629</v>
      </c>
      <c r="B7725" s="5" t="s">
        <v>17630</v>
      </c>
      <c r="C7725" s="5" t="s">
        <v>114</v>
      </c>
      <c r="D7725" s="5" t="s">
        <v>115</v>
      </c>
      <c r="E7725" s="5" t="s">
        <v>116</v>
      </c>
      <c r="F7725" s="9">
        <v>86</v>
      </c>
      <c r="G7725" s="9" t="s">
        <v>117</v>
      </c>
      <c r="H7725" s="5" t="s">
        <v>21</v>
      </c>
      <c r="I7725" s="5" t="s">
        <v>17631</v>
      </c>
      <c r="J7725" s="12" t="str">
        <f>HYPERLINK("https://www.boe.es/gazeta/dias/1800/10/24/pdfs/GMD-D-1800-86.pdf#page=3","Abrir facsímil")</f>
        <v>Abrir facsímil</v>
      </c>
      <c r="K7725" s="15" t="s">
        <v>23</v>
      </c>
    </row>
    <row r="7726" spans="1:11" ht="42" customHeight="1">
      <c r="A7726" s="4" t="s">
        <v>17632</v>
      </c>
      <c r="B7726" s="5" t="s">
        <v>17633</v>
      </c>
      <c r="C7726" s="5" t="s">
        <v>114</v>
      </c>
      <c r="D7726" s="5" t="s">
        <v>115</v>
      </c>
      <c r="E7726" s="5" t="s">
        <v>116</v>
      </c>
      <c r="F7726" s="9">
        <v>86</v>
      </c>
      <c r="G7726" s="9" t="s">
        <v>991</v>
      </c>
      <c r="H7726" s="5" t="s">
        <v>21</v>
      </c>
      <c r="I7726" s="5" t="s">
        <v>17634</v>
      </c>
      <c r="J7726" s="12" t="str">
        <f>HYPERLINK("https://www.boe.es/gazeta/dias/1800/10/24/pdfs/GMD-D-1800-86.pdf#page=4","Abrir facsímil")</f>
        <v>Abrir facsímil</v>
      </c>
      <c r="K7726" s="15" t="s">
        <v>23</v>
      </c>
    </row>
    <row r="7727" spans="1:11" ht="42" customHeight="1">
      <c r="A7727" s="4" t="s">
        <v>17635</v>
      </c>
      <c r="B7727" s="5" t="s">
        <v>17636</v>
      </c>
      <c r="C7727" s="5" t="s">
        <v>114</v>
      </c>
      <c r="D7727" s="5" t="s">
        <v>115</v>
      </c>
      <c r="E7727" s="5" t="s">
        <v>116</v>
      </c>
      <c r="F7727" s="9">
        <v>86</v>
      </c>
      <c r="G7727" s="9" t="s">
        <v>725</v>
      </c>
      <c r="H7727" s="5" t="s">
        <v>21</v>
      </c>
      <c r="I7727" s="5" t="s">
        <v>17637</v>
      </c>
      <c r="J7727" s="12" t="str">
        <f>HYPERLINK("https://www.boe.es/gazeta/dias/1800/10/24/pdfs/GMD-D-1800-86.pdf#page=1","Abrir facsímil")</f>
        <v>Abrir facsímil</v>
      </c>
      <c r="K7727" s="15" t="s">
        <v>23</v>
      </c>
    </row>
    <row r="7728" spans="1:11" ht="42" customHeight="1">
      <c r="A7728" s="4" t="s">
        <v>17638</v>
      </c>
      <c r="B7728" s="5" t="s">
        <v>17639</v>
      </c>
      <c r="C7728" s="5" t="s">
        <v>114</v>
      </c>
      <c r="D7728" s="5" t="s">
        <v>115</v>
      </c>
      <c r="E7728" s="5" t="s">
        <v>116</v>
      </c>
      <c r="F7728" s="9">
        <v>86</v>
      </c>
      <c r="G7728" s="9" t="s">
        <v>117</v>
      </c>
      <c r="H7728" s="5" t="s">
        <v>21</v>
      </c>
      <c r="I7728" s="5" t="s">
        <v>17640</v>
      </c>
      <c r="J7728" s="12" t="str">
        <f>HYPERLINK("https://www.boe.es/gazeta/dias/1800/10/24/pdfs/GMD-D-1800-86.pdf#page=3","Abrir facsímil")</f>
        <v>Abrir facsímil</v>
      </c>
      <c r="K7728" s="15" t="s">
        <v>23</v>
      </c>
    </row>
    <row r="7729" spans="1:11" ht="42" customHeight="1">
      <c r="A7729" s="4" t="s">
        <v>17641</v>
      </c>
      <c r="B7729" s="5" t="s">
        <v>17642</v>
      </c>
      <c r="C7729" s="5" t="s">
        <v>114</v>
      </c>
      <c r="D7729" s="5" t="s">
        <v>115</v>
      </c>
      <c r="E7729" s="5" t="s">
        <v>116</v>
      </c>
      <c r="F7729" s="9">
        <v>86</v>
      </c>
      <c r="G7729" s="9" t="s">
        <v>991</v>
      </c>
      <c r="H7729" s="5" t="s">
        <v>21</v>
      </c>
      <c r="I7729" s="5" t="s">
        <v>17643</v>
      </c>
      <c r="J7729" s="12" t="str">
        <f>HYPERLINK("https://www.boe.es/gazeta/dias/1800/10/24/pdfs/GMD-D-1800-86.pdf#page=4","Abrir facsímil")</f>
        <v>Abrir facsímil</v>
      </c>
      <c r="K7729" s="15" t="s">
        <v>23</v>
      </c>
    </row>
    <row r="7730" spans="1:11" ht="42" customHeight="1">
      <c r="A7730" s="4" t="s">
        <v>17644</v>
      </c>
      <c r="B7730" s="5" t="s">
        <v>17645</v>
      </c>
      <c r="C7730" s="5" t="s">
        <v>207</v>
      </c>
      <c r="D7730" s="5" t="s">
        <v>55</v>
      </c>
      <c r="E7730" s="5" t="s">
        <v>139</v>
      </c>
      <c r="F7730" s="9">
        <v>2</v>
      </c>
      <c r="G7730" s="9">
        <v>20</v>
      </c>
      <c r="H7730" s="5" t="s">
        <v>21</v>
      </c>
      <c r="I7730" s="5" t="s">
        <v>17646</v>
      </c>
      <c r="J7730" s="12" t="str">
        <f>HYPERLINK("https://www.boe.es/gazeta/dias/1800/01/07/pdfs/GMD-1800-2.pdf#page=12","Abrir facsímil")</f>
        <v>Abrir facsímil</v>
      </c>
      <c r="K7730" s="15" t="s">
        <v>23</v>
      </c>
    </row>
    <row r="7731" spans="1:11" ht="42" customHeight="1">
      <c r="A7731" s="4" t="s">
        <v>17647</v>
      </c>
      <c r="B7731" s="5" t="s">
        <v>17648</v>
      </c>
      <c r="C7731" s="5" t="s">
        <v>114</v>
      </c>
      <c r="D7731" s="5" t="s">
        <v>115</v>
      </c>
      <c r="E7731" s="5" t="s">
        <v>116</v>
      </c>
      <c r="F7731" s="9">
        <v>86</v>
      </c>
      <c r="G7731" s="9" t="s">
        <v>991</v>
      </c>
      <c r="H7731" s="5" t="s">
        <v>21</v>
      </c>
      <c r="I7731" s="5" t="s">
        <v>17649</v>
      </c>
      <c r="J7731" s="12" t="str">
        <f>HYPERLINK("https://www.boe.es/gazeta/dias/1800/10/24/pdfs/GMD-D-1800-86.pdf#page=4","Abrir facsímil")</f>
        <v>Abrir facsímil</v>
      </c>
      <c r="K7731" s="15" t="s">
        <v>23</v>
      </c>
    </row>
    <row r="7732" spans="1:11" ht="42" customHeight="1">
      <c r="A7732" s="4" t="s">
        <v>17650</v>
      </c>
      <c r="B7732" s="5" t="s">
        <v>17651</v>
      </c>
      <c r="C7732" s="5" t="s">
        <v>114</v>
      </c>
      <c r="D7732" s="5" t="s">
        <v>115</v>
      </c>
      <c r="E7732" s="5" t="s">
        <v>116</v>
      </c>
      <c r="F7732" s="9">
        <v>86</v>
      </c>
      <c r="G7732" s="9" t="s">
        <v>117</v>
      </c>
      <c r="H7732" s="5" t="s">
        <v>21</v>
      </c>
      <c r="I7732" s="5" t="s">
        <v>17652</v>
      </c>
      <c r="J7732" s="12" t="str">
        <f>HYPERLINK("https://www.boe.es/gazeta/dias/1800/10/24/pdfs/GMD-D-1800-86.pdf#page=3","Abrir facsímil")</f>
        <v>Abrir facsímil</v>
      </c>
      <c r="K7732" s="15" t="s">
        <v>23</v>
      </c>
    </row>
    <row r="7733" spans="1:11" ht="42" customHeight="1">
      <c r="A7733" s="4" t="s">
        <v>17650</v>
      </c>
      <c r="B7733" s="5" t="s">
        <v>17651</v>
      </c>
      <c r="C7733" s="5" t="s">
        <v>114</v>
      </c>
      <c r="D7733" s="5" t="s">
        <v>115</v>
      </c>
      <c r="E7733" s="5" t="s">
        <v>116</v>
      </c>
      <c r="F7733" s="9">
        <v>86</v>
      </c>
      <c r="G7733" s="9" t="s">
        <v>991</v>
      </c>
      <c r="H7733" s="5" t="s">
        <v>21</v>
      </c>
      <c r="I7733" s="5" t="s">
        <v>17653</v>
      </c>
      <c r="J7733" s="12" t="str">
        <f>HYPERLINK("https://www.boe.es/gazeta/dias/1800/10/24/pdfs/GMD-D-1800-86.pdf#page=4","Abrir facsímil")</f>
        <v>Abrir facsímil</v>
      </c>
      <c r="K7733" s="15" t="s">
        <v>23</v>
      </c>
    </row>
    <row r="7734" spans="1:11" ht="42" customHeight="1">
      <c r="A7734" s="4" t="s">
        <v>17654</v>
      </c>
      <c r="B7734" s="5" t="s">
        <v>17655</v>
      </c>
      <c r="C7734" s="5" t="s">
        <v>114</v>
      </c>
      <c r="D7734" s="5" t="s">
        <v>115</v>
      </c>
      <c r="E7734" s="5" t="s">
        <v>116</v>
      </c>
      <c r="F7734" s="9">
        <v>86</v>
      </c>
      <c r="G7734" s="9" t="s">
        <v>1501</v>
      </c>
      <c r="H7734" s="5" t="s">
        <v>21</v>
      </c>
      <c r="I7734" s="5" t="s">
        <v>17656</v>
      </c>
      <c r="J7734" s="12" t="str">
        <f>HYPERLINK("https://www.boe.es/gazeta/dias/1800/10/24/pdfs/GMD-D-1800-86.pdf#page=2","Abrir facsímil")</f>
        <v>Abrir facsímil</v>
      </c>
      <c r="K7734" s="15" t="s">
        <v>23</v>
      </c>
    </row>
    <row r="7735" spans="1:11" ht="42" customHeight="1">
      <c r="A7735" s="4" t="s">
        <v>17657</v>
      </c>
      <c r="B7735" s="5" t="s">
        <v>17658</v>
      </c>
      <c r="C7735" s="5" t="s">
        <v>114</v>
      </c>
      <c r="D7735" s="5" t="s">
        <v>115</v>
      </c>
      <c r="E7735" s="5" t="s">
        <v>116</v>
      </c>
      <c r="F7735" s="9">
        <v>86</v>
      </c>
      <c r="G7735" s="9" t="s">
        <v>991</v>
      </c>
      <c r="H7735" s="5" t="s">
        <v>21</v>
      </c>
      <c r="I7735" s="5" t="s">
        <v>17659</v>
      </c>
      <c r="J7735" s="12" t="str">
        <f>HYPERLINK("https://www.boe.es/gazeta/dias/1800/10/24/pdfs/GMD-D-1800-86.pdf#page=4","Abrir facsímil")</f>
        <v>Abrir facsímil</v>
      </c>
      <c r="K7735" s="15" t="s">
        <v>23</v>
      </c>
    </row>
    <row r="7736" spans="1:11" ht="42" customHeight="1">
      <c r="A7736" s="4" t="s">
        <v>17660</v>
      </c>
      <c r="B7736" s="5" t="s">
        <v>17661</v>
      </c>
      <c r="C7736" s="5" t="s">
        <v>114</v>
      </c>
      <c r="D7736" s="5" t="s">
        <v>115</v>
      </c>
      <c r="E7736" s="5" t="s">
        <v>116</v>
      </c>
      <c r="F7736" s="9">
        <v>86</v>
      </c>
      <c r="G7736" s="9" t="s">
        <v>117</v>
      </c>
      <c r="H7736" s="5" t="s">
        <v>21</v>
      </c>
      <c r="I7736" s="5" t="s">
        <v>17662</v>
      </c>
      <c r="J7736" s="12" t="str">
        <f>HYPERLINK("https://www.boe.es/gazeta/dias/1800/10/24/pdfs/GMD-D-1800-86.pdf#page=3","Abrir facsímil")</f>
        <v>Abrir facsímil</v>
      </c>
      <c r="K7736" s="15" t="s">
        <v>23</v>
      </c>
    </row>
    <row r="7737" spans="1:11" ht="42" customHeight="1">
      <c r="A7737" s="4" t="s">
        <v>17663</v>
      </c>
      <c r="B7737" s="5" t="s">
        <v>17664</v>
      </c>
      <c r="C7737" s="5" t="s">
        <v>114</v>
      </c>
      <c r="D7737" s="5" t="s">
        <v>115</v>
      </c>
      <c r="E7737" s="5" t="s">
        <v>116</v>
      </c>
      <c r="F7737" s="9">
        <v>86</v>
      </c>
      <c r="G7737" s="9" t="s">
        <v>1501</v>
      </c>
      <c r="H7737" s="5" t="s">
        <v>21</v>
      </c>
      <c r="I7737" s="5" t="s">
        <v>17665</v>
      </c>
      <c r="J7737" s="12" t="str">
        <f>HYPERLINK("https://www.boe.es/gazeta/dias/1800/10/24/pdfs/GMD-D-1800-86.pdf#page=2","Abrir facsímil")</f>
        <v>Abrir facsímil</v>
      </c>
      <c r="K7737" s="15" t="s">
        <v>23</v>
      </c>
    </row>
    <row r="7738" spans="1:11" ht="42" customHeight="1">
      <c r="A7738" s="4" t="s">
        <v>17666</v>
      </c>
      <c r="B7738" s="5" t="s">
        <v>17667</v>
      </c>
      <c r="C7738" s="5" t="s">
        <v>114</v>
      </c>
      <c r="D7738" s="5" t="s">
        <v>115</v>
      </c>
      <c r="E7738" s="5" t="s">
        <v>116</v>
      </c>
      <c r="F7738" s="9">
        <v>86</v>
      </c>
      <c r="G7738" s="9" t="s">
        <v>1501</v>
      </c>
      <c r="H7738" s="5" t="s">
        <v>21</v>
      </c>
      <c r="I7738" s="5" t="s">
        <v>17668</v>
      </c>
      <c r="J7738" s="12" t="str">
        <f>HYPERLINK("https://www.boe.es/gazeta/dias/1800/10/24/pdfs/GMD-D-1800-86.pdf#page=2","Abrir facsímil")</f>
        <v>Abrir facsímil</v>
      </c>
      <c r="K7738" s="15" t="s">
        <v>23</v>
      </c>
    </row>
    <row r="7739" spans="1:11" ht="42" customHeight="1">
      <c r="A7739" s="4" t="s">
        <v>17669</v>
      </c>
      <c r="B7739" s="5" t="s">
        <v>17670</v>
      </c>
      <c r="C7739" s="5" t="s">
        <v>114</v>
      </c>
      <c r="D7739" s="5" t="s">
        <v>115</v>
      </c>
      <c r="E7739" s="5" t="s">
        <v>116</v>
      </c>
      <c r="F7739" s="9">
        <v>86</v>
      </c>
      <c r="G7739" s="9" t="s">
        <v>1501</v>
      </c>
      <c r="H7739" s="5" t="s">
        <v>21</v>
      </c>
      <c r="I7739" s="5" t="s">
        <v>17671</v>
      </c>
      <c r="J7739" s="12" t="str">
        <f>HYPERLINK("https://www.boe.es/gazeta/dias/1800/10/24/pdfs/GMD-D-1800-86.pdf#page=2","Abrir facsímil")</f>
        <v>Abrir facsímil</v>
      </c>
      <c r="K7739" s="15" t="s">
        <v>23</v>
      </c>
    </row>
    <row r="7740" spans="1:11" ht="42" customHeight="1">
      <c r="A7740" s="4" t="s">
        <v>17672</v>
      </c>
      <c r="B7740" s="5" t="s">
        <v>17673</v>
      </c>
      <c r="C7740" s="5" t="s">
        <v>207</v>
      </c>
      <c r="D7740" s="5" t="s">
        <v>55</v>
      </c>
      <c r="E7740" s="5" t="s">
        <v>478</v>
      </c>
      <c r="F7740" s="9">
        <v>34</v>
      </c>
      <c r="G7740" s="9">
        <v>346</v>
      </c>
      <c r="H7740" s="5" t="s">
        <v>21</v>
      </c>
      <c r="I7740" s="5" t="s">
        <v>17674</v>
      </c>
      <c r="J7740" s="12" t="str">
        <f>HYPERLINK("https://www.boe.es/gazeta/dias/1800/04/29/pdfs/GMD-1800-34.pdf#page=10","Abrir facsímil")</f>
        <v>Abrir facsímil</v>
      </c>
      <c r="K7740" s="15" t="s">
        <v>23</v>
      </c>
    </row>
    <row r="7741" spans="1:11" ht="42" customHeight="1">
      <c r="A7741" s="4" t="s">
        <v>17675</v>
      </c>
      <c r="B7741" s="5" t="s">
        <v>17676</v>
      </c>
      <c r="C7741" s="5" t="s">
        <v>114</v>
      </c>
      <c r="D7741" s="5" t="s">
        <v>115</v>
      </c>
      <c r="E7741" s="5" t="s">
        <v>116</v>
      </c>
      <c r="F7741" s="9">
        <v>86</v>
      </c>
      <c r="G7741" s="9" t="s">
        <v>991</v>
      </c>
      <c r="H7741" s="5" t="s">
        <v>21</v>
      </c>
      <c r="I7741" s="5" t="s">
        <v>17677</v>
      </c>
      <c r="J7741" s="12" t="str">
        <f>HYPERLINK("https://www.boe.es/gazeta/dias/1800/10/24/pdfs/GMD-D-1800-86.pdf#page=4","Abrir facsímil")</f>
        <v>Abrir facsímil</v>
      </c>
      <c r="K7741" s="15" t="s">
        <v>23</v>
      </c>
    </row>
    <row r="7742" spans="1:11" ht="42" customHeight="1">
      <c r="A7742" s="4" t="s">
        <v>17678</v>
      </c>
      <c r="B7742" s="5" t="s">
        <v>17679</v>
      </c>
      <c r="C7742" s="5" t="s">
        <v>114</v>
      </c>
      <c r="D7742" s="5" t="s">
        <v>115</v>
      </c>
      <c r="E7742" s="5" t="s">
        <v>116</v>
      </c>
      <c r="F7742" s="9">
        <v>86</v>
      </c>
      <c r="G7742" s="9" t="s">
        <v>117</v>
      </c>
      <c r="H7742" s="5" t="s">
        <v>21</v>
      </c>
      <c r="I7742" s="5" t="s">
        <v>17680</v>
      </c>
      <c r="J7742" s="12" t="str">
        <f>HYPERLINK("https://www.boe.es/gazeta/dias/1800/10/24/pdfs/GMD-D-1800-86.pdf#page=3","Abrir facsímil")</f>
        <v>Abrir facsímil</v>
      </c>
      <c r="K7742" s="15" t="s">
        <v>23</v>
      </c>
    </row>
    <row r="7743" spans="1:11" ht="42" customHeight="1">
      <c r="A7743" s="4" t="s">
        <v>17681</v>
      </c>
      <c r="B7743" s="5" t="s">
        <v>17682</v>
      </c>
      <c r="C7743" s="5" t="s">
        <v>114</v>
      </c>
      <c r="D7743" s="5" t="s">
        <v>115</v>
      </c>
      <c r="E7743" s="5" t="s">
        <v>116</v>
      </c>
      <c r="F7743" s="9">
        <v>86</v>
      </c>
      <c r="G7743" s="9" t="s">
        <v>117</v>
      </c>
      <c r="H7743" s="5" t="s">
        <v>21</v>
      </c>
      <c r="I7743" s="5" t="s">
        <v>17683</v>
      </c>
      <c r="J7743" s="12" t="str">
        <f>HYPERLINK("https://www.boe.es/gazeta/dias/1800/10/24/pdfs/GMD-D-1800-86.pdf#page=3","Abrir facsímil")</f>
        <v>Abrir facsímil</v>
      </c>
      <c r="K7743" s="15" t="s">
        <v>23</v>
      </c>
    </row>
    <row r="7744" spans="1:11" ht="42" customHeight="1">
      <c r="A7744" s="4" t="s">
        <v>17684</v>
      </c>
      <c r="B7744" s="5" t="s">
        <v>17685</v>
      </c>
      <c r="C7744" s="5" t="s">
        <v>114</v>
      </c>
      <c r="D7744" s="5" t="s">
        <v>115</v>
      </c>
      <c r="E7744" s="5" t="s">
        <v>116</v>
      </c>
      <c r="F7744" s="9">
        <v>86</v>
      </c>
      <c r="G7744" s="9" t="s">
        <v>1501</v>
      </c>
      <c r="H7744" s="5" t="s">
        <v>21</v>
      </c>
      <c r="I7744" s="5" t="s">
        <v>17686</v>
      </c>
      <c r="J7744" s="12" t="str">
        <f>HYPERLINK("https://www.boe.es/gazeta/dias/1800/10/24/pdfs/GMD-D-1800-86.pdf#page=2","Abrir facsímil")</f>
        <v>Abrir facsímil</v>
      </c>
      <c r="K7744" s="15" t="s">
        <v>23</v>
      </c>
    </row>
    <row r="7745" spans="1:11" ht="42" customHeight="1">
      <c r="A7745" s="4" t="s">
        <v>17687</v>
      </c>
      <c r="B7745" s="5" t="s">
        <v>17688</v>
      </c>
      <c r="C7745" s="5" t="s">
        <v>114</v>
      </c>
      <c r="D7745" s="5" t="s">
        <v>115</v>
      </c>
      <c r="E7745" s="5" t="s">
        <v>116</v>
      </c>
      <c r="F7745" s="9">
        <v>86</v>
      </c>
      <c r="G7745" s="9" t="s">
        <v>991</v>
      </c>
      <c r="H7745" s="5" t="s">
        <v>21</v>
      </c>
      <c r="I7745" s="5" t="s">
        <v>17689</v>
      </c>
      <c r="J7745" s="12" t="str">
        <f>HYPERLINK("https://www.boe.es/gazeta/dias/1800/10/24/pdfs/GMD-D-1800-86.pdf#page=4","Abrir facsímil")</f>
        <v>Abrir facsímil</v>
      </c>
      <c r="K7745" s="15" t="s">
        <v>23</v>
      </c>
    </row>
    <row r="7746" spans="1:11" ht="42" customHeight="1">
      <c r="A7746" s="4" t="s">
        <v>17690</v>
      </c>
      <c r="B7746" s="5" t="s">
        <v>17691</v>
      </c>
      <c r="C7746" s="5" t="s">
        <v>114</v>
      </c>
      <c r="D7746" s="5" t="s">
        <v>115</v>
      </c>
      <c r="E7746" s="5" t="s">
        <v>116</v>
      </c>
      <c r="F7746" s="9">
        <v>86</v>
      </c>
      <c r="G7746" s="9" t="s">
        <v>725</v>
      </c>
      <c r="H7746" s="5" t="s">
        <v>21</v>
      </c>
      <c r="I7746" s="5" t="s">
        <v>17692</v>
      </c>
      <c r="J7746" s="12" t="str">
        <f>HYPERLINK("https://www.boe.es/gazeta/dias/1800/10/24/pdfs/GMD-D-1800-86.pdf#page=1","Abrir facsímil")</f>
        <v>Abrir facsímil</v>
      </c>
      <c r="K7746" s="15" t="s">
        <v>23</v>
      </c>
    </row>
    <row r="7747" spans="1:11" ht="42" customHeight="1">
      <c r="A7747" s="4" t="s">
        <v>17693</v>
      </c>
      <c r="B7747" s="5" t="s">
        <v>17694</v>
      </c>
      <c r="C7747" s="5" t="s">
        <v>114</v>
      </c>
      <c r="D7747" s="5" t="s">
        <v>115</v>
      </c>
      <c r="E7747" s="5" t="s">
        <v>116</v>
      </c>
      <c r="F7747" s="9">
        <v>86</v>
      </c>
      <c r="G7747" s="9" t="s">
        <v>117</v>
      </c>
      <c r="H7747" s="5" t="s">
        <v>21</v>
      </c>
      <c r="I7747" s="5" t="s">
        <v>17695</v>
      </c>
      <c r="J7747" s="12" t="str">
        <f>HYPERLINK("https://www.boe.es/gazeta/dias/1800/10/24/pdfs/GMD-D-1800-86.pdf#page=3","Abrir facsímil")</f>
        <v>Abrir facsímil</v>
      </c>
      <c r="K7747" s="15" t="s">
        <v>23</v>
      </c>
    </row>
    <row r="7748" spans="1:11" ht="42" customHeight="1">
      <c r="A7748" s="4" t="s">
        <v>17696</v>
      </c>
      <c r="B7748" s="5" t="s">
        <v>17697</v>
      </c>
      <c r="C7748" s="5" t="s">
        <v>114</v>
      </c>
      <c r="D7748" s="5" t="s">
        <v>115</v>
      </c>
      <c r="E7748" s="5" t="s">
        <v>116</v>
      </c>
      <c r="F7748" s="9">
        <v>86</v>
      </c>
      <c r="G7748" s="9" t="s">
        <v>1501</v>
      </c>
      <c r="H7748" s="5" t="s">
        <v>21</v>
      </c>
      <c r="I7748" s="5" t="s">
        <v>17698</v>
      </c>
      <c r="J7748" s="12" t="str">
        <f>HYPERLINK("https://www.boe.es/gazeta/dias/1800/10/24/pdfs/GMD-D-1800-86.pdf#page=2","Abrir facsímil")</f>
        <v>Abrir facsímil</v>
      </c>
      <c r="K7748" s="15" t="s">
        <v>23</v>
      </c>
    </row>
    <row r="7749" spans="1:11" ht="42" customHeight="1">
      <c r="A7749" s="4" t="s">
        <v>17699</v>
      </c>
      <c r="B7749" s="5" t="s">
        <v>17700</v>
      </c>
      <c r="C7749" s="5" t="s">
        <v>114</v>
      </c>
      <c r="D7749" s="5" t="s">
        <v>115</v>
      </c>
      <c r="E7749" s="5" t="s">
        <v>116</v>
      </c>
      <c r="F7749" s="9">
        <v>86</v>
      </c>
      <c r="G7749" s="9" t="s">
        <v>991</v>
      </c>
      <c r="H7749" s="5" t="s">
        <v>21</v>
      </c>
      <c r="I7749" s="5" t="s">
        <v>17701</v>
      </c>
      <c r="J7749" s="12" t="str">
        <f>HYPERLINK("https://www.boe.es/gazeta/dias/1800/10/24/pdfs/GMD-D-1800-86.pdf#page=4","Abrir facsímil")</f>
        <v>Abrir facsímil</v>
      </c>
      <c r="K7749" s="15" t="s">
        <v>23</v>
      </c>
    </row>
    <row r="7750" spans="1:11" ht="42" customHeight="1">
      <c r="A7750" s="4" t="s">
        <v>17702</v>
      </c>
      <c r="B7750" s="5" t="s">
        <v>17703</v>
      </c>
      <c r="C7750" s="5" t="s">
        <v>114</v>
      </c>
      <c r="D7750" s="5" t="s">
        <v>115</v>
      </c>
      <c r="E7750" s="5" t="s">
        <v>116</v>
      </c>
      <c r="F7750" s="9">
        <v>86</v>
      </c>
      <c r="G7750" s="9" t="s">
        <v>1501</v>
      </c>
      <c r="H7750" s="5" t="s">
        <v>21</v>
      </c>
      <c r="I7750" s="5" t="s">
        <v>17704</v>
      </c>
      <c r="J7750" s="12" t="str">
        <f>HYPERLINK("https://www.boe.es/gazeta/dias/1800/10/24/pdfs/GMD-D-1800-86.pdf#page=2","Abrir facsímil")</f>
        <v>Abrir facsímil</v>
      </c>
      <c r="K7750" s="15" t="s">
        <v>23</v>
      </c>
    </row>
    <row r="7751" spans="1:11" ht="42" customHeight="1">
      <c r="A7751" s="4" t="s">
        <v>17705</v>
      </c>
      <c r="B7751" s="5" t="s">
        <v>17706</v>
      </c>
      <c r="C7751" s="5" t="s">
        <v>207</v>
      </c>
      <c r="D7751" s="5" t="s">
        <v>55</v>
      </c>
      <c r="E7751" s="5" t="s">
        <v>139</v>
      </c>
      <c r="F7751" s="9">
        <v>2</v>
      </c>
      <c r="G7751" s="9">
        <v>20</v>
      </c>
      <c r="H7751" s="5" t="s">
        <v>21</v>
      </c>
      <c r="I7751" s="5" t="s">
        <v>17707</v>
      </c>
      <c r="J7751" s="12" t="str">
        <f>HYPERLINK("https://www.boe.es/gazeta/dias/1800/01/07/pdfs/GMD-1800-2.pdf#page=12","Abrir facsímil")</f>
        <v>Abrir facsímil</v>
      </c>
      <c r="K7751" s="15" t="s">
        <v>23</v>
      </c>
    </row>
    <row r="7752" spans="1:11" ht="42" customHeight="1">
      <c r="A7752" s="4" t="s">
        <v>17708</v>
      </c>
      <c r="B7752" s="5" t="s">
        <v>17709</v>
      </c>
      <c r="C7752" s="5" t="s">
        <v>25</v>
      </c>
      <c r="D7752" s="5" t="s">
        <v>26</v>
      </c>
      <c r="E7752" s="5" t="s">
        <v>58</v>
      </c>
      <c r="F7752" s="9">
        <v>92</v>
      </c>
      <c r="G7752" s="9">
        <v>1052</v>
      </c>
      <c r="H7752" s="5" t="s">
        <v>21</v>
      </c>
      <c r="I7752" s="5" t="s">
        <v>17710</v>
      </c>
      <c r="J7752" s="12" t="str">
        <f>HYPERLINK("https://www.boe.es/gazeta/dias/1800/11/14/pdfs/GMD-1800-92.pdf#page=6","Abrir facsímil")</f>
        <v>Abrir facsímil</v>
      </c>
      <c r="K7752" s="15" t="s">
        <v>23</v>
      </c>
    </row>
    <row r="7753" spans="1:11" ht="42" customHeight="1">
      <c r="A7753" s="4" t="s">
        <v>17711</v>
      </c>
      <c r="B7753" s="5" t="s">
        <v>17711</v>
      </c>
      <c r="C7753" s="5" t="s">
        <v>41</v>
      </c>
      <c r="D7753" s="5" t="s">
        <v>42</v>
      </c>
      <c r="E7753" s="5" t="s">
        <v>319</v>
      </c>
      <c r="F7753" s="9">
        <v>62</v>
      </c>
      <c r="G7753" s="9">
        <v>706</v>
      </c>
      <c r="H7753" s="5" t="s">
        <v>21</v>
      </c>
      <c r="I7753" s="5" t="s">
        <v>17712</v>
      </c>
      <c r="J7753" s="12" t="str">
        <f>HYPERLINK("https://www.boe.es/gazeta/dias/1800/08/05/pdfs/GMD-1800-62.pdf#page=6","Abrir facsímil")</f>
        <v>Abrir facsímil</v>
      </c>
      <c r="K7753" s="15" t="s">
        <v>23</v>
      </c>
    </row>
    <row r="7754" spans="1:11" ht="42" customHeight="1">
      <c r="A7754" s="4" t="s">
        <v>17713</v>
      </c>
      <c r="B7754" s="5" t="s">
        <v>17714</v>
      </c>
      <c r="C7754" s="5" t="s">
        <v>207</v>
      </c>
      <c r="D7754" s="5" t="s">
        <v>55</v>
      </c>
      <c r="E7754" s="5" t="s">
        <v>275</v>
      </c>
      <c r="F7754" s="9">
        <v>60</v>
      </c>
      <c r="G7754" s="9">
        <v>687</v>
      </c>
      <c r="H7754" s="5" t="s">
        <v>21</v>
      </c>
      <c r="I7754" s="5" t="s">
        <v>17715</v>
      </c>
      <c r="J7754" s="12" t="str">
        <f>HYPERLINK("https://www.boe.es/gazeta/dias/1800/07/29/pdfs/GMD-1800-60.pdf#page=7","Abrir facsímil")</f>
        <v>Abrir facsímil</v>
      </c>
      <c r="K7754" s="15" t="s">
        <v>23</v>
      </c>
    </row>
    <row r="7755" spans="1:11" ht="42" customHeight="1">
      <c r="A7755" s="4" t="s">
        <v>17716</v>
      </c>
      <c r="B7755" s="5" t="s">
        <v>17717</v>
      </c>
      <c r="C7755" s="5" t="s">
        <v>18</v>
      </c>
      <c r="D7755" s="5" t="s">
        <v>19</v>
      </c>
      <c r="E7755" s="5" t="s">
        <v>56</v>
      </c>
      <c r="F7755" s="9">
        <v>90</v>
      </c>
      <c r="G7755" s="9">
        <v>1056</v>
      </c>
      <c r="H7755" s="5" t="s">
        <v>21</v>
      </c>
      <c r="I7755" s="5" t="s">
        <v>17718</v>
      </c>
      <c r="J7755" s="12" t="str">
        <f>HYPERLINK("https://www.boe.es/gazeta/dias/1800/11/07/pdfs/GMD-1800-90.pdf#page=10","Abrir facsímil")</f>
        <v>Abrir facsímil</v>
      </c>
      <c r="K7755" s="15" t="s">
        <v>23</v>
      </c>
    </row>
    <row r="7756" spans="1:11" ht="42" customHeight="1">
      <c r="A7756" s="4" t="s">
        <v>17719</v>
      </c>
      <c r="B7756" s="5" t="s">
        <v>17720</v>
      </c>
      <c r="C7756" s="5" t="s">
        <v>25</v>
      </c>
      <c r="D7756" s="5" t="s">
        <v>26</v>
      </c>
      <c r="E7756" s="5" t="s">
        <v>58</v>
      </c>
      <c r="F7756" s="9">
        <v>92</v>
      </c>
      <c r="G7756" s="9">
        <v>1052</v>
      </c>
      <c r="H7756" s="5" t="s">
        <v>21</v>
      </c>
      <c r="I7756" s="5" t="s">
        <v>17721</v>
      </c>
      <c r="J7756" s="12" t="str">
        <f>HYPERLINK("https://www.boe.es/gazeta/dias/1800/11/14/pdfs/GMD-1800-92.pdf#page=6","Abrir facsímil")</f>
        <v>Abrir facsímil</v>
      </c>
      <c r="K7756" s="15" t="s">
        <v>23</v>
      </c>
    </row>
    <row r="7757" spans="1:11" ht="42" customHeight="1">
      <c r="A7757" s="4" t="s">
        <v>17722</v>
      </c>
      <c r="B7757" s="5" t="s">
        <v>17723</v>
      </c>
      <c r="C7757" s="5" t="s">
        <v>25</v>
      </c>
      <c r="D7757" s="5" t="s">
        <v>26</v>
      </c>
      <c r="E7757" s="5" t="s">
        <v>283</v>
      </c>
      <c r="F7757" s="9">
        <v>68</v>
      </c>
      <c r="G7757" s="9">
        <v>764</v>
      </c>
      <c r="H7757" s="5" t="s">
        <v>21</v>
      </c>
      <c r="I7757" s="5" t="s">
        <v>17724</v>
      </c>
      <c r="J7757" s="12" t="str">
        <f>HYPERLINK("https://www.boe.es/gazeta/dias/1800/08/26/pdfs/GMD-1800-68.pdf#page=8","Abrir facsímil")</f>
        <v>Abrir facsímil</v>
      </c>
      <c r="K7757" s="15" t="s">
        <v>23</v>
      </c>
    </row>
    <row r="7758" spans="1:11" ht="42" customHeight="1">
      <c r="A7758" s="4" t="s">
        <v>17725</v>
      </c>
      <c r="B7758" s="5" t="s">
        <v>17726</v>
      </c>
      <c r="C7758" s="5" t="s">
        <v>18</v>
      </c>
      <c r="D7758" s="5" t="s">
        <v>19</v>
      </c>
      <c r="E7758" s="5" t="s">
        <v>240</v>
      </c>
      <c r="F7758" s="9">
        <v>26</v>
      </c>
      <c r="G7758" s="9">
        <v>269</v>
      </c>
      <c r="H7758" s="5" t="s">
        <v>21</v>
      </c>
      <c r="I7758" s="5" t="s">
        <v>17727</v>
      </c>
      <c r="J7758" s="12" t="str">
        <f>HYPERLINK("https://www.boe.es/gazeta/dias/1800/04/01/pdfs/GMD-1800-26.pdf#page=9","Abrir facsímil")</f>
        <v>Abrir facsímil</v>
      </c>
      <c r="K7758" s="15" t="s">
        <v>23</v>
      </c>
    </row>
    <row r="7759" spans="1:11" ht="42" customHeight="1">
      <c r="A7759" s="4" t="s">
        <v>17725</v>
      </c>
      <c r="B7759" s="5" t="s">
        <v>17726</v>
      </c>
      <c r="C7759" s="5" t="s">
        <v>1179</v>
      </c>
      <c r="D7759" s="5" t="s">
        <v>1180</v>
      </c>
      <c r="E7759" s="5" t="s">
        <v>314</v>
      </c>
      <c r="F7759" s="9">
        <v>74</v>
      </c>
      <c r="G7759" s="9">
        <v>844</v>
      </c>
      <c r="H7759" s="5" t="s">
        <v>21</v>
      </c>
      <c r="I7759" s="5" t="s">
        <v>17728</v>
      </c>
      <c r="J7759" s="12" t="str">
        <f>HYPERLINK("https://www.boe.es/gazeta/dias/1800/09/12/pdfs/GMD-C-1800-74.pdf#page=6","Abrir facsímil")</f>
        <v>Abrir facsímil</v>
      </c>
      <c r="K7759" s="15" t="s">
        <v>23</v>
      </c>
    </row>
    <row r="7760" spans="1:11" ht="42" customHeight="1">
      <c r="A7760" s="4" t="s">
        <v>17729</v>
      </c>
      <c r="B7760" s="5" t="s">
        <v>17730</v>
      </c>
      <c r="C7760" s="5" t="s">
        <v>25</v>
      </c>
      <c r="D7760" s="5" t="s">
        <v>26</v>
      </c>
      <c r="E7760" s="5" t="s">
        <v>283</v>
      </c>
      <c r="F7760" s="9">
        <v>68</v>
      </c>
      <c r="G7760" s="9">
        <v>764</v>
      </c>
      <c r="H7760" s="5" t="s">
        <v>21</v>
      </c>
      <c r="I7760" s="5" t="s">
        <v>17731</v>
      </c>
      <c r="J7760" s="12" t="str">
        <f>HYPERLINK("https://www.boe.es/gazeta/dias/1800/08/26/pdfs/GMD-1800-68.pdf#page=8","Abrir facsímil")</f>
        <v>Abrir facsímil</v>
      </c>
      <c r="K7760" s="15" t="s">
        <v>23</v>
      </c>
    </row>
    <row r="7761" spans="1:11" ht="42" customHeight="1">
      <c r="A7761" s="4" t="s">
        <v>17732</v>
      </c>
      <c r="B7761" s="5" t="s">
        <v>17733</v>
      </c>
      <c r="C7761" s="5" t="s">
        <v>25</v>
      </c>
      <c r="D7761" s="5" t="s">
        <v>26</v>
      </c>
      <c r="E7761" s="5" t="s">
        <v>402</v>
      </c>
      <c r="F7761" s="9">
        <v>101</v>
      </c>
      <c r="G7761" s="9">
        <v>1173</v>
      </c>
      <c r="H7761" s="5" t="s">
        <v>21</v>
      </c>
      <c r="I7761" s="5" t="s">
        <v>17734</v>
      </c>
      <c r="J7761" s="12" t="str">
        <f>HYPERLINK("https://www.boe.es/gazeta/dias/1800/12/16/pdfs/GMD-1800-101.pdf#page=9","Abrir facsímil")</f>
        <v>Abrir facsímil</v>
      </c>
      <c r="K7761" s="15" t="s">
        <v>23</v>
      </c>
    </row>
    <row r="7762" spans="1:11" ht="42" customHeight="1">
      <c r="A7762" s="4" t="s">
        <v>17735</v>
      </c>
      <c r="B7762" s="5" t="s">
        <v>17735</v>
      </c>
      <c r="C7762" s="5" t="s">
        <v>41</v>
      </c>
      <c r="D7762" s="5" t="s">
        <v>42</v>
      </c>
      <c r="E7762" s="5" t="s">
        <v>454</v>
      </c>
      <c r="F7762" s="9">
        <v>63</v>
      </c>
      <c r="G7762" s="9">
        <v>715</v>
      </c>
      <c r="H7762" s="5" t="s">
        <v>21</v>
      </c>
      <c r="I7762" s="5" t="s">
        <v>17736</v>
      </c>
      <c r="J7762" s="12" t="str">
        <f>HYPERLINK("https://www.boe.es/gazeta/dias/1800/08/08/pdfs/GMD-1800-63.pdf#page=3","Abrir facsímil")</f>
        <v>Abrir facsímil</v>
      </c>
      <c r="K7762" s="15" t="s">
        <v>23</v>
      </c>
    </row>
    <row r="7763" spans="1:11" ht="42" customHeight="1">
      <c r="A7763" s="4" t="s">
        <v>17737</v>
      </c>
      <c r="B7763" s="5" t="s">
        <v>17738</v>
      </c>
      <c r="C7763" s="5" t="s">
        <v>41</v>
      </c>
      <c r="D7763" s="5" t="s">
        <v>42</v>
      </c>
      <c r="E7763" s="5" t="s">
        <v>1127</v>
      </c>
      <c r="F7763" s="9">
        <v>11</v>
      </c>
      <c r="G7763" s="9">
        <v>103</v>
      </c>
      <c r="H7763" s="5" t="s">
        <v>21</v>
      </c>
      <c r="I7763" s="5" t="s">
        <v>17739</v>
      </c>
      <c r="J7763" s="12" t="str">
        <f>HYPERLINK("https://www.boe.es/gazeta/dias/1800/02/07/pdfs/GMD-1800-11.pdf#page=3","Abrir facsímil")</f>
        <v>Abrir facsímil</v>
      </c>
      <c r="K7763" s="15" t="s">
        <v>23</v>
      </c>
    </row>
    <row r="7764" spans="1:11" ht="42" customHeight="1">
      <c r="A7764" s="4" t="s">
        <v>17740</v>
      </c>
      <c r="B7764" s="5" t="s">
        <v>17741</v>
      </c>
      <c r="C7764" s="5" t="s">
        <v>18</v>
      </c>
      <c r="D7764" s="5" t="s">
        <v>19</v>
      </c>
      <c r="E7764" s="5" t="s">
        <v>620</v>
      </c>
      <c r="F7764" s="9">
        <v>19</v>
      </c>
      <c r="G7764" s="9">
        <v>177</v>
      </c>
      <c r="H7764" s="5" t="s">
        <v>21</v>
      </c>
      <c r="I7764" s="5" t="s">
        <v>17742</v>
      </c>
      <c r="J7764" s="12" t="str">
        <f>HYPERLINK("https://www.boe.es/gazeta/dias/1800/03/07/pdfs/GMD-1800-19.pdf#page=1","Abrir facsímil")</f>
        <v>Abrir facsímil</v>
      </c>
      <c r="K7764" s="15" t="s">
        <v>23</v>
      </c>
    </row>
    <row r="7765" spans="1:11" ht="42" customHeight="1">
      <c r="A7765" s="4" t="s">
        <v>17743</v>
      </c>
      <c r="B7765" s="5" t="s">
        <v>17744</v>
      </c>
      <c r="C7765" s="5" t="s">
        <v>18</v>
      </c>
      <c r="D7765" s="5" t="s">
        <v>19</v>
      </c>
      <c r="E7765" s="5" t="s">
        <v>48</v>
      </c>
      <c r="F7765" s="9">
        <v>66</v>
      </c>
      <c r="G7765" s="9">
        <v>746</v>
      </c>
      <c r="H7765" s="5" t="s">
        <v>21</v>
      </c>
      <c r="I7765" s="5" t="s">
        <v>17745</v>
      </c>
      <c r="J7765" s="12" t="str">
        <f>HYPERLINK("https://www.boe.es/gazeta/dias/1800/08/19/pdfs/GMD-1800-66.pdf#page=10","Abrir facsímil")</f>
        <v>Abrir facsímil</v>
      </c>
      <c r="K7765" s="15" t="s">
        <v>23</v>
      </c>
    </row>
    <row r="7766" spans="1:11" ht="42" customHeight="1">
      <c r="A7766" s="4" t="s">
        <v>17746</v>
      </c>
      <c r="B7766" s="5" t="s">
        <v>17747</v>
      </c>
      <c r="C7766" s="5" t="s">
        <v>18</v>
      </c>
      <c r="D7766" s="5" t="s">
        <v>19</v>
      </c>
      <c r="E7766" s="5" t="s">
        <v>75</v>
      </c>
      <c r="F7766" s="9">
        <v>64</v>
      </c>
      <c r="G7766" s="9">
        <v>733</v>
      </c>
      <c r="H7766" s="5" t="s">
        <v>21</v>
      </c>
      <c r="I7766" s="5" t="s">
        <v>17748</v>
      </c>
      <c r="J7766" s="12" t="str">
        <f>HYPERLINK("https://www.boe.es/gazeta/dias/1800/08/12/pdfs/GMD-1800-64.pdf#page=9","Abrir facsímil")</f>
        <v>Abrir facsímil</v>
      </c>
      <c r="K7766" s="15" t="s">
        <v>23</v>
      </c>
    </row>
    <row r="7767" spans="1:11" ht="42" customHeight="1">
      <c r="A7767" s="4" t="s">
        <v>17749</v>
      </c>
      <c r="B7767" s="5" t="s">
        <v>17750</v>
      </c>
      <c r="C7767" s="5" t="s">
        <v>18</v>
      </c>
      <c r="D7767" s="5" t="s">
        <v>19</v>
      </c>
      <c r="E7767" s="5" t="s">
        <v>184</v>
      </c>
      <c r="F7767" s="9">
        <v>82</v>
      </c>
      <c r="G7767" s="9">
        <v>950</v>
      </c>
      <c r="H7767" s="5" t="s">
        <v>21</v>
      </c>
      <c r="I7767" s="5" t="s">
        <v>17751</v>
      </c>
      <c r="J7767" s="12" t="str">
        <f>HYPERLINK("https://www.boe.es/gazeta/dias/1800/10/10/pdfs/GMD-1800-82.pdf#page=8","Abrir facsímil")</f>
        <v>Abrir facsímil</v>
      </c>
      <c r="K7767" s="15" t="s">
        <v>23</v>
      </c>
    </row>
    <row r="7768" spans="1:11" ht="42" customHeight="1">
      <c r="A7768" s="4" t="s">
        <v>17752</v>
      </c>
      <c r="B7768" s="5" t="s">
        <v>17753</v>
      </c>
      <c r="C7768" s="5" t="s">
        <v>18</v>
      </c>
      <c r="D7768" s="5" t="s">
        <v>19</v>
      </c>
      <c r="E7768" s="5" t="s">
        <v>465</v>
      </c>
      <c r="F7768" s="9">
        <v>49</v>
      </c>
      <c r="G7768" s="9">
        <v>528</v>
      </c>
      <c r="H7768" s="5" t="s">
        <v>21</v>
      </c>
      <c r="I7768" s="5" t="s">
        <v>17754</v>
      </c>
      <c r="J7768" s="12" t="str">
        <f>HYPERLINK("https://www.boe.es/gazeta/dias/1800/06/20/pdfs/GMD-1800-49.pdf#page=4","Abrir facsímil")</f>
        <v>Abrir facsímil</v>
      </c>
      <c r="K7768" s="15" t="s">
        <v>23</v>
      </c>
    </row>
    <row r="7769" spans="1:11" ht="42" customHeight="1">
      <c r="A7769" s="4" t="s">
        <v>17755</v>
      </c>
      <c r="B7769" s="5" t="s">
        <v>17756</v>
      </c>
      <c r="C7769" s="5" t="s">
        <v>41</v>
      </c>
      <c r="D7769" s="5" t="s">
        <v>42</v>
      </c>
      <c r="E7769" s="5" t="s">
        <v>299</v>
      </c>
      <c r="F7769" s="9">
        <v>40</v>
      </c>
      <c r="G7769" s="9">
        <v>410</v>
      </c>
      <c r="H7769" s="5" t="s">
        <v>21</v>
      </c>
      <c r="I7769" s="5" t="s">
        <v>17757</v>
      </c>
      <c r="J7769" s="12" t="str">
        <f>HYPERLINK("https://www.boe.es/gazeta/dias/1800/05/20/pdfs/GMD-1800-40.pdf#page=6","Abrir facsímil")</f>
        <v>Abrir facsímil</v>
      </c>
      <c r="K7769" s="15" t="s">
        <v>23</v>
      </c>
    </row>
    <row r="7770" spans="1:11" ht="42" customHeight="1">
      <c r="A7770" s="4" t="s">
        <v>17758</v>
      </c>
      <c r="B7770" s="5" t="s">
        <v>17759</v>
      </c>
      <c r="C7770" s="5" t="s">
        <v>207</v>
      </c>
      <c r="D7770" s="5" t="s">
        <v>55</v>
      </c>
      <c r="E7770" s="5" t="s">
        <v>124</v>
      </c>
      <c r="F7770" s="9">
        <v>16</v>
      </c>
      <c r="G7770" s="9">
        <v>151</v>
      </c>
      <c r="H7770" s="5" t="s">
        <v>21</v>
      </c>
      <c r="I7770" s="5" t="s">
        <v>17760</v>
      </c>
      <c r="J7770" s="12" t="str">
        <f>HYPERLINK("https://www.boe.es/gazeta/dias/1800/02/25/pdfs/GMD-1800-16.pdf#page=7","Abrir facsímil")</f>
        <v>Abrir facsímil</v>
      </c>
      <c r="K7770" s="15" t="s">
        <v>23</v>
      </c>
    </row>
    <row r="7771" spans="1:11" ht="42" customHeight="1">
      <c r="A7771" s="4" t="s">
        <v>17761</v>
      </c>
      <c r="B7771" s="5" t="s">
        <v>17761</v>
      </c>
      <c r="C7771" s="5" t="s">
        <v>18</v>
      </c>
      <c r="D7771" s="5" t="s">
        <v>19</v>
      </c>
      <c r="E7771" s="5" t="s">
        <v>135</v>
      </c>
      <c r="F7771" s="9">
        <v>73</v>
      </c>
      <c r="G7771" s="9">
        <v>816</v>
      </c>
      <c r="H7771" s="5" t="s">
        <v>21</v>
      </c>
      <c r="I7771" s="5" t="s">
        <v>17762</v>
      </c>
      <c r="J7771" s="12" t="str">
        <f>HYPERLINK("https://www.boe.es/gazeta/dias/1800/09/09/pdfs/GMD-1800-73.pdf#page=10","Abrir facsímil")</f>
        <v>Abrir facsímil</v>
      </c>
      <c r="K7771" s="15" t="s">
        <v>23</v>
      </c>
    </row>
    <row r="7772" spans="1:11" ht="42" customHeight="1">
      <c r="A7772" s="4" t="s">
        <v>17763</v>
      </c>
      <c r="B7772" s="5" t="s">
        <v>17764</v>
      </c>
      <c r="C7772" s="5" t="s">
        <v>25</v>
      </c>
      <c r="D7772" s="5" t="s">
        <v>26</v>
      </c>
      <c r="E7772" s="5" t="s">
        <v>120</v>
      </c>
      <c r="F7772" s="9">
        <v>52</v>
      </c>
      <c r="G7772" s="9">
        <v>574</v>
      </c>
      <c r="H7772" s="5" t="s">
        <v>21</v>
      </c>
      <c r="I7772" s="5" t="s">
        <v>17765</v>
      </c>
      <c r="J7772" s="12" t="str">
        <f>HYPERLINK("https://www.boe.es/gazeta/dias/1800/07/01/pdfs/GMD-1800-52.pdf#page=10","Abrir facsímil")</f>
        <v>Abrir facsímil</v>
      </c>
      <c r="K7772" s="15" t="s">
        <v>23</v>
      </c>
    </row>
    <row r="7773" spans="1:11" ht="42" customHeight="1">
      <c r="A7773" s="4" t="s">
        <v>17763</v>
      </c>
      <c r="B7773" s="5" t="s">
        <v>17764</v>
      </c>
      <c r="C7773" s="5" t="s">
        <v>41</v>
      </c>
      <c r="D7773" s="5" t="s">
        <v>42</v>
      </c>
      <c r="E7773" s="5" t="s">
        <v>310</v>
      </c>
      <c r="F7773" s="9">
        <v>56</v>
      </c>
      <c r="G7773" s="9">
        <v>629</v>
      </c>
      <c r="H7773" s="5" t="s">
        <v>21</v>
      </c>
      <c r="I7773" s="5" t="s">
        <v>17766</v>
      </c>
      <c r="J7773" s="12" t="str">
        <f>HYPERLINK("https://www.boe.es/gazeta/dias/1800/07/15/pdfs/GMD-1800-56.pdf#page=5","Abrir facsímil")</f>
        <v>Abrir facsímil</v>
      </c>
      <c r="K7773" s="15" t="s">
        <v>23</v>
      </c>
    </row>
    <row r="7774" spans="1:11" ht="42" customHeight="1">
      <c r="A7774" s="4" t="s">
        <v>17763</v>
      </c>
      <c r="B7774" s="5" t="s">
        <v>17764</v>
      </c>
      <c r="C7774" s="5" t="s">
        <v>41</v>
      </c>
      <c r="D7774" s="5" t="s">
        <v>42</v>
      </c>
      <c r="E7774" s="5" t="s">
        <v>1294</v>
      </c>
      <c r="F7774" s="9">
        <v>59</v>
      </c>
      <c r="G7774" s="9">
        <v>676</v>
      </c>
      <c r="H7774" s="5" t="s">
        <v>21</v>
      </c>
      <c r="I7774" s="5" t="s">
        <v>17767</v>
      </c>
      <c r="J7774" s="12" t="str">
        <f>HYPERLINK("https://www.boe.es/gazeta/dias/1800/07/25/pdfs/GMD-1800-59.pdf#page=8","Abrir facsímil")</f>
        <v>Abrir facsímil</v>
      </c>
      <c r="K7774" s="15" t="s">
        <v>23</v>
      </c>
    </row>
    <row r="7775" spans="1:11" ht="42" customHeight="1">
      <c r="A7775" s="4" t="s">
        <v>17763</v>
      </c>
      <c r="B7775" s="5" t="s">
        <v>17764</v>
      </c>
      <c r="C7775" s="5" t="s">
        <v>84</v>
      </c>
      <c r="D7775" s="5" t="s">
        <v>85</v>
      </c>
      <c r="E7775" s="5" t="s">
        <v>52</v>
      </c>
      <c r="F7775" s="9">
        <v>83</v>
      </c>
      <c r="G7775" s="9">
        <v>957</v>
      </c>
      <c r="H7775" s="5" t="s">
        <v>21</v>
      </c>
      <c r="I7775" s="5" t="s">
        <v>17768</v>
      </c>
      <c r="J7775" s="12" t="str">
        <f>HYPERLINK("https://www.boe.es/gazeta/dias/1800/10/14/pdfs/GMD-1800-83.pdf#page=3","Abrir facsímil")</f>
        <v>Abrir facsímil</v>
      </c>
      <c r="K7775" s="15" t="s">
        <v>23</v>
      </c>
    </row>
    <row r="7776" spans="1:11" ht="42" customHeight="1">
      <c r="A7776" s="4" t="s">
        <v>17769</v>
      </c>
      <c r="B7776" s="5" t="s">
        <v>17770</v>
      </c>
      <c r="C7776" s="5" t="s">
        <v>18</v>
      </c>
      <c r="D7776" s="5" t="s">
        <v>19</v>
      </c>
      <c r="E7776" s="5" t="s">
        <v>836</v>
      </c>
      <c r="F7776" s="9">
        <v>71</v>
      </c>
      <c r="G7776" s="9">
        <v>790</v>
      </c>
      <c r="H7776" s="5" t="s">
        <v>21</v>
      </c>
      <c r="I7776" s="5" t="s">
        <v>17771</v>
      </c>
      <c r="J7776" s="12" t="str">
        <f>HYPERLINK("https://www.boe.es/gazeta/dias/1800/09/02/pdfs/GMD-1800-71.pdf#page=8","Abrir facsímil")</f>
        <v>Abrir facsímil</v>
      </c>
      <c r="K7776" s="15" t="s">
        <v>23</v>
      </c>
    </row>
    <row r="7777" spans="1:11" ht="42" customHeight="1">
      <c r="A7777" s="4" t="s">
        <v>17772</v>
      </c>
      <c r="B7777" s="5" t="s">
        <v>17772</v>
      </c>
      <c r="C7777" s="5" t="s">
        <v>41</v>
      </c>
      <c r="D7777" s="5" t="s">
        <v>42</v>
      </c>
      <c r="E7777" s="5" t="s">
        <v>1287</v>
      </c>
      <c r="F7777" s="9">
        <v>57</v>
      </c>
      <c r="G7777" s="9">
        <v>644</v>
      </c>
      <c r="H7777" s="5" t="s">
        <v>21</v>
      </c>
      <c r="I7777" s="5" t="s">
        <v>17773</v>
      </c>
      <c r="J7777" s="12" t="str">
        <f>HYPERLINK("https://www.boe.es/gazeta/dias/1800/07/18/pdfs/GMD-1800-57.pdf#page=8","Abrir facsímil")</f>
        <v>Abrir facsímil</v>
      </c>
      <c r="K7777" s="15" t="s">
        <v>23</v>
      </c>
    </row>
    <row r="7778" spans="1:11" ht="42" customHeight="1">
      <c r="A7778" s="4" t="s">
        <v>17774</v>
      </c>
      <c r="B7778" s="5" t="s">
        <v>17775</v>
      </c>
      <c r="C7778" s="5" t="s">
        <v>41</v>
      </c>
      <c r="D7778" s="5" t="s">
        <v>42</v>
      </c>
      <c r="E7778" s="5" t="s">
        <v>154</v>
      </c>
      <c r="F7778" s="9">
        <v>61</v>
      </c>
      <c r="G7778" s="9">
        <v>694</v>
      </c>
      <c r="H7778" s="5" t="s">
        <v>21</v>
      </c>
      <c r="I7778" s="5" t="s">
        <v>17776</v>
      </c>
      <c r="J7778" s="12" t="str">
        <f>HYPERLINK("https://www.boe.es/gazeta/dias/1800/08/01/pdfs/GMD-1800-61.pdf#page=6","Abrir facsímil")</f>
        <v>Abrir facsímil</v>
      </c>
      <c r="K7778" s="15" t="s">
        <v>23</v>
      </c>
    </row>
    <row r="7779" spans="1:11" ht="42" customHeight="1">
      <c r="A7779" s="4" t="s">
        <v>17774</v>
      </c>
      <c r="B7779" s="5" t="s">
        <v>17775</v>
      </c>
      <c r="C7779" s="5" t="s">
        <v>41</v>
      </c>
      <c r="D7779" s="5" t="s">
        <v>42</v>
      </c>
      <c r="E7779" s="5" t="s">
        <v>314</v>
      </c>
      <c r="F7779" s="9">
        <v>74</v>
      </c>
      <c r="G7779" s="9">
        <v>824</v>
      </c>
      <c r="H7779" s="5" t="s">
        <v>21</v>
      </c>
      <c r="I7779" s="5" t="s">
        <v>17777</v>
      </c>
      <c r="J7779" s="12" t="str">
        <f>HYPERLINK("https://www.boe.es/gazeta/dias/1800/09/12/pdfs/GMD-1800-74.pdf#page=2","Abrir facsímil")</f>
        <v>Abrir facsímil</v>
      </c>
      <c r="K7779" s="15" t="s">
        <v>23</v>
      </c>
    </row>
    <row r="7780" spans="1:11" ht="42" customHeight="1">
      <c r="A7780" s="4" t="s">
        <v>17778</v>
      </c>
      <c r="B7780" s="5" t="s">
        <v>17779</v>
      </c>
      <c r="C7780" s="5" t="s">
        <v>18</v>
      </c>
      <c r="D7780" s="5" t="s">
        <v>19</v>
      </c>
      <c r="E7780" s="5" t="s">
        <v>314</v>
      </c>
      <c r="F7780" s="9">
        <v>74</v>
      </c>
      <c r="G7780" s="9">
        <v>833</v>
      </c>
      <c r="H7780" s="5" t="s">
        <v>21</v>
      </c>
      <c r="I7780" s="5" t="s">
        <v>17780</v>
      </c>
      <c r="J7780" s="12" t="str">
        <f>HYPERLINK("https://www.boe.es/gazeta/dias/1800/09/12/pdfs/GMD-1800-74.pdf#page=11","Abrir facsímil")</f>
        <v>Abrir facsímil</v>
      </c>
      <c r="K7780" s="15" t="s">
        <v>23</v>
      </c>
    </row>
    <row r="7781" spans="1:11" ht="42" customHeight="1">
      <c r="A7781" s="4" t="s">
        <v>17781</v>
      </c>
      <c r="B7781" s="5" t="s">
        <v>17782</v>
      </c>
      <c r="C7781" s="5" t="s">
        <v>207</v>
      </c>
      <c r="D7781" s="5" t="s">
        <v>55</v>
      </c>
      <c r="E7781" s="5" t="s">
        <v>190</v>
      </c>
      <c r="F7781" s="9">
        <v>93</v>
      </c>
      <c r="G7781" s="9">
        <v>1066</v>
      </c>
      <c r="H7781" s="5" t="s">
        <v>21</v>
      </c>
      <c r="I7781" s="5" t="s">
        <v>17783</v>
      </c>
      <c r="J7781" s="12" t="str">
        <f>HYPERLINK("https://www.boe.es/gazeta/dias/1800/11/18/pdfs/GMD-1800-93.pdf#page=12","Abrir facsímil")</f>
        <v>Abrir facsímil</v>
      </c>
      <c r="K7781" s="15" t="s">
        <v>23</v>
      </c>
    </row>
    <row r="7782" spans="1:11" ht="42" customHeight="1">
      <c r="A7782" s="4" t="s">
        <v>17784</v>
      </c>
      <c r="B7782" s="5" t="s">
        <v>17784</v>
      </c>
      <c r="C7782" s="5" t="s">
        <v>41</v>
      </c>
      <c r="D7782" s="5" t="s">
        <v>42</v>
      </c>
      <c r="E7782" s="5" t="s">
        <v>262</v>
      </c>
      <c r="F7782" s="9">
        <v>39</v>
      </c>
      <c r="G7782" s="9">
        <v>396</v>
      </c>
      <c r="H7782" s="5" t="s">
        <v>21</v>
      </c>
      <c r="I7782" s="5" t="s">
        <v>17785</v>
      </c>
      <c r="J7782" s="12" t="str">
        <f>HYPERLINK("https://www.boe.es/gazeta/dias/1800/05/16/pdfs/GMD-1800-39.pdf#page=4","Abrir facsímil")</f>
        <v>Abrir facsímil</v>
      </c>
      <c r="K7782" s="15" t="s">
        <v>23</v>
      </c>
    </row>
    <row r="7783" spans="1:11" ht="42" customHeight="1">
      <c r="A7783" s="4" t="s">
        <v>17786</v>
      </c>
      <c r="B7783" s="5" t="s">
        <v>17787</v>
      </c>
      <c r="C7783" s="5" t="s">
        <v>18</v>
      </c>
      <c r="D7783" s="5" t="s">
        <v>19</v>
      </c>
      <c r="E7783" s="5" t="s">
        <v>190</v>
      </c>
      <c r="F7783" s="9">
        <v>93</v>
      </c>
      <c r="G7783" s="9">
        <v>1066</v>
      </c>
      <c r="H7783" s="5" t="s">
        <v>21</v>
      </c>
      <c r="I7783" s="5" t="s">
        <v>17788</v>
      </c>
      <c r="J7783" s="12" t="str">
        <f>HYPERLINK("https://www.boe.es/gazeta/dias/1800/11/18/pdfs/GMD-1800-93.pdf#page=12","Abrir facsímil")</f>
        <v>Abrir facsímil</v>
      </c>
      <c r="K7783" s="15" t="s">
        <v>23</v>
      </c>
    </row>
    <row r="7784" spans="1:11" ht="42" customHeight="1">
      <c r="A7784" s="4" t="s">
        <v>17789</v>
      </c>
      <c r="B7784" s="5" t="s">
        <v>17790</v>
      </c>
      <c r="C7784" s="5" t="s">
        <v>18</v>
      </c>
      <c r="D7784" s="5" t="s">
        <v>19</v>
      </c>
      <c r="E7784" s="5" t="s">
        <v>422</v>
      </c>
      <c r="F7784" s="9">
        <v>85</v>
      </c>
      <c r="G7784" s="9">
        <v>985</v>
      </c>
      <c r="H7784" s="5" t="s">
        <v>21</v>
      </c>
      <c r="I7784" s="5" t="s">
        <v>17791</v>
      </c>
      <c r="J7784" s="12" t="str">
        <f>HYPERLINK("https://www.boe.es/gazeta/dias/1800/10/21/pdfs/GMD-1800-85.pdf#page=7","Abrir facsímil")</f>
        <v>Abrir facsímil</v>
      </c>
      <c r="K7784" s="15" t="s">
        <v>23</v>
      </c>
    </row>
    <row r="7785" spans="1:11" ht="42" customHeight="1">
      <c r="A7785" s="4" t="s">
        <v>17792</v>
      </c>
      <c r="B7785" s="5" t="s">
        <v>17793</v>
      </c>
      <c r="C7785" s="5" t="s">
        <v>84</v>
      </c>
      <c r="D7785" s="5" t="s">
        <v>85</v>
      </c>
      <c r="E7785" s="5" t="s">
        <v>52</v>
      </c>
      <c r="F7785" s="9">
        <v>83</v>
      </c>
      <c r="G7785" s="9">
        <v>966</v>
      </c>
      <c r="H7785" s="5" t="s">
        <v>21</v>
      </c>
      <c r="I7785" s="5" t="s">
        <v>17794</v>
      </c>
      <c r="J7785" s="12" t="str">
        <f>HYPERLINK("https://www.boe.es/gazeta/dias/1800/10/14/pdfs/GMD-1800-83.pdf#page=12","Abrir facsímil")</f>
        <v>Abrir facsímil</v>
      </c>
      <c r="K7785" s="15" t="s">
        <v>23</v>
      </c>
    </row>
    <row r="7786" spans="1:11" ht="42" customHeight="1">
      <c r="A7786" s="4" t="s">
        <v>17795</v>
      </c>
      <c r="B7786" s="5" t="s">
        <v>17796</v>
      </c>
      <c r="C7786" s="5" t="s">
        <v>18</v>
      </c>
      <c r="D7786" s="5" t="s">
        <v>19</v>
      </c>
      <c r="E7786" s="5" t="s">
        <v>673</v>
      </c>
      <c r="F7786" s="9">
        <v>89</v>
      </c>
      <c r="G7786" s="9">
        <v>1043</v>
      </c>
      <c r="H7786" s="5" t="s">
        <v>21</v>
      </c>
      <c r="I7786" s="5" t="s">
        <v>17797</v>
      </c>
      <c r="J7786" s="12" t="str">
        <f>HYPERLINK("https://www.boe.es/gazeta/dias/1800/11/04/pdfs/GMD-1800-89.pdf#page=9","Abrir facsímil")</f>
        <v>Abrir facsímil</v>
      </c>
      <c r="K7786" s="15" t="s">
        <v>23</v>
      </c>
    </row>
    <row r="7787" spans="1:11" ht="42" customHeight="1">
      <c r="A7787" s="4" t="s">
        <v>17798</v>
      </c>
      <c r="B7787" s="5" t="s">
        <v>17799</v>
      </c>
      <c r="C7787" s="5" t="s">
        <v>25</v>
      </c>
      <c r="D7787" s="5" t="s">
        <v>26</v>
      </c>
      <c r="E7787" s="5" t="s">
        <v>420</v>
      </c>
      <c r="F7787" s="9">
        <v>38</v>
      </c>
      <c r="G7787" s="9">
        <v>387</v>
      </c>
      <c r="H7787" s="5" t="s">
        <v>21</v>
      </c>
      <c r="I7787" s="5" t="s">
        <v>17800</v>
      </c>
      <c r="J7787" s="12" t="str">
        <f>HYPERLINK("https://www.boe.es/gazeta/dias/1800/05/13/pdfs/GMD-1800-38.pdf#page=7","Abrir facsímil")</f>
        <v>Abrir facsímil</v>
      </c>
      <c r="K7787" s="15" t="s">
        <v>23</v>
      </c>
    </row>
    <row r="7788" spans="1:11" ht="42" customHeight="1">
      <c r="A7788" s="4" t="s">
        <v>17801</v>
      </c>
      <c r="B7788" s="5" t="s">
        <v>17802</v>
      </c>
      <c r="C7788" s="5" t="s">
        <v>207</v>
      </c>
      <c r="D7788" s="5" t="s">
        <v>55</v>
      </c>
      <c r="E7788" s="5" t="s">
        <v>576</v>
      </c>
      <c r="F7788" s="9">
        <v>91</v>
      </c>
      <c r="G7788" s="9">
        <v>1067</v>
      </c>
      <c r="H7788" s="5" t="s">
        <v>21</v>
      </c>
      <c r="I7788" s="5" t="s">
        <v>17803</v>
      </c>
      <c r="J7788" s="12" t="str">
        <f>HYPERLINK("https://www.boe.es/gazeta/dias/1800/11/11/pdfs/GMD-1800-91.pdf#page=9","Abrir facsímil")</f>
        <v>Abrir facsímil</v>
      </c>
      <c r="K7788" s="15" t="s">
        <v>23</v>
      </c>
    </row>
    <row r="7789" spans="1:11" ht="42" customHeight="1">
      <c r="A7789" s="4" t="s">
        <v>17804</v>
      </c>
      <c r="B7789" s="5" t="s">
        <v>17805</v>
      </c>
      <c r="C7789" s="5" t="s">
        <v>18</v>
      </c>
      <c r="D7789" s="5" t="s">
        <v>19</v>
      </c>
      <c r="E7789" s="5" t="s">
        <v>43</v>
      </c>
      <c r="F7789" s="9">
        <v>46</v>
      </c>
      <c r="G7789" s="9">
        <v>487</v>
      </c>
      <c r="H7789" s="5" t="s">
        <v>21</v>
      </c>
      <c r="I7789" s="5" t="s">
        <v>17806</v>
      </c>
      <c r="J7789" s="12" t="str">
        <f>HYPERLINK("https://www.boe.es/gazeta/dias/1800/06/10/pdfs/GMD-1800-46.pdf#page=11","Abrir facsímil")</f>
        <v>Abrir facsímil</v>
      </c>
      <c r="K7789" s="15" t="s">
        <v>23</v>
      </c>
    </row>
    <row r="7790" spans="1:11" ht="42" customHeight="1">
      <c r="A7790" s="4" t="s">
        <v>17807</v>
      </c>
      <c r="B7790" s="5" t="s">
        <v>17808</v>
      </c>
      <c r="C7790" s="5" t="s">
        <v>18</v>
      </c>
      <c r="D7790" s="5" t="s">
        <v>19</v>
      </c>
      <c r="E7790" s="5" t="s">
        <v>422</v>
      </c>
      <c r="F7790" s="9">
        <v>85</v>
      </c>
      <c r="G7790" s="9">
        <v>985</v>
      </c>
      <c r="H7790" s="5" t="s">
        <v>21</v>
      </c>
      <c r="I7790" s="5" t="s">
        <v>17809</v>
      </c>
      <c r="J7790" s="12" t="str">
        <f>HYPERLINK("https://www.boe.es/gazeta/dias/1800/10/21/pdfs/GMD-1800-85.pdf#page=7","Abrir facsímil")</f>
        <v>Abrir facsímil</v>
      </c>
      <c r="K7790" s="15" t="s">
        <v>23</v>
      </c>
    </row>
    <row r="7791" spans="1:11" ht="42" customHeight="1">
      <c r="A7791" s="4" t="s">
        <v>17810</v>
      </c>
      <c r="B7791" s="5" t="s">
        <v>17811</v>
      </c>
      <c r="C7791" s="5" t="s">
        <v>18</v>
      </c>
      <c r="D7791" s="5" t="s">
        <v>19</v>
      </c>
      <c r="E7791" s="5" t="s">
        <v>583</v>
      </c>
      <c r="F7791" s="9">
        <v>77</v>
      </c>
      <c r="G7791" s="9">
        <v>878</v>
      </c>
      <c r="H7791" s="5" t="s">
        <v>21</v>
      </c>
      <c r="I7791" s="5" t="s">
        <v>17812</v>
      </c>
      <c r="J7791" s="12" t="str">
        <f>HYPERLINK("https://www.boe.es/gazeta/dias/1800/09/23/pdfs/GMD-1800-77.pdf#page=8","Abrir facsímil")</f>
        <v>Abrir facsímil</v>
      </c>
      <c r="K7791" s="15" t="s">
        <v>23</v>
      </c>
    </row>
    <row r="7792" spans="1:11" ht="42" customHeight="1">
      <c r="A7792" s="4" t="s">
        <v>17813</v>
      </c>
      <c r="B7792" s="5" t="s">
        <v>17814</v>
      </c>
      <c r="C7792" s="5" t="s">
        <v>25</v>
      </c>
      <c r="D7792" s="5" t="s">
        <v>26</v>
      </c>
      <c r="E7792" s="5" t="s">
        <v>60</v>
      </c>
      <c r="F7792" s="9">
        <v>105</v>
      </c>
      <c r="G7792" s="9">
        <v>1226</v>
      </c>
      <c r="H7792" s="5" t="s">
        <v>21</v>
      </c>
      <c r="I7792" s="5" t="s">
        <v>17815</v>
      </c>
      <c r="J7792" s="12" t="str">
        <f>HYPERLINK("https://www.boe.es/gazeta/dias/1800/12/30/pdfs/GMD-1800-105.pdf#page=10","Abrir facsímil")</f>
        <v>Abrir facsímil</v>
      </c>
      <c r="K7792" s="15" t="s">
        <v>23</v>
      </c>
    </row>
    <row r="7793" spans="1:11" ht="42" customHeight="1">
      <c r="A7793" s="4" t="s">
        <v>17816</v>
      </c>
      <c r="B7793" s="5" t="s">
        <v>17817</v>
      </c>
      <c r="C7793" s="5" t="s">
        <v>25</v>
      </c>
      <c r="D7793" s="5" t="s">
        <v>26</v>
      </c>
      <c r="E7793" s="5" t="s">
        <v>43</v>
      </c>
      <c r="F7793" s="9">
        <v>46</v>
      </c>
      <c r="G7793" s="9">
        <v>488</v>
      </c>
      <c r="H7793" s="5" t="s">
        <v>21</v>
      </c>
      <c r="I7793" s="5" t="s">
        <v>17818</v>
      </c>
      <c r="J7793" s="12" t="str">
        <f>HYPERLINK("https://www.boe.es/gazeta/dias/1800/06/10/pdfs/GMD-1800-46.pdf#page=12","Abrir facsímil")</f>
        <v>Abrir facsímil</v>
      </c>
      <c r="K7793" s="15" t="s">
        <v>23</v>
      </c>
    </row>
    <row r="7794" spans="1:11" ht="42" customHeight="1">
      <c r="A7794" s="4" t="s">
        <v>17819</v>
      </c>
      <c r="B7794" s="5" t="s">
        <v>17820</v>
      </c>
      <c r="C7794" s="5" t="s">
        <v>18</v>
      </c>
      <c r="D7794" s="5" t="s">
        <v>19</v>
      </c>
      <c r="E7794" s="5" t="s">
        <v>75</v>
      </c>
      <c r="F7794" s="9">
        <v>64</v>
      </c>
      <c r="G7794" s="9">
        <v>733</v>
      </c>
      <c r="H7794" s="5" t="s">
        <v>21</v>
      </c>
      <c r="I7794" s="5" t="s">
        <v>17821</v>
      </c>
      <c r="J7794" s="12" t="str">
        <f>HYPERLINK("https://www.boe.es/gazeta/dias/1800/08/12/pdfs/GMD-1800-64.pdf#page=9","Abrir facsímil")</f>
        <v>Abrir facsímil</v>
      </c>
      <c r="K7794" s="15" t="s">
        <v>23</v>
      </c>
    </row>
    <row r="7795" spans="1:11" ht="42" customHeight="1">
      <c r="A7795" s="4" t="s">
        <v>17822</v>
      </c>
      <c r="B7795" s="5" t="s">
        <v>17823</v>
      </c>
      <c r="C7795" s="5" t="s">
        <v>84</v>
      </c>
      <c r="D7795" s="5" t="s">
        <v>85</v>
      </c>
      <c r="E7795" s="5" t="s">
        <v>139</v>
      </c>
      <c r="F7795" s="9">
        <v>2</v>
      </c>
      <c r="G7795" s="9">
        <v>20</v>
      </c>
      <c r="H7795" s="5" t="s">
        <v>21</v>
      </c>
      <c r="I7795" s="5" t="s">
        <v>17824</v>
      </c>
      <c r="J7795" s="12" t="str">
        <f>HYPERLINK("https://www.boe.es/gazeta/dias/1800/01/07/pdfs/GMD-1800-2.pdf#page=12","Abrir facsímil")</f>
        <v>Abrir facsímil</v>
      </c>
      <c r="K7795" s="15" t="s">
        <v>23</v>
      </c>
    </row>
    <row r="7796" spans="1:11" ht="42" customHeight="1">
      <c r="A7796" s="4" t="s">
        <v>17822</v>
      </c>
      <c r="B7796" s="5" t="s">
        <v>17823</v>
      </c>
      <c r="C7796" s="5" t="s">
        <v>84</v>
      </c>
      <c r="D7796" s="5" t="s">
        <v>85</v>
      </c>
      <c r="E7796" s="5" t="s">
        <v>787</v>
      </c>
      <c r="F7796" s="9">
        <v>6</v>
      </c>
      <c r="G7796" s="9">
        <v>60</v>
      </c>
      <c r="H7796" s="5" t="s">
        <v>21</v>
      </c>
      <c r="I7796" s="5" t="s">
        <v>17825</v>
      </c>
      <c r="J7796" s="12" t="str">
        <f>HYPERLINK("https://www.boe.es/gazeta/dias/1800/01/21/pdfs/GMD-1800-6.pdf#page=12","Abrir facsímil")</f>
        <v>Abrir facsímil</v>
      </c>
      <c r="K7796" s="15" t="s">
        <v>23</v>
      </c>
    </row>
    <row r="7797" spans="1:11" ht="42" customHeight="1">
      <c r="A7797" s="4" t="s">
        <v>17826</v>
      </c>
      <c r="B7797" s="5" t="s">
        <v>17826</v>
      </c>
      <c r="C7797" s="5" t="s">
        <v>18</v>
      </c>
      <c r="D7797" s="5" t="s">
        <v>19</v>
      </c>
      <c r="E7797" s="5" t="s">
        <v>124</v>
      </c>
      <c r="F7797" s="9">
        <v>16</v>
      </c>
      <c r="G7797" s="9">
        <v>148</v>
      </c>
      <c r="H7797" s="5" t="s">
        <v>21</v>
      </c>
      <c r="I7797" s="5" t="s">
        <v>17827</v>
      </c>
      <c r="J7797" s="12" t="str">
        <f>HYPERLINK("https://www.boe.es/gazeta/dias/1800/02/25/pdfs/GMD-1800-16.pdf#page=4","Abrir facsímil")</f>
        <v>Abrir facsímil</v>
      </c>
      <c r="K7797" s="15" t="s">
        <v>23</v>
      </c>
    </row>
    <row r="7798" spans="1:11" ht="42" customHeight="1">
      <c r="A7798" s="4" t="s">
        <v>17828</v>
      </c>
      <c r="B7798" s="5" t="s">
        <v>17829</v>
      </c>
      <c r="C7798" s="5" t="s">
        <v>18</v>
      </c>
      <c r="D7798" s="5" t="s">
        <v>19</v>
      </c>
      <c r="E7798" s="5" t="s">
        <v>203</v>
      </c>
      <c r="F7798" s="9">
        <v>94</v>
      </c>
      <c r="G7798" s="9">
        <v>1077</v>
      </c>
      <c r="H7798" s="5" t="s">
        <v>21</v>
      </c>
      <c r="I7798" s="5" t="s">
        <v>17830</v>
      </c>
      <c r="J7798" s="12" t="str">
        <f>HYPERLINK("https://www.boe.es/gazeta/dias/1800/11/21/pdfs/GMD-1800-94.pdf#page=7","Abrir facsímil")</f>
        <v>Abrir facsímil</v>
      </c>
      <c r="K7798" s="15" t="s">
        <v>23</v>
      </c>
    </row>
    <row r="7799" spans="1:11" ht="42" customHeight="1">
      <c r="A7799" s="4" t="s">
        <v>17831</v>
      </c>
      <c r="B7799" s="5" t="s">
        <v>17831</v>
      </c>
      <c r="C7799" s="5" t="s">
        <v>41</v>
      </c>
      <c r="D7799" s="5" t="s">
        <v>42</v>
      </c>
      <c r="E7799" s="5" t="s">
        <v>88</v>
      </c>
      <c r="F7799" s="9">
        <v>23</v>
      </c>
      <c r="G7799" s="9">
        <v>231</v>
      </c>
      <c r="H7799" s="5" t="s">
        <v>21</v>
      </c>
      <c r="I7799" s="5" t="s">
        <v>17832</v>
      </c>
      <c r="J7799" s="12" t="str">
        <f>HYPERLINK("https://www.boe.es/gazeta/dias/1800/03/21/pdfs/GMD-1800-23.pdf#page=7","Abrir facsímil")</f>
        <v>Abrir facsímil</v>
      </c>
      <c r="K7799" s="15" t="s">
        <v>23</v>
      </c>
    </row>
    <row r="7800" spans="1:11" ht="42" customHeight="1">
      <c r="A7800" s="4" t="s">
        <v>17833</v>
      </c>
      <c r="B7800" s="5" t="s">
        <v>17834</v>
      </c>
      <c r="C7800" s="5" t="s">
        <v>18</v>
      </c>
      <c r="D7800" s="5" t="s">
        <v>19</v>
      </c>
      <c r="E7800" s="5" t="s">
        <v>135</v>
      </c>
      <c r="F7800" s="9">
        <v>73</v>
      </c>
      <c r="G7800" s="9">
        <v>816</v>
      </c>
      <c r="H7800" s="5" t="s">
        <v>21</v>
      </c>
      <c r="I7800" s="5" t="s">
        <v>17835</v>
      </c>
      <c r="J7800" s="12" t="str">
        <f>HYPERLINK("https://www.boe.es/gazeta/dias/1800/09/09/pdfs/GMD-1800-73.pdf#page=10","Abrir facsímil")</f>
        <v>Abrir facsímil</v>
      </c>
      <c r="K7800" s="15" t="s">
        <v>23</v>
      </c>
    </row>
    <row r="7801" spans="1:11" ht="42" customHeight="1">
      <c r="A7801" s="4" t="s">
        <v>17836</v>
      </c>
      <c r="B7801" s="5" t="s">
        <v>17836</v>
      </c>
      <c r="C7801" s="5" t="s">
        <v>84</v>
      </c>
      <c r="D7801" s="5" t="s">
        <v>85</v>
      </c>
      <c r="E7801" s="5" t="s">
        <v>530</v>
      </c>
      <c r="F7801" s="9">
        <v>55</v>
      </c>
      <c r="G7801" s="9">
        <v>624</v>
      </c>
      <c r="H7801" s="5" t="s">
        <v>21</v>
      </c>
      <c r="I7801" s="5" t="s">
        <v>17837</v>
      </c>
      <c r="J7801" s="12" t="str">
        <f>HYPERLINK("https://www.boe.es/gazeta/dias/1800/07/11/pdfs/GMD-1800-55.pdf#page=12","Abrir facsímil")</f>
        <v>Abrir facsímil</v>
      </c>
      <c r="K7801" s="15" t="s">
        <v>23</v>
      </c>
    </row>
    <row r="7802" spans="1:11" ht="42" customHeight="1">
      <c r="A7802" s="4" t="s">
        <v>17838</v>
      </c>
      <c r="B7802" s="5" t="s">
        <v>17839</v>
      </c>
      <c r="C7802" s="5" t="s">
        <v>41</v>
      </c>
      <c r="D7802" s="5" t="s">
        <v>42</v>
      </c>
      <c r="E7802" s="5" t="s">
        <v>35</v>
      </c>
      <c r="F7802" s="9">
        <v>21</v>
      </c>
      <c r="G7802" s="9">
        <v>197</v>
      </c>
      <c r="H7802" s="5" t="s">
        <v>21</v>
      </c>
      <c r="I7802" s="5" t="s">
        <v>17840</v>
      </c>
      <c r="J7802" s="12" t="str">
        <f>HYPERLINK("https://www.boe.es/gazeta/dias/1800/03/14/pdfs/GMD-1800-21.pdf#page=1","Abrir facsímil")</f>
        <v>Abrir facsímil</v>
      </c>
      <c r="K7802" s="15" t="s">
        <v>23</v>
      </c>
    </row>
    <row r="7803" spans="1:11" ht="42" customHeight="1">
      <c r="A7803" s="4" t="s">
        <v>17841</v>
      </c>
      <c r="B7803" s="5" t="s">
        <v>17842</v>
      </c>
      <c r="C7803" s="5" t="s">
        <v>41</v>
      </c>
      <c r="D7803" s="5" t="s">
        <v>42</v>
      </c>
      <c r="E7803" s="5" t="s">
        <v>1127</v>
      </c>
      <c r="F7803" s="9">
        <v>11</v>
      </c>
      <c r="G7803" s="9">
        <v>101</v>
      </c>
      <c r="H7803" s="5" t="s">
        <v>21</v>
      </c>
      <c r="I7803" s="5" t="s">
        <v>17843</v>
      </c>
      <c r="J7803" s="12" t="str">
        <f>HYPERLINK("https://www.boe.es/gazeta/dias/1800/02/07/pdfs/GMD-1800-11.pdf#page=1","Abrir facsímil")</f>
        <v>Abrir facsímil</v>
      </c>
      <c r="K7803" s="15" t="s">
        <v>23</v>
      </c>
    </row>
    <row r="7804" spans="1:11" ht="42" customHeight="1">
      <c r="A7804" s="4" t="s">
        <v>17844</v>
      </c>
      <c r="B7804" s="5" t="s">
        <v>17845</v>
      </c>
      <c r="C7804" s="5" t="s">
        <v>18</v>
      </c>
      <c r="D7804" s="5" t="s">
        <v>19</v>
      </c>
      <c r="E7804" s="5" t="s">
        <v>75</v>
      </c>
      <c r="F7804" s="9">
        <v>64</v>
      </c>
      <c r="G7804" s="9">
        <v>733</v>
      </c>
      <c r="H7804" s="5" t="s">
        <v>21</v>
      </c>
      <c r="I7804" s="5" t="s">
        <v>17846</v>
      </c>
      <c r="J7804" s="12" t="str">
        <f>HYPERLINK("https://www.boe.es/gazeta/dias/1800/08/12/pdfs/GMD-1800-64.pdf#page=9","Abrir facsímil")</f>
        <v>Abrir facsímil</v>
      </c>
      <c r="K7804" s="15" t="s">
        <v>23</v>
      </c>
    </row>
    <row r="7805" spans="1:11" ht="42" customHeight="1">
      <c r="A7805" s="4" t="s">
        <v>17847</v>
      </c>
      <c r="B7805" s="5" t="s">
        <v>17848</v>
      </c>
      <c r="C7805" s="5" t="s">
        <v>25</v>
      </c>
      <c r="D7805" s="5" t="s">
        <v>26</v>
      </c>
      <c r="E7805" s="5" t="s">
        <v>465</v>
      </c>
      <c r="F7805" s="9">
        <v>49</v>
      </c>
      <c r="G7805" s="9">
        <v>531</v>
      </c>
      <c r="H7805" s="5" t="s">
        <v>21</v>
      </c>
      <c r="I7805" s="5" t="s">
        <v>17849</v>
      </c>
      <c r="J7805" s="12" t="str">
        <f>HYPERLINK("https://www.boe.es/gazeta/dias/1800/06/20/pdfs/GMD-1800-49.pdf#page=7","Abrir facsímil")</f>
        <v>Abrir facsímil</v>
      </c>
      <c r="K7805" s="15" t="s">
        <v>23</v>
      </c>
    </row>
    <row r="7806" spans="1:11" ht="42" customHeight="1">
      <c r="A7806" s="4" t="s">
        <v>17850</v>
      </c>
      <c r="B7806" s="5" t="s">
        <v>17851</v>
      </c>
      <c r="C7806" s="5" t="s">
        <v>207</v>
      </c>
      <c r="D7806" s="5" t="s">
        <v>55</v>
      </c>
      <c r="E7806" s="5" t="s">
        <v>836</v>
      </c>
      <c r="F7806" s="9">
        <v>71</v>
      </c>
      <c r="G7806" s="9">
        <v>789</v>
      </c>
      <c r="H7806" s="5" t="s">
        <v>21</v>
      </c>
      <c r="I7806" s="5" t="s">
        <v>17852</v>
      </c>
      <c r="J7806" s="12" t="str">
        <f>HYPERLINK("https://www.boe.es/gazeta/dias/1800/09/02/pdfs/GMD-1800-71.pdf#page=7","Abrir facsímil")</f>
        <v>Abrir facsímil</v>
      </c>
      <c r="K7806" s="15" t="s">
        <v>23</v>
      </c>
    </row>
    <row r="7807" spans="1:11" ht="42" customHeight="1">
      <c r="A7807" s="4" t="s">
        <v>17853</v>
      </c>
      <c r="B7807" s="5" t="s">
        <v>17854</v>
      </c>
      <c r="C7807" s="5" t="s">
        <v>18</v>
      </c>
      <c r="D7807" s="5" t="s">
        <v>19</v>
      </c>
      <c r="E7807" s="5" t="s">
        <v>618</v>
      </c>
      <c r="F7807" s="9">
        <v>1</v>
      </c>
      <c r="G7807" s="9">
        <v>6</v>
      </c>
      <c r="H7807" s="5" t="s">
        <v>21</v>
      </c>
      <c r="I7807" s="5" t="s">
        <v>17855</v>
      </c>
      <c r="J7807" s="12" t="str">
        <f>HYPERLINK("https://www.boe.es/gazeta/dias/1800/01/03/pdfs/GMD-1800-1.pdf#page=6","Abrir facsímil")</f>
        <v>Abrir facsímil</v>
      </c>
      <c r="K7807" s="15" t="s">
        <v>23</v>
      </c>
    </row>
    <row r="7808" spans="1:11" ht="42" customHeight="1">
      <c r="A7808" s="4" t="s">
        <v>17856</v>
      </c>
      <c r="B7808" s="5" t="s">
        <v>17857</v>
      </c>
      <c r="C7808" s="5" t="s">
        <v>18</v>
      </c>
      <c r="D7808" s="5" t="s">
        <v>19</v>
      </c>
      <c r="E7808" s="5" t="s">
        <v>131</v>
      </c>
      <c r="F7808" s="9">
        <v>8</v>
      </c>
      <c r="G7808" s="9">
        <v>75</v>
      </c>
      <c r="H7808" s="5" t="s">
        <v>21</v>
      </c>
      <c r="I7808" s="5" t="s">
        <v>17858</v>
      </c>
      <c r="J7808" s="12" t="str">
        <f>HYPERLINK("https://www.boe.es/gazeta/dias/1800/01/28/pdfs/GMD-1800-8.pdf#page=7","Abrir facsímil")</f>
        <v>Abrir facsímil</v>
      </c>
      <c r="K7808" s="15" t="s">
        <v>23</v>
      </c>
    </row>
    <row r="7809" spans="1:11" ht="42" customHeight="1">
      <c r="A7809" s="4" t="s">
        <v>17859</v>
      </c>
      <c r="B7809" s="5" t="s">
        <v>17860</v>
      </c>
      <c r="C7809" s="5" t="s">
        <v>18</v>
      </c>
      <c r="D7809" s="5" t="s">
        <v>19</v>
      </c>
      <c r="E7809" s="5" t="s">
        <v>244</v>
      </c>
      <c r="F7809" s="9">
        <v>9</v>
      </c>
      <c r="G7809" s="9">
        <v>86</v>
      </c>
      <c r="H7809" s="5" t="s">
        <v>21</v>
      </c>
      <c r="I7809" s="5" t="s">
        <v>17861</v>
      </c>
      <c r="J7809" s="12" t="str">
        <f>HYPERLINK("https://www.boe.es/gazeta/dias/1800/01/31/pdfs/GMD-1800-9.pdf#page=10","Abrir facsímil")</f>
        <v>Abrir facsímil</v>
      </c>
      <c r="K7809" s="15" t="s">
        <v>23</v>
      </c>
    </row>
    <row r="7810" spans="1:11" ht="42" customHeight="1">
      <c r="A7810" s="4" t="s">
        <v>17862</v>
      </c>
      <c r="B7810" s="5" t="s">
        <v>17863</v>
      </c>
      <c r="C7810" s="5" t="s">
        <v>18</v>
      </c>
      <c r="D7810" s="5" t="s">
        <v>19</v>
      </c>
      <c r="E7810" s="5" t="s">
        <v>120</v>
      </c>
      <c r="F7810" s="9">
        <v>52</v>
      </c>
      <c r="G7810" s="9">
        <v>575</v>
      </c>
      <c r="H7810" s="5" t="s">
        <v>21</v>
      </c>
      <c r="I7810" s="5" t="s">
        <v>17864</v>
      </c>
      <c r="J7810" s="12" t="str">
        <f>HYPERLINK("https://www.boe.es/gazeta/dias/1800/07/01/pdfs/GMD-1800-52.pdf#page=11","Abrir facsímil")</f>
        <v>Abrir facsímil</v>
      </c>
      <c r="K7810" s="15" t="s">
        <v>23</v>
      </c>
    </row>
    <row r="7811" spans="1:11" ht="42" customHeight="1">
      <c r="A7811" s="4" t="s">
        <v>17865</v>
      </c>
      <c r="B7811" s="5" t="s">
        <v>17866</v>
      </c>
      <c r="C7811" s="5" t="s">
        <v>25</v>
      </c>
      <c r="D7811" s="5" t="s">
        <v>26</v>
      </c>
      <c r="E7811" s="5" t="s">
        <v>346</v>
      </c>
      <c r="F7811" s="9">
        <v>24</v>
      </c>
      <c r="G7811" s="9">
        <v>243</v>
      </c>
      <c r="H7811" s="5" t="s">
        <v>21</v>
      </c>
      <c r="I7811" s="5" t="s">
        <v>17867</v>
      </c>
      <c r="J7811" s="12" t="str">
        <f>HYPERLINK("https://www.boe.es/gazeta/dias/1800/03/25/pdfs/GMD-1800-24.pdf#page=7","Abrir facsímil")</f>
        <v>Abrir facsímil</v>
      </c>
      <c r="K7811" s="15" t="s">
        <v>23</v>
      </c>
    </row>
    <row r="7812" spans="1:11" ht="42" customHeight="1">
      <c r="A7812" s="4" t="s">
        <v>17868</v>
      </c>
      <c r="B7812" s="5" t="s">
        <v>17869</v>
      </c>
      <c r="C7812" s="5" t="s">
        <v>207</v>
      </c>
      <c r="D7812" s="5" t="s">
        <v>55</v>
      </c>
      <c r="E7812" s="5" t="s">
        <v>402</v>
      </c>
      <c r="F7812" s="9">
        <v>101</v>
      </c>
      <c r="G7812" s="9">
        <v>1173</v>
      </c>
      <c r="H7812" s="5" t="s">
        <v>21</v>
      </c>
      <c r="I7812" s="5" t="s">
        <v>17870</v>
      </c>
      <c r="J7812" s="12" t="str">
        <f>HYPERLINK("https://www.boe.es/gazeta/dias/1800/12/16/pdfs/GMD-1800-101.pdf#page=9","Abrir facsímil")</f>
        <v>Abrir facsímil</v>
      </c>
      <c r="K7812" s="15" t="s">
        <v>23</v>
      </c>
    </row>
    <row r="7813" spans="1:11" ht="42" customHeight="1">
      <c r="A7813" s="6" t="s">
        <v>17871</v>
      </c>
      <c r="B7813" s="7" t="s">
        <v>17872</v>
      </c>
      <c r="C7813" s="7" t="s">
        <v>171</v>
      </c>
      <c r="D7813" s="7" t="s">
        <v>172</v>
      </c>
      <c r="E7813" s="7" t="s">
        <v>461</v>
      </c>
      <c r="F7813" s="10">
        <v>18</v>
      </c>
      <c r="G7813" s="10">
        <v>174</v>
      </c>
      <c r="H7813" s="7" t="s">
        <v>21</v>
      </c>
      <c r="I7813" s="7" t="s">
        <v>17873</v>
      </c>
      <c r="J7813" s="13" t="str">
        <f>HYPERLINK("https://www.boe.es/datos/pdfs/BOE//1800/018/C00173-00176.pdf#page=2","Abrir facsímil")</f>
        <v>Abrir facsímil</v>
      </c>
      <c r="K7813" s="16" t="s">
        <v>23</v>
      </c>
    </row>
  </sheetData>
  <mergeCells count="5">
    <mergeCell ref="A1:K1"/>
    <mergeCell ref="A2:K2"/>
    <mergeCell ref="A3:C3"/>
    <mergeCell ref="D3:K3"/>
    <mergeCell ref="A4:K4"/>
  </mergeCells>
  <conditionalFormatting sqref="K7:K7813">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41"/>
  <sheetViews>
    <sheetView showGridLines="0" workbookViewId="0">
      <pane ySplit="3" topLeftCell="A4" activePane="bottomLeft" state="frozen"/>
      <selection pane="bottomLeft"/>
    </sheetView>
  </sheetViews>
  <sheetFormatPr baseColWidth="10" defaultColWidth="8.796875" defaultRowHeight="13.8"/>
  <cols>
    <col min="1" max="1" width="18" customWidth="1"/>
    <col min="2" max="2" width="28" customWidth="1"/>
    <col min="3" max="3" width="24" customWidth="1"/>
    <col min="4" max="4" width="13" customWidth="1"/>
    <col min="5" max="5" width="22" customWidth="1"/>
  </cols>
  <sheetData>
    <row r="1" spans="1:5" ht="31.95" customHeight="1">
      <c r="A1" s="30" t="s">
        <v>17874</v>
      </c>
      <c r="B1" s="30"/>
      <c r="C1" s="30"/>
      <c r="D1" s="30"/>
      <c r="E1" s="30"/>
    </row>
    <row r="3" spans="1:5">
      <c r="A3" s="1" t="s">
        <v>10</v>
      </c>
      <c r="B3" s="1" t="s">
        <v>9</v>
      </c>
      <c r="C3" s="1" t="s">
        <v>17875</v>
      </c>
      <c r="D3" s="1" t="s">
        <v>17876</v>
      </c>
      <c r="E3" s="1" t="s">
        <v>17877</v>
      </c>
    </row>
    <row r="4" spans="1:5">
      <c r="A4" s="20">
        <v>1</v>
      </c>
      <c r="B4" s="17" t="s">
        <v>618</v>
      </c>
      <c r="C4" s="23" t="s">
        <v>17878</v>
      </c>
      <c r="D4" s="23">
        <v>94</v>
      </c>
      <c r="E4" s="26" t="str">
        <f>HYPERLINK("https://www.boe.es/gazeta/dias/1800/01/03/pdfs/GMD-1800-1.pdf","Abrir fascículo")</f>
        <v>Abrir fascículo</v>
      </c>
    </row>
    <row r="5" spans="1:5">
      <c r="A5" s="21">
        <v>2</v>
      </c>
      <c r="B5" s="18" t="s">
        <v>139</v>
      </c>
      <c r="C5" s="24" t="s">
        <v>17879</v>
      </c>
      <c r="D5" s="24">
        <v>151</v>
      </c>
      <c r="E5" s="27" t="str">
        <f>HYPERLINK("https://www.boe.es/gazeta/dias/1800/01/07/pdfs/GMD-1800-2.pdf","Abrir fascículo")</f>
        <v>Abrir fascículo</v>
      </c>
    </row>
    <row r="6" spans="1:5">
      <c r="A6" s="21">
        <v>3</v>
      </c>
      <c r="B6" s="18" t="s">
        <v>567</v>
      </c>
      <c r="C6" s="24" t="s">
        <v>17880</v>
      </c>
      <c r="D6" s="24">
        <v>40</v>
      </c>
      <c r="E6" s="27" t="str">
        <f>HYPERLINK("https://www.boe.es/gazeta/dias/1800/01/10/pdfs/GMD-1800-3.pdf","Abrir fascículo")</f>
        <v>Abrir fascículo</v>
      </c>
    </row>
    <row r="7" spans="1:5">
      <c r="A7" s="21">
        <v>4</v>
      </c>
      <c r="B7" s="18" t="s">
        <v>1213</v>
      </c>
      <c r="C7" s="24" t="s">
        <v>17881</v>
      </c>
      <c r="D7" s="24">
        <v>81</v>
      </c>
      <c r="E7" s="27" t="str">
        <f>HYPERLINK("https://www.boe.es/gazeta/dias/1800/01/14/pdfs/GMD-1800-4.pdf","Abrir fascículo")</f>
        <v>Abrir fascículo</v>
      </c>
    </row>
    <row r="8" spans="1:5">
      <c r="A8" s="21">
        <v>5</v>
      </c>
      <c r="B8" s="18" t="s">
        <v>218</v>
      </c>
      <c r="C8" s="24" t="s">
        <v>17882</v>
      </c>
      <c r="D8" s="24">
        <v>31</v>
      </c>
      <c r="E8" s="27" t="str">
        <f>HYPERLINK("https://www.boe.es/gazeta/dias/1800/01/17/pdfs/GMD-1800-5.pdf","Abrir fascículo")</f>
        <v>Abrir fascículo</v>
      </c>
    </row>
    <row r="9" spans="1:5">
      <c r="A9" s="21">
        <v>6</v>
      </c>
      <c r="B9" s="18" t="s">
        <v>787</v>
      </c>
      <c r="C9" s="24" t="s">
        <v>17883</v>
      </c>
      <c r="D9" s="24">
        <v>60</v>
      </c>
      <c r="E9" s="27" t="str">
        <f>HYPERLINK("https://www.boe.es/gazeta/dias/1800/01/21/pdfs/GMD-1800-6.pdf","Abrir fascículo")</f>
        <v>Abrir fascículo</v>
      </c>
    </row>
    <row r="10" spans="1:5">
      <c r="A10" s="21">
        <v>7</v>
      </c>
      <c r="B10" s="18" t="s">
        <v>79</v>
      </c>
      <c r="C10" s="24" t="s">
        <v>17884</v>
      </c>
      <c r="D10" s="24">
        <v>53</v>
      </c>
      <c r="E10" s="27" t="str">
        <f>HYPERLINK("https://www.boe.es/gazeta/dias/1800/01/24/pdfs/GMD-1800-7.pdf","Abrir fascículo")</f>
        <v>Abrir fascículo</v>
      </c>
    </row>
    <row r="11" spans="1:5">
      <c r="A11" s="21">
        <v>8</v>
      </c>
      <c r="B11" s="18" t="s">
        <v>131</v>
      </c>
      <c r="C11" s="24" t="s">
        <v>17885</v>
      </c>
      <c r="D11" s="24">
        <v>38</v>
      </c>
      <c r="E11" s="27" t="str">
        <f>HYPERLINK("https://www.boe.es/gazeta/dias/1800/01/28/pdfs/GMD-1800-8.pdf","Abrir fascículo")</f>
        <v>Abrir fascículo</v>
      </c>
    </row>
    <row r="12" spans="1:5">
      <c r="A12" s="21">
        <v>9</v>
      </c>
      <c r="B12" s="18" t="s">
        <v>244</v>
      </c>
      <c r="C12" s="24" t="s">
        <v>17886</v>
      </c>
      <c r="D12" s="24">
        <v>97</v>
      </c>
      <c r="E12" s="27" t="str">
        <f>HYPERLINK("https://www.boe.es/gazeta/dias/1800/01/31/pdfs/GMD-1800-9.pdf","Abrir fascículo")</f>
        <v>Abrir fascículo</v>
      </c>
    </row>
    <row r="13" spans="1:5">
      <c r="A13" s="21">
        <v>10</v>
      </c>
      <c r="B13" s="18" t="s">
        <v>82</v>
      </c>
      <c r="C13" s="24" t="s">
        <v>17887</v>
      </c>
      <c r="D13" s="24">
        <v>46</v>
      </c>
      <c r="E13" s="27" t="str">
        <f>HYPERLINK("https://www.boe.es/gazeta/dias/1800/02/04/pdfs/GMD-1800-10.pdf","Abrir fascículo")</f>
        <v>Abrir fascículo</v>
      </c>
    </row>
    <row r="14" spans="1:5">
      <c r="A14" s="21">
        <v>11</v>
      </c>
      <c r="B14" s="18" t="s">
        <v>1127</v>
      </c>
      <c r="C14" s="24" t="s">
        <v>17888</v>
      </c>
      <c r="D14" s="24">
        <v>31</v>
      </c>
      <c r="E14" s="27" t="str">
        <f>HYPERLINK("https://www.boe.es/gazeta/dias/1800/02/07/pdfs/GMD-1800-11.pdf","Abrir fascículo")</f>
        <v>Abrir fascículo</v>
      </c>
    </row>
    <row r="15" spans="1:5">
      <c r="A15" s="21">
        <v>12</v>
      </c>
      <c r="B15" s="18" t="s">
        <v>1433</v>
      </c>
      <c r="C15" s="24" t="s">
        <v>17889</v>
      </c>
      <c r="D15" s="24">
        <v>24</v>
      </c>
      <c r="E15" s="27" t="str">
        <f>HYPERLINK("https://www.boe.es/gazeta/dias/1800/02/11/pdfs/GMD-1800-12.pdf","Abrir fascículo")</f>
        <v>Abrir fascículo</v>
      </c>
    </row>
    <row r="16" spans="1:5">
      <c r="A16" s="21">
        <v>13</v>
      </c>
      <c r="B16" s="18" t="s">
        <v>503</v>
      </c>
      <c r="C16" s="24" t="s">
        <v>17890</v>
      </c>
      <c r="D16" s="24">
        <v>46</v>
      </c>
      <c r="E16" s="27" t="str">
        <f>HYPERLINK("https://www.boe.es/gazeta/dias/1800/02/14/pdfs/GMD-1800-13.pdf","Abrir fascículo")</f>
        <v>Abrir fascículo</v>
      </c>
    </row>
    <row r="17" spans="1:5">
      <c r="A17" s="21">
        <v>14</v>
      </c>
      <c r="B17" s="18" t="s">
        <v>545</v>
      </c>
      <c r="C17" s="24" t="s">
        <v>17891</v>
      </c>
      <c r="D17" s="24">
        <v>38</v>
      </c>
      <c r="E17" s="27" t="str">
        <f>HYPERLINK("https://www.boe.es/gazeta/dias/1800/02/18/pdfs/GMD-1800-14.pdf","Abrir fascículo")</f>
        <v>Abrir fascículo</v>
      </c>
    </row>
    <row r="18" spans="1:5">
      <c r="A18" s="21">
        <v>15</v>
      </c>
      <c r="B18" s="18" t="s">
        <v>162</v>
      </c>
      <c r="C18" s="24" t="s">
        <v>17892</v>
      </c>
      <c r="D18" s="24">
        <v>55</v>
      </c>
      <c r="E18" s="27" t="str">
        <f>HYPERLINK("https://www.boe.es/gazeta/dias/1800/02/21/pdfs/GMD-1800-15.pdf","Abrir fascículo")</f>
        <v>Abrir fascículo</v>
      </c>
    </row>
    <row r="19" spans="1:5">
      <c r="A19" s="21">
        <v>16</v>
      </c>
      <c r="B19" s="18" t="s">
        <v>124</v>
      </c>
      <c r="C19" s="24" t="s">
        <v>17893</v>
      </c>
      <c r="D19" s="24">
        <v>47</v>
      </c>
      <c r="E19" s="27" t="str">
        <f>HYPERLINK("https://www.boe.es/gazeta/dias/1800/02/25/pdfs/GMD-1800-16.pdf","Abrir fascículo")</f>
        <v>Abrir fascículo</v>
      </c>
    </row>
    <row r="20" spans="1:5">
      <c r="A20" s="21">
        <v>17</v>
      </c>
      <c r="B20" s="18" t="s">
        <v>86</v>
      </c>
      <c r="C20" s="24" t="s">
        <v>17894</v>
      </c>
      <c r="D20" s="24">
        <v>55</v>
      </c>
      <c r="E20" s="27" t="str">
        <f>HYPERLINK("https://www.boe.es/gazeta/dias/1800/02/28/pdfs/GMD-1800-17.pdf","Abrir fascículo")</f>
        <v>Abrir fascículo</v>
      </c>
    </row>
    <row r="21" spans="1:5">
      <c r="A21" s="21">
        <v>18</v>
      </c>
      <c r="B21" s="18" t="s">
        <v>461</v>
      </c>
      <c r="C21" s="24" t="s">
        <v>17895</v>
      </c>
      <c r="D21" s="24">
        <v>60</v>
      </c>
      <c r="E21" s="27" t="str">
        <f>HYPERLINK("https://www.boe.es/gazeta/dias/1800/03/04/pdfs/GMD-1800-18.pdf","Abrir fascículo")</f>
        <v>Abrir fascículo</v>
      </c>
    </row>
    <row r="22" spans="1:5">
      <c r="A22" s="21" t="s">
        <v>17896</v>
      </c>
      <c r="B22" s="18" t="s">
        <v>461</v>
      </c>
      <c r="C22" s="24" t="s">
        <v>17897</v>
      </c>
      <c r="D22" s="24">
        <v>15</v>
      </c>
      <c r="E22" s="27" t="str">
        <f>HYPERLINK("https://www.boe.es/datos/pdfs/BOE//1800/018/C00173-00176.pdf","Abrir suplemento")</f>
        <v>Abrir suplemento</v>
      </c>
    </row>
    <row r="23" spans="1:5">
      <c r="A23" s="21">
        <v>19</v>
      </c>
      <c r="B23" s="18" t="s">
        <v>620</v>
      </c>
      <c r="C23" s="24" t="s">
        <v>17898</v>
      </c>
      <c r="D23" s="24">
        <v>37</v>
      </c>
      <c r="E23" s="27" t="str">
        <f>HYPERLINK("https://www.boe.es/gazeta/dias/1800/03/07/pdfs/GMD-1800-19.pdf","Abrir fascículo")</f>
        <v>Abrir fascículo</v>
      </c>
    </row>
    <row r="24" spans="1:5">
      <c r="A24" s="21">
        <v>20</v>
      </c>
      <c r="B24" s="18" t="s">
        <v>31</v>
      </c>
      <c r="C24" s="24" t="s">
        <v>17899</v>
      </c>
      <c r="D24" s="24">
        <v>98</v>
      </c>
      <c r="E24" s="27" t="str">
        <f>HYPERLINK("https://www.boe.es/gazeta/dias/1800/03/11/pdfs/GMD-1800-20.pdf","Abrir fascículo")</f>
        <v>Abrir fascículo</v>
      </c>
    </row>
    <row r="25" spans="1:5">
      <c r="A25" s="21">
        <v>21</v>
      </c>
      <c r="B25" s="18" t="s">
        <v>35</v>
      </c>
      <c r="C25" s="24" t="s">
        <v>17900</v>
      </c>
      <c r="D25" s="24">
        <v>62</v>
      </c>
      <c r="E25" s="27" t="str">
        <f>HYPERLINK("https://www.boe.es/gazeta/dias/1800/03/14/pdfs/GMD-1800-21.pdf","Abrir fascículo")</f>
        <v>Abrir fascículo</v>
      </c>
    </row>
    <row r="26" spans="1:5">
      <c r="A26" s="21">
        <v>22</v>
      </c>
      <c r="B26" s="18" t="s">
        <v>143</v>
      </c>
      <c r="C26" s="24" t="s">
        <v>17901</v>
      </c>
      <c r="D26" s="24">
        <v>122</v>
      </c>
      <c r="E26" s="27" t="str">
        <f>HYPERLINK("https://www.boe.es/gazeta/dias/1800/03/18/pdfs/GMD-1800-22.pdf","Abrir fascículo")</f>
        <v>Abrir fascículo</v>
      </c>
    </row>
    <row r="27" spans="1:5">
      <c r="A27" s="21">
        <v>23</v>
      </c>
      <c r="B27" s="18" t="s">
        <v>88</v>
      </c>
      <c r="C27" s="24" t="s">
        <v>17902</v>
      </c>
      <c r="D27" s="24">
        <v>65</v>
      </c>
      <c r="E27" s="27" t="str">
        <f>HYPERLINK("https://www.boe.es/gazeta/dias/1800/03/21/pdfs/GMD-1800-23.pdf","Abrir fascículo")</f>
        <v>Abrir fascículo</v>
      </c>
    </row>
    <row r="28" spans="1:5">
      <c r="A28" s="21">
        <v>24</v>
      </c>
      <c r="B28" s="18" t="s">
        <v>346</v>
      </c>
      <c r="C28" s="24" t="s">
        <v>17903</v>
      </c>
      <c r="D28" s="24">
        <v>78</v>
      </c>
      <c r="E28" s="27" t="str">
        <f>HYPERLINK("https://www.boe.es/gazeta/dias/1800/03/25/pdfs/GMD-1800-24.pdf","Abrir fascículo")</f>
        <v>Abrir fascículo</v>
      </c>
    </row>
    <row r="29" spans="1:5">
      <c r="A29" s="21">
        <v>25</v>
      </c>
      <c r="B29" s="18" t="s">
        <v>158</v>
      </c>
      <c r="C29" s="24" t="s">
        <v>17904</v>
      </c>
      <c r="D29" s="24">
        <v>75</v>
      </c>
      <c r="E29" s="27" t="str">
        <f>HYPERLINK("https://www.boe.es/gazeta/dias/1800/03/28/pdfs/GMD-1800-25.pdf","Abrir fascículo")</f>
        <v>Abrir fascículo</v>
      </c>
    </row>
    <row r="30" spans="1:5">
      <c r="A30" s="21">
        <v>26</v>
      </c>
      <c r="B30" s="18" t="s">
        <v>240</v>
      </c>
      <c r="C30" s="24" t="s">
        <v>17905</v>
      </c>
      <c r="D30" s="24">
        <v>106</v>
      </c>
      <c r="E30" s="27" t="str">
        <f>HYPERLINK("https://www.boe.es/gazeta/dias/1800/04/01/pdfs/GMD-1800-26.pdf","Abrir fascículo")</f>
        <v>Abrir fascículo</v>
      </c>
    </row>
    <row r="31" spans="1:5">
      <c r="A31" s="21">
        <v>27</v>
      </c>
      <c r="B31" s="18" t="s">
        <v>226</v>
      </c>
      <c r="C31" s="24" t="s">
        <v>17906</v>
      </c>
      <c r="D31" s="24">
        <v>53</v>
      </c>
      <c r="E31" s="27" t="str">
        <f>HYPERLINK("https://www.boe.es/gazeta/dias/1800/04/04/pdfs/GMD-1800-27.pdf","Abrir fascículo")</f>
        <v>Abrir fascículo</v>
      </c>
    </row>
    <row r="32" spans="1:5">
      <c r="A32" s="21">
        <v>28</v>
      </c>
      <c r="B32" s="18" t="s">
        <v>105</v>
      </c>
      <c r="C32" s="24" t="s">
        <v>17907</v>
      </c>
      <c r="D32" s="24">
        <v>38</v>
      </c>
      <c r="E32" s="27" t="str">
        <f>HYPERLINK("https://www.boe.es/gazeta/dias/1800/04/08/pdfs/GMD-1800-28.pdf","Abrir fascículo")</f>
        <v>Abrir fascículo</v>
      </c>
    </row>
    <row r="33" spans="1:5">
      <c r="A33" s="21">
        <v>29</v>
      </c>
      <c r="B33" s="18" t="s">
        <v>491</v>
      </c>
      <c r="C33" s="24" t="s">
        <v>17908</v>
      </c>
      <c r="D33" s="24">
        <v>41</v>
      </c>
      <c r="E33" s="27" t="str">
        <f>HYPERLINK("https://www.boe.es/gazeta/dias/1800/04/11/pdfs/GMD-1800-29.pdf","Abrir fascículo")</f>
        <v>Abrir fascículo</v>
      </c>
    </row>
    <row r="34" spans="1:5">
      <c r="A34" s="21">
        <v>30</v>
      </c>
      <c r="B34" s="18" t="s">
        <v>1108</v>
      </c>
      <c r="C34" s="24" t="s">
        <v>17909</v>
      </c>
      <c r="D34" s="24">
        <v>44</v>
      </c>
      <c r="E34" s="27" t="str">
        <f>HYPERLINK("https://www.boe.es/gazeta/dias/1800/04/15/pdfs/GMD-1800-30.pdf","Abrir fascículo")</f>
        <v>Abrir fascículo</v>
      </c>
    </row>
    <row r="35" spans="1:5">
      <c r="A35" s="21">
        <v>31</v>
      </c>
      <c r="B35" s="18" t="s">
        <v>356</v>
      </c>
      <c r="C35" s="24" t="s">
        <v>17910</v>
      </c>
      <c r="D35" s="24">
        <v>53</v>
      </c>
      <c r="E35" s="27" t="str">
        <f>HYPERLINK("https://www.boe.es/gazeta/dias/1800/04/18/pdfs/GMD-1800-31.pdf","Abrir fascículo")</f>
        <v>Abrir fascículo</v>
      </c>
    </row>
    <row r="36" spans="1:5">
      <c r="A36" s="21">
        <v>32</v>
      </c>
      <c r="B36" s="18" t="s">
        <v>598</v>
      </c>
      <c r="C36" s="24" t="s">
        <v>17911</v>
      </c>
      <c r="D36" s="24">
        <v>49</v>
      </c>
      <c r="E36" s="27" t="str">
        <f>HYPERLINK("https://www.boe.es/gazeta/dias/1800/04/22/pdfs/GMD-1800-32.pdf","Abrir fascículo")</f>
        <v>Abrir fascículo</v>
      </c>
    </row>
    <row r="37" spans="1:5">
      <c r="A37" s="21">
        <v>33</v>
      </c>
      <c r="B37" s="18" t="s">
        <v>248</v>
      </c>
      <c r="C37" s="24" t="s">
        <v>17912</v>
      </c>
      <c r="D37" s="24">
        <v>72</v>
      </c>
      <c r="E37" s="27" t="str">
        <f>HYPERLINK("https://www.boe.es/gazeta/dias/1800/04/25/pdfs/GMD-1800-33.pdf","Abrir fascículo")</f>
        <v>Abrir fascículo</v>
      </c>
    </row>
    <row r="38" spans="1:5">
      <c r="A38" s="21">
        <v>34</v>
      </c>
      <c r="B38" s="18" t="s">
        <v>478</v>
      </c>
      <c r="C38" s="24" t="s">
        <v>17913</v>
      </c>
      <c r="D38" s="24">
        <v>84</v>
      </c>
      <c r="E38" s="27" t="str">
        <f>HYPERLINK("https://www.boe.es/gazeta/dias/1800/04/29/pdfs/GMD-1800-34.pdf","Abrir fascículo")</f>
        <v>Abrir fascículo</v>
      </c>
    </row>
    <row r="39" spans="1:5">
      <c r="A39" s="21">
        <v>35</v>
      </c>
      <c r="B39" s="18" t="s">
        <v>230</v>
      </c>
      <c r="C39" s="24" t="s">
        <v>17914</v>
      </c>
      <c r="D39" s="24">
        <v>45</v>
      </c>
      <c r="E39" s="27" t="str">
        <f>HYPERLINK("https://www.boe.es/gazeta/dias/1800/05/02/pdfs/GMD-1800-35.pdf","Abrir fascículo")</f>
        <v>Abrir fascículo</v>
      </c>
    </row>
    <row r="40" spans="1:5">
      <c r="A40" s="21">
        <v>36</v>
      </c>
      <c r="B40" s="18" t="s">
        <v>1231</v>
      </c>
      <c r="C40" s="24" t="s">
        <v>17915</v>
      </c>
      <c r="D40" s="24">
        <v>59</v>
      </c>
      <c r="E40" s="27" t="str">
        <f>HYPERLINK("https://www.boe.es/gazeta/dias/1800/05/06/pdfs/GMD-1800-36.pdf","Abrir fascículo")</f>
        <v>Abrir fascículo</v>
      </c>
    </row>
    <row r="41" spans="1:5">
      <c r="A41" s="21">
        <v>37</v>
      </c>
      <c r="B41" s="18" t="s">
        <v>101</v>
      </c>
      <c r="C41" s="24" t="s">
        <v>17916</v>
      </c>
      <c r="D41" s="24">
        <v>97</v>
      </c>
      <c r="E41" s="27" t="str">
        <f>HYPERLINK("https://www.boe.es/gazeta/dias/1800/05/09/pdfs/GMD-1800-37.pdf","Abrir fascículo")</f>
        <v>Abrir fascículo</v>
      </c>
    </row>
    <row r="42" spans="1:5">
      <c r="A42" s="21">
        <v>38</v>
      </c>
      <c r="B42" s="18" t="s">
        <v>420</v>
      </c>
      <c r="C42" s="24" t="s">
        <v>17917</v>
      </c>
      <c r="D42" s="24">
        <v>68</v>
      </c>
      <c r="E42" s="27" t="str">
        <f>HYPERLINK("https://www.boe.es/gazeta/dias/1800/05/13/pdfs/GMD-1800-38.pdf","Abrir fascículo")</f>
        <v>Abrir fascículo</v>
      </c>
    </row>
    <row r="43" spans="1:5">
      <c r="A43" s="21">
        <v>39</v>
      </c>
      <c r="B43" s="18" t="s">
        <v>262</v>
      </c>
      <c r="C43" s="24" t="s">
        <v>17918</v>
      </c>
      <c r="D43" s="24">
        <v>64</v>
      </c>
      <c r="E43" s="27" t="str">
        <f>HYPERLINK("https://www.boe.es/gazeta/dias/1800/05/16/pdfs/GMD-1800-39.pdf","Abrir fascículo")</f>
        <v>Abrir fascículo</v>
      </c>
    </row>
    <row r="44" spans="1:5">
      <c r="A44" s="21">
        <v>40</v>
      </c>
      <c r="B44" s="18" t="s">
        <v>299</v>
      </c>
      <c r="C44" s="24" t="s">
        <v>17919</v>
      </c>
      <c r="D44" s="24">
        <v>63</v>
      </c>
      <c r="E44" s="27" t="str">
        <f>HYPERLINK("https://www.boe.es/gazeta/dias/1800/05/20/pdfs/GMD-1800-40.pdf","Abrir fascículo")</f>
        <v>Abrir fascículo</v>
      </c>
    </row>
    <row r="45" spans="1:5">
      <c r="A45" s="21">
        <v>41</v>
      </c>
      <c r="B45" s="18" t="s">
        <v>214</v>
      </c>
      <c r="C45" s="24" t="s">
        <v>17920</v>
      </c>
      <c r="D45" s="24">
        <v>55</v>
      </c>
      <c r="E45" s="27" t="str">
        <f>HYPERLINK("https://www.boe.es/gazeta/dias/1800/05/23/pdfs/GMD-1800-41.pdf","Abrir fascículo")</f>
        <v>Abrir fascículo</v>
      </c>
    </row>
    <row r="46" spans="1:5">
      <c r="A46" s="21" t="s">
        <v>17921</v>
      </c>
      <c r="B46" s="18" t="s">
        <v>214</v>
      </c>
      <c r="C46" s="24" t="s">
        <v>17922</v>
      </c>
      <c r="D46" s="24">
        <v>21</v>
      </c>
      <c r="E46" s="27" t="str">
        <f>HYPERLINK("https://www.boe.es/gazeta/dias/1800/05/23/pdfs/GMD-C-1800-41.pdf","Abrir suplemento")</f>
        <v>Abrir suplemento</v>
      </c>
    </row>
    <row r="47" spans="1:5">
      <c r="A47" s="21">
        <v>42</v>
      </c>
      <c r="B47" s="18" t="s">
        <v>2338</v>
      </c>
      <c r="C47" s="24" t="s">
        <v>17923</v>
      </c>
      <c r="D47" s="24">
        <v>29</v>
      </c>
      <c r="E47" s="27" t="str">
        <f>HYPERLINK("https://www.boe.es/gazeta/dias/1800/05/27/pdfs/GMD-1800-42.pdf","Abrir fascículo")</f>
        <v>Abrir fascículo</v>
      </c>
    </row>
    <row r="48" spans="1:5">
      <c r="A48" s="21" t="s">
        <v>17924</v>
      </c>
      <c r="B48" s="18" t="s">
        <v>2338</v>
      </c>
      <c r="C48" s="24" t="s">
        <v>17925</v>
      </c>
      <c r="D48" s="24">
        <v>10</v>
      </c>
      <c r="E48" s="27" t="str">
        <f>HYPERLINK("https://www.boe.es/gazeta/dias/1800/05/27/pdfs/GMD-C-1800-42.pdf","Abrir suplemento")</f>
        <v>Abrir suplemento</v>
      </c>
    </row>
    <row r="49" spans="1:5">
      <c r="A49" s="21">
        <v>43</v>
      </c>
      <c r="B49" s="18" t="s">
        <v>39</v>
      </c>
      <c r="C49" s="24" t="s">
        <v>17926</v>
      </c>
      <c r="D49" s="24">
        <v>85</v>
      </c>
      <c r="E49" s="27" t="str">
        <f>HYPERLINK("https://www.boe.es/gazeta/dias/1800/05/30/pdfs/GMD-1800-43.pdf","Abrir fascículo")</f>
        <v>Abrir fascículo</v>
      </c>
    </row>
    <row r="50" spans="1:5">
      <c r="A50" s="21">
        <v>44</v>
      </c>
      <c r="B50" s="18" t="s">
        <v>406</v>
      </c>
      <c r="C50" s="24" t="s">
        <v>17927</v>
      </c>
      <c r="D50" s="24">
        <v>70</v>
      </c>
      <c r="E50" s="27" t="str">
        <f>HYPERLINK("https://www.boe.es/gazeta/dias/1800/06/03/pdfs/GMD-1800-44.pdf","Abrir fascículo")</f>
        <v>Abrir fascículo</v>
      </c>
    </row>
    <row r="51" spans="1:5">
      <c r="A51" s="21">
        <v>45</v>
      </c>
      <c r="B51" s="18" t="s">
        <v>600</v>
      </c>
      <c r="C51" s="24" t="s">
        <v>17928</v>
      </c>
      <c r="D51" s="24">
        <v>59</v>
      </c>
      <c r="E51" s="27" t="str">
        <f>HYPERLINK("https://www.boe.es/gazeta/dias/1800/06/06/pdfs/GMD-1800-45.pdf","Abrir fascículo")</f>
        <v>Abrir fascículo</v>
      </c>
    </row>
    <row r="52" spans="1:5">
      <c r="A52" s="21">
        <v>46</v>
      </c>
      <c r="B52" s="18" t="s">
        <v>43</v>
      </c>
      <c r="C52" s="24" t="s">
        <v>17929</v>
      </c>
      <c r="D52" s="24">
        <v>80</v>
      </c>
      <c r="E52" s="27" t="str">
        <f>HYPERLINK("https://www.boe.es/gazeta/dias/1800/06/10/pdfs/GMD-1800-46.pdf","Abrir fascículo")</f>
        <v>Abrir fascículo</v>
      </c>
    </row>
    <row r="53" spans="1:5">
      <c r="A53" s="21" t="s">
        <v>17930</v>
      </c>
      <c r="B53" s="18" t="s">
        <v>43</v>
      </c>
      <c r="C53" s="24" t="s">
        <v>17931</v>
      </c>
      <c r="D53" s="24">
        <v>1</v>
      </c>
      <c r="E53" s="27" t="str">
        <f>HYPERLINK("https://www.boe.es/gazeta/dias/1800/06/10/pdfs/GMD-C-1800-46.pdf","Abrir suplemento")</f>
        <v>Abrir suplemento</v>
      </c>
    </row>
    <row r="54" spans="1:5">
      <c r="A54" s="21">
        <v>47</v>
      </c>
      <c r="B54" s="18" t="s">
        <v>45</v>
      </c>
      <c r="C54" s="24" t="s">
        <v>17932</v>
      </c>
      <c r="D54" s="24">
        <v>189</v>
      </c>
      <c r="E54" s="27" t="str">
        <f>HYPERLINK("https://www.boe.es/gazeta/dias/1800/06/13/pdfs/GMD-1800-47.pdf","Abrir fascículo")</f>
        <v>Abrir fascículo</v>
      </c>
    </row>
    <row r="55" spans="1:5">
      <c r="A55" s="21" t="s">
        <v>17933</v>
      </c>
      <c r="B55" s="18" t="s">
        <v>45</v>
      </c>
      <c r="C55" s="24" t="s">
        <v>17934</v>
      </c>
      <c r="D55" s="24">
        <v>10</v>
      </c>
      <c r="E55" s="27" t="str">
        <f>HYPERLINK("https://www.boe.es/gazeta/dias/1800/06/13/pdfs/GMD-C-1800-47.pdf","Abrir suplemento")</f>
        <v>Abrir suplemento</v>
      </c>
    </row>
    <row r="56" spans="1:5">
      <c r="A56" s="21">
        <v>48</v>
      </c>
      <c r="B56" s="18" t="s">
        <v>194</v>
      </c>
      <c r="C56" s="24" t="s">
        <v>17935</v>
      </c>
      <c r="D56" s="24">
        <v>93</v>
      </c>
      <c r="E56" s="27" t="str">
        <f>HYPERLINK("https://www.boe.es/gazeta/dias/1800/06/17/pdfs/GMD-1800-48.pdf","Abrir fascículo")</f>
        <v>Abrir fascículo</v>
      </c>
    </row>
    <row r="57" spans="1:5">
      <c r="A57" s="21" t="s">
        <v>17936</v>
      </c>
      <c r="B57" s="18" t="s">
        <v>194</v>
      </c>
      <c r="C57" s="24" t="s">
        <v>17937</v>
      </c>
      <c r="D57" s="24">
        <v>9</v>
      </c>
      <c r="E57" s="27" t="str">
        <f>HYPERLINK("https://www.boe.es/gazeta/dias/1800/06/17/pdfs/GMD-C-1800-48.pdf","Abrir suplemento")</f>
        <v>Abrir suplemento</v>
      </c>
    </row>
    <row r="58" spans="1:5">
      <c r="A58" s="21">
        <v>49</v>
      </c>
      <c r="B58" s="18" t="s">
        <v>465</v>
      </c>
      <c r="C58" s="24" t="s">
        <v>17938</v>
      </c>
      <c r="D58" s="24">
        <v>56</v>
      </c>
      <c r="E58" s="27" t="str">
        <f>HYPERLINK("https://www.boe.es/gazeta/dias/1800/06/20/pdfs/GMD-1800-49.pdf","Abrir fascículo")</f>
        <v>Abrir fascículo</v>
      </c>
    </row>
    <row r="59" spans="1:5">
      <c r="A59" s="21" t="s">
        <v>17939</v>
      </c>
      <c r="B59" s="18" t="s">
        <v>465</v>
      </c>
      <c r="C59" s="24" t="s">
        <v>17940</v>
      </c>
      <c r="D59" s="24">
        <v>26</v>
      </c>
      <c r="E59" s="27" t="str">
        <f>HYPERLINK("https://www.boe.es/gazeta/dias/1800/06/20/pdfs/GMD-C-1800-49.pdf","Abrir suplemento")</f>
        <v>Abrir suplemento</v>
      </c>
    </row>
    <row r="60" spans="1:5">
      <c r="A60" s="21">
        <v>50</v>
      </c>
      <c r="B60" s="18" t="s">
        <v>823</v>
      </c>
      <c r="C60" s="24" t="s">
        <v>17941</v>
      </c>
      <c r="D60" s="24">
        <v>51</v>
      </c>
      <c r="E60" s="27" t="str">
        <f>HYPERLINK("https://www.boe.es/gazeta/dias/1800/06/24/pdfs/GMD-1800-50.pdf","Abrir fascículo")</f>
        <v>Abrir fascículo</v>
      </c>
    </row>
    <row r="61" spans="1:5">
      <c r="A61" s="21">
        <v>51</v>
      </c>
      <c r="B61" s="18" t="s">
        <v>825</v>
      </c>
      <c r="C61" s="24" t="s">
        <v>17942</v>
      </c>
      <c r="D61" s="24">
        <v>67</v>
      </c>
      <c r="E61" s="27" t="str">
        <f>HYPERLINK("https://www.boe.es/gazeta/dias/1800/06/27/pdfs/GMD-1800-51.pdf","Abrir fascículo")</f>
        <v>Abrir fascículo</v>
      </c>
    </row>
    <row r="62" spans="1:5">
      <c r="A62" s="21">
        <v>52</v>
      </c>
      <c r="B62" s="18" t="s">
        <v>120</v>
      </c>
      <c r="C62" s="24" t="s">
        <v>17943</v>
      </c>
      <c r="D62" s="24">
        <v>75</v>
      </c>
      <c r="E62" s="27" t="str">
        <f>HYPERLINK("https://www.boe.es/gazeta/dias/1800/07/01/pdfs/GMD-1800-52.pdf","Abrir fascículo")</f>
        <v>Abrir fascículo</v>
      </c>
    </row>
    <row r="63" spans="1:5">
      <c r="A63" s="21" t="s">
        <v>17944</v>
      </c>
      <c r="B63" s="18" t="s">
        <v>120</v>
      </c>
      <c r="C63" s="24" t="s">
        <v>17945</v>
      </c>
      <c r="D63" s="24">
        <v>9</v>
      </c>
      <c r="E63" s="27" t="str">
        <f>HYPERLINK("https://www.boe.es/gazeta/dias/1800/07/01/pdfs/GMD-C-1800-52.pdf","Abrir suplemento")</f>
        <v>Abrir suplemento</v>
      </c>
    </row>
    <row r="64" spans="1:5">
      <c r="A64" s="21">
        <v>53</v>
      </c>
      <c r="B64" s="18" t="s">
        <v>828</v>
      </c>
      <c r="C64" s="24" t="s">
        <v>17946</v>
      </c>
      <c r="D64" s="24">
        <v>59</v>
      </c>
      <c r="E64" s="27" t="str">
        <f>HYPERLINK("https://www.boe.es/gazeta/dias/1800/07/04/pdfs/GMD-1800-53.pdf","Abrir fascículo")</f>
        <v>Abrir fascículo</v>
      </c>
    </row>
    <row r="65" spans="1:5">
      <c r="A65" s="21" t="s">
        <v>17947</v>
      </c>
      <c r="B65" s="18" t="s">
        <v>828</v>
      </c>
      <c r="C65" s="24" t="s">
        <v>17948</v>
      </c>
      <c r="D65" s="24">
        <v>9</v>
      </c>
      <c r="E65" s="27" t="str">
        <f>HYPERLINK("https://www.boe.es/gazeta/dias/1800/07/04/pdfs/GMD-C-1800-53.pdf","Abrir suplemento")</f>
        <v>Abrir suplemento</v>
      </c>
    </row>
    <row r="66" spans="1:5">
      <c r="A66" s="21">
        <v>54</v>
      </c>
      <c r="B66" s="18" t="s">
        <v>64</v>
      </c>
      <c r="C66" s="24" t="s">
        <v>17949</v>
      </c>
      <c r="D66" s="24">
        <v>94</v>
      </c>
      <c r="E66" s="27" t="str">
        <f>HYPERLINK("https://www.boe.es/gazeta/dias/1800/07/08/pdfs/GMD-1800-54.pdf","Abrir fascículo")</f>
        <v>Abrir fascículo</v>
      </c>
    </row>
    <row r="67" spans="1:5">
      <c r="A67" s="21" t="s">
        <v>17950</v>
      </c>
      <c r="B67" s="18" t="s">
        <v>64</v>
      </c>
      <c r="C67" s="24" t="s">
        <v>17951</v>
      </c>
      <c r="D67" s="24">
        <v>10</v>
      </c>
      <c r="E67" s="27" t="str">
        <f>HYPERLINK("https://www.boe.es/gazeta/dias/1800/07/08/pdfs/GMD-C-1800-54.pdf","Abrir suplemento")</f>
        <v>Abrir suplemento</v>
      </c>
    </row>
    <row r="68" spans="1:5">
      <c r="A68" s="21">
        <v>55</v>
      </c>
      <c r="B68" s="18" t="s">
        <v>530</v>
      </c>
      <c r="C68" s="24" t="s">
        <v>17952</v>
      </c>
      <c r="D68" s="24">
        <v>70</v>
      </c>
      <c r="E68" s="27" t="str">
        <f>HYPERLINK("https://www.boe.es/gazeta/dias/1800/07/11/pdfs/GMD-1800-55.pdf","Abrir fascículo")</f>
        <v>Abrir fascículo</v>
      </c>
    </row>
    <row r="69" spans="1:5">
      <c r="A69" s="21">
        <v>56</v>
      </c>
      <c r="B69" s="18" t="s">
        <v>310</v>
      </c>
      <c r="C69" s="24" t="s">
        <v>17953</v>
      </c>
      <c r="D69" s="24">
        <v>81</v>
      </c>
      <c r="E69" s="27" t="str">
        <f>HYPERLINK("https://www.boe.es/gazeta/dias/1800/07/15/pdfs/GMD-1800-56.pdf","Abrir fascículo")</f>
        <v>Abrir fascículo</v>
      </c>
    </row>
    <row r="70" spans="1:5">
      <c r="A70" s="21">
        <v>57</v>
      </c>
      <c r="B70" s="18" t="s">
        <v>1287</v>
      </c>
      <c r="C70" s="24" t="s">
        <v>17954</v>
      </c>
      <c r="D70" s="24">
        <v>73</v>
      </c>
      <c r="E70" s="27" t="str">
        <f>HYPERLINK("https://www.boe.es/gazeta/dias/1800/07/18/pdfs/GMD-1800-57.pdf","Abrir fascículo")</f>
        <v>Abrir fascículo</v>
      </c>
    </row>
    <row r="71" spans="1:5">
      <c r="A71" s="21">
        <v>58</v>
      </c>
      <c r="B71" s="18" t="s">
        <v>90</v>
      </c>
      <c r="C71" s="24" t="s">
        <v>17955</v>
      </c>
      <c r="D71" s="24">
        <v>91</v>
      </c>
      <c r="E71" s="27" t="str">
        <f>HYPERLINK("https://www.boe.es/gazeta/dias/1800/07/22/pdfs/GMD-1800-58.pdf","Abrir fascículo")</f>
        <v>Abrir fascículo</v>
      </c>
    </row>
    <row r="72" spans="1:5">
      <c r="A72" s="21" t="s">
        <v>17956</v>
      </c>
      <c r="B72" s="18" t="s">
        <v>90</v>
      </c>
      <c r="C72" s="24" t="s">
        <v>17957</v>
      </c>
      <c r="D72" s="24">
        <v>40</v>
      </c>
      <c r="E72" s="27" t="str">
        <f>HYPERLINK("https://www.boe.es/gazeta/dias/1800/07/22/pdfs/GMD-C-1800-58.pdf","Abrir suplemento")</f>
        <v>Abrir suplemento</v>
      </c>
    </row>
    <row r="73" spans="1:5">
      <c r="A73" s="21">
        <v>59</v>
      </c>
      <c r="B73" s="18" t="s">
        <v>1294</v>
      </c>
      <c r="C73" s="24" t="s">
        <v>17958</v>
      </c>
      <c r="D73" s="24">
        <v>58</v>
      </c>
      <c r="E73" s="27" t="str">
        <f>HYPERLINK("https://www.boe.es/gazeta/dias/1800/07/25/pdfs/GMD-1800-59.pdf","Abrir fascículo")</f>
        <v>Abrir fascículo</v>
      </c>
    </row>
    <row r="74" spans="1:5">
      <c r="A74" s="21">
        <v>60</v>
      </c>
      <c r="B74" s="18" t="s">
        <v>275</v>
      </c>
      <c r="C74" s="24" t="s">
        <v>17959</v>
      </c>
      <c r="D74" s="24">
        <v>47</v>
      </c>
      <c r="E74" s="27" t="str">
        <f>HYPERLINK("https://www.boe.es/gazeta/dias/1800/07/29/pdfs/GMD-1800-60.pdf","Abrir fascículo")</f>
        <v>Abrir fascículo</v>
      </c>
    </row>
    <row r="75" spans="1:5">
      <c r="A75" s="21">
        <v>61</v>
      </c>
      <c r="B75" s="18" t="s">
        <v>154</v>
      </c>
      <c r="C75" s="24" t="s">
        <v>17960</v>
      </c>
      <c r="D75" s="24">
        <v>84</v>
      </c>
      <c r="E75" s="27" t="str">
        <f>HYPERLINK("https://www.boe.es/gazeta/dias/1800/08/01/pdfs/GMD-1800-61.pdf","Abrir fascículo")</f>
        <v>Abrir fascículo</v>
      </c>
    </row>
    <row r="76" spans="1:5">
      <c r="A76" s="21">
        <v>62</v>
      </c>
      <c r="B76" s="18" t="s">
        <v>319</v>
      </c>
      <c r="C76" s="24" t="s">
        <v>17961</v>
      </c>
      <c r="D76" s="24">
        <v>83</v>
      </c>
      <c r="E76" s="27" t="str">
        <f>HYPERLINK("https://www.boe.es/gazeta/dias/1800/08/05/pdfs/GMD-1800-62.pdf","Abrir fascículo")</f>
        <v>Abrir fascículo</v>
      </c>
    </row>
    <row r="77" spans="1:5">
      <c r="A77" s="21">
        <v>63</v>
      </c>
      <c r="B77" s="18" t="s">
        <v>454</v>
      </c>
      <c r="C77" s="24" t="s">
        <v>17962</v>
      </c>
      <c r="D77" s="24">
        <v>78</v>
      </c>
      <c r="E77" s="27" t="str">
        <f>HYPERLINK("https://www.boe.es/gazeta/dias/1800/08/08/pdfs/GMD-1800-63.pdf","Abrir fascículo")</f>
        <v>Abrir fascículo</v>
      </c>
    </row>
    <row r="78" spans="1:5">
      <c r="A78" s="21">
        <v>64</v>
      </c>
      <c r="B78" s="18" t="s">
        <v>75</v>
      </c>
      <c r="C78" s="24" t="s">
        <v>17963</v>
      </c>
      <c r="D78" s="24">
        <v>100</v>
      </c>
      <c r="E78" s="27" t="str">
        <f>HYPERLINK("https://www.boe.es/gazeta/dias/1800/08/12/pdfs/GMD-1800-64.pdf","Abrir fascículo")</f>
        <v>Abrir fascículo</v>
      </c>
    </row>
    <row r="79" spans="1:5">
      <c r="A79" s="21">
        <v>65</v>
      </c>
      <c r="B79" s="18" t="s">
        <v>27</v>
      </c>
      <c r="C79" s="24" t="s">
        <v>17963</v>
      </c>
      <c r="D79" s="24">
        <v>55</v>
      </c>
      <c r="E79" s="27" t="str">
        <f>HYPERLINK("https://www.boe.es/gazeta/dias/1800/08/15/pdfs/GMD-1800-65.pdf","Abrir fascículo")</f>
        <v>Abrir fascículo</v>
      </c>
    </row>
    <row r="80" spans="1:5">
      <c r="A80" s="21">
        <v>66</v>
      </c>
      <c r="B80" s="18" t="s">
        <v>48</v>
      </c>
      <c r="C80" s="24" t="s">
        <v>17964</v>
      </c>
      <c r="D80" s="24">
        <v>81</v>
      </c>
      <c r="E80" s="27" t="str">
        <f>HYPERLINK("https://www.boe.es/gazeta/dias/1800/08/19/pdfs/GMD-1800-66.pdf","Abrir fascículo")</f>
        <v>Abrir fascículo</v>
      </c>
    </row>
    <row r="81" spans="1:5">
      <c r="A81" s="21">
        <v>67</v>
      </c>
      <c r="B81" s="18" t="s">
        <v>68</v>
      </c>
      <c r="C81" s="24" t="s">
        <v>17965</v>
      </c>
      <c r="D81" s="24">
        <v>44</v>
      </c>
      <c r="E81" s="27" t="str">
        <f>HYPERLINK("https://www.boe.es/gazeta/dias/1800/08/22/pdfs/GMD-1800-67.pdf","Abrir fascículo")</f>
        <v>Abrir fascículo</v>
      </c>
    </row>
    <row r="82" spans="1:5">
      <c r="A82" s="21">
        <v>68</v>
      </c>
      <c r="B82" s="18" t="s">
        <v>283</v>
      </c>
      <c r="C82" s="24" t="s">
        <v>17966</v>
      </c>
      <c r="D82" s="24">
        <v>82</v>
      </c>
      <c r="E82" s="27" t="str">
        <f>HYPERLINK("https://www.boe.es/gazeta/dias/1800/08/26/pdfs/GMD-1800-68.pdf","Abrir fascículo")</f>
        <v>Abrir fascículo</v>
      </c>
    </row>
    <row r="83" spans="1:5">
      <c r="A83" s="21">
        <v>69</v>
      </c>
      <c r="B83" s="18" t="s">
        <v>590</v>
      </c>
      <c r="C83" s="24" t="s">
        <v>17967</v>
      </c>
      <c r="D83" s="24">
        <v>44</v>
      </c>
      <c r="E83" s="27" t="str">
        <f>HYPERLINK("https://www.boe.es/gazeta/dias/1800/08/29/pdfs/GMD-1800-69.pdf","Abrir fascículo")</f>
        <v>Abrir fascículo</v>
      </c>
    </row>
    <row r="84" spans="1:5">
      <c r="A84" s="21" t="s">
        <v>17968</v>
      </c>
      <c r="B84" s="18" t="s">
        <v>5375</v>
      </c>
      <c r="C84" s="24" t="s">
        <v>17969</v>
      </c>
      <c r="D84" s="24">
        <v>9</v>
      </c>
      <c r="E84" s="27" t="str">
        <f>HYPERLINK("https://www.boe.es/gazeta/dias/1800/08/31/pdfs/GMD-1800-70E.pdf","Abrir fascículo")</f>
        <v>Abrir fascículo</v>
      </c>
    </row>
    <row r="85" spans="1:5">
      <c r="A85" s="21">
        <v>71</v>
      </c>
      <c r="B85" s="18" t="s">
        <v>836</v>
      </c>
      <c r="C85" s="24" t="s">
        <v>17970</v>
      </c>
      <c r="D85" s="24">
        <v>52</v>
      </c>
      <c r="E85" s="27" t="str">
        <f>HYPERLINK("https://www.boe.es/gazeta/dias/1800/09/02/pdfs/GMD-1800-71.pdf","Abrir fascículo")</f>
        <v>Abrir fascículo</v>
      </c>
    </row>
    <row r="86" spans="1:5">
      <c r="A86" s="21">
        <v>72</v>
      </c>
      <c r="B86" s="18" t="s">
        <v>595</v>
      </c>
      <c r="C86" s="24" t="s">
        <v>17971</v>
      </c>
      <c r="D86" s="24">
        <v>54</v>
      </c>
      <c r="E86" s="27" t="str">
        <f>HYPERLINK("https://www.boe.es/gazeta/dias/1800/09/05/pdfs/GMD-1800-72.pdf","Abrir fascículo")</f>
        <v>Abrir fascículo</v>
      </c>
    </row>
    <row r="87" spans="1:5">
      <c r="A87" s="21" t="s">
        <v>17972</v>
      </c>
      <c r="B87" s="18" t="s">
        <v>595</v>
      </c>
      <c r="C87" s="24" t="s">
        <v>17973</v>
      </c>
      <c r="D87" s="24">
        <v>17</v>
      </c>
      <c r="E87" s="27" t="str">
        <f>HYPERLINK("https://www.boe.es/gazeta/dias/1800/09/05/pdfs/GMD-C-1800-72.pdf","Abrir suplemento")</f>
        <v>Abrir suplemento</v>
      </c>
    </row>
    <row r="88" spans="1:5">
      <c r="A88" s="21">
        <v>73</v>
      </c>
      <c r="B88" s="18" t="s">
        <v>135</v>
      </c>
      <c r="C88" s="24" t="s">
        <v>17974</v>
      </c>
      <c r="D88" s="24">
        <v>146</v>
      </c>
      <c r="E88" s="27" t="str">
        <f>HYPERLINK("https://www.boe.es/gazeta/dias/1800/09/09/pdfs/GMD-1800-73.pdf","Abrir fascículo")</f>
        <v>Abrir fascículo</v>
      </c>
    </row>
    <row r="89" spans="1:5">
      <c r="A89" s="21" t="s">
        <v>17975</v>
      </c>
      <c r="B89" s="18" t="s">
        <v>135</v>
      </c>
      <c r="C89" s="24" t="s">
        <v>17976</v>
      </c>
      <c r="D89" s="24">
        <v>16</v>
      </c>
      <c r="E89" s="27" t="str">
        <f>HYPERLINK("https://www.boe.es/gazeta/dias/1800/09/09/pdfs/GMD-C-1800-73.pdf","Abrir suplemento")</f>
        <v>Abrir suplemento</v>
      </c>
    </row>
    <row r="90" spans="1:5">
      <c r="A90" s="21">
        <v>74</v>
      </c>
      <c r="B90" s="18" t="s">
        <v>314</v>
      </c>
      <c r="C90" s="24" t="s">
        <v>17977</v>
      </c>
      <c r="D90" s="24">
        <v>171</v>
      </c>
      <c r="E90" s="27" t="str">
        <f>HYPERLINK("https://www.boe.es/gazeta/dias/1800/09/12/pdfs/GMD-1800-74.pdf","Abrir fascículo")</f>
        <v>Abrir fascículo</v>
      </c>
    </row>
    <row r="91" spans="1:5">
      <c r="A91" s="21" t="s">
        <v>17978</v>
      </c>
      <c r="B91" s="18" t="s">
        <v>314</v>
      </c>
      <c r="C91" s="24" t="s">
        <v>17979</v>
      </c>
      <c r="D91" s="24">
        <v>27</v>
      </c>
      <c r="E91" s="27" t="str">
        <f>HYPERLINK("https://www.boe.es/gazeta/dias/1800/09/12/pdfs/GMD-C-1800-74.pdf","Abrir suplemento")</f>
        <v>Abrir suplemento</v>
      </c>
    </row>
    <row r="92" spans="1:5">
      <c r="A92" s="21">
        <v>75</v>
      </c>
      <c r="B92" s="18" t="s">
        <v>255</v>
      </c>
      <c r="C92" s="24" t="s">
        <v>17980</v>
      </c>
      <c r="D92" s="24">
        <v>99</v>
      </c>
      <c r="E92" s="27" t="str">
        <f>HYPERLINK("https://www.boe.es/gazeta/dias/1800/09/16/pdfs/GMD-1800-75.pdf","Abrir fascículo")</f>
        <v>Abrir fascículo</v>
      </c>
    </row>
    <row r="93" spans="1:5">
      <c r="A93" s="21">
        <v>76</v>
      </c>
      <c r="B93" s="18" t="s">
        <v>572</v>
      </c>
      <c r="C93" s="24" t="s">
        <v>17981</v>
      </c>
      <c r="D93" s="24">
        <v>62</v>
      </c>
      <c r="E93" s="27" t="str">
        <f>HYPERLINK("https://www.boe.es/gazeta/dias/1800/09/19/pdfs/GMD-1800-76.pdf","Abrir fascículo")</f>
        <v>Abrir fascículo</v>
      </c>
    </row>
    <row r="94" spans="1:5">
      <c r="A94" s="21">
        <v>77</v>
      </c>
      <c r="B94" s="18" t="s">
        <v>583</v>
      </c>
      <c r="C94" s="24" t="s">
        <v>17982</v>
      </c>
      <c r="D94" s="24">
        <v>79</v>
      </c>
      <c r="E94" s="27" t="str">
        <f>HYPERLINK("https://www.boe.es/gazeta/dias/1800/09/23/pdfs/GMD-1800-77.pdf","Abrir fascículo")</f>
        <v>Abrir fascículo</v>
      </c>
    </row>
    <row r="95" spans="1:5">
      <c r="A95" s="21">
        <v>78</v>
      </c>
      <c r="B95" s="18" t="s">
        <v>843</v>
      </c>
      <c r="C95" s="24" t="s">
        <v>17983</v>
      </c>
      <c r="D95" s="24">
        <v>31</v>
      </c>
      <c r="E95" s="27" t="str">
        <f>HYPERLINK("https://www.boe.es/gazeta/dias/1800/09/26/pdfs/GMD-1800-78.pdf","Abrir fascículo")</f>
        <v>Abrir fascículo</v>
      </c>
    </row>
    <row r="96" spans="1:5">
      <c r="A96" s="21">
        <v>79</v>
      </c>
      <c r="B96" s="18" t="s">
        <v>306</v>
      </c>
      <c r="C96" s="24" t="s">
        <v>17984</v>
      </c>
      <c r="D96" s="24">
        <v>86</v>
      </c>
      <c r="E96" s="27" t="str">
        <f>HYPERLINK("https://www.boe.es/gazeta/dias/1800/09/30/pdfs/GMD-1800-79.pdf","Abrir fascículo")</f>
        <v>Abrir fascículo</v>
      </c>
    </row>
    <row r="97" spans="1:5">
      <c r="A97" s="21">
        <v>80</v>
      </c>
      <c r="B97" s="18" t="s">
        <v>845</v>
      </c>
      <c r="C97" s="24" t="s">
        <v>17985</v>
      </c>
      <c r="D97" s="24">
        <v>36</v>
      </c>
      <c r="E97" s="27" t="str">
        <f>HYPERLINK("https://www.boe.es/gazeta/dias/1800/10/03/pdfs/GMD-1800-80.pdf","Abrir fascículo")</f>
        <v>Abrir fascículo</v>
      </c>
    </row>
    <row r="98" spans="1:5">
      <c r="A98" s="21">
        <v>81</v>
      </c>
      <c r="B98" s="18" t="s">
        <v>50</v>
      </c>
      <c r="C98" s="24" t="s">
        <v>17986</v>
      </c>
      <c r="D98" s="24">
        <v>44</v>
      </c>
      <c r="E98" s="27" t="str">
        <f>HYPERLINK("https://www.boe.es/gazeta/dias/1800/10/07/pdfs/GMD-1800-81.pdf","Abrir fascículo")</f>
        <v>Abrir fascículo</v>
      </c>
    </row>
    <row r="99" spans="1:5">
      <c r="A99" s="21" t="s">
        <v>17987</v>
      </c>
      <c r="B99" s="18" t="s">
        <v>50</v>
      </c>
      <c r="C99" s="24" t="s">
        <v>17988</v>
      </c>
      <c r="D99" s="24">
        <v>43</v>
      </c>
      <c r="E99" s="27" t="str">
        <f>HYPERLINK("https://www.boe.es/gazeta/dias/1800/10/07/pdfs/GMD-C-1800-81.pdf","Abrir suplemento")</f>
        <v>Abrir suplemento</v>
      </c>
    </row>
    <row r="100" spans="1:5">
      <c r="A100" s="21">
        <v>82</v>
      </c>
      <c r="B100" s="18" t="s">
        <v>184</v>
      </c>
      <c r="C100" s="24" t="s">
        <v>17989</v>
      </c>
      <c r="D100" s="24">
        <v>105</v>
      </c>
      <c r="E100" s="27" t="str">
        <f>HYPERLINK("https://www.boe.es/gazeta/dias/1800/10/10/pdfs/GMD-1800-82.pdf","Abrir fascículo")</f>
        <v>Abrir fascículo</v>
      </c>
    </row>
    <row r="101" spans="1:5">
      <c r="A101" s="21">
        <v>83</v>
      </c>
      <c r="B101" s="18" t="s">
        <v>52</v>
      </c>
      <c r="C101" s="24" t="s">
        <v>17990</v>
      </c>
      <c r="D101" s="24">
        <v>84</v>
      </c>
      <c r="E101" s="27" t="str">
        <f>HYPERLINK("https://www.boe.es/gazeta/dias/1800/10/14/pdfs/GMD-1800-83.pdf","Abrir fascículo")</f>
        <v>Abrir fascículo</v>
      </c>
    </row>
    <row r="102" spans="1:5">
      <c r="A102" s="21">
        <v>84</v>
      </c>
      <c r="B102" s="18" t="s">
        <v>147</v>
      </c>
      <c r="C102" s="24" t="s">
        <v>17991</v>
      </c>
      <c r="D102" s="24">
        <v>33</v>
      </c>
      <c r="E102" s="27" t="str">
        <f>HYPERLINK("https://www.boe.es/gazeta/dias/1800/10/17/pdfs/GMD-1800-84.pdf","Abrir fascículo")</f>
        <v>Abrir fascículo</v>
      </c>
    </row>
    <row r="103" spans="1:5">
      <c r="A103" s="21" t="s">
        <v>17992</v>
      </c>
      <c r="B103" s="18" t="s">
        <v>147</v>
      </c>
      <c r="C103" s="24" t="s">
        <v>17993</v>
      </c>
      <c r="D103" s="24">
        <v>8</v>
      </c>
      <c r="E103" s="27" t="str">
        <f>HYPERLINK("https://www.boe.es/gazeta/dias/1800/10/17/pdfs/GMD-C-1800-84.pdf","Abrir suplemento")</f>
        <v>Abrir suplemento</v>
      </c>
    </row>
    <row r="104" spans="1:5">
      <c r="A104" s="21">
        <v>85</v>
      </c>
      <c r="B104" s="18" t="s">
        <v>422</v>
      </c>
      <c r="C104" s="24" t="s">
        <v>17994</v>
      </c>
      <c r="D104" s="24">
        <v>75</v>
      </c>
      <c r="E104" s="27" t="str">
        <f>HYPERLINK("https://www.boe.es/gazeta/dias/1800/10/21/pdfs/GMD-1800-85.pdf","Abrir fascículo")</f>
        <v>Abrir fascículo</v>
      </c>
    </row>
    <row r="105" spans="1:5">
      <c r="A105" s="21" t="s">
        <v>17995</v>
      </c>
      <c r="B105" s="18" t="s">
        <v>422</v>
      </c>
      <c r="C105" s="24" t="s">
        <v>17996</v>
      </c>
      <c r="D105" s="24">
        <v>5</v>
      </c>
      <c r="E105" s="27" t="str">
        <f>HYPERLINK("https://www.boe.es/gazeta/dias/1800/10/21/pdfs/GMD-C-1800-85.pdf","Abrir suplemento")</f>
        <v>Abrir suplemento</v>
      </c>
    </row>
    <row r="106" spans="1:5">
      <c r="A106" s="21">
        <v>86</v>
      </c>
      <c r="B106" s="18" t="s">
        <v>116</v>
      </c>
      <c r="C106" s="24" t="s">
        <v>17997</v>
      </c>
      <c r="D106" s="24">
        <v>73</v>
      </c>
      <c r="E106" s="27" t="str">
        <f>HYPERLINK("https://www.boe.es/gazeta/dias/1800/10/24/pdfs/GMD-1800-86.pdf","Abrir fascículo")</f>
        <v>Abrir fascículo</v>
      </c>
    </row>
    <row r="107" spans="1:5">
      <c r="A107" s="21" t="s">
        <v>17998</v>
      </c>
      <c r="B107" s="18" t="s">
        <v>116</v>
      </c>
      <c r="C107" s="24" t="s">
        <v>17999</v>
      </c>
      <c r="D107" s="24">
        <v>3</v>
      </c>
      <c r="E107" s="27" t="str">
        <f>HYPERLINK("https://www.boe.es/gazeta/dias/1800/10/24/pdfs/GMD-C-1800-86.pdf","Abrir suplemento")</f>
        <v>Abrir suplemento</v>
      </c>
    </row>
    <row r="108" spans="1:5">
      <c r="A108" s="21" t="s">
        <v>18000</v>
      </c>
      <c r="B108" s="18" t="s">
        <v>116</v>
      </c>
      <c r="C108" s="24" t="s">
        <v>18001</v>
      </c>
      <c r="D108" s="24">
        <v>122</v>
      </c>
      <c r="E108" s="27" t="str">
        <f>HYPERLINK("https://www.boe.es/gazeta/dias/1800/10/24/pdfs/GMD-D-1800-86.pdf","Abrir relación")</f>
        <v>Abrir relación</v>
      </c>
    </row>
    <row r="109" spans="1:5">
      <c r="A109" s="21">
        <v>87</v>
      </c>
      <c r="B109" s="18" t="s">
        <v>410</v>
      </c>
      <c r="C109" s="24" t="s">
        <v>18002</v>
      </c>
      <c r="D109" s="24">
        <v>41</v>
      </c>
      <c r="E109" s="27" t="str">
        <f>HYPERLINK("https://www.boe.es/gazeta/dias/1800/10/28/pdfs/GMD-1800-87.pdf","Abrir fascículo")</f>
        <v>Abrir fascículo</v>
      </c>
    </row>
    <row r="110" spans="1:5">
      <c r="A110" s="21" t="s">
        <v>18003</v>
      </c>
      <c r="B110" s="18" t="s">
        <v>410</v>
      </c>
      <c r="C110" s="24" t="s">
        <v>18004</v>
      </c>
      <c r="D110" s="24">
        <v>0</v>
      </c>
      <c r="E110" s="27" t="str">
        <f>HYPERLINK("https://www.boe.es/gazeta/dias/1800/10/28/pdfs/GMD-C-1800-87.pdf","Abrir suplemento")</f>
        <v>Abrir suplemento</v>
      </c>
    </row>
    <row r="111" spans="1:5">
      <c r="A111" s="21">
        <v>88</v>
      </c>
      <c r="B111" s="18" t="s">
        <v>176</v>
      </c>
      <c r="C111" s="24" t="s">
        <v>18005</v>
      </c>
      <c r="D111" s="24">
        <v>112</v>
      </c>
      <c r="E111" s="27" t="str">
        <f>HYPERLINK("https://www.boe.es/gazeta/dias/1800/10/31/pdfs/GMD-1800-88.pdf","Abrir fascículo")</f>
        <v>Abrir fascículo</v>
      </c>
    </row>
    <row r="112" spans="1:5">
      <c r="A112" s="21">
        <v>89</v>
      </c>
      <c r="B112" s="18" t="s">
        <v>673</v>
      </c>
      <c r="C112" s="24" t="s">
        <v>18006</v>
      </c>
      <c r="D112" s="24">
        <v>54</v>
      </c>
      <c r="E112" s="27" t="str">
        <f>HYPERLINK("https://www.boe.es/gazeta/dias/1800/11/04/pdfs/GMD-1800-89.pdf","Abrir fascículo")</f>
        <v>Abrir fascículo</v>
      </c>
    </row>
    <row r="113" spans="1:5">
      <c r="A113" s="21">
        <v>90</v>
      </c>
      <c r="B113" s="18" t="s">
        <v>56</v>
      </c>
      <c r="C113" s="24" t="s">
        <v>18007</v>
      </c>
      <c r="D113" s="24">
        <v>177</v>
      </c>
      <c r="E113" s="27" t="str">
        <f>HYPERLINK("https://www.boe.es/gazeta/dias/1800/11/07/pdfs/GMD-1800-90.pdf","Abrir fascículo")</f>
        <v>Abrir fascículo</v>
      </c>
    </row>
    <row r="114" spans="1:5">
      <c r="A114" s="21">
        <v>91</v>
      </c>
      <c r="B114" s="18" t="s">
        <v>576</v>
      </c>
      <c r="C114" s="24" t="s">
        <v>18008</v>
      </c>
      <c r="D114" s="24">
        <v>60</v>
      </c>
      <c r="E114" s="27" t="str">
        <f>HYPERLINK("https://www.boe.es/gazeta/dias/1800/11/11/pdfs/GMD-1800-91.pdf","Abrir fascículo")</f>
        <v>Abrir fascículo</v>
      </c>
    </row>
    <row r="115" spans="1:5">
      <c r="A115" s="21">
        <v>92</v>
      </c>
      <c r="B115" s="18" t="s">
        <v>58</v>
      </c>
      <c r="C115" s="24" t="s">
        <v>18009</v>
      </c>
      <c r="D115" s="24">
        <v>56</v>
      </c>
      <c r="E115" s="27" t="str">
        <f>HYPERLINK("https://www.boe.es/gazeta/dias/1800/11/14/pdfs/GMD-1800-92.pdf","Abrir fascículo")</f>
        <v>Abrir fascículo</v>
      </c>
    </row>
    <row r="116" spans="1:5">
      <c r="A116" s="21" t="s">
        <v>18010</v>
      </c>
      <c r="B116" s="18" t="s">
        <v>58</v>
      </c>
      <c r="C116" s="24" t="s">
        <v>18011</v>
      </c>
      <c r="D116" s="24">
        <v>8</v>
      </c>
      <c r="E116" s="27" t="str">
        <f>HYPERLINK("https://www.boe.es/gazeta/dias/1800/11/14/pdfs/GMD-C-1800-92.pdf","Abrir suplemento")</f>
        <v>Abrir suplemento</v>
      </c>
    </row>
    <row r="117" spans="1:5">
      <c r="A117" s="21">
        <v>93</v>
      </c>
      <c r="B117" s="18" t="s">
        <v>190</v>
      </c>
      <c r="C117" s="24" t="s">
        <v>18012</v>
      </c>
      <c r="D117" s="24">
        <v>133</v>
      </c>
      <c r="E117" s="27" t="str">
        <f>HYPERLINK("https://www.boe.es/gazeta/dias/1800/11/18/pdfs/GMD-1800-93.pdf","Abrir fascículo")</f>
        <v>Abrir fascículo</v>
      </c>
    </row>
    <row r="118" spans="1:5">
      <c r="A118" s="21">
        <v>94</v>
      </c>
      <c r="B118" s="18" t="s">
        <v>203</v>
      </c>
      <c r="C118" s="24" t="s">
        <v>18013</v>
      </c>
      <c r="D118" s="24">
        <v>81</v>
      </c>
      <c r="E118" s="27" t="str">
        <f>HYPERLINK("https://www.boe.es/gazeta/dias/1800/11/21/pdfs/GMD-1800-94.pdf","Abrir fascículo")</f>
        <v>Abrir fascículo</v>
      </c>
    </row>
    <row r="119" spans="1:5">
      <c r="A119" s="21">
        <v>95</v>
      </c>
      <c r="B119" s="18" t="s">
        <v>615</v>
      </c>
      <c r="C119" s="24" t="s">
        <v>18014</v>
      </c>
      <c r="D119" s="24">
        <v>36</v>
      </c>
      <c r="E119" s="27" t="str">
        <f>HYPERLINK("https://www.boe.es/gazeta/dias/1800/11/25/pdfs/GMD-1800-95.pdf","Abrir fascículo")</f>
        <v>Abrir fascículo</v>
      </c>
    </row>
    <row r="120" spans="1:5">
      <c r="A120" s="21" t="s">
        <v>18015</v>
      </c>
      <c r="B120" s="18" t="s">
        <v>615</v>
      </c>
      <c r="C120" s="24" t="s">
        <v>18016</v>
      </c>
      <c r="D120" s="24">
        <v>0</v>
      </c>
      <c r="E120" s="27" t="str">
        <f>HYPERLINK("https://www.boe.es/gazeta/dias/1800/11/25/pdfs/GMD-C-1800-95.pdf","Abrir suplemento")</f>
        <v>Abrir suplemento</v>
      </c>
    </row>
    <row r="121" spans="1:5">
      <c r="A121" s="21">
        <v>96</v>
      </c>
      <c r="B121" s="18" t="s">
        <v>445</v>
      </c>
      <c r="C121" s="24" t="s">
        <v>18017</v>
      </c>
      <c r="D121" s="24">
        <v>71</v>
      </c>
      <c r="E121" s="27" t="str">
        <f>HYPERLINK("https://www.boe.es/gazeta/dias/1800/11/28/pdfs/GMD-1800-96.pdf","Abrir fascículo")</f>
        <v>Abrir fascículo</v>
      </c>
    </row>
    <row r="122" spans="1:5">
      <c r="A122" s="21">
        <v>97</v>
      </c>
      <c r="B122" s="18" t="s">
        <v>196</v>
      </c>
      <c r="C122" s="24" t="s">
        <v>18018</v>
      </c>
      <c r="D122" s="24">
        <v>89</v>
      </c>
      <c r="E122" s="27" t="str">
        <f>HYPERLINK("https://www.boe.es/gazeta/dias/1800/12/02/pdfs/GMD-1800-97.pdf","Abrir fascículo")</f>
        <v>Abrir fascículo</v>
      </c>
    </row>
    <row r="123" spans="1:5">
      <c r="A123" s="21">
        <v>98</v>
      </c>
      <c r="B123" s="18" t="s">
        <v>111</v>
      </c>
      <c r="C123" s="24" t="s">
        <v>18019</v>
      </c>
      <c r="D123" s="24">
        <v>81</v>
      </c>
      <c r="E123" s="27" t="str">
        <f>HYPERLINK("https://www.boe.es/gazeta/dias/1800/12/05/pdfs/GMD-1800-98.pdf","Abrir fascículo")</f>
        <v>Abrir fascículo</v>
      </c>
    </row>
    <row r="124" spans="1:5">
      <c r="A124" s="21">
        <v>99</v>
      </c>
      <c r="B124" s="18" t="s">
        <v>329</v>
      </c>
      <c r="C124" s="24" t="s">
        <v>18020</v>
      </c>
      <c r="D124" s="24">
        <v>56</v>
      </c>
      <c r="E124" s="27" t="str">
        <f>HYPERLINK("https://www.boe.es/gazeta/dias/1800/12/09/pdfs/GMD-1800-99.pdf","Abrir fascículo")</f>
        <v>Abrir fascículo</v>
      </c>
    </row>
    <row r="125" spans="1:5">
      <c r="A125" s="21" t="s">
        <v>18021</v>
      </c>
      <c r="B125" s="18" t="s">
        <v>329</v>
      </c>
      <c r="C125" s="24" t="s">
        <v>18022</v>
      </c>
      <c r="D125" s="24">
        <v>0</v>
      </c>
      <c r="E125" s="27" t="str">
        <f>HYPERLINK("https://www.boe.es/gazeta/dias/1800/12/09/pdfs/GMD-C-1800-99.pdf","Abrir suplemento")</f>
        <v>Abrir suplemento</v>
      </c>
    </row>
    <row r="126" spans="1:5">
      <c r="A126" s="21">
        <v>100</v>
      </c>
      <c r="B126" s="18" t="s">
        <v>534</v>
      </c>
      <c r="C126" s="24" t="s">
        <v>18023</v>
      </c>
      <c r="D126" s="24">
        <v>103</v>
      </c>
      <c r="E126" s="27" t="str">
        <f>HYPERLINK("https://www.boe.es/gazeta/dias/1800/12/12/pdfs/GMD-1800-100.pdf","Abrir fascículo")</f>
        <v>Abrir fascículo</v>
      </c>
    </row>
    <row r="127" spans="1:5">
      <c r="A127" s="21">
        <v>101</v>
      </c>
      <c r="B127" s="18" t="s">
        <v>402</v>
      </c>
      <c r="C127" s="24" t="s">
        <v>18024</v>
      </c>
      <c r="D127" s="24">
        <v>60</v>
      </c>
      <c r="E127" s="27" t="str">
        <f>HYPERLINK("https://www.boe.es/gazeta/dias/1800/12/16/pdfs/GMD-1800-101.pdf","Abrir fascículo")</f>
        <v>Abrir fascículo</v>
      </c>
    </row>
    <row r="128" spans="1:5">
      <c r="A128" s="21">
        <v>102</v>
      </c>
      <c r="B128" s="18" t="s">
        <v>180</v>
      </c>
      <c r="C128" s="24" t="s">
        <v>18025</v>
      </c>
      <c r="D128" s="24">
        <v>76</v>
      </c>
      <c r="E128" s="27" t="str">
        <f>HYPERLINK("https://www.boe.es/gazeta/dias/1800/12/19/pdfs/GMD-1800-102.pdf","Abrir fascículo")</f>
        <v>Abrir fascículo</v>
      </c>
    </row>
    <row r="129" spans="1:5">
      <c r="A129" s="21">
        <v>103</v>
      </c>
      <c r="B129" s="18" t="s">
        <v>279</v>
      </c>
      <c r="C129" s="24" t="s">
        <v>18026</v>
      </c>
      <c r="D129" s="24">
        <v>73</v>
      </c>
      <c r="E129" s="27" t="str">
        <f>HYPERLINK("https://www.boe.es/gazeta/dias/1800/12/23/pdfs/GMD-1800-103.pdf","Abrir fascículo")</f>
        <v>Abrir fascículo</v>
      </c>
    </row>
    <row r="130" spans="1:5">
      <c r="A130" s="21">
        <v>104</v>
      </c>
      <c r="B130" s="18" t="s">
        <v>20</v>
      </c>
      <c r="C130" s="24" t="s">
        <v>18027</v>
      </c>
      <c r="D130" s="24">
        <v>74</v>
      </c>
      <c r="E130" s="27" t="str">
        <f>HYPERLINK("https://www.boe.es/gazeta/dias/1800/12/26/pdfs/GMD-1800-104.pdf","Abrir fascículo")</f>
        <v>Abrir fascículo</v>
      </c>
    </row>
    <row r="131" spans="1:5">
      <c r="A131" s="21" t="s">
        <v>18028</v>
      </c>
      <c r="B131" s="18" t="s">
        <v>20</v>
      </c>
      <c r="C131" s="24" t="s">
        <v>18029</v>
      </c>
      <c r="D131" s="24">
        <v>0</v>
      </c>
      <c r="E131" s="27" t="str">
        <f>HYPERLINK("https://www.boe.es/gazeta/dias/1800/12/26/pdfs/GMD-C-1800-104.pdf","Abrir suplemento")</f>
        <v>Abrir suplemento</v>
      </c>
    </row>
    <row r="132" spans="1:5">
      <c r="A132" s="22">
        <v>105</v>
      </c>
      <c r="B132" s="19" t="s">
        <v>60</v>
      </c>
      <c r="C132" s="25" t="s">
        <v>18030</v>
      </c>
      <c r="D132" s="25">
        <v>73</v>
      </c>
      <c r="E132" s="28" t="str">
        <f>HYPERLINK("https://www.boe.es/gazeta/dias/1800/12/30/pdfs/GMD-1800-105.pdf","Abrir fascículo")</f>
        <v>Abrir fascículo</v>
      </c>
    </row>
    <row r="134" spans="1:5" ht="48" customHeight="1">
      <c r="A134" s="29" t="s">
        <v>18031</v>
      </c>
      <c r="B134" s="34" t="s">
        <v>18032</v>
      </c>
      <c r="C134" s="34"/>
      <c r="D134" s="34"/>
      <c r="E134" s="34"/>
    </row>
    <row r="135" spans="1:5" ht="48" customHeight="1">
      <c r="A135" s="29" t="s">
        <v>18033</v>
      </c>
      <c r="B135" s="34" t="s">
        <v>18034</v>
      </c>
      <c r="C135" s="34"/>
      <c r="D135" s="34"/>
      <c r="E135" s="34"/>
    </row>
    <row r="136" spans="1:5" ht="48" customHeight="1">
      <c r="A136" s="29" t="s">
        <v>18035</v>
      </c>
      <c r="B136" s="34" t="s">
        <v>18036</v>
      </c>
      <c r="C136" s="34"/>
      <c r="D136" s="34"/>
      <c r="E136" s="34"/>
    </row>
    <row r="137" spans="1:5" ht="48" customHeight="1">
      <c r="A137" s="29" t="s">
        <v>18037</v>
      </c>
      <c r="B137" s="34" t="s">
        <v>18038</v>
      </c>
      <c r="C137" s="34"/>
      <c r="D137" s="34"/>
      <c r="E137" s="34"/>
    </row>
    <row r="138" spans="1:5" ht="48" customHeight="1">
      <c r="A138" s="29" t="s">
        <v>18039</v>
      </c>
      <c r="B138" s="34" t="s">
        <v>18040</v>
      </c>
      <c r="C138" s="34"/>
      <c r="D138" s="34"/>
      <c r="E138" s="34"/>
    </row>
    <row r="139" spans="1:5" ht="48" customHeight="1">
      <c r="A139" s="29" t="s">
        <v>18041</v>
      </c>
      <c r="B139" s="34" t="s">
        <v>18042</v>
      </c>
      <c r="C139" s="34"/>
      <c r="D139" s="34"/>
      <c r="E139" s="34"/>
    </row>
    <row r="140" spans="1:5" ht="48" customHeight="1">
      <c r="A140" s="29" t="s">
        <v>18043</v>
      </c>
      <c r="B140" s="34" t="s">
        <v>18044</v>
      </c>
      <c r="C140" s="34"/>
      <c r="D140" s="34"/>
      <c r="E140" s="34"/>
    </row>
    <row r="141" spans="1:5" ht="48" customHeight="1">
      <c r="A141" s="29" t="s">
        <v>18045</v>
      </c>
      <c r="B141" s="34" t="s">
        <v>18046</v>
      </c>
      <c r="C141" s="34"/>
      <c r="D141" s="34"/>
      <c r="E141" s="34"/>
    </row>
  </sheetData>
  <mergeCells count="9">
    <mergeCell ref="B138:E138"/>
    <mergeCell ref="B139:E139"/>
    <mergeCell ref="B140:E140"/>
    <mergeCell ref="B141:E141"/>
    <mergeCell ref="A1:E1"/>
    <mergeCell ref="B134:E134"/>
    <mergeCell ref="B135:E135"/>
    <mergeCell ref="B136:E136"/>
    <mergeCell ref="B137:E13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2026-09-24T11:36:26Z</dcterms:created>
  <dcterms:modified xsi:type="dcterms:W3CDTF">2026-09-24T11:36:27Z</dcterms:modified>
</cp:coreProperties>
</file>